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4"/>
    <sheet state="visible" name="Competencias" sheetId="2" r:id="rId5"/>
    <sheet state="visible" name="Diseño" sheetId="3" r:id="rId6"/>
    <sheet state="visible" name="Semana Diagnostico" sheetId="4" r:id="rId7"/>
    <sheet state="visible" name="S.2" sheetId="5" r:id="rId8"/>
    <sheet state="visible" name="S.3" sheetId="6" r:id="rId9"/>
    <sheet state="visible" name="S.4" sheetId="7" r:id="rId10"/>
    <sheet state="visible" name="S.5" sheetId="8" r:id="rId11"/>
    <sheet state="visible" name="S.6" sheetId="9" r:id="rId12"/>
    <sheet state="visible" name="S.7" sheetId="10" r:id="rId13"/>
    <sheet state="visible" name="S.8" sheetId="11" r:id="rId14"/>
    <sheet state="visible" name="S.9" sheetId="12" r:id="rId15"/>
    <sheet state="visible" name="S.10" sheetId="13" r:id="rId16"/>
    <sheet state="visible" name="S.11" sheetId="14" r:id="rId17"/>
    <sheet state="visible" name="Proyectos" sheetId="15" r:id="rId18"/>
    <sheet state="visible" name="Practicas" sheetId="16" r:id="rId19"/>
    <sheet state="visible" name="Tareas" sheetId="17" r:id="rId20"/>
    <sheet state="visible" name="Metadata" sheetId="18" r:id="rId21"/>
  </sheets>
  <definedNames/>
  <calcPr/>
  <extLst>
    <ext uri="GoogleSheetsCustomDataVersion2">
      <go:sheetsCustomData xmlns:go="http://customooxmlschemas.google.com/" r:id="rId22" roundtripDataChecksum="1kIRG448BQNyLP2jUM4UbDpZ/g1ma6jkYw4iErhDLaM="/>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<sst xmlns="http://schemas.openxmlformats.org/spreadsheetml/2006/main" count="1620" uniqueCount="470">
  <si>
    <t xml:space="preserve">Resumen de Ponderacion y Horas </t>
  </si>
  <si>
    <t>Curso</t>
  </si>
  <si>
    <t>773 - Manejo e Implementación de Archivos</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</si>
  <si>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</si>
  <si>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</si>
  <si>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</si>
  <si>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</si>
  <si>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</si>
  <si>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Tipo de Actividad</t>
  </si>
  <si>
    <t>Ponderacion</t>
  </si>
  <si>
    <t>Horas utilizadas</t>
  </si>
  <si>
    <t>Aspectos clave que debe abordar</t>
  </si>
  <si>
    <t>Valor Maximo Recomendado</t>
  </si>
  <si>
    <t>Actividades durante el peridodo de laboratorio</t>
  </si>
  <si>
    <t>Proyectos</t>
  </si>
  <si>
    <t>Prácticas</t>
  </si>
  <si>
    <t>Tareas</t>
  </si>
  <si>
    <t>Total</t>
  </si>
  <si>
    <t>Validacion</t>
  </si>
  <si>
    <t>Competencias que se formaran en el Segundo Semestre 2026</t>
  </si>
  <si>
    <t>Competencias relacionadas al perfil del egresado (Especifica)</t>
  </si>
  <si>
    <t>Competencias relacionadas al perfil del egresado (General)</t>
  </si>
  <si>
    <t>Identifica oportunidades y riesgos para la innovación y adaptación de
 conocimientos y tecnologías para resolver problemas.</t>
  </si>
  <si>
    <t>Maneja e Interpreta adecuadamente datos masivos, sean estos
 estructurados o no estructurados, facilitando su visualización e interpretación
 de forma eficaz en apoyo a la toma de decisiones.</t>
  </si>
  <si>
    <t>Comunica a diversos públicos, información de su campo profesional, en
 varios lenguajes y formatos de manera asertiva, clara, rigurosa y precisa, con
 el uso apropiado de recursos tecnológicos.</t>
  </si>
  <si>
    <t>Aplica principios básicos de ingeniería, ciencias de computación y sistemas
 de información y comunicación, en la formulación y resolución adecuada de
 problemas complejos.</t>
  </si>
  <si>
    <t>Demuestra pensamiento crítico, actitud investigativa y rigor analítico en el
 planteamiento y la resolución de problemas complejos.</t>
  </si>
  <si>
    <t>Aplica estándares de calidad, eficiencia y seguridad en la implementación
 adecuada de soluciones de software, hardware y TIC en general.</t>
  </si>
  <si>
    <t>No</t>
  </si>
  <si>
    <t>Tipo</t>
  </si>
  <si>
    <t>Verbo en Presente</t>
  </si>
  <si>
    <t>Objeto de la acción</t>
  </si>
  <si>
    <t>[Palabras conectoreas] Herramientas o metodología</t>
  </si>
  <si>
    <t>[Palabras conectoreas] Condiciones específicas</t>
  </si>
  <si>
    <t>Nivel</t>
  </si>
  <si>
    <t>General</t>
  </si>
  <si>
    <t>comprende</t>
  </si>
  <si>
    <t>el modelo de seguridad integral para almacenamiento de datos</t>
  </si>
  <si>
    <t>mediante la selección y combinación de tecnologías de almacenamiento físico y virtualizado</t>
  </si>
  <si>
    <t>para diseñar infraestructuras eficientes, seguras y escalables</t>
  </si>
  <si>
    <t>Integrar</t>
  </si>
  <si>
    <t>Especifica</t>
  </si>
  <si>
    <t>mediante el análisis de amenazas, controles de acceso y técnicas de respaldo</t>
  </si>
  <si>
    <t>para garantizar la confidencialidad, integridad y disponibilidad de la información</t>
  </si>
  <si>
    <t>Comprender</t>
  </si>
  <si>
    <t>Analiza</t>
  </si>
  <si>
    <t>arquitecturas de virtualización de almacenamiento</t>
  </si>
  <si>
    <t>mediante la comparación de modelos y evaluación de retos operativos</t>
  </si>
  <si>
    <t>para optimizar la administración de recursos en entornos virtualizados</t>
  </si>
  <si>
    <t>Analizar</t>
  </si>
  <si>
    <t>soluciones de almacenamiento en entornos híbridos</t>
  </si>
  <si>
    <t>mediante la comparación de sus características operativas y criterios de implementación</t>
  </si>
  <si>
    <t>para seleccionar alternativas que respondan a necesidades de eficiencia, escalabilidad y disponibilidad</t>
  </si>
  <si>
    <t>Implementa</t>
  </si>
  <si>
    <t>un sistema de archivos con estructuras ext2/ext3 expuesto mediante una API e interfaz grafica</t>
  </si>
  <si>
    <t>mediante la integración de funciones del backend y visualización de resultados en el frontend</t>
  </si>
  <si>
    <t>para gestionar operaciones relacionadas a la construcción y manejo de un sistema de archivos</t>
  </si>
  <si>
    <t>Aplicar</t>
  </si>
  <si>
    <t>Explica</t>
  </si>
  <si>
    <t>los fundamentos de conectividad, administración y evolución de tecnologías de red y almacenamiento</t>
  </si>
  <si>
    <t>mediante la identificación de componentes clave y su interacción funcional</t>
  </si>
  <si>
    <t>para comprender su rol en infraestructuras tecnológicas actuales</t>
  </si>
  <si>
    <t>comprender</t>
  </si>
  <si>
    <t>Supervisa</t>
  </si>
  <si>
    <t>el desempeño de sistemas de almacenamiento masivo</t>
  </si>
  <si>
    <t>mediante el uso de herramientas de monitoreo y análisis de métricas</t>
  </si>
  <si>
    <t>para identificar oportunidades de mejora en la disponibilidad, eficiencia y seguridad de los datos</t>
  </si>
  <si>
    <t>Supervisar</t>
  </si>
  <si>
    <r>
      <rPr>
        <rFont val="Arial"/>
        <b/>
        <color rgb="FF1155CC"/>
        <u/>
      </rPr>
      <t>Manual de competencias:</t>
    </r>
    <r>
      <rPr>
        <rFont val="Arial"/>
        <color rgb="FF1155CC"/>
        <u/>
      </rPr>
      <t xml:space="preserve"> </t>
    </r>
    <r>
      <rPr>
        <rFont val="Arial"/>
        <color rgb="FF1155CC"/>
        <u/>
      </rPr>
      <t>https://drive.google.com/file/d/1n5es0M20vXxa7i4eLN7pbgTXc2C1dmCQ/view?usp=sharing</t>
    </r>
  </si>
  <si>
    <t>Integra</t>
  </si>
  <si>
    <t>la capacidad de explicar conceptos informáticos</t>
  </si>
  <si>
    <t>mediante el uso de ejemplos y graficos</t>
  </si>
  <si>
    <t>de forma clara, ordenada y comprensible.</t>
  </si>
  <si>
    <r>
      <rPr>
        <rFont val="Arial"/>
        <b/>
        <color rgb="FF1155CC"/>
        <u/>
      </rPr>
      <t>Video de como hacer competencias:</t>
    </r>
    <r>
      <rPr>
        <rFont val="Arial"/>
        <color rgb="FF1155CC"/>
        <u/>
      </rPr>
      <t xml:space="preserve"> </t>
    </r>
    <r>
      <rPr>
        <rFont val="Arial"/>
        <color rgb="FF1155CC"/>
        <u/>
      </rPr>
      <t>https://youtu.be/C8Q9dKo4t-w?si=yErgF_ihe1tsaHM0</t>
    </r>
  </si>
  <si>
    <t>Si las competencias son las misma que el semetre anterior compartenos tu opinion de porque no se cambiaron</t>
  </si>
  <si>
    <t>Analiza arquitecturas de virtualización de almacenamiento mediante la comparación de modelos y evaluación de retos operativos para optimizar la administración de recursos en entornos virtualizados.</t>
  </si>
  <si>
    <t>Diseño de Contenido Curricular</t>
  </si>
  <si>
    <t>semestre que aplica</t>
  </si>
  <si>
    <t>No.</t>
  </si>
  <si>
    <t>Competencia</t>
  </si>
  <si>
    <t>Nombre de la Unidad</t>
  </si>
  <si>
    <t>Tema</t>
  </si>
  <si>
    <t>Subtema</t>
  </si>
  <si>
    <t>Mes</t>
  </si>
  <si>
    <t>Semana</t>
  </si>
  <si>
    <t xml:space="preserve">El estudiante Supervisa el desempeño de sistemas de almacenamiento masivo mediante el uso de herramientas de monitoreo y análisis de métricas para identificar oportunidades de mejora en la disponibilidad, eficiencia y seguridad de los datos </t>
  </si>
  <si>
    <t>1. Introducción a las tecnologías de almacenamiento y arquitecturas de los sistemas de 
almacenamiento enfocadas en GNU/LINUX</t>
  </si>
  <si>
    <t>Elementos básicos de Almacenamiento</t>
  </si>
  <si>
    <t>Del dato a la información y al conocimiento</t>
  </si>
  <si>
    <t>Julio</t>
  </si>
  <si>
    <t>Proliferación de los datos</t>
  </si>
  <si>
    <t>Formatos en archivos</t>
  </si>
  <si>
    <t>La variabilidad de los datos en su valor y su uso a lo largo del tiempo</t>
  </si>
  <si>
    <t>Fuentes de datos</t>
  </si>
  <si>
    <t>Tipos de Fuentes de datos</t>
  </si>
  <si>
    <t>Fuentes comunes de datos</t>
  </si>
  <si>
    <t>El ciclo de vida de los datos</t>
  </si>
  <si>
    <t xml:space="preserve">El estudiante comprende el modelo de seguridad integral para almacenamiento de datos mediante el análisis de amenazas, controles de acceso y técnicas de respaldo para garantizar la confidencialidad, integridad y disponibilidad de la información </t>
  </si>
  <si>
    <t>Tipos de almacenamiento</t>
  </si>
  <si>
    <t>Tecnologias y metodos de Almacenamiento de Datos</t>
  </si>
  <si>
    <t>Almacenamiento a nivel Fisico</t>
  </si>
  <si>
    <t>Proliferecion de nuevas Tecnologias y metodos de Almacenamiento</t>
  </si>
  <si>
    <t>Tecnologias usadas para compartir Archivos</t>
  </si>
  <si>
    <t>Almacenamiento distribuido</t>
  </si>
  <si>
    <t>Agosto</t>
  </si>
  <si>
    <t>Dispositivos de almacenamiento secundario</t>
  </si>
  <si>
    <t>Ventajas y desventajas de los dispositivos de almacenamiento</t>
  </si>
  <si>
    <t>La evolución de los dispositivos de almacenamiento</t>
  </si>
  <si>
    <t>Comparativa entre HDD y SDD</t>
  </si>
  <si>
    <t>Comparativa entre el almacenamiento en red y en la nube</t>
  </si>
  <si>
    <t>RAID</t>
  </si>
  <si>
    <t>Conceptos fundamentales del manejo de archivos</t>
  </si>
  <si>
    <t>Manejo de archivos</t>
  </si>
  <si>
    <t>Introducción a RAID: Concepto y Tipos</t>
  </si>
  <si>
    <t>Operaciones básicas de archivos</t>
  </si>
  <si>
    <t>Permisos y Seguridad en Archivos</t>
  </si>
  <si>
    <t>Niveles de archivo</t>
  </si>
  <si>
    <t>Particiones</t>
  </si>
  <si>
    <t>Estrategias de colocación</t>
  </si>
  <si>
    <t>Fragmentación</t>
  </si>
  <si>
    <t xml:space="preserve">El estudiante 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t>
  </si>
  <si>
    <t>Sistemas de archivos</t>
  </si>
  <si>
    <t>Fundamentos de los sistemas de archivos</t>
  </si>
  <si>
    <t>Tipos de sistemas de archivos</t>
  </si>
  <si>
    <t>Montaje y Desmontaje de Sistemas de Archivos</t>
  </si>
  <si>
    <t>Journaling y Sistemas de Archivos de Alta Disponibilidad</t>
  </si>
  <si>
    <t>Gestión de espacio y fragmentación</t>
  </si>
  <si>
    <t>Recuperación y reparación de sistemas de archivos</t>
  </si>
  <si>
    <t>Tendencias futuras en sistemas de archivos</t>
  </si>
  <si>
    <t xml:space="preserve">El estudiante Analiza arquitecturas de virtualización de almacenamiento mediante la comparación de modelos y evaluación de retos operativos para optimizar la administración de recursos en entornos virtualizados </t>
  </si>
  <si>
    <t>GNU/Linux y Organización de Archivos</t>
  </si>
  <si>
    <t>Filosofía y estructura libre</t>
  </si>
  <si>
    <t>Arquitectura y sistema de archivos</t>
  </si>
  <si>
    <t>Procesos y estructuras en memoria</t>
  </si>
  <si>
    <t>Tipos de archivos y modelos lógicos</t>
  </si>
  <si>
    <t>Sistemas de archivos en Linux</t>
  </si>
  <si>
    <t>Paquetes e indexación</t>
  </si>
  <si>
    <t>Linux en empresas y nube</t>
  </si>
  <si>
    <t xml:space="preserve">El estudiante comprende el modelo de seguridad integral para almacenamiento de datos mediante la selección y combinación de tecnologías de almacenamiento físico y virtualizado para diseñar infraestructuras eficientes, seguras y escalables </t>
  </si>
  <si>
    <t>Septiembre</t>
  </si>
  <si>
    <t>Niveles RAID: RAID 0, 1, 5, 6, 10, 50 y más</t>
  </si>
  <si>
    <t>Rendimiento y Fiabilidad en RAID</t>
  </si>
  <si>
    <t>RAID y Tecnologías de Almacenamiento Actuales</t>
  </si>
  <si>
    <t>Implementación de RAID por software vs hardware</t>
  </si>
  <si>
    <t>RAID en entornos virtualizados</t>
  </si>
  <si>
    <t>RAID en Entornos Empresariales y Personales</t>
  </si>
  <si>
    <t xml:space="preserve">El estudiante Explica los fundamentos de conectividad, administración y evolución de tecnologías de red y almacenamiento mediante la identificación de componentes clave y su interacción funcional para comprender su rol en infraestructuras tecnológicas actuales </t>
  </si>
  <si>
    <t>2. Introducción a los almacenamientos en red y en la nube</t>
  </si>
  <si>
    <t>Conceptos basicos</t>
  </si>
  <si>
    <t>Evolución de los Sistemas de Almacenamiento en Red</t>
  </si>
  <si>
    <t>Beneficios del alamacenamiento en red</t>
  </si>
  <si>
    <t>Direct Attached Storage (DAS)</t>
  </si>
  <si>
    <t>Desafios del almacenamiento en red</t>
  </si>
  <si>
    <t>Storage Area Networks (SAN)</t>
  </si>
  <si>
    <t>NAS (Network-attached Storgae)</t>
  </si>
  <si>
    <t>Protocolos de Almacenamiento en Red</t>
  </si>
  <si>
    <t>SAN (Storage Area Network)</t>
  </si>
  <si>
    <t>Principios de Fibra Óptica en Redes de Almacenamiento</t>
  </si>
  <si>
    <t>Almacenamiento para big data</t>
  </si>
  <si>
    <t>Administración de Redes de Almacenamiento</t>
  </si>
  <si>
    <t>Almacenamiento en red para tipos de redes</t>
  </si>
  <si>
    <t>Comparación y Selección de Soluciones de Almacenamiento</t>
  </si>
  <si>
    <t>Historia y origenes</t>
  </si>
  <si>
    <t>Introducción al Almacenamiento en la Nube</t>
  </si>
  <si>
    <t>Tipos de almacenamiento en la nube</t>
  </si>
  <si>
    <t>Modelos de Almacenamiento en la Nube</t>
  </si>
  <si>
    <t>Almacenamiento en la nuebe para empresas</t>
  </si>
  <si>
    <t>Tipos de Servicios de Almacenamiento en la Nube</t>
  </si>
  <si>
    <t xml:space="preserve">Almacenamiento en la nube para usuarios finales </t>
  </si>
  <si>
    <t>Seguridad en el Almacenamiento en la Nube</t>
  </si>
  <si>
    <t xml:space="preserve">El estudiante Analiza soluciones de almacenamiento en entornos híbridos mediante la comparación de sus características operativas y criterios de implementación para seleccionar alternativas que respondan a necesidades de eficiencia, escalabilidad y disponibilidad </t>
  </si>
  <si>
    <t xml:space="preserve">Almacenamiento en la nube para desarrolladores </t>
  </si>
  <si>
    <t>Escalabilidad y Rendimiento del Almacenamiento en la Nube</t>
  </si>
  <si>
    <t>Precios en almacenamiento para la nube</t>
  </si>
  <si>
    <t>Costos y Modelos de Precios del Almacenamiento en la Nube</t>
  </si>
  <si>
    <t>Tendencias Futuras en el Almacenamiento en la Nube</t>
  </si>
  <si>
    <t>3. Introducción a la disponibilidad de información, a la seguridad y virtualización</t>
  </si>
  <si>
    <t>Disponibilidad de la información</t>
  </si>
  <si>
    <t>Plan de Continuidad de Negocio (BCP)</t>
  </si>
  <si>
    <t>Pasos para Desarrollar un Plan de Continuidad de Negocio</t>
  </si>
  <si>
    <t>Recuperación de Desastres (DR)</t>
  </si>
  <si>
    <t>Octubre</t>
  </si>
  <si>
    <t>Diferencias entre Continuidad de Negocio y Recuperación de Desastres</t>
  </si>
  <si>
    <t>Análisis de Riesgos y Análisis de Impacto</t>
  </si>
  <si>
    <t>Estrategias de Continuidad y Recuperación</t>
  </si>
  <si>
    <t>Enfoque Tecnológico en la Recuperación de Desastres</t>
  </si>
  <si>
    <t>Seguridad de la información</t>
  </si>
  <si>
    <t>Importancia de la seguridad de la información en almacenamiento</t>
  </si>
  <si>
    <t>Elementos clave de la seguridad</t>
  </si>
  <si>
    <t>Amenazas comunes a la seguridad</t>
  </si>
  <si>
    <t>Desarrollo de un modelo de seguridad para almacenamiento</t>
  </si>
  <si>
    <t>Control de acceso de usuarios a los datos</t>
  </si>
  <si>
    <t>Seguridad en el almacenamiento en la Nube</t>
  </si>
  <si>
    <t>Técnicas de respaldo y recuperación de archivos</t>
  </si>
  <si>
    <t>Virtualización</t>
  </si>
  <si>
    <t>Funcionalidad de almacenaje</t>
  </si>
  <si>
    <t>Almacenamiento virtual</t>
  </si>
  <si>
    <t>Comparación de arquitecturas de virtualización</t>
  </si>
  <si>
    <t>Retos de la virtualización del almacenamiento</t>
  </si>
  <si>
    <t>Virtualización a nivel de bloque</t>
  </si>
  <si>
    <t>Virtualización a nivel de archivo</t>
  </si>
  <si>
    <t>Administración de recursos en entornos virtualizados</t>
  </si>
  <si>
    <t>Tiempo</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</si>
  <si>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</si>
  <si>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 xml:space="preserve">1. Bienvenida y Presentación                                   </t>
  </si>
  <si>
    <t>Tiempo Aproximado</t>
  </si>
  <si>
    <t>No puedes excederte mas de 15 minutos</t>
  </si>
  <si>
    <t xml:space="preserve">Nombre y Formacion Academica </t>
  </si>
  <si>
    <t>Decirle a los estudiantes el nombre del auxiliar, el semestre que se esta cursando actualmente. En mi caso seria: Natalia Calderon Echeverria actualmente en 10mo semstre (el otro año)</t>
  </si>
  <si>
    <t xml:space="preserve">Experiencia docente y profecional </t>
  </si>
  <si>
    <t>Mencionar un poco de mi experiencia en relacion a la carrera, en la auxiliatura  y/o laboral. En mi caso mencionaria quelleve el curso previamente en el año 2024. Actualmente he llevado todos los cursos necesarios para estar en 10mo semestre, durante los años he adquirido experiencia principalmente en:
* java
* javascript
* python
* C++
* Go
* Fortran
* Bases de datos R y NR
* docker
Entre otros.</t>
  </si>
  <si>
    <t>Rol del auxiliar dentro del curso (funciones, actividades y apoyo a los estudiantes).</t>
  </si>
  <si>
    <t>Mencionaria el rol del auxiliar a lo largo del curso que seria de: Reforzar los contenidos de la clase magistral, guiar a los estuantes en aplicaciones practicas de los temas vistos, y guiarlos en la realizacion de los proyectos establecidos</t>
  </si>
  <si>
    <t>Expectativas sobre la dinámica del curso</t>
  </si>
  <si>
    <t>Mencionaria mis expectativas del curso y le pediria a 2 estudiantes que mencionen algunas expectativas que tengan sobre el curso. En mi caso seria:  - Que todos los estudiantes logren aprender sobre los temas impartidos y que el semestre ocurra sin ninguna novedad</t>
  </si>
  <si>
    <t xml:space="preserve">Tiempo que emplearas </t>
  </si>
  <si>
    <t xml:space="preserve">2. Evaluación de Conocimientos Previos                             </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</si>
  <si>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</si>
  <si>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</si>
  <si>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¿Cuál es la unidad mínima de información usada en informática? BIT
¿Cómo se llama el conjunto de 8 bits? BYTE
¿Qué estructura de datos representa mejor la jerarquía de directorios de un sistema de archivos (carpetas y subcarpetas)?  Árbol n-ario
¿Qué estructura de datos es adecuada para representar la interconexión entre servidores y dispositivos de almacenamiento en una SAN? grafo
¿Cómo se llama la técnica que divide una cadena de texto en unidades mínimas significativas (tokens)? tokenizacion 
¿Qué hace principalmente un analizador léxico (lexer)? convierte la cadena de entrada en tokens 
¿Cuál es la diferencia principal entre un lexer y un parser? El lexer identifica tokens, el parser organiza tokens según la gramática
¿Qué estructura de datos se utiliza para representar el árbol de sintaxis de una expresión o programa? Árbol (binario o n-ario)
¿Qué estructura de datos es común para implementar la tabla de símbolos en un compilador? TABLA HASH
En una representación binaria de enteros con signo, ¿qué representa normalmente el bit más significativo (MSB)? Indica el signo del número -/+
¿Qué estructura de datos sigue el principio LIFO (Last In, First Out: el último en entrar es el primero en salir)? PILA
¿Qué modelo se utiliza comúnmente para implementar internamente las expresiones regulares? Autómata finito
¿Qué técnica de análisis detecta si una cadena cumple con una gramática formal específica?ANALISIS SINTACTICO
¿ ram es un tipo de almacenamiento primario? Verdadero
La ram no se borra cuando se apaga la computadora FALSO</t>
  </si>
  <si>
    <t>Redactaras una parte practica para realizar la evaluacion de conocimientos previos</t>
  </si>
  <si>
    <t>Podria ser ejemplificar como trabajan las listas enlazadas y doblemente enlazadas</t>
  </si>
  <si>
    <t xml:space="preserve">3. Presentación de los Estudiantes                                </t>
  </si>
  <si>
    <t xml:space="preserve">No puedes excederte mas de 30 minutos </t>
  </si>
  <si>
    <t>Seleccion al Azar de 5 Estudiantes</t>
  </si>
  <si>
    <t>Seleccionar estudiantes al azar en base al listado de GoogleMeet</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</si>
  <si>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</si>
  <si>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Indica las preguntas que responderan los estudiantes afortunados</t>
  </si>
  <si>
    <t xml:space="preserve">- Nombre
- Cursos que está llevando
- Expectativas del curso
- ¿Estás familiarizado con Linux? ¿Que distribucion?
</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</si>
  <si>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</si>
  <si>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</si>
  <si>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</si>
  <si>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 xml:space="preserve">Link de google forms donde este el cuestionario </t>
  </si>
  <si>
    <t>https://forms.gle/L6tMuBQuvq7N3WDZ9</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</si>
  <si>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</si>
  <si>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 xml:space="preserve">Dias y posibles Horarios de calificacion </t>
  </si>
  <si>
    <t>Jueves, viernes y sabado</t>
  </si>
  <si>
    <t xml:space="preserve">5.  Mostrar Programa del Curso                 </t>
  </si>
  <si>
    <t>No puedes excederte mas de 30 minutos</t>
  </si>
  <si>
    <t xml:space="preserve">6. Evaluación de Conocimientos del Curso Actual                                  </t>
  </si>
  <si>
    <t xml:space="preserve">Redactaras 20 preguntas con sus respectivas respuestas </t>
  </si>
  <si>
    <t>¿Qué se entiende por almacenamiento primario en una computadora? La memoria que la CPU usa directamente para trabajar
¿Cuál de las siguientes afirmaciones es correcta?  El almacenamiento primario suele ser más rápido pero con menos capacidad
¿En qué se diferencia principalmente el almacenamiento primario (RAM) del almacenamiento secundario (disco/SSD)? El primario es más rápido y volátil, el secundario es más lento y no volátil
En la jerarquía de memoria de un sistema, ¿qué opción muestra el orden correcto de más rápida a más lenta?  Caché -&gt; RAM -&gt; Disco/SSD
Comparando un disco duro mecánico (HDD) y una memoria flash (SSD/USB), ¿cuál afirmación es más correcta?  El SSD tiene mejor tiempo de acceso aleatorio que el HDD
¿Cuál es uno de los objetivos principales de utilizar RAID en un sistema de almacenamiento?  Mejorar el rendimiento y la tolerancia a fallos
¿la paridad RAID ayuda a reconstruir los datos en caso de fallo de la unidad? verdadero
¿Qué característica distingue al RAID 0 de otros niveles de RAID? Realiza striping de datos sin redundancia
Si tu prioridad es no perder datos aunque un disco falle, y el rendimiento es menos importante que la seguridad, ¿qué nivel de RAID es más adecuado? RAID1
¿Cuál es la diferencia principal entre ext2 y ext3? ext3 añade soporte de journaling
¿Cuál es una diferencia clave entre SAN y NAS? SAN ofrece almacenamiento a nivel de bloques, NAS ofrece almacenamiento a nivel de archivos
¿cuál es la función principal del superbloque en ext2? Contener la configuración global del sistema de archivos
¿Qué técnica se utiliza comúnmente en ext2/ext3 para manejar archivos que requieren más bloques de los que puede apuntar directamente un inodo? Punteros indirectos, dobles e indirectos triples
¿de qué forma organiza el sistema de archivos sus directorios? Árbol jerárquico
¿Qué es un inodo en un sistema de archivos como ext2/ext3? Una estructura que guarda metadatos de un archivo</t>
  </si>
  <si>
    <t>Diseño de la Sesión de Laboratorio</t>
  </si>
  <si>
    <t>Ponderación</t>
  </si>
  <si>
    <t>Validación de Tiempo</t>
  </si>
  <si>
    <t>1. Área Actitudinal (Saber Ser)</t>
  </si>
  <si>
    <t>Tiene que estar en un rango de 3 a 5 minutos</t>
  </si>
  <si>
    <t>Nombre del Valor</t>
  </si>
  <si>
    <t>Trabajo en equipo</t>
  </si>
  <si>
    <t>Descripcion</t>
  </si>
  <si>
    <t>Fomenta la colaboración entre los estudiantes para analizar la arquitectura de Linux, la gestión de procesos y la administración de recursos del sistema, promoviendo el respeto, la comunicación efectiva y la construcción conjunta del aprendizaje.</t>
  </si>
  <si>
    <t>Como se relaciona con los conocimientos de la sesion y se aplicaria</t>
  </si>
  <si>
    <t>Se relaciona con la sesión porque el estudio de la arquitectura del sistema operativo Linux, sus componentes y la gestión de procesos y recursos puede desarrollarse de mejor forma mediante actividades colaborativas. Se aplicará en el análisis de los temas vistos en clase, la resolución de ejercicios y la socialización de conclusiones sobre el funcionamiento del kernel, la shell, la memoria, los procesos y el sistema de archivos.</t>
  </si>
  <si>
    <t>2. Área Conocimiento (Saber)</t>
  </si>
  <si>
    <t>No puede exceder los 60 minutos</t>
  </si>
  <si>
    <t>Competencia a desarrollar</t>
  </si>
  <si>
    <t>2.1 Contenido</t>
  </si>
  <si>
    <t>Unidad</t>
  </si>
  <si>
    <t xml:space="preserve">Tema </t>
  </si>
  <si>
    <t>Sub Tema</t>
  </si>
  <si>
    <t>2.2 Recursos Educativos</t>
  </si>
  <si>
    <t>Tipo de Recurso a utilizar</t>
  </si>
  <si>
    <t>Valor maximo recomendado en Minutos</t>
  </si>
  <si>
    <t>Tiempo Aproximado ( unicamente el valor de minutos )</t>
  </si>
  <si>
    <t>Presentacion</t>
  </si>
  <si>
    <t>Obligatorio</t>
  </si>
  <si>
    <t>Video</t>
  </si>
  <si>
    <t>Lectura</t>
  </si>
  <si>
    <t>Optativo</t>
  </si>
  <si>
    <t>Ejercicio Demostrativo</t>
  </si>
  <si>
    <t>3. Área de Habilidades (Saber Hacer)</t>
  </si>
  <si>
    <t>Tiene que estar en un rango de 30 a 50 minutos</t>
  </si>
  <si>
    <t>Actividad 1 (Obligatoria)</t>
  </si>
  <si>
    <t>Competencia que predomina en la actividad</t>
  </si>
  <si>
    <t>Ejercicio practico</t>
  </si>
  <si>
    <t>Coloca el tiempo que usar en la actividad, un tiempo sugerido 30 minutos</t>
  </si>
  <si>
    <t>Descripcion de la Actividad</t>
  </si>
  <si>
    <t>Examen corto para evaluar la comprension de los conceptos teoricos de los temas vistos en esta semana de clase</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</si>
  <si>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</si>
  <si>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</si>
  <si>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</si>
  <si>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</si>
  <si>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</si>
  <si>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 finales y anuncios finales.</t>
  </si>
  <si>
    <t>Resuelve alguna duda, asigna las actividades que deben realizar, dudas de proyectos, etc</t>
  </si>
  <si>
    <t>Compromiso</t>
  </si>
  <si>
    <t>Comprende el modelo de seguridad integral para almacenamiento de datos mediante el análisis de amenazas, controles de acceso y técnicas de respaldo para garantizar la confidencialidad, integridad y disponibilidad de la información.</t>
  </si>
  <si>
    <t>Cuestionario</t>
  </si>
  <si>
    <t>Responsabilidad</t>
  </si>
  <si>
    <t>5-6 minutos</t>
  </si>
  <si>
    <t xml:space="preserve">Se hace la lectura breve del valor de la semana y se da algun ejemplo de como aplicarlo a la vida de estudiante o en el caso del trabajo </t>
  </si>
  <si>
    <t>x</t>
  </si>
  <si>
    <t>10-15</t>
  </si>
  <si>
    <t>Se realiza un cuestionario para validar los conocimiento aprendidos durante el laboratorio que tiene 10 preguntas de opcion multiple para contestar</t>
  </si>
  <si>
    <t>Se da un tiempo para resolver todo tipo de dudas de cualquier tipo para mayor facilidad de resolucion</t>
  </si>
  <si>
    <t>La responsabilidad es la cualidad que tiene un individuo que cumple sus obligaciones o promesas y asume las consecuencias de sus actos, cuando los realiza de manera consciente e intencionada.</t>
  </si>
  <si>
    <t>La responsabilidad se ejemplifica claramente en esta semana porque el manejo de sistemas de archivos y del almacenamiento de datos exige actuar con cuidado y compromiso. Ser responsable en este contexto significa proteger la información mediante permisos adecuados, organizar correctamente archivos y directorios, realizar respaldos y elegir el sistema de archivos más conveniente según las necesidades del sistema.
La responsabilidad no solo se refleja en usar bien la tecnología sino en administrar la información de forma segura, ordenada y consciente.</t>
  </si>
  <si>
    <t xml:space="preserve">GNU/Linux y Organización de Archivos        </t>
  </si>
  <si>
    <t>Estructuras basicas de los archivos</t>
  </si>
  <si>
    <t>Gestion de archivos</t>
  </si>
  <si>
    <t>FAT, NTFS, EXT2 Y EXT3</t>
  </si>
  <si>
    <t xml:space="preserve">El estudiante Implementa los conocimientos de las estructuras de almacenamiento en sistemas de archivos  mediante la investigacion y ejemplificacion del sistema de archivos </t>
  </si>
  <si>
    <t>Se tiene como objetivo realizar un cuestionario sobre los tipos de almacenamiento vistos y sus caracteristicas, tanto las ventajas como desventajas. Por otro lado, se leera y explicara la Tarea 3, esta tarea pretende expandir el conociemiento sobre el sistema de archivos EXT2</t>
  </si>
  <si>
    <t>- Se abre el espacio de dudas sobre el proyecto y se establece la Tarea3 que tiene una duracion de una semana, se espera que se entregue en la semana 6</t>
  </si>
  <si>
    <t>Colaboración</t>
  </si>
  <si>
    <t>Explica los fundamentos de conectividad, administración y evolución de tecnologías de red y almacenamiento mediante la identificación de componentes clave y su interacción funcional para comprender su rol en infraestructuras tecnológicas actuales.</t>
  </si>
  <si>
    <t>Adaptabilidad</t>
  </si>
  <si>
    <t>Se les explica a los estudiantes la importancia de la adaptabilidad en cualquier entorno ya sea laboral o academico y se dan algunos ejemplos</t>
  </si>
  <si>
    <t>Se pasa un examen corto que sirve para evaluar lso temas recien vistos en el laboratorio y asi validar que realmente si se entendio bien los temas</t>
  </si>
  <si>
    <t>Se culmina el laboratorio y se resuelven multiples dudas ya sea de lo que acabamos de ver o dudas del proyecto o tarea para poder resolverlas de una vez</t>
  </si>
  <si>
    <t>En esta semana podemos ver reflejada la responsabilidad ya que garantizar la disponibilidad de la información no depende solo de la tecnología, sino también del compromiso de las personas y las organizaciones para prevenir fallos, proteger los datos y actuar correctamente ante incidentes.
La responsabilidad se aplica cuando se toman decisiones conscientes para asegurar que la información esté disponible para los usuarios autorizados, minimizando riesgos técnicos y económicos.</t>
  </si>
  <si>
    <t xml:space="preserve">Disponibilidad de la información        </t>
  </si>
  <si>
    <t>Analisis</t>
  </si>
  <si>
    <t xml:space="preserve">Se tiene como ojetivo realizar un cuestionario relacionado con la informacion y los casos analizados en clase. </t>
  </si>
  <si>
    <t>Un</t>
  </si>
  <si>
    <t>Preguntas relevantes sobre el proyecto 2 o la Tarea 4 que se tiene como fecha de entrega la semana 9</t>
  </si>
  <si>
    <t>Integridad</t>
  </si>
  <si>
    <t>Promueve en el estudiante el manejo responsable, coherente y honesto de la información, fomentando prácticas que resguarden la confidencialidad, disponibilidad y veracidad de los datos almacenados.</t>
  </si>
  <si>
    <t>Se relaciona con la sesión porque los contenidos abordan la seguridad en el almacenamiento de datos mediante cifrado, control de acceso, autenticación, monitoreo, respaldo y recuperación. La integridad se aplicará cuando el estudiante analice amenazas, defina controles de protección y valore la importancia de mantener la información exacta, confiable y protegida contra modificaciones no autorizadas.</t>
  </si>
  <si>
    <t>Proactividad</t>
  </si>
  <si>
    <t>La sumatoria de los puntos de los proyectos debe superar el  60% del total de la nota, no puede ser un 100%</t>
  </si>
  <si>
    <t>1. Primer Proyecto</t>
  </si>
  <si>
    <t>Horas para realizarlo</t>
  </si>
  <si>
    <t>Titulo</t>
  </si>
  <si>
    <t>C++ Disk</t>
  </si>
  <si>
    <t>Qué tecnologías, lenguajes de programación, plataformas, hardware o software se utilizaran</t>
  </si>
  <si>
    <t xml:space="preserve">-Distribucion Linux 
-Lenguaje C++ </t>
  </si>
  <si>
    <t>Descripción de lo que se realizara</t>
  </si>
  <si>
    <t xml:space="preserve">El presente proyecto tiene como objetivo el poner en practica los conocimientos previos para el uso de una distribucion linux y en ella poder desarrollar la primera parte de un sistema de archivos EXT2 el cual permitira la ejecucion de comandos para crear carpetas , archivos , usuarios , grupos , particiones , discos entre otros y asi poder entender el funcionamiento interno de un sistema de archivos </t>
  </si>
  <si>
    <t>2. Segundo Proyecto</t>
  </si>
  <si>
    <t xml:space="preserve">El estudiante Analiza distintas soluciones de almacenamiento en entornos híbridos omparando sus características operativas y criterios de implementación , para elegir opciones que garanticen eficiencia, escalabilidad y disponibilidad de la información.                                                         </t>
  </si>
  <si>
    <t>C++ DISK on Cloud</t>
  </si>
  <si>
    <t>- INTRODUCCION A LA NUBE: AWS
        * EC2
        * S3
- Lenguaje: C++</t>
  </si>
  <si>
    <t>En este proyecto se tiene como objetivo que los estudiantes se familiaricen con la Nube, especialmente AWS, ya que es uno de los proveedores mas populares. Se busca que el estudiante sea capaz de desplegar un frontend en un Bucket S3 y que utilice una EC2 para el backend. El objetivo es lograr una comunicacion entre ambos</t>
  </si>
  <si>
    <t>3. Tercer Proyecto</t>
  </si>
  <si>
    <t>Optativa</t>
  </si>
  <si>
    <t>Practicas</t>
  </si>
  <si>
    <t>La sumatoria de los puntos de los practicas debe no debe super el  20%</t>
  </si>
  <si>
    <t>1. Primera Practica</t>
  </si>
  <si>
    <t>Obligatoria</t>
  </si>
  <si>
    <t xml:space="preserve">Crea ..    </t>
  </si>
  <si>
    <t>C++ Mini Disk</t>
  </si>
  <si>
    <t>Lenguaje c++
Distribucion Linux
Bison</t>
  </si>
  <si>
    <t xml:space="preserve">Para la primera practica tendra como finalidad la creacion de un analizador en consola usando c++ y bison , que nos permitira el analisis de comandos para la creacion de discos , particiones ,usuarios y demas , esta unicamente servira para validar comandos y unicamente podra crear discos </t>
  </si>
  <si>
    <t>2. Segunda Practica</t>
  </si>
  <si>
    <t>3. Tercera Practica</t>
  </si>
  <si>
    <t>4. Cuarta Practica</t>
  </si>
  <si>
    <t>5. Quinta Practica</t>
  </si>
  <si>
    <t>6. Sexta Practica</t>
  </si>
  <si>
    <t>7. Septima Practica</t>
  </si>
  <si>
    <t>La sumatoria de los puntos de los practicas debe no debe super el  10% de la nota</t>
  </si>
  <si>
    <t>Tarea de fortalecimiento académico</t>
  </si>
  <si>
    <t>Obligatoria se debe dejar en la sesion de diagnistico</t>
  </si>
  <si>
    <t>Representacion de los datos</t>
  </si>
  <si>
    <t>google docs/word, herramientas para realizar diagramas y un buscador como google</t>
  </si>
  <si>
    <t>Que conocimientos base y competencias esenciales se deben reforzar que permitan al estudiante afrontar con mayor solidez los contenidos del curso</t>
  </si>
  <si>
    <t>- Estructuras de datos, familiarizacion con comprender conceptos abstractos -------El estudiante deberá elaborar documento en el que explique tres estructuras de datos vistas en cursos previos:
Lista doblemente enlazada
Pila
Cola
Para cada estructura, debe incluir:
- Definición breve
- Características principales
- Uso comun/Indicar en qué situaciones podría utilizarse.
- Dibujar o representar visualmente cómo se organiza la estructura.</t>
  </si>
  <si>
    <t>1. Primera Tarea</t>
  </si>
  <si>
    <t>Instalacion Fisica de una Distribucion Linux</t>
  </si>
  <si>
    <t>Disctribucion Linux a eleccion del estudiante.</t>
  </si>
  <si>
    <t>proceso de instalación fisica de una distribuci[on Linux, configuración básica del sistema operativo y preparación de un entorno de trabajo adecuado para futuros desarrollos</t>
  </si>
  <si>
    <t>2. Segunda Tarea</t>
  </si>
  <si>
    <t>Aplicación para serializar.y deserealizar un archivo binario</t>
  </si>
  <si>
    <t>La tarea se debe desarrollar utilizando el lenguaje de programacion Golang</t>
  </si>
  <si>
    <t>Creación de un aplicación por consola para la creación de archivos binarios, escritura y lectura del mismo a través de estructuras de datos.</t>
  </si>
  <si>
    <t>3. Tercera Tarea</t>
  </si>
  <si>
    <t>Sistema EXT2</t>
  </si>
  <si>
    <t>Para esta tarea unicamente sera necesario el uso de un buscado como google, word/doc y un herramienta de digramacion como excalidraw</t>
  </si>
  <si>
    <t>En esta tarea se tiene como objetivo que el estudiante investigue sobre el sistema de archivos EXT: Nodos, bloque de carpetas, bloque de archivos, bloque de apuntadores, bloque de apuntadores indirectos, bitmap de inodos y bitmap de inodos. Una vez investigado es necesario realizar una diagramacion del proceso para acceder/guardar archivos en una serie de rutas especificas</t>
  </si>
  <si>
    <t>4. Cuarta Tarea</t>
  </si>
  <si>
    <t>Simulación de planes de continuidad del negocio frente a incidentes críticos</t>
  </si>
  <si>
    <t>Procesador de texto o PDF para la elaboración del documento final, navegador web para investigación y consulta de material de apoyo, plataforma UEDI para la entrega, y recursos de apoyo sobre continuidad del negocio, recuperación ante desastres y servicios en la nube como AWS.</t>
  </si>
  <si>
    <t>El estudiante analizará tres escenarios de crisis tecnológica y organizacional: apagones eléctricos en una startup, ataque a una base de datos en una institución financiera e incendio en una empresa de medios. Para cada caso deberá proponer un plan de continuidad del negocio, indicando el tipo de plan sugerido, las acciones inmediatas, las medidas preventivas y de recuperación, y las herramientas o tecnologías a utilizar. Finalmente, redactará una reflexión sobre la importancia de implementar planes de continuidad adecuados en contextos tecnológicos y organizacionales.</t>
  </si>
  <si>
    <t>5. Quinta Tarea</t>
  </si>
  <si>
    <t>Despliegue de una API en Amazon EC2</t>
  </si>
  <si>
    <t>Amazon EC2 y configuracion de Grupos de Seguridad en AWS.</t>
  </si>
  <si>
    <t>Implementacion de una API en entornos de computación en la nube.</t>
  </si>
  <si>
    <t>6. Sexta Tarea</t>
  </si>
  <si>
    <t>7. Septima Tarea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</si>
  <si>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</si>
  <si>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</si>
  <si>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</si>
  <si>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</si>
  <si>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101 - Área Matemática Básica 1</t>
  </si>
  <si>
    <t>5 - Técnicas de Estudio e Investigación</t>
  </si>
  <si>
    <t>Aplica conocimientos tecnológicos con ética profesional y respetando y
 cuidando los recursos naturales, humanos y financieros.</t>
  </si>
  <si>
    <t>39 - Deportes 1</t>
  </si>
  <si>
    <t>Toma decisiones profesionales con base en fundamentos teóricos, datos e
 información pertinente, válida y confiable.</t>
  </si>
  <si>
    <t>6 - Idioma Tecnico 1</t>
  </si>
  <si>
    <t>Demuestra destreza y habilidad en la selección, uso y adaptación de
 herramientas metodológicas, tecnológicas, equipos especializados y en la
 lectura e interpretación de datos, pertinentes al contexto de su ejercicio
 profesional.</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</si>
  <si>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</si>
  <si>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</si>
  <si>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</si>
  <si>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</si>
  <si>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</si>
  <si>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</si>
  <si>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</si>
  <si>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</si>
  <si>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147 - Física Básica</t>
  </si>
  <si>
    <t>Lidera y colabora proactivamente en equipos de trabajo y en comunidades
 profesionales para el logro de objetivos y mejoramiento de la calidad de vida.</t>
  </si>
  <si>
    <t>40 - Deportes 2</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</si>
  <si>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</si>
  <si>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</si>
  <si>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</si>
  <si>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</si>
  <si>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</si>
  <si>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</si>
  <si>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</si>
  <si>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</si>
  <si>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</si>
  <si>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</si>
  <si>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</si>
  <si>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</si>
  <si>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</si>
  <si>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</si>
  <si>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</si>
  <si>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</si>
  <si>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</si>
  <si>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</si>
  <si>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</si>
  <si>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</si>
  <si>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</si>
  <si>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</si>
  <si>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</si>
  <si>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</si>
  <si>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</si>
  <si>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</si>
  <si>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</si>
  <si>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</si>
  <si>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</si>
  <si>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</si>
  <si>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</si>
  <si>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</si>
  <si>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</si>
  <si>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</si>
  <si>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</si>
  <si>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</si>
  <si>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</si>
  <si>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</si>
  <si>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</si>
  <si>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</si>
  <si>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975 - Redes de Computadoras 2</t>
  </si>
  <si>
    <t>775 - Sistemas de Bases de Datos 2</t>
  </si>
  <si>
    <t>283 - Análisis y Diseño de Sistemas 1</t>
  </si>
  <si>
    <t>797 - Seminario de Sistemas 1</t>
  </si>
  <si>
    <t>700 - Ingeniería Económica 1</t>
  </si>
  <si>
    <t>729 - Modelación y Simulación 1</t>
  </si>
  <si>
    <t>786 - Sistemas Organizacionales y Gerenciales 1</t>
  </si>
  <si>
    <t>972 - Inteligencia Artificial 1</t>
  </si>
  <si>
    <t>966 - Seguridad y Auditoría de Redes de Computadoras</t>
  </si>
  <si>
    <t>785 - Análisis y Diseño de Sistemas 2</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</si>
  <si>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</si>
  <si>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</si>
  <si>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</si>
  <si>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</si>
  <si>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</si>
  <si>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</si>
  <si>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</si>
  <si>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</si>
  <si>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</si>
  <si>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</si>
  <si>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</si>
  <si>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</si>
  <si>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7999 - Seminario de Investigación EPS Sistemas</t>
  </si>
  <si>
    <t>799 - Seminario de Investigación</t>
  </si>
  <si>
    <t>90 - Programacion de Computadoras 1</t>
  </si>
  <si>
    <t>92 - Programacion de Computadoras 2</t>
  </si>
  <si>
    <t>667 - Programacion Comercial 1</t>
  </si>
  <si>
    <t>768 - Algoritmos</t>
  </si>
  <si>
    <t>0089 - Comunicación Asertiva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</si>
</sst>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7">
    <font>
      <sz val="10.0"/>
      <color rgb="FF000000"/>
      <name val="Arial"/>
      <scheme val="minor"/>
    </font>
    <font>
      <color theme="1"/>
      <name val="Arial"/>
    </font>
    <font>
      <b/>
      <sz val="12.0"/>
      <color rgb="FFFF6D01"/>
      <name val="Arial"/>
    </font>
    <font>
      <b/>
      <color theme="1"/>
      <name val="Arial"/>
    </font>
    <font>
      <sz val="12.0"/>
      <color rgb="FFB7B7B7"/>
      <name val="Arial"/>
    </font>
    <font>
      <b/>
      <sz val="12.0"/>
      <color theme="1"/>
      <name val="Arial"/>
    </font>
    <font/>
    <font>
      <sz val="12.0"/>
      <color theme="1"/>
      <name val="Arial"/>
    </font>
    <font>
      <b/>
      <sz val="12.0"/>
      <color rgb="FFFBBC04"/>
      <name val="Arial"/>
    </font>
    <font>
      <sz val="12.0"/>
      <color rgb="FF404040"/>
      <name val="Inter"/>
    </font>
    <font>
      <b/>
      <sz val="11.0"/>
      <color theme="1"/>
      <name val="Arial"/>
    </font>
    <font>
      <sz val="11.0"/>
      <color theme="1"/>
      <name val="Arial"/>
    </font>
    <font>
      <u/>
      <color rgb="FF1155CC"/>
      <name val="Arial"/>
    </font>
    <font>
      <color rgb="FFFFFFFF"/>
      <name val="Arial"/>
    </font>
    <font>
      <b/>
      <sz val="12.0"/>
      <color theme="8"/>
      <name val="Arial"/>
    </font>
    <font>
      <color rgb="FFB7B7B7"/>
      <name val="Arial"/>
    </font>
    <font>
      <b/>
      <sz val="13.0"/>
      <color theme="4"/>
      <name val="Arial"/>
    </font>
    <font>
      <b/>
      <sz val="12.0"/>
      <color theme="4"/>
      <name val="Arial"/>
    </font>
    <font>
      <color rgb="FF999999"/>
      <name val="Arial"/>
    </font>
    <font>
      <b/>
      <sz val="13.0"/>
      <color rgb="FF4285F4"/>
      <name val="Arial"/>
    </font>
    <font>
      <b/>
      <sz val="12.0"/>
      <color rgb="FF4285F4"/>
      <name val="Arial"/>
    </font>
    <font>
      <u/>
      <color theme="1"/>
      <name val="Arial"/>
    </font>
    <font>
      <b/>
      <sz val="12.0"/>
      <color rgb="FFFFFFFF"/>
      <name val="Arial"/>
    </font>
    <font>
      <color theme="1"/>
      <name val="Arial"/>
      <scheme val="minor"/>
    </font>
    <font>
      <color rgb="FFCCCCCC"/>
      <name val="Arial"/>
    </font>
    <font>
      <color rgb="FFD9D9D9"/>
      <name val="Arial"/>
    </font>
    <font>
      <color rgb="FF000000"/>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rgb="FF4285F4"/>
        <bgColor rgb="FF4285F4"/>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right style="thin">
        <color rgb="FF000000"/>
      </right>
      <top style="thin">
        <color rgb="FF000000"/>
      </top>
      <bottom style="thin">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000000"/>
      </left>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4" numFmtId="0" xfId="0" applyAlignment="1" applyFont="1">
      <alignment shrinkToFit="0" wrapText="1"/>
    </xf>
    <xf borderId="1" fillId="2" fontId="5" numFmtId="0" xfId="0" applyAlignment="1" applyBorder="1" applyFill="1" applyFont="1">
      <alignment shrinkToFit="0" vertical="bottom" wrapText="1"/>
    </xf>
    <xf borderId="2" fillId="2" fontId="5" numFmtId="0" xfId="0" applyAlignment="1" applyBorder="1" applyFont="1">
      <alignment shrinkToFit="0" vertical="bottom" wrapText="1"/>
    </xf>
    <xf borderId="3" fillId="0" fontId="6" numFmtId="0" xfId="0" applyBorder="1" applyFont="1"/>
    <xf borderId="4" fillId="0" fontId="6" numFmtId="0" xfId="0" applyBorder="1" applyFont="1"/>
    <xf borderId="0" fillId="3" fontId="1" numFmtId="0" xfId="0" applyAlignment="1" applyFill="1" applyFont="1">
      <alignment shrinkToFit="0" vertical="bottom" wrapText="1"/>
    </xf>
    <xf borderId="1" fillId="0" fontId="7" numFmtId="0" xfId="0" applyAlignment="1" applyBorder="1" applyFont="1">
      <alignment shrinkToFit="0" vertical="bottom" wrapText="1"/>
    </xf>
    <xf borderId="1" fillId="0" fontId="1" numFmtId="0" xfId="0" applyAlignment="1" applyBorder="1" applyFont="1">
      <alignment horizontal="right" readingOrder="0" vertical="bottom"/>
    </xf>
    <xf borderId="1" fillId="0" fontId="1" numFmtId="0" xfId="0" applyAlignment="1" applyBorder="1" applyFont="1">
      <alignment vertical="bottom"/>
    </xf>
    <xf borderId="2" fillId="0" fontId="1" numFmtId="0" xfId="0" applyAlignment="1" applyBorder="1" applyFont="1">
      <alignment readingOrder="0" vertical="bottom"/>
    </xf>
    <xf borderId="0" fillId="3" fontId="1" numFmtId="0" xfId="0" applyAlignment="1" applyFont="1">
      <alignment horizontal="right" vertical="bottom"/>
    </xf>
    <xf borderId="1" fillId="0" fontId="7" numFmtId="0" xfId="0" applyAlignment="1" applyBorder="1" applyFont="1">
      <alignment vertical="bottom"/>
    </xf>
    <xf borderId="2" fillId="0" fontId="1" numFmtId="0" xfId="0" applyAlignment="1" applyBorder="1" applyFont="1">
      <alignment vertical="bottom"/>
    </xf>
    <xf borderId="5" fillId="0" fontId="7" numFmtId="0" xfId="0" applyAlignment="1" applyBorder="1" applyFont="1">
      <alignment vertical="bottom"/>
    </xf>
    <xf borderId="5" fillId="0" fontId="1" numFmtId="0" xfId="0" applyAlignment="1" applyBorder="1" applyFont="1">
      <alignment horizontal="right" readingOrder="0" vertical="bottom"/>
    </xf>
    <xf borderId="6" fillId="0" fontId="1" numFmtId="0" xfId="0" applyAlignment="1" applyBorder="1" applyFont="1">
      <alignment vertical="bottom"/>
    </xf>
    <xf borderId="7" fillId="0" fontId="6" numFmtId="0" xfId="0" applyBorder="1" applyFont="1"/>
    <xf borderId="8" fillId="0" fontId="6" numFmtId="0" xfId="0" applyBorder="1" applyFont="1"/>
    <xf borderId="9" fillId="4" fontId="5" numFmtId="0" xfId="0" applyAlignment="1" applyBorder="1" applyFill="1" applyFont="1">
      <alignment shrinkToFit="0" vertical="bottom" wrapText="1"/>
    </xf>
    <xf borderId="9" fillId="4" fontId="1" numFmtId="0" xfId="0" applyAlignment="1" applyBorder="1" applyFont="1">
      <alignment horizontal="right" vertical="bottom"/>
    </xf>
    <xf borderId="10" fillId="5" fontId="5" numFmtId="0" xfId="0" applyAlignment="1" applyBorder="1" applyFill="1" applyFont="1">
      <alignment shrinkToFit="0" vertical="bottom" wrapText="1"/>
    </xf>
    <xf borderId="11" fillId="5" fontId="1" numFmtId="0" xfId="0" applyAlignment="1" applyBorder="1" applyFont="1">
      <alignment shrinkToFit="0" vertical="bottom" wrapText="1"/>
    </xf>
    <xf borderId="12" fillId="0" fontId="6" numFmtId="0" xfId="0" applyBorder="1" applyFont="1"/>
    <xf borderId="13" fillId="0" fontId="6" numFmtId="0" xfId="0" applyBorder="1" applyFont="1"/>
    <xf borderId="0" fillId="0" fontId="1" numFmtId="0" xfId="0" applyAlignment="1" applyFont="1">
      <alignment vertical="bottom"/>
    </xf>
    <xf borderId="0" fillId="0" fontId="8" numFmtId="0" xfId="0" applyAlignment="1" applyFont="1">
      <alignment horizontal="center" vertical="bottom"/>
    </xf>
    <xf borderId="14" fillId="6" fontId="9" numFmtId="0" xfId="0" applyAlignment="1" applyBorder="1" applyFill="1" applyFont="1">
      <alignment horizontal="center" shrinkToFit="0" vertical="bottom" wrapText="1"/>
    </xf>
    <xf borderId="15" fillId="0" fontId="6" numFmtId="0" xfId="0" applyBorder="1" applyFont="1"/>
    <xf borderId="16" fillId="0" fontId="6" numFmtId="0" xfId="0" applyBorder="1" applyFont="1"/>
    <xf borderId="9" fillId="7" fontId="9" numFmtId="0" xfId="0" applyAlignment="1" applyBorder="1" applyFill="1" applyFont="1">
      <alignment horizontal="center" shrinkToFit="0" vertical="bottom" wrapText="1"/>
    </xf>
    <xf borderId="14" fillId="0" fontId="1" numFmtId="0" xfId="0" applyAlignment="1" applyBorder="1" applyFont="1">
      <alignment readingOrder="0" vertical="bottom"/>
    </xf>
    <xf borderId="0" fillId="7" fontId="1" numFmtId="0" xfId="0" applyAlignment="1" applyFont="1">
      <alignment vertical="bottom"/>
    </xf>
    <xf borderId="9" fillId="7" fontId="9" numFmtId="0" xfId="0" applyAlignment="1" applyBorder="1" applyFont="1">
      <alignment horizontal="center" vertical="bottom"/>
    </xf>
    <xf borderId="9" fillId="0" fontId="7" numFmtId="0" xfId="0" applyAlignment="1" applyBorder="1" applyFont="1">
      <alignment horizontal="center" vertical="bottom"/>
    </xf>
    <xf borderId="9" fillId="8" fontId="10" numFmtId="0" xfId="0" applyAlignment="1" applyBorder="1" applyFill="1" applyFont="1">
      <alignment horizontal="center" vertical="bottom"/>
    </xf>
    <xf borderId="14" fillId="8" fontId="10" numFmtId="0" xfId="0" applyAlignment="1" applyBorder="1" applyFont="1">
      <alignment horizontal="center" vertical="bottom"/>
    </xf>
    <xf borderId="9" fillId="8" fontId="10" numFmtId="0" xfId="0" applyAlignment="1" applyBorder="1" applyFont="1">
      <alignment horizontal="center" shrinkToFit="0" vertical="bottom" wrapText="1"/>
    </xf>
    <xf borderId="14" fillId="8" fontId="10" numFmtId="0" xfId="0" applyAlignment="1" applyBorder="1" applyFont="1">
      <alignment horizontal="center" shrinkToFit="0" vertical="bottom" wrapText="1"/>
    </xf>
    <xf borderId="9" fillId="0" fontId="1" numFmtId="0" xfId="0" applyAlignment="1" applyBorder="1" applyFont="1">
      <alignment horizontal="right" vertical="bottom"/>
    </xf>
    <xf borderId="9" fillId="0" fontId="10" numFmtId="0" xfId="0" applyAlignment="1" applyBorder="1" applyFont="1">
      <alignment readingOrder="0" vertical="bottom"/>
    </xf>
    <xf borderId="9" fillId="9" fontId="1" numFmtId="0" xfId="0" applyAlignment="1" applyBorder="1" applyFill="1" applyFont="1">
      <alignment readingOrder="0" vertical="bottom"/>
    </xf>
    <xf borderId="14" fillId="10" fontId="1" numFmtId="0" xfId="0" applyAlignment="1" applyBorder="1" applyFill="1" applyFont="1">
      <alignment vertical="bottom"/>
    </xf>
    <xf borderId="9" fillId="11" fontId="1" numFmtId="0" xfId="0" applyAlignment="1" applyBorder="1" applyFill="1" applyFont="1">
      <alignment vertical="bottom"/>
    </xf>
    <xf borderId="14" fillId="12" fontId="1" numFmtId="0" xfId="0" applyAlignment="1" applyBorder="1" applyFill="1" applyFont="1">
      <alignment vertical="bottom"/>
    </xf>
    <xf borderId="9" fillId="13" fontId="1" numFmtId="0" xfId="0" applyAlignment="1" applyBorder="1" applyFill="1" applyFont="1">
      <alignment readingOrder="0" vertical="bottom"/>
    </xf>
    <xf borderId="9" fillId="7" fontId="1" numFmtId="0" xfId="0" applyAlignment="1" applyBorder="1" applyFont="1">
      <alignment vertical="bottom"/>
    </xf>
    <xf borderId="14" fillId="14" fontId="11" numFmtId="0" xfId="0" applyAlignment="1" applyBorder="1" applyFill="1" applyFont="1">
      <alignment horizontal="center" shrinkToFit="0" vertical="bottom" wrapText="1"/>
    </xf>
    <xf borderId="9" fillId="0" fontId="10" numFmtId="0" xfId="0" applyAlignment="1" applyBorder="1" applyFont="1">
      <alignment vertical="bottom"/>
    </xf>
    <xf borderId="9" fillId="9" fontId="1" numFmtId="0" xfId="0" applyAlignment="1" applyBorder="1" applyFont="1">
      <alignment vertical="bottom"/>
    </xf>
    <xf borderId="14" fillId="10" fontId="1" numFmtId="0" xfId="0" applyAlignment="1" applyBorder="1" applyFont="1">
      <alignment vertical="bottom"/>
    </xf>
    <xf borderId="9" fillId="11" fontId="1" numFmtId="0" xfId="0" applyAlignment="1" applyBorder="1" applyFont="1">
      <alignment vertical="bottom"/>
    </xf>
    <xf borderId="14" fillId="12" fontId="1" numFmtId="0" xfId="0" applyAlignment="1" applyBorder="1" applyFont="1">
      <alignment vertical="bottom"/>
    </xf>
    <xf borderId="9" fillId="13" fontId="1" numFmtId="0" xfId="0" applyAlignment="1" applyBorder="1" applyFont="1">
      <alignment vertical="bottom"/>
    </xf>
    <xf borderId="9" fillId="9" fontId="1" numFmtId="0" xfId="0" applyAlignment="1" applyBorder="1" applyFont="1">
      <alignment vertical="bottom"/>
    </xf>
    <xf borderId="9" fillId="13" fontId="1" numFmtId="0" xfId="0" applyAlignment="1" applyBorder="1" applyFont="1">
      <alignment vertical="bottom"/>
    </xf>
    <xf borderId="0" fillId="0" fontId="12" numFmtId="0" xfId="0" applyAlignment="1" applyFont="1">
      <alignment vertical="bottom"/>
    </xf>
    <xf borderId="9" fillId="7" fontId="1" numFmtId="0" xfId="0" applyAlignment="1" applyBorder="1" applyFont="1">
      <alignment readingOrder="0" vertical="bottom"/>
    </xf>
    <xf borderId="14" fillId="3" fontId="1" numFmtId="0" xfId="0" applyAlignment="1" applyBorder="1" applyFont="1">
      <alignment vertical="bottom"/>
    </xf>
    <xf borderId="17" fillId="0" fontId="1" numFmtId="0" xfId="0" applyAlignment="1" applyBorder="1" applyFont="1">
      <alignment vertical="bottom"/>
    </xf>
    <xf borderId="18" fillId="0" fontId="6" numFmtId="0" xfId="0" applyBorder="1" applyFont="1"/>
    <xf borderId="19" fillId="0" fontId="6" numFmtId="0" xfId="0" applyBorder="1" applyFont="1"/>
    <xf borderId="20" fillId="0" fontId="6" numFmtId="0" xfId="0" applyBorder="1" applyFont="1"/>
    <xf borderId="21" fillId="0" fontId="6" numFmtId="0" xfId="0" applyBorder="1" applyFont="1"/>
    <xf borderId="22" fillId="0" fontId="6" numFmtId="0" xfId="0" applyBorder="1" applyFont="1"/>
    <xf borderId="0" fillId="0" fontId="1" numFmtId="0" xfId="0" applyAlignment="1" applyFont="1">
      <alignment readingOrder="0" vertical="bottom"/>
    </xf>
    <xf borderId="0" fillId="0" fontId="13" numFmtId="0" xfId="0" applyFont="1"/>
    <xf borderId="0" fillId="0" fontId="14" numFmtId="0" xfId="0" applyFont="1"/>
    <xf borderId="0" fillId="0" fontId="15" numFmtId="0" xfId="0" applyFont="1"/>
    <xf borderId="0" fillId="0" fontId="10" numFmtId="0" xfId="0" applyAlignment="1" applyFont="1">
      <alignment vertical="bottom"/>
    </xf>
    <xf borderId="9" fillId="0" fontId="10" numFmtId="0" xfId="0" applyAlignment="1" applyBorder="1" applyFont="1">
      <alignment shrinkToFit="0" vertical="bottom" wrapText="1"/>
    </xf>
    <xf borderId="0" fillId="0" fontId="1" numFmtId="0" xfId="0" applyAlignment="1" applyFont="1">
      <alignment horizontal="right" shrinkToFit="0" wrapText="1"/>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horizontal="right" readingOrder="0" shrinkToFit="0" wrapText="1"/>
    </xf>
    <xf borderId="9" fillId="0" fontId="3" numFmtId="0" xfId="0" applyBorder="1" applyFont="1"/>
    <xf borderId="14" fillId="0" fontId="1" numFmtId="0" xfId="0" applyBorder="1" applyFont="1"/>
    <xf borderId="9" fillId="0" fontId="1" numFmtId="0" xfId="0" applyBorder="1" applyFont="1"/>
    <xf borderId="0" fillId="0" fontId="1" numFmtId="0" xfId="0" applyAlignment="1" applyFont="1">
      <alignment horizontal="center" shrinkToFit="0" vertical="center" wrapText="1"/>
    </xf>
    <xf borderId="0" fillId="0" fontId="16" numFmtId="0" xfId="0" applyFont="1"/>
    <xf borderId="0" fillId="0" fontId="17" numFmtId="0" xfId="0" applyAlignment="1" applyFont="1">
      <alignment shrinkToFit="0" wrapText="1"/>
    </xf>
    <xf borderId="0" fillId="15" fontId="13" numFmtId="0" xfId="0" applyAlignment="1" applyFill="1" applyFont="1">
      <alignment readingOrder="0"/>
    </xf>
    <xf borderId="0" fillId="0" fontId="18" numFmtId="0" xfId="0" applyFont="1"/>
    <xf borderId="9" fillId="4" fontId="1" numFmtId="0" xfId="0" applyAlignment="1" applyBorder="1" applyFont="1">
      <alignment shrinkToFit="0" vertical="bottom" wrapText="1"/>
    </xf>
    <xf borderId="9" fillId="4" fontId="1" numFmtId="0" xfId="0" applyAlignment="1" applyBorder="1" applyFont="1">
      <alignment shrinkToFit="0" wrapText="1"/>
    </xf>
    <xf borderId="14" fillId="0" fontId="1" numFmtId="0" xfId="0" applyAlignment="1" applyBorder="1" applyFont="1">
      <alignment readingOrder="0"/>
    </xf>
    <xf borderId="9" fillId="4" fontId="1" numFmtId="0" xfId="0" applyBorder="1" applyFont="1"/>
    <xf borderId="0" fillId="0" fontId="19" numFmtId="0" xfId="0" applyFont="1"/>
    <xf borderId="0" fillId="0" fontId="18" numFmtId="0" xfId="0" applyAlignment="1" applyFont="1">
      <alignment readingOrder="0"/>
    </xf>
    <xf borderId="0" fillId="0" fontId="20" numFmtId="0" xfId="0" applyAlignment="1" applyFont="1">
      <alignment shrinkToFit="0" wrapText="1"/>
    </xf>
    <xf borderId="0" fillId="15" fontId="13" numFmtId="0" xfId="0" applyFont="1"/>
    <xf borderId="14" fillId="0" fontId="21" numFmtId="0" xfId="0" applyAlignment="1" applyBorder="1" applyFont="1">
      <alignment readingOrder="0" vertical="bottom"/>
    </xf>
    <xf borderId="14" fillId="14" fontId="1" numFmtId="0" xfId="0" applyAlignment="1" applyBorder="1" applyFont="1">
      <alignment horizontal="center"/>
    </xf>
    <xf borderId="9" fillId="0" fontId="1" numFmtId="0" xfId="0" applyAlignment="1" applyBorder="1" applyFont="1">
      <alignment shrinkToFit="0" wrapText="1"/>
    </xf>
    <xf borderId="14" fillId="0" fontId="1" numFmtId="0" xfId="0" applyAlignment="1" applyBorder="1" applyFont="1">
      <alignment horizontal="center"/>
    </xf>
    <xf borderId="0" fillId="0" fontId="20" numFmtId="0" xfId="0" applyFont="1"/>
    <xf borderId="0" fillId="16" fontId="22" numFmtId="0" xfId="0" applyFill="1" applyFont="1"/>
    <xf borderId="14" fillId="0" fontId="23" numFmtId="0" xfId="0" applyAlignment="1" applyBorder="1" applyFont="1">
      <alignment readingOrder="0"/>
    </xf>
    <xf borderId="14" fillId="4" fontId="1" numFmtId="0" xfId="0" applyBorder="1" applyFont="1"/>
    <xf borderId="0" fillId="0" fontId="23" numFmtId="0" xfId="0" applyAlignment="1" applyFont="1">
      <alignment readingOrder="0"/>
    </xf>
    <xf borderId="23" fillId="0" fontId="6" numFmtId="0" xfId="0" applyBorder="1" applyFont="1"/>
    <xf borderId="0" fillId="0" fontId="17" numFmtId="0" xfId="0" applyFont="1"/>
    <xf borderId="9" fillId="17" fontId="1" numFmtId="0" xfId="0" applyBorder="1" applyFill="1" applyFont="1"/>
    <xf borderId="14" fillId="17" fontId="1" numFmtId="0" xfId="0" applyBorder="1" applyFont="1"/>
    <xf borderId="9" fillId="0" fontId="23" numFmtId="0" xfId="0" applyAlignment="1" applyBorder="1" applyFont="1">
      <alignment readingOrder="0"/>
    </xf>
    <xf borderId="9" fillId="0" fontId="23" numFmtId="0" xfId="0" applyBorder="1" applyFont="1"/>
    <xf borderId="14" fillId="0" fontId="23" numFmtId="0" xfId="0" applyBorder="1" applyFont="1"/>
    <xf borderId="9" fillId="18" fontId="1" numFmtId="0" xfId="0" applyAlignment="1" applyBorder="1" applyFill="1" applyFont="1">
      <alignment shrinkToFit="0" wrapText="1"/>
    </xf>
    <xf borderId="14" fillId="18" fontId="1" numFmtId="0" xfId="0" applyBorder="1" applyFont="1"/>
    <xf borderId="9" fillId="5" fontId="1" numFmtId="0" xfId="0" applyBorder="1" applyFont="1"/>
    <xf borderId="14" fillId="0" fontId="24" numFmtId="0" xfId="0" applyAlignment="1" applyBorder="1" applyFont="1">
      <alignment readingOrder="0"/>
    </xf>
    <xf borderId="0" fillId="0" fontId="24" numFmtId="0" xfId="0" applyFont="1"/>
    <xf borderId="24" fillId="0" fontId="6" numFmtId="0" xfId="0" applyBorder="1" applyFont="1"/>
    <xf borderId="14" fillId="0" fontId="24" numFmtId="0" xfId="0" applyBorder="1" applyFont="1"/>
    <xf borderId="0" fillId="0" fontId="25" numFmtId="0" xfId="0" applyFont="1"/>
    <xf borderId="17" fillId="0" fontId="1" numFmtId="0" xfId="0" applyBorder="1" applyFont="1"/>
    <xf borderId="9" fillId="0" fontId="3" numFmtId="0" xfId="0" applyAlignment="1" applyBorder="1" applyFont="1">
      <alignment readingOrder="0"/>
    </xf>
    <xf borderId="0" fillId="0" fontId="26" numFmtId="0" xfId="0" applyAlignment="1" applyFont="1">
      <alignment horizontal="left" readingOrder="0" shrinkToFit="0" wrapText="1"/>
    </xf>
    <xf borderId="0" fillId="16" fontId="22" numFmtId="0" xfId="0" applyAlignment="1" applyFont="1">
      <alignment readingOrder="0"/>
    </xf>
    <xf borderId="9" fillId="0" fontId="1" numFmtId="0" xfId="0" applyAlignment="1" applyBorder="1" applyFont="1">
      <alignment readingOrder="0"/>
    </xf>
    <xf borderId="17" fillId="0" fontId="1" numFmtId="0" xfId="0" applyAlignment="1" applyBorder="1" applyFont="1">
      <alignment readingOrder="0"/>
    </xf>
    <xf borderId="14" fillId="0" fontId="24" numFmtId="164" xfId="0" applyAlignment="1" applyBorder="1" applyFont="1" applyNumberFormat="1">
      <alignment readingOrder="0"/>
    </xf>
    <xf borderId="17" fillId="0" fontId="1" numFmtId="0" xfId="0" applyAlignment="1" applyBorder="1" applyFont="1">
      <alignment readingOrder="0" shrinkToFit="0" wrapText="1"/>
    </xf>
    <xf borderId="14" fillId="0" fontId="1" numFmtId="0" xfId="0" applyAlignment="1" applyBorder="1" applyFont="1">
      <alignment readingOrder="0" shrinkToFit="0" wrapText="1"/>
    </xf>
    <xf borderId="0" fillId="0" fontId="26" numFmtId="0" xfId="0" applyAlignment="1" applyFont="1">
      <alignment readingOrder="0"/>
    </xf>
    <xf borderId="15" fillId="0" fontId="1" numFmtId="0" xfId="0" applyBorder="1" applyFont="1"/>
    <xf borderId="16" fillId="0" fontId="1" numFmtId="0" xfId="0" applyBorder="1" applyFont="1"/>
    <xf borderId="14" fillId="0" fontId="1" numFmtId="0" xfId="0" applyAlignment="1" applyBorder="1" applyFont="1">
      <alignment vertical="bottom"/>
    </xf>
    <xf borderId="21" fillId="0" fontId="23" numFmtId="0" xfId="0" applyAlignment="1" applyBorder="1" applyFont="1">
      <alignment readingOrder="0"/>
    </xf>
    <xf borderId="0" fillId="0" fontId="2" numFmtId="0" xfId="0" applyAlignment="1" applyFont="1">
      <alignment horizontal="center"/>
    </xf>
    <xf borderId="17" fillId="0" fontId="1" numFmtId="0" xfId="0" applyAlignment="1" applyBorder="1" applyFont="1">
      <alignment readingOrder="0" vertical="top"/>
    </xf>
    <xf borderId="17" fillId="0" fontId="1" numFmtId="0" xfId="0" applyAlignment="1" applyBorder="1" applyFont="1">
      <alignment readingOrder="0" shrinkToFit="0" vertical="top" wrapText="1"/>
    </xf>
    <xf borderId="14" fillId="14" fontId="11" numFmtId="0" xfId="0" applyAlignment="1" applyBorder="1" applyFont="1">
      <alignment horizontal="center" readingOrder="0" shrinkToFit="0" vertical="bottom" wrapText="1"/>
    </xf>
    <xf borderId="17" fillId="0" fontId="1" numFmtId="0" xfId="0" applyAlignment="1" applyBorder="1" applyFont="1">
      <alignment horizontal="left" readingOrder="0" shrinkToFit="0" vertical="top" wrapText="1"/>
    </xf>
    <xf borderId="17" fillId="0" fontId="26" numFmtId="0" xfId="0" applyAlignment="1" applyBorder="1" applyFont="1">
      <alignment readingOrder="0"/>
    </xf>
    <xf borderId="0" fillId="0" fontId="22" numFmtId="0" xfId="0" applyFont="1"/>
    <xf borderId="17" fillId="0" fontId="1" numFmtId="0" xfId="0" applyAlignment="1" applyBorder="1" applyFont="1">
      <alignment readingOrder="0" shrinkToFit="0" vertical="center" wrapText="1"/>
    </xf>
    <xf borderId="14" fillId="0" fontId="1" numFmtId="0" xfId="0" applyAlignment="1" applyBorder="1" applyFont="1">
      <alignment vertical="bottom"/>
    </xf>
    <xf borderId="17" fillId="0" fontId="1" numFmtId="0" xfId="0" applyAlignment="1" applyBorder="1" applyFont="1">
      <alignment vertical="top"/>
    </xf>
    <xf borderId="17" fillId="0" fontId="1" numFmtId="0" xfId="0" applyAlignment="1" applyBorder="1" applyFont="1">
      <alignment readingOrder="0"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customschemas.google.com/relationships/workbookmetadata" Target="metadata"/><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800100</xdr:colOff>
      <xdr:row>9</xdr:row>
      <xdr:rowOff>95250</xdr:rowOff>
    </xdr:from>
    <xdr:ext cx="7162800" cy="34480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n5es0M20vXxa7i4eLN7pbgTXc2C1dmCQ/view?usp=sharing" TargetMode="External"/><Relationship Id="rId2" Type="http://schemas.openxmlformats.org/officeDocument/2006/relationships/hyperlink" Target="https://youtu.be/C8Q9dKo4t-w?si=yErgF_ihe1tsaHM0"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L6tMuBQuvq7N3WDZ9"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4" t="s">
        <v>2</v>
      </c>
    </row>
    <row r="5">
      <c r="A5" s="1"/>
      <c r="B5" s="5" t="s">
        <v>3</v>
      </c>
      <c r="C5" s="6" t="s">
        <v>4</v>
      </c>
    </row>
    <row r="6">
      <c r="A6" s="1"/>
      <c r="B6" s="5" t="s">
        <v>5</v>
      </c>
    </row>
    <row r="7" ht="15.75" customHeight="1">
      <c r="A7" s="1"/>
    </row>
    <row r="8" ht="15.75" customHeight="1">
      <c r="A8" s="7" t="s">
        <v>6</v>
      </c>
    </row>
    <row r="9" ht="15.75" customHeight="1">
      <c r="A9" s="7" t="s">
        <v>7</v>
      </c>
    </row>
    <row r="10">
      <c r="A10" s="8" t="s">
        <v>8</v>
      </c>
      <c r="B10" s="8" t="s">
        <v>9</v>
      </c>
      <c r="C10" s="8" t="s">
        <v>10</v>
      </c>
      <c r="D10" s="9" t="s">
        <v>11</v>
      </c>
      <c r="E10" s="10"/>
      <c r="F10" s="11"/>
      <c r="G10" s="12" t="s">
        <v>12</v>
      </c>
    </row>
    <row r="11">
      <c r="A11" s="13" t="s">
        <v>13</v>
      </c>
      <c r="B11" s="14">
        <v>10.0</v>
      </c>
      <c r="C11" s="15">
        <f>S.2!C6+S.3!C6+S.4!C6+S.5!C6+S.6!C6+S.7!C6+S.8!C6+S.9!C6+S.10!C6+S.11!C6</f>
        <v>1002</v>
      </c>
      <c r="D11" s="16"/>
      <c r="E11" s="10"/>
      <c r="F11" s="11"/>
      <c r="G11" s="17">
        <v>10.0</v>
      </c>
    </row>
    <row r="12" ht="15.75" customHeight="1">
      <c r="A12" s="18" t="s">
        <v>14</v>
      </c>
      <c r="B12" s="14">
        <v>60.0</v>
      </c>
      <c r="C12" s="15">
        <f>Proyectos!C5</f>
        <v>316</v>
      </c>
      <c r="D12" s="19"/>
      <c r="E12" s="10"/>
      <c r="F12" s="11"/>
      <c r="G12" s="17">
        <v>60.0</v>
      </c>
    </row>
    <row r="13" ht="15.75" customHeight="1">
      <c r="A13" s="18" t="s">
        <v>15</v>
      </c>
      <c r="B13" s="14">
        <v>20.0</v>
      </c>
      <c r="C13" s="15">
        <f>Practicas!C5</f>
        <v>56</v>
      </c>
      <c r="D13" s="16"/>
      <c r="E13" s="10"/>
      <c r="F13" s="11"/>
      <c r="G13" s="17">
        <v>20.0</v>
      </c>
    </row>
    <row r="14" ht="15.75" customHeight="1">
      <c r="A14" s="20" t="s">
        <v>16</v>
      </c>
      <c r="B14" s="21">
        <v>10.0</v>
      </c>
      <c r="C14" s="15">
        <f>Tareas!C5</f>
        <v>35</v>
      </c>
      <c r="D14" s="22"/>
      <c r="E14" s="23"/>
      <c r="F14" s="24"/>
      <c r="G14" s="17">
        <v>10.0</v>
      </c>
    </row>
    <row r="15" ht="15.75" customHeight="1">
      <c r="A15" s="25" t="s">
        <v>17</v>
      </c>
      <c r="B15" s="26">
        <f t="shared" ref="B15:C15" si="1">SUM(B11:B14)</f>
        <v>100</v>
      </c>
      <c r="C15" s="26">
        <f t="shared" si="1"/>
        <v>1409</v>
      </c>
      <c r="D15" s="27" t="s">
        <v>18</v>
      </c>
      <c r="E15" s="28"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Distribución válida")</f>
        <v>✅ Distribución válida</v>
      </c>
      <c r="F15" s="29"/>
      <c r="G15" s="30"/>
    </row>
    <row r="16" ht="15.75" customHeight="1">
      <c r="A16" s="1"/>
    </row>
    <row r="17" ht="15.75" customHeight="1">
      <c r="A17" s="1"/>
    </row>
    <row r="18" ht="15.75" customHeight="1">
      <c r="A18" s="1"/>
    </row>
    <row r="19" ht="15.75" customHeight="1">
      <c r="A19" s="1"/>
    </row>
    <row r="20" ht="15.75" customHeight="1">
      <c r="A20" s="1"/>
    </row>
    <row r="21" ht="15.75" customHeight="1">
      <c r="A21" s="1"/>
    </row>
    <row r="22" ht="15.75" customHeight="1">
      <c r="A22" s="1"/>
    </row>
    <row r="23" ht="15.75" customHeight="1">
      <c r="A23" s="1"/>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31"/>
      <c r="B1" s="32" t="s">
        <v>19</v>
      </c>
      <c r="Q1" s="31"/>
      <c r="R1" s="31"/>
      <c r="S1" s="31"/>
      <c r="T1" s="31"/>
      <c r="U1" s="31"/>
      <c r="V1" s="31"/>
      <c r="W1" s="31"/>
      <c r="X1" s="31"/>
      <c r="Y1" s="31"/>
      <c r="Z1" s="31"/>
    </row>
    <row r="2">
      <c r="A2" s="31"/>
      <c r="B2" s="3" t="s">
        <v>1</v>
      </c>
      <c r="C2" s="4" t="s">
        <v>2</v>
      </c>
      <c r="I2" s="31"/>
      <c r="J2" s="31"/>
      <c r="K2" s="31"/>
      <c r="L2" s="31"/>
      <c r="M2" s="31"/>
      <c r="N2" s="31"/>
      <c r="O2" s="31"/>
      <c r="P2" s="31"/>
      <c r="Q2" s="31"/>
      <c r="R2" s="31"/>
      <c r="S2" s="31"/>
      <c r="T2" s="31"/>
      <c r="U2" s="31"/>
      <c r="V2" s="31"/>
      <c r="W2" s="31"/>
      <c r="X2" s="31"/>
      <c r="Y2" s="31"/>
      <c r="Z2" s="31"/>
    </row>
    <row r="3">
      <c r="A3" s="31"/>
      <c r="B3" s="3" t="s">
        <v>3</v>
      </c>
      <c r="C3" s="6" t="s">
        <v>4</v>
      </c>
      <c r="I3" s="31"/>
      <c r="J3" s="31"/>
      <c r="K3" s="31"/>
      <c r="L3" s="31"/>
      <c r="M3" s="31"/>
      <c r="N3" s="31"/>
      <c r="O3" s="31"/>
      <c r="P3" s="31"/>
      <c r="Q3" s="31"/>
      <c r="R3" s="31"/>
      <c r="S3" s="31"/>
      <c r="T3" s="31"/>
      <c r="U3" s="31"/>
      <c r="V3" s="31"/>
      <c r="W3" s="31"/>
      <c r="X3" s="31"/>
      <c r="Y3" s="31"/>
      <c r="Z3" s="31"/>
    </row>
    <row r="4">
      <c r="A4" s="31"/>
      <c r="B4" s="31"/>
      <c r="C4" s="31"/>
      <c r="D4" s="31"/>
      <c r="E4" s="31"/>
      <c r="F4" s="31"/>
      <c r="G4" s="31"/>
      <c r="H4" s="31"/>
      <c r="I4" s="31"/>
      <c r="J4" s="31"/>
      <c r="K4" s="31"/>
      <c r="L4" s="31"/>
      <c r="M4" s="31"/>
      <c r="N4" s="31"/>
      <c r="O4" s="31"/>
      <c r="P4" s="31"/>
      <c r="Q4" s="31"/>
      <c r="R4" s="31"/>
      <c r="S4" s="31"/>
      <c r="T4" s="31"/>
      <c r="U4" s="31"/>
      <c r="V4" s="31"/>
      <c r="W4" s="31"/>
      <c r="X4" s="31"/>
      <c r="Y4" s="31"/>
      <c r="Z4" s="31"/>
    </row>
    <row r="5">
      <c r="A5" s="31"/>
      <c r="B5" s="33" t="s">
        <v>20</v>
      </c>
      <c r="C5" s="34"/>
      <c r="D5" s="34"/>
      <c r="E5" s="34"/>
      <c r="F5" s="34"/>
      <c r="G5" s="35"/>
      <c r="H5" s="31"/>
      <c r="I5" s="33" t="s">
        <v>21</v>
      </c>
      <c r="J5" s="34"/>
      <c r="K5" s="34"/>
      <c r="L5" s="34"/>
      <c r="M5" s="34"/>
      <c r="N5" s="34"/>
      <c r="O5" s="34"/>
      <c r="P5" s="35"/>
      <c r="Q5" s="31"/>
      <c r="R5" s="31"/>
      <c r="S5" s="31"/>
      <c r="T5" s="31"/>
      <c r="U5" s="31"/>
      <c r="V5" s="31"/>
      <c r="W5" s="31"/>
      <c r="X5" s="31"/>
      <c r="Y5" s="31"/>
      <c r="Z5" s="31"/>
    </row>
    <row r="6">
      <c r="A6" s="31"/>
      <c r="B6" s="36">
        <v>1.0</v>
      </c>
      <c r="C6" s="37" t="s">
        <v>22</v>
      </c>
      <c r="D6" s="34"/>
      <c r="E6" s="34"/>
      <c r="F6" s="34"/>
      <c r="G6" s="35"/>
      <c r="H6" s="38"/>
      <c r="I6" s="36">
        <v>1.0</v>
      </c>
      <c r="J6" s="37" t="s">
        <v>23</v>
      </c>
      <c r="K6" s="34"/>
      <c r="L6" s="34"/>
      <c r="M6" s="34"/>
      <c r="N6" s="34"/>
      <c r="O6" s="34"/>
      <c r="P6" s="35"/>
      <c r="Q6" s="31"/>
      <c r="R6" s="31"/>
      <c r="S6" s="31"/>
      <c r="T6" s="31"/>
      <c r="U6" s="31"/>
      <c r="V6" s="31"/>
      <c r="W6" s="31"/>
      <c r="X6" s="31"/>
      <c r="Y6" s="31"/>
      <c r="Z6" s="31"/>
    </row>
    <row r="7">
      <c r="A7" s="31"/>
      <c r="B7" s="39">
        <v>2.0</v>
      </c>
      <c r="C7" s="37" t="s">
        <v>24</v>
      </c>
      <c r="D7" s="34"/>
      <c r="E7" s="34"/>
      <c r="F7" s="34"/>
      <c r="G7" s="35"/>
      <c r="H7" s="31"/>
      <c r="I7" s="40">
        <v>2.0</v>
      </c>
      <c r="J7" s="37" t="s">
        <v>25</v>
      </c>
      <c r="K7" s="34"/>
      <c r="L7" s="34"/>
      <c r="M7" s="34"/>
      <c r="N7" s="34"/>
      <c r="O7" s="34"/>
      <c r="P7" s="35"/>
      <c r="Q7" s="31"/>
      <c r="R7" s="31"/>
      <c r="S7" s="31"/>
      <c r="T7" s="31"/>
      <c r="U7" s="31"/>
      <c r="V7" s="31"/>
      <c r="W7" s="31"/>
      <c r="X7" s="31"/>
      <c r="Y7" s="31"/>
      <c r="Z7" s="31"/>
    </row>
    <row r="8">
      <c r="A8" s="31"/>
      <c r="B8" s="39">
        <v>3.0</v>
      </c>
      <c r="C8" s="37" t="s">
        <v>26</v>
      </c>
      <c r="D8" s="34"/>
      <c r="E8" s="34"/>
      <c r="F8" s="34"/>
      <c r="G8" s="35"/>
      <c r="H8" s="31"/>
      <c r="I8" s="40">
        <v>3.0</v>
      </c>
      <c r="J8" s="37" t="s">
        <v>27</v>
      </c>
      <c r="K8" s="34"/>
      <c r="L8" s="34"/>
      <c r="M8" s="34"/>
      <c r="N8" s="34"/>
      <c r="O8" s="34"/>
      <c r="P8" s="35"/>
      <c r="Q8" s="31"/>
      <c r="R8" s="31"/>
      <c r="S8" s="31"/>
      <c r="T8" s="31"/>
      <c r="U8" s="31"/>
      <c r="V8" s="31"/>
      <c r="W8" s="31"/>
      <c r="X8" s="31"/>
      <c r="Y8" s="31"/>
      <c r="Z8" s="31"/>
    </row>
    <row r="9">
      <c r="A9" s="31"/>
      <c r="B9" s="31"/>
      <c r="C9" s="31"/>
      <c r="D9" s="31"/>
      <c r="E9" s="31"/>
      <c r="F9" s="31"/>
      <c r="G9" s="31"/>
      <c r="H9" s="31"/>
      <c r="I9" s="31"/>
      <c r="J9" s="31"/>
      <c r="K9" s="31"/>
      <c r="L9" s="31"/>
      <c r="M9" s="31"/>
      <c r="N9" s="31"/>
      <c r="O9" s="31"/>
      <c r="P9" s="31"/>
      <c r="Q9" s="31"/>
      <c r="R9" s="31"/>
      <c r="S9" s="31"/>
      <c r="T9" s="31"/>
      <c r="U9" s="31"/>
      <c r="V9" s="31"/>
      <c r="W9" s="31"/>
      <c r="X9" s="31"/>
      <c r="Y9" s="31"/>
      <c r="Z9" s="31"/>
    </row>
    <row r="10">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row>
    <row r="11">
      <c r="A11" s="31"/>
      <c r="B11" s="41" t="s">
        <v>28</v>
      </c>
      <c r="C11" s="41" t="s">
        <v>29</v>
      </c>
      <c r="D11" s="41" t="s">
        <v>30</v>
      </c>
      <c r="E11" s="42" t="s">
        <v>31</v>
      </c>
      <c r="F11" s="35"/>
      <c r="G11" s="43" t="s">
        <v>32</v>
      </c>
      <c r="H11" s="44" t="s">
        <v>33</v>
      </c>
      <c r="I11" s="35"/>
      <c r="J11" s="41" t="s">
        <v>34</v>
      </c>
      <c r="K11" s="31"/>
      <c r="L11" s="31"/>
      <c r="M11" s="31"/>
      <c r="N11" s="31"/>
      <c r="O11" s="31"/>
      <c r="P11" s="31"/>
      <c r="Q11" s="31"/>
      <c r="R11" s="31"/>
      <c r="S11" s="31"/>
      <c r="T11" s="31"/>
      <c r="U11" s="31"/>
      <c r="V11" s="31"/>
      <c r="W11" s="31"/>
      <c r="X11" s="31"/>
      <c r="Y11" s="31"/>
      <c r="Z11" s="31"/>
    </row>
    <row r="12">
      <c r="A12" s="31"/>
      <c r="B12" s="45">
        <v>1.0</v>
      </c>
      <c r="C12" s="46" t="s">
        <v>35</v>
      </c>
      <c r="D12" s="47" t="s">
        <v>36</v>
      </c>
      <c r="E12" s="48" t="s">
        <v>37</v>
      </c>
      <c r="F12" s="35"/>
      <c r="G12" s="49" t="s">
        <v>38</v>
      </c>
      <c r="H12" s="50" t="s">
        <v>39</v>
      </c>
      <c r="I12" s="35"/>
      <c r="J12" s="51" t="s">
        <v>40</v>
      </c>
      <c r="K12" s="31"/>
      <c r="L12" s="31"/>
      <c r="M12" s="31"/>
      <c r="N12" s="31"/>
      <c r="O12" s="31"/>
      <c r="P12" s="31"/>
      <c r="Q12" s="31"/>
      <c r="R12" s="31"/>
      <c r="S12" s="31"/>
      <c r="T12" s="31"/>
      <c r="U12" s="31"/>
      <c r="V12" s="31"/>
      <c r="W12" s="31"/>
      <c r="X12" s="31"/>
      <c r="Y12" s="31"/>
      <c r="Z12" s="31"/>
    </row>
    <row r="13">
      <c r="A13" s="31"/>
      <c r="B13" s="52"/>
      <c r="C13" s="53" t="str">
        <f>"El estudiante " &amp; D12 &amp; " " &amp; E12 &amp; " " &amp;G12&amp; " " &amp;H12&amp; " "  </f>
        <v>El estudiante comprende el modelo de seguridad integral para almacenamiento de datos mediante la selección y combinación de tecnologías de almacenamiento físico y virtualizado para diseñar infraestructuras eficientes, seguras y escalables </v>
      </c>
      <c r="D13" s="34"/>
      <c r="E13" s="34"/>
      <c r="F13" s="34"/>
      <c r="G13" s="34"/>
      <c r="H13" s="34"/>
      <c r="I13" s="34"/>
      <c r="J13" s="35"/>
      <c r="K13" s="31"/>
      <c r="L13" s="31"/>
      <c r="M13" s="31"/>
      <c r="N13" s="31"/>
      <c r="O13" s="31"/>
      <c r="P13" s="31"/>
      <c r="Q13" s="31"/>
      <c r="R13" s="31"/>
      <c r="S13" s="31"/>
      <c r="T13" s="31"/>
      <c r="U13" s="31"/>
      <c r="V13" s="31"/>
      <c r="W13" s="31"/>
      <c r="X13" s="31"/>
      <c r="Y13" s="31"/>
      <c r="Z13" s="31"/>
    </row>
    <row r="14">
      <c r="A14" s="31"/>
      <c r="B14" s="45">
        <v>2.0</v>
      </c>
      <c r="C14" s="54" t="s">
        <v>41</v>
      </c>
      <c r="D14" s="55" t="s">
        <v>36</v>
      </c>
      <c r="E14" s="56" t="s">
        <v>37</v>
      </c>
      <c r="F14" s="35"/>
      <c r="G14" s="57" t="s">
        <v>42</v>
      </c>
      <c r="H14" s="58" t="s">
        <v>43</v>
      </c>
      <c r="I14" s="35"/>
      <c r="J14" s="59" t="s">
        <v>44</v>
      </c>
      <c r="K14" s="31"/>
      <c r="L14" s="31"/>
      <c r="M14" s="31"/>
      <c r="N14" s="31"/>
      <c r="O14" s="31"/>
      <c r="P14" s="31"/>
      <c r="Q14" s="31"/>
      <c r="R14" s="31"/>
      <c r="S14" s="31"/>
      <c r="T14" s="31"/>
      <c r="U14" s="31"/>
      <c r="V14" s="31"/>
      <c r="W14" s="31"/>
      <c r="X14" s="31"/>
      <c r="Y14" s="31"/>
      <c r="Z14" s="31"/>
    </row>
    <row r="15">
      <c r="A15" s="31"/>
      <c r="B15" s="52"/>
      <c r="C15" s="53" t="str">
        <f>"El estudiante " &amp; D14 &amp; " " &amp; E14 &amp; " " &amp;G14&amp; " " &amp;H14&amp; " "  </f>
        <v>El estudiante comprende el modelo de seguridad integral para almacenamiento de datos mediante el análisis de amenazas, controles de acceso y técnicas de respaldo para garantizar la confidencialidad, integridad y disponibilidad de la información </v>
      </c>
      <c r="D15" s="34"/>
      <c r="E15" s="34"/>
      <c r="F15" s="34"/>
      <c r="G15" s="34"/>
      <c r="H15" s="34"/>
      <c r="I15" s="34"/>
      <c r="J15" s="35"/>
      <c r="K15" s="31"/>
      <c r="L15" s="31"/>
      <c r="M15" s="31"/>
      <c r="N15" s="31"/>
      <c r="O15" s="31"/>
      <c r="P15" s="31"/>
      <c r="Q15" s="31"/>
      <c r="R15" s="31"/>
      <c r="S15" s="31"/>
      <c r="T15" s="31"/>
      <c r="U15" s="31"/>
      <c r="V15" s="31"/>
      <c r="W15" s="31"/>
      <c r="X15" s="31"/>
      <c r="Y15" s="31"/>
      <c r="Z15" s="31"/>
    </row>
    <row r="16">
      <c r="A16" s="31"/>
      <c r="B16" s="45">
        <v>3.0</v>
      </c>
      <c r="C16" s="54" t="s">
        <v>41</v>
      </c>
      <c r="D16" s="55" t="s">
        <v>45</v>
      </c>
      <c r="E16" s="56" t="s">
        <v>46</v>
      </c>
      <c r="F16" s="35"/>
      <c r="G16" s="57" t="s">
        <v>47</v>
      </c>
      <c r="H16" s="58" t="s">
        <v>48</v>
      </c>
      <c r="I16" s="35"/>
      <c r="J16" s="51" t="s">
        <v>49</v>
      </c>
      <c r="K16" s="31"/>
      <c r="L16" s="31"/>
      <c r="M16" s="31"/>
      <c r="N16" s="31"/>
      <c r="O16" s="31"/>
      <c r="P16" s="31"/>
      <c r="Q16" s="31"/>
      <c r="R16" s="31"/>
      <c r="S16" s="31"/>
      <c r="T16" s="31"/>
      <c r="U16" s="31"/>
      <c r="V16" s="31"/>
      <c r="W16" s="31"/>
      <c r="X16" s="31"/>
      <c r="Y16" s="31"/>
      <c r="Z16" s="31"/>
    </row>
    <row r="17">
      <c r="A17" s="31"/>
      <c r="B17" s="52"/>
      <c r="C17" s="53" t="str">
        <f>"El estudiante " &amp; D16 &amp; " " &amp; E16 &amp; " " &amp;G16&amp; " " &amp;H16&amp; " "  </f>
        <v>El estudiante Analiza arquitecturas de virtualización de almacenamiento mediante la comparación de modelos y evaluación de retos operativos para optimizar la administración de recursos en entornos virtualizados </v>
      </c>
      <c r="D17" s="34"/>
      <c r="E17" s="34"/>
      <c r="F17" s="34"/>
      <c r="G17" s="34"/>
      <c r="H17" s="34"/>
      <c r="I17" s="34"/>
      <c r="J17" s="35"/>
      <c r="K17" s="31"/>
      <c r="L17" s="31"/>
      <c r="M17" s="31"/>
      <c r="N17" s="31"/>
      <c r="O17" s="31"/>
      <c r="P17" s="31"/>
      <c r="Q17" s="31"/>
      <c r="R17" s="31"/>
      <c r="S17" s="31"/>
      <c r="T17" s="31"/>
      <c r="U17" s="31"/>
      <c r="V17" s="31"/>
      <c r="W17" s="31"/>
      <c r="X17" s="31"/>
      <c r="Y17" s="31"/>
      <c r="Z17" s="31"/>
    </row>
    <row r="18">
      <c r="A18" s="31"/>
      <c r="B18" s="45">
        <v>4.0</v>
      </c>
      <c r="C18" s="54" t="s">
        <v>41</v>
      </c>
      <c r="D18" s="60" t="s">
        <v>45</v>
      </c>
      <c r="E18" s="48" t="s">
        <v>50</v>
      </c>
      <c r="F18" s="35"/>
      <c r="G18" s="49" t="s">
        <v>51</v>
      </c>
      <c r="H18" s="50" t="s">
        <v>52</v>
      </c>
      <c r="I18" s="35"/>
      <c r="J18" s="51" t="s">
        <v>49</v>
      </c>
      <c r="K18" s="31"/>
      <c r="L18" s="31"/>
      <c r="M18" s="31"/>
      <c r="N18" s="31"/>
      <c r="O18" s="31"/>
      <c r="P18" s="31"/>
      <c r="Q18" s="31"/>
      <c r="R18" s="31"/>
      <c r="S18" s="31"/>
      <c r="T18" s="31"/>
      <c r="U18" s="31"/>
      <c r="V18" s="31"/>
      <c r="W18" s="31"/>
      <c r="X18" s="31"/>
      <c r="Y18" s="31"/>
      <c r="Z18" s="31"/>
    </row>
    <row r="19">
      <c r="A19" s="31"/>
      <c r="B19" s="52"/>
      <c r="C19" s="53" t="str">
        <f>"El estudiante " &amp; D18 &amp; " " &amp; E18 &amp; " " &amp;G18&amp; " " &amp;H18&amp; " "  </f>
        <v>El estudiante Analiza soluciones de almacenamiento en entornos híbridos mediante la comparación de sus características operativas y criterios de implementación para seleccionar alternativas que respondan a necesidades de eficiencia, escalabilidad y disponibilidad </v>
      </c>
      <c r="D19" s="34"/>
      <c r="E19" s="34"/>
      <c r="F19" s="34"/>
      <c r="G19" s="34"/>
      <c r="H19" s="34"/>
      <c r="I19" s="34"/>
      <c r="J19" s="35"/>
      <c r="K19" s="31"/>
      <c r="L19" s="31"/>
      <c r="M19" s="31"/>
      <c r="N19" s="31"/>
      <c r="O19" s="31"/>
      <c r="P19" s="31"/>
      <c r="Q19" s="31"/>
      <c r="R19" s="31"/>
      <c r="S19" s="31"/>
      <c r="T19" s="31"/>
      <c r="U19" s="31"/>
      <c r="V19" s="31"/>
      <c r="W19" s="31"/>
      <c r="X19" s="31"/>
      <c r="Y19" s="31"/>
      <c r="Z19" s="31"/>
    </row>
    <row r="20">
      <c r="A20" s="31"/>
      <c r="B20" s="45">
        <v>5.0</v>
      </c>
      <c r="C20" s="54" t="s">
        <v>41</v>
      </c>
      <c r="D20" s="60" t="s">
        <v>53</v>
      </c>
      <c r="E20" s="48" t="s">
        <v>54</v>
      </c>
      <c r="F20" s="35"/>
      <c r="G20" s="49" t="s">
        <v>55</v>
      </c>
      <c r="H20" s="50" t="s">
        <v>56</v>
      </c>
      <c r="I20" s="35"/>
      <c r="J20" s="51" t="s">
        <v>57</v>
      </c>
      <c r="K20" s="31"/>
      <c r="L20" s="31"/>
      <c r="M20" s="31"/>
      <c r="N20" s="31"/>
      <c r="O20" s="31"/>
      <c r="P20" s="31"/>
      <c r="Q20" s="31"/>
      <c r="R20" s="31"/>
      <c r="S20" s="31"/>
      <c r="T20" s="31"/>
      <c r="U20" s="31"/>
      <c r="V20" s="31"/>
      <c r="W20" s="31"/>
      <c r="X20" s="31"/>
      <c r="Y20" s="31"/>
      <c r="Z20" s="31"/>
    </row>
    <row r="21">
      <c r="A21" s="31"/>
      <c r="B21" s="52"/>
      <c r="C21" s="53" t="str">
        <f>"El estudiante " &amp; D20 &amp; " " &amp; E20 &amp; " " &amp;G20&amp; " " &amp;H20&amp; " "  </f>
        <v>El estudiante 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D21" s="34"/>
      <c r="E21" s="34"/>
      <c r="F21" s="34"/>
      <c r="G21" s="34"/>
      <c r="H21" s="34"/>
      <c r="I21" s="34"/>
      <c r="J21" s="35"/>
      <c r="K21" s="31"/>
      <c r="L21" s="31"/>
      <c r="M21" s="31"/>
      <c r="N21" s="31"/>
      <c r="O21" s="31"/>
      <c r="P21" s="31"/>
      <c r="Q21" s="31"/>
      <c r="R21" s="31"/>
      <c r="S21" s="31"/>
      <c r="T21" s="31"/>
      <c r="U21" s="31"/>
      <c r="V21" s="31"/>
      <c r="W21" s="31"/>
      <c r="X21" s="31"/>
      <c r="Y21" s="31"/>
      <c r="Z21" s="31"/>
    </row>
    <row r="22">
      <c r="A22" s="31"/>
      <c r="B22" s="45">
        <v>6.0</v>
      </c>
      <c r="C22" s="54" t="s">
        <v>41</v>
      </c>
      <c r="D22" s="60" t="s">
        <v>58</v>
      </c>
      <c r="E22" s="48" t="s">
        <v>59</v>
      </c>
      <c r="F22" s="35"/>
      <c r="G22" s="49" t="s">
        <v>60</v>
      </c>
      <c r="H22" s="58" t="s">
        <v>61</v>
      </c>
      <c r="I22" s="35"/>
      <c r="J22" s="61" t="s">
        <v>62</v>
      </c>
      <c r="K22" s="31"/>
      <c r="L22" s="31"/>
      <c r="M22" s="31"/>
      <c r="N22" s="31"/>
      <c r="O22" s="31"/>
      <c r="P22" s="31"/>
      <c r="Q22" s="31"/>
      <c r="R22" s="31"/>
      <c r="S22" s="31"/>
      <c r="T22" s="31"/>
      <c r="U22" s="31"/>
      <c r="V22" s="31"/>
      <c r="W22" s="31"/>
      <c r="X22" s="31"/>
      <c r="Y22" s="31"/>
      <c r="Z22" s="31"/>
    </row>
    <row r="23">
      <c r="A23" s="31"/>
      <c r="B23" s="52"/>
      <c r="C23" s="53" t="str">
        <f>"El estudiante " &amp; D22 &amp; " " &amp; E22 &amp; " " &amp;G22&amp; " " &amp;H22&amp; " "  </f>
        <v>El estudiante Explica los fundamentos de conectividad, administración y evolución de tecnologías de red y almacenamiento mediante la identificación de componentes clave y su interacción funcional para comprender su rol en infraestructuras tecnológicas actuales </v>
      </c>
      <c r="D23" s="34"/>
      <c r="E23" s="34"/>
      <c r="F23" s="34"/>
      <c r="G23" s="34"/>
      <c r="H23" s="34"/>
      <c r="I23" s="34"/>
      <c r="J23" s="35"/>
      <c r="K23" s="31"/>
      <c r="L23" s="31"/>
      <c r="M23" s="31"/>
      <c r="N23" s="31"/>
      <c r="O23" s="31"/>
      <c r="P23" s="31"/>
      <c r="Q23" s="31"/>
      <c r="R23" s="31"/>
      <c r="S23" s="31"/>
      <c r="T23" s="31"/>
      <c r="U23" s="31"/>
      <c r="V23" s="31"/>
      <c r="W23" s="31"/>
      <c r="X23" s="31"/>
      <c r="Y23" s="31"/>
      <c r="Z23" s="31"/>
    </row>
    <row r="24">
      <c r="A24" s="31"/>
      <c r="B24" s="45">
        <v>7.0</v>
      </c>
      <c r="C24" s="54" t="s">
        <v>41</v>
      </c>
      <c r="D24" s="55" t="s">
        <v>63</v>
      </c>
      <c r="E24" s="56" t="s">
        <v>64</v>
      </c>
      <c r="F24" s="35"/>
      <c r="G24" s="57" t="s">
        <v>65</v>
      </c>
      <c r="H24" s="58" t="s">
        <v>66</v>
      </c>
      <c r="I24" s="35"/>
      <c r="J24" s="59" t="s">
        <v>67</v>
      </c>
      <c r="K24" s="31"/>
      <c r="L24" s="31"/>
      <c r="M24" s="31"/>
      <c r="N24" s="31"/>
      <c r="O24" s="31"/>
      <c r="P24" s="31"/>
      <c r="Q24" s="31"/>
      <c r="R24" s="31"/>
      <c r="S24" s="31"/>
      <c r="T24" s="31"/>
      <c r="U24" s="31"/>
      <c r="V24" s="31"/>
      <c r="W24" s="31"/>
      <c r="X24" s="31"/>
      <c r="Y24" s="31"/>
      <c r="Z24" s="31"/>
    </row>
    <row r="25">
      <c r="A25" s="31"/>
      <c r="B25" s="52"/>
      <c r="C25" s="53" t="str">
        <f>"El estudiante " &amp; D24 &amp; " " &amp; E24 &amp; " " &amp;G24&amp; " " &amp;H24&amp; " "  </f>
        <v>El estudiante Supervisa el desempeño de sistemas de almacenamiento masivo mediante el uso de herramientas de monitoreo y análisis de métricas para identificar oportunidades de mejora en la disponibilidad, eficiencia y seguridad de los datos </v>
      </c>
      <c r="D25" s="34"/>
      <c r="E25" s="34"/>
      <c r="F25" s="34"/>
      <c r="G25" s="34"/>
      <c r="H25" s="34"/>
      <c r="I25" s="34"/>
      <c r="J25" s="35"/>
      <c r="K25" s="31"/>
      <c r="L25" s="62" t="s">
        <v>68</v>
      </c>
      <c r="T25" s="31"/>
      <c r="U25" s="31"/>
      <c r="V25" s="31"/>
      <c r="W25" s="31"/>
      <c r="X25" s="31"/>
      <c r="Y25" s="31"/>
      <c r="Z25" s="31"/>
    </row>
    <row r="26">
      <c r="A26" s="31"/>
      <c r="B26" s="31"/>
      <c r="C26" s="54" t="s">
        <v>41</v>
      </c>
      <c r="D26" s="55" t="s">
        <v>69</v>
      </c>
      <c r="E26" s="56" t="s">
        <v>70</v>
      </c>
      <c r="F26" s="35"/>
      <c r="G26" s="57" t="s">
        <v>71</v>
      </c>
      <c r="H26" s="58" t="s">
        <v>72</v>
      </c>
      <c r="I26" s="35"/>
      <c r="J26" s="31"/>
      <c r="K26" s="31"/>
      <c r="L26" s="62" t="s">
        <v>73</v>
      </c>
      <c r="T26" s="31"/>
      <c r="U26" s="31"/>
      <c r="V26" s="31"/>
      <c r="W26" s="31"/>
      <c r="X26" s="31"/>
      <c r="Y26" s="31"/>
      <c r="Z26" s="31"/>
    </row>
    <row r="27">
      <c r="A27" s="31"/>
      <c r="B27" s="63">
        <v>8.0</v>
      </c>
      <c r="C27" s="53" t="str">
        <f>"El estudiante " &amp; D26 &amp; " " &amp; E26 &amp; " " &amp;G26&amp; " " &amp;H26&amp; " "  </f>
        <v>El estudiante Integra la capacidad de explicar conceptos informáticos mediante el uso de ejemplos y graficos de forma clara, ordenada y comprensible. </v>
      </c>
      <c r="D27" s="34"/>
      <c r="E27" s="34"/>
      <c r="F27" s="34"/>
      <c r="G27" s="34"/>
      <c r="H27" s="34"/>
      <c r="I27" s="34"/>
      <c r="J27" s="35"/>
      <c r="K27" s="31"/>
      <c r="L27" s="31"/>
      <c r="M27" s="31"/>
      <c r="N27" s="31"/>
      <c r="O27" s="31"/>
      <c r="P27" s="31"/>
      <c r="Q27" s="31"/>
      <c r="R27" s="31"/>
      <c r="S27" s="31"/>
      <c r="T27" s="31"/>
      <c r="U27" s="31"/>
      <c r="V27" s="31"/>
      <c r="W27" s="31"/>
      <c r="X27" s="31"/>
      <c r="Y27" s="31"/>
      <c r="Z27" s="31"/>
    </row>
    <row r="28">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row>
    <row r="29">
      <c r="A29" s="31"/>
      <c r="B29" s="64" t="s">
        <v>74</v>
      </c>
      <c r="C29" s="34"/>
      <c r="D29" s="34"/>
      <c r="E29" s="34"/>
      <c r="F29" s="34"/>
      <c r="G29" s="34"/>
      <c r="H29" s="34"/>
      <c r="I29" s="34"/>
      <c r="J29" s="35"/>
      <c r="K29" s="31"/>
      <c r="L29" s="31"/>
      <c r="M29" s="31"/>
      <c r="N29" s="31"/>
      <c r="O29" s="31"/>
      <c r="P29" s="31"/>
      <c r="Q29" s="31"/>
      <c r="R29" s="31"/>
      <c r="S29" s="31"/>
      <c r="T29" s="31"/>
      <c r="U29" s="31"/>
      <c r="V29" s="31"/>
      <c r="W29" s="31"/>
      <c r="X29" s="31"/>
      <c r="Y29" s="31"/>
      <c r="Z29" s="31"/>
    </row>
    <row r="30">
      <c r="A30" s="31"/>
      <c r="B30" s="65"/>
      <c r="C30" s="66"/>
      <c r="D30" s="66"/>
      <c r="E30" s="66"/>
      <c r="F30" s="66"/>
      <c r="G30" s="66"/>
      <c r="H30" s="66"/>
      <c r="I30" s="66"/>
      <c r="J30" s="67"/>
      <c r="K30" s="31"/>
      <c r="L30" s="31"/>
      <c r="M30" s="31"/>
      <c r="N30" s="31"/>
      <c r="O30" s="31"/>
      <c r="P30" s="31"/>
      <c r="Q30" s="31"/>
      <c r="R30" s="31"/>
      <c r="S30" s="31"/>
      <c r="T30" s="31"/>
      <c r="U30" s="31"/>
      <c r="V30" s="31"/>
      <c r="W30" s="31"/>
      <c r="X30" s="31"/>
      <c r="Y30" s="31"/>
      <c r="Z30" s="31"/>
    </row>
    <row r="31">
      <c r="A31" s="31"/>
      <c r="B31" s="68"/>
      <c r="C31" s="69"/>
      <c r="D31" s="69"/>
      <c r="E31" s="69"/>
      <c r="F31" s="69"/>
      <c r="G31" s="69"/>
      <c r="H31" s="69"/>
      <c r="I31" s="69"/>
      <c r="J31" s="70"/>
      <c r="K31" s="31"/>
      <c r="L31" s="31"/>
      <c r="M31" s="31"/>
      <c r="N31" s="31"/>
      <c r="O31" s="31"/>
      <c r="P31" s="31"/>
      <c r="Q31" s="31"/>
      <c r="R31" s="31"/>
      <c r="S31" s="31"/>
      <c r="T31" s="31"/>
      <c r="U31" s="31"/>
      <c r="V31" s="31"/>
      <c r="W31" s="31"/>
      <c r="X31" s="31"/>
      <c r="Y31" s="31"/>
      <c r="Z31" s="31"/>
    </row>
    <row r="32">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row>
    <row r="33">
      <c r="A33" s="31"/>
      <c r="B33" s="31"/>
      <c r="C33" s="71" t="s">
        <v>75</v>
      </c>
      <c r="D33" s="31"/>
      <c r="E33" s="31"/>
      <c r="F33" s="31"/>
      <c r="G33" s="31"/>
      <c r="H33" s="31"/>
      <c r="I33" s="31"/>
      <c r="J33" s="31"/>
      <c r="K33" s="31"/>
      <c r="L33" s="31"/>
      <c r="M33" s="31"/>
      <c r="N33" s="31"/>
      <c r="O33" s="31"/>
      <c r="P33" s="31"/>
      <c r="Q33" s="31"/>
      <c r="R33" s="31"/>
      <c r="S33" s="31"/>
      <c r="T33" s="31"/>
      <c r="U33" s="31"/>
      <c r="V33" s="31"/>
      <c r="W33" s="31"/>
      <c r="X33" s="31"/>
      <c r="Y33" s="31"/>
      <c r="Z33" s="31"/>
    </row>
    <row r="34">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row>
    <row r="35">
      <c r="A35" s="31"/>
      <c r="B35" s="31"/>
      <c r="C35" s="31"/>
      <c r="D35" s="31"/>
      <c r="E35" s="31"/>
      <c r="F35" s="31"/>
      <c r="G35" s="31"/>
      <c r="H35" s="31"/>
      <c r="I35" s="31"/>
      <c r="J35" s="31"/>
      <c r="K35" s="31"/>
      <c r="L35" s="31"/>
      <c r="M35" s="31"/>
      <c r="N35" s="31"/>
      <c r="O35" s="31"/>
      <c r="P35" s="31"/>
      <c r="Q35" s="31"/>
      <c r="R35" s="31"/>
      <c r="S35" s="31"/>
      <c r="T35" s="31"/>
      <c r="U35" s="31"/>
      <c r="V35" s="31"/>
      <c r="W35" s="31"/>
      <c r="X35" s="31"/>
      <c r="Y35" s="31"/>
      <c r="Z35" s="31"/>
    </row>
    <row r="36">
      <c r="A36" s="31"/>
      <c r="B36" s="31"/>
      <c r="C36" s="31"/>
      <c r="D36" s="31"/>
      <c r="E36" s="31"/>
      <c r="F36" s="31"/>
      <c r="G36" s="31"/>
      <c r="H36" s="31"/>
      <c r="I36" s="31"/>
      <c r="J36" s="31"/>
      <c r="K36" s="31"/>
      <c r="L36" s="31"/>
      <c r="M36" s="31"/>
      <c r="N36" s="31"/>
      <c r="O36" s="31"/>
      <c r="P36" s="31"/>
      <c r="Q36" s="31"/>
      <c r="R36" s="31"/>
      <c r="S36" s="31"/>
      <c r="T36" s="31"/>
      <c r="U36" s="31"/>
      <c r="V36" s="31"/>
      <c r="W36" s="31"/>
      <c r="X36" s="31"/>
      <c r="Y36" s="31"/>
      <c r="Z36" s="31"/>
    </row>
    <row r="37">
      <c r="A37" s="31"/>
      <c r="B37" s="31"/>
      <c r="C37" s="31"/>
      <c r="D37" s="31"/>
      <c r="E37" s="31"/>
      <c r="F37" s="31"/>
      <c r="G37" s="31"/>
      <c r="H37" s="31"/>
      <c r="I37" s="31"/>
      <c r="J37" s="31"/>
      <c r="K37" s="31"/>
      <c r="L37" s="31"/>
      <c r="M37" s="31"/>
      <c r="N37" s="31"/>
      <c r="O37" s="31"/>
      <c r="P37" s="31"/>
      <c r="Q37" s="31"/>
      <c r="R37" s="31"/>
      <c r="S37" s="31"/>
      <c r="T37" s="31"/>
      <c r="U37" s="31"/>
      <c r="V37" s="31"/>
      <c r="W37" s="31"/>
      <c r="X37" s="31"/>
      <c r="Y37" s="31"/>
      <c r="Z37" s="31"/>
    </row>
    <row r="38">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row>
    <row r="39">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row r="1001">
      <c r="A1001" s="31"/>
      <c r="B1001" s="31"/>
      <c r="C1001" s="31"/>
      <c r="D1001" s="31"/>
      <c r="E1001" s="31"/>
      <c r="F1001" s="31"/>
      <c r="G1001" s="31"/>
      <c r="H1001" s="31"/>
      <c r="I1001" s="31"/>
      <c r="J1001" s="31"/>
      <c r="K1001" s="31"/>
      <c r="L1001" s="31"/>
      <c r="M1001" s="31"/>
      <c r="N1001" s="31"/>
      <c r="O1001" s="31"/>
      <c r="P1001" s="31"/>
      <c r="Q1001" s="31"/>
      <c r="R1001" s="31"/>
      <c r="S1001" s="31"/>
      <c r="T1001" s="31"/>
      <c r="U1001" s="31"/>
      <c r="V1001" s="31"/>
      <c r="W1001" s="31"/>
      <c r="X1001" s="31"/>
      <c r="Y1001" s="31"/>
      <c r="Z1001" s="31"/>
    </row>
    <row r="1002">
      <c r="A1002" s="31"/>
      <c r="B1002" s="31"/>
      <c r="C1002" s="31"/>
      <c r="D1002" s="31"/>
      <c r="E1002" s="31"/>
      <c r="F1002" s="31"/>
      <c r="G1002" s="31"/>
      <c r="H1002" s="31"/>
      <c r="I1002" s="31"/>
      <c r="J1002" s="31"/>
      <c r="K1002" s="31"/>
      <c r="L1002" s="31"/>
      <c r="M1002" s="31"/>
      <c r="N1002" s="31"/>
      <c r="O1002" s="31"/>
      <c r="P1002" s="31"/>
      <c r="Q1002" s="31"/>
      <c r="R1002" s="31"/>
      <c r="S1002" s="31"/>
      <c r="T1002" s="31"/>
      <c r="U1002" s="31"/>
      <c r="V1002" s="31"/>
      <c r="W1002" s="31"/>
      <c r="X1002" s="31"/>
      <c r="Y1002" s="31"/>
      <c r="Z1002" s="31"/>
    </row>
    <row r="1003">
      <c r="A1003" s="31"/>
      <c r="B1003" s="31"/>
      <c r="C1003" s="31"/>
      <c r="D1003" s="31"/>
      <c r="E1003" s="31"/>
      <c r="F1003" s="31"/>
      <c r="G1003" s="31"/>
      <c r="H1003" s="31"/>
      <c r="I1003" s="31"/>
      <c r="J1003" s="31"/>
      <c r="K1003" s="31"/>
      <c r="L1003" s="31"/>
      <c r="M1003" s="31"/>
      <c r="N1003" s="31"/>
      <c r="O1003" s="31"/>
      <c r="P1003" s="31"/>
      <c r="Q1003" s="31"/>
      <c r="R1003" s="31"/>
      <c r="S1003" s="31"/>
      <c r="T1003" s="31"/>
      <c r="U1003" s="31"/>
      <c r="V1003" s="31"/>
      <c r="W1003" s="31"/>
      <c r="X1003" s="31"/>
      <c r="Y1003" s="31"/>
      <c r="Z1003" s="31"/>
    </row>
  </sheetData>
  <mergeCells count="41">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E26:F26"/>
    <mergeCell ref="H26:I26"/>
    <mergeCell ref="H24:I24"/>
    <mergeCell ref="C25:J25"/>
    <mergeCell ref="L25:S25"/>
    <mergeCell ref="L26:S26"/>
    <mergeCell ref="C27:J27"/>
    <mergeCell ref="B29:J29"/>
    <mergeCell ref="B30:J31"/>
    <mergeCell ref="H18:I18"/>
    <mergeCell ref="C19:J19"/>
    <mergeCell ref="E20:F20"/>
    <mergeCell ref="H20:I20"/>
    <mergeCell ref="C21:J21"/>
    <mergeCell ref="H22:I22"/>
    <mergeCell ref="C23:J23"/>
  </mergeCells>
  <dataValidations>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hyperlinks>
    <hyperlink r:id="rId1" ref="L25"/>
    <hyperlink r:id="rId2" ref="L26"/>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6" max="6" width="19.75"/>
  </cols>
  <sheetData>
    <row r="1" ht="15.75" customHeight="1"/>
    <row r="2" ht="15.75" customHeight="1">
      <c r="A2" s="72"/>
      <c r="B2" s="73" t="s">
        <v>76</v>
      </c>
    </row>
    <row r="3" ht="15.75" customHeight="1"/>
    <row r="4" ht="15.75" customHeight="1">
      <c r="B4" s="3" t="s">
        <v>1</v>
      </c>
      <c r="C4" s="4" t="s">
        <v>2</v>
      </c>
    </row>
    <row r="5" ht="15.75" customHeight="1">
      <c r="B5" s="3" t="s">
        <v>77</v>
      </c>
      <c r="C5" s="6" t="s">
        <v>4</v>
      </c>
    </row>
    <row r="6" ht="15.75" customHeight="1">
      <c r="H6" s="74"/>
    </row>
    <row r="7" ht="15.75" customHeight="1">
      <c r="H7" s="74"/>
    </row>
    <row r="8" ht="15.75" customHeight="1">
      <c r="A8" s="75"/>
      <c r="B8" s="54" t="s">
        <v>78</v>
      </c>
      <c r="C8" s="76" t="s">
        <v>79</v>
      </c>
      <c r="D8" s="54" t="s">
        <v>80</v>
      </c>
      <c r="E8" s="54" t="s">
        <v>81</v>
      </c>
      <c r="F8" s="54" t="s">
        <v>82</v>
      </c>
      <c r="G8" s="54" t="s">
        <v>83</v>
      </c>
      <c r="H8" s="54" t="s">
        <v>84</v>
      </c>
    </row>
    <row r="9">
      <c r="B9" s="77">
        <v>1.0</v>
      </c>
      <c r="C9" s="78" t="s">
        <v>85</v>
      </c>
      <c r="D9" s="1" t="s">
        <v>86</v>
      </c>
      <c r="E9" s="1" t="s">
        <v>87</v>
      </c>
      <c r="F9" s="1" t="s">
        <v>88</v>
      </c>
      <c r="G9" s="78" t="s">
        <v>89</v>
      </c>
      <c r="H9" s="77">
        <v>2.0</v>
      </c>
    </row>
    <row r="10">
      <c r="B10" s="77">
        <f t="shared" ref="B10:B113" si="1">B9+1</f>
        <v>2</v>
      </c>
      <c r="C10" s="78" t="s">
        <v>85</v>
      </c>
      <c r="D10" s="79" t="s">
        <v>86</v>
      </c>
      <c r="E10" s="79" t="s">
        <v>87</v>
      </c>
      <c r="F10" s="79" t="s">
        <v>90</v>
      </c>
      <c r="G10" s="78" t="s">
        <v>89</v>
      </c>
      <c r="H10" s="77">
        <v>2.0</v>
      </c>
    </row>
    <row r="11">
      <c r="B11" s="77">
        <f t="shared" si="1"/>
        <v>3</v>
      </c>
      <c r="C11" s="78" t="s">
        <v>85</v>
      </c>
      <c r="D11" s="79" t="s">
        <v>86</v>
      </c>
      <c r="E11" s="79" t="s">
        <v>87</v>
      </c>
      <c r="F11" s="78" t="s">
        <v>91</v>
      </c>
      <c r="G11" s="78" t="s">
        <v>89</v>
      </c>
      <c r="H11" s="77">
        <v>2.0</v>
      </c>
    </row>
    <row r="12">
      <c r="B12" s="77">
        <f t="shared" si="1"/>
        <v>4</v>
      </c>
      <c r="C12" s="78" t="s">
        <v>85</v>
      </c>
      <c r="D12" s="79" t="s">
        <v>86</v>
      </c>
      <c r="E12" s="79" t="s">
        <v>87</v>
      </c>
      <c r="F12" s="79" t="s">
        <v>92</v>
      </c>
      <c r="G12" s="78" t="s">
        <v>89</v>
      </c>
      <c r="H12" s="77">
        <v>2.0</v>
      </c>
    </row>
    <row r="13">
      <c r="B13" s="77">
        <f t="shared" si="1"/>
        <v>5</v>
      </c>
      <c r="C13" s="78" t="s">
        <v>85</v>
      </c>
      <c r="D13" s="79" t="s">
        <v>86</v>
      </c>
      <c r="E13" s="79" t="s">
        <v>87</v>
      </c>
      <c r="F13" s="79" t="s">
        <v>93</v>
      </c>
      <c r="G13" s="78" t="s">
        <v>89</v>
      </c>
      <c r="H13" s="77">
        <v>2.0</v>
      </c>
    </row>
    <row r="14">
      <c r="B14" s="77">
        <f t="shared" si="1"/>
        <v>6</v>
      </c>
      <c r="C14" s="78" t="s">
        <v>85</v>
      </c>
      <c r="D14" s="79" t="s">
        <v>86</v>
      </c>
      <c r="E14" s="79" t="s">
        <v>87</v>
      </c>
      <c r="F14" s="79" t="s">
        <v>94</v>
      </c>
      <c r="G14" s="78" t="s">
        <v>89</v>
      </c>
      <c r="H14" s="77">
        <v>2.0</v>
      </c>
    </row>
    <row r="15">
      <c r="B15" s="77">
        <f t="shared" si="1"/>
        <v>7</v>
      </c>
      <c r="C15" s="78" t="s">
        <v>85</v>
      </c>
      <c r="D15" s="79" t="s">
        <v>86</v>
      </c>
      <c r="E15" s="79" t="s">
        <v>87</v>
      </c>
      <c r="F15" s="79" t="s">
        <v>95</v>
      </c>
      <c r="G15" s="78" t="s">
        <v>89</v>
      </c>
      <c r="H15" s="77">
        <v>2.0</v>
      </c>
    </row>
    <row r="16">
      <c r="B16" s="77">
        <f t="shared" si="1"/>
        <v>8</v>
      </c>
      <c r="C16" s="78" t="s">
        <v>85</v>
      </c>
      <c r="D16" s="79" t="s">
        <v>86</v>
      </c>
      <c r="E16" s="79" t="s">
        <v>87</v>
      </c>
      <c r="F16" s="79" t="s">
        <v>96</v>
      </c>
      <c r="G16" s="78" t="s">
        <v>89</v>
      </c>
      <c r="H16" s="77">
        <v>2.0</v>
      </c>
    </row>
    <row r="17">
      <c r="B17" s="77">
        <f t="shared" si="1"/>
        <v>9</v>
      </c>
      <c r="C17" s="78" t="s">
        <v>97</v>
      </c>
      <c r="D17" s="79" t="s">
        <v>86</v>
      </c>
      <c r="E17" s="79" t="s">
        <v>98</v>
      </c>
      <c r="F17" s="78" t="s">
        <v>99</v>
      </c>
      <c r="G17" s="78" t="s">
        <v>89</v>
      </c>
      <c r="H17" s="77">
        <v>3.0</v>
      </c>
    </row>
    <row r="18">
      <c r="B18" s="77">
        <f t="shared" si="1"/>
        <v>10</v>
      </c>
      <c r="C18" s="78" t="s">
        <v>97</v>
      </c>
      <c r="D18" s="79" t="s">
        <v>86</v>
      </c>
      <c r="E18" s="79" t="s">
        <v>98</v>
      </c>
      <c r="F18" s="78" t="s">
        <v>100</v>
      </c>
      <c r="G18" s="78" t="s">
        <v>89</v>
      </c>
      <c r="H18" s="77">
        <v>3.0</v>
      </c>
    </row>
    <row r="19">
      <c r="B19" s="77">
        <f t="shared" si="1"/>
        <v>11</v>
      </c>
      <c r="C19" s="78" t="s">
        <v>97</v>
      </c>
      <c r="D19" s="79" t="s">
        <v>86</v>
      </c>
      <c r="E19" s="79" t="s">
        <v>98</v>
      </c>
      <c r="F19" s="78" t="s">
        <v>101</v>
      </c>
      <c r="G19" s="78" t="s">
        <v>89</v>
      </c>
      <c r="H19" s="77">
        <v>3.0</v>
      </c>
    </row>
    <row r="20">
      <c r="B20" s="77">
        <f t="shared" si="1"/>
        <v>12</v>
      </c>
      <c r="C20" s="78" t="s">
        <v>97</v>
      </c>
      <c r="D20" s="79" t="s">
        <v>86</v>
      </c>
      <c r="E20" s="79" t="s">
        <v>98</v>
      </c>
      <c r="F20" s="78" t="s">
        <v>102</v>
      </c>
      <c r="G20" s="78" t="s">
        <v>89</v>
      </c>
      <c r="H20" s="77">
        <v>3.0</v>
      </c>
    </row>
    <row r="21">
      <c r="B21" s="77">
        <f t="shared" si="1"/>
        <v>13</v>
      </c>
      <c r="C21" s="78" t="s">
        <v>97</v>
      </c>
      <c r="D21" s="79" t="s">
        <v>86</v>
      </c>
      <c r="E21" s="79" t="s">
        <v>98</v>
      </c>
      <c r="F21" s="79" t="s">
        <v>103</v>
      </c>
      <c r="G21" s="78" t="s">
        <v>104</v>
      </c>
      <c r="H21" s="77">
        <v>3.0</v>
      </c>
    </row>
    <row r="22">
      <c r="B22" s="77">
        <f t="shared" si="1"/>
        <v>14</v>
      </c>
      <c r="C22" s="78" t="s">
        <v>97</v>
      </c>
      <c r="D22" s="79" t="s">
        <v>86</v>
      </c>
      <c r="E22" s="79" t="s">
        <v>98</v>
      </c>
      <c r="F22" s="79" t="s">
        <v>105</v>
      </c>
      <c r="G22" s="78" t="s">
        <v>104</v>
      </c>
      <c r="H22" s="77">
        <v>3.0</v>
      </c>
    </row>
    <row r="23">
      <c r="B23" s="77">
        <f t="shared" si="1"/>
        <v>15</v>
      </c>
      <c r="C23" s="78" t="s">
        <v>97</v>
      </c>
      <c r="D23" s="79" t="s">
        <v>86</v>
      </c>
      <c r="E23" s="79" t="s">
        <v>98</v>
      </c>
      <c r="F23" s="79" t="s">
        <v>106</v>
      </c>
      <c r="G23" s="78" t="s">
        <v>104</v>
      </c>
      <c r="H23" s="77">
        <v>3.0</v>
      </c>
    </row>
    <row r="24">
      <c r="B24" s="77">
        <f t="shared" si="1"/>
        <v>16</v>
      </c>
      <c r="C24" s="78" t="s">
        <v>97</v>
      </c>
      <c r="D24" s="79" t="s">
        <v>86</v>
      </c>
      <c r="E24" s="79" t="s">
        <v>98</v>
      </c>
      <c r="F24" s="79" t="s">
        <v>107</v>
      </c>
      <c r="G24" s="78" t="s">
        <v>104</v>
      </c>
      <c r="H24" s="77">
        <v>3.0</v>
      </c>
    </row>
    <row r="25">
      <c r="B25" s="77">
        <f t="shared" si="1"/>
        <v>17</v>
      </c>
      <c r="C25" s="78" t="s">
        <v>97</v>
      </c>
      <c r="D25" s="79" t="s">
        <v>86</v>
      </c>
      <c r="E25" s="79" t="s">
        <v>98</v>
      </c>
      <c r="F25" s="79" t="s">
        <v>108</v>
      </c>
      <c r="G25" s="78" t="s">
        <v>104</v>
      </c>
      <c r="H25" s="77">
        <v>3.0</v>
      </c>
    </row>
    <row r="26">
      <c r="B26" s="77">
        <f t="shared" si="1"/>
        <v>18</v>
      </c>
      <c r="C26" s="78" t="s">
        <v>97</v>
      </c>
      <c r="D26" s="79" t="s">
        <v>86</v>
      </c>
      <c r="E26" s="79" t="s">
        <v>98</v>
      </c>
      <c r="F26" s="79" t="s">
        <v>109</v>
      </c>
      <c r="G26" s="78" t="s">
        <v>104</v>
      </c>
      <c r="H26" s="77">
        <v>3.0</v>
      </c>
    </row>
    <row r="27">
      <c r="B27" s="77">
        <f t="shared" si="1"/>
        <v>19</v>
      </c>
      <c r="C27" s="78" t="s">
        <v>97</v>
      </c>
      <c r="D27" s="79" t="s">
        <v>86</v>
      </c>
      <c r="E27" s="79" t="s">
        <v>110</v>
      </c>
      <c r="F27" s="79" t="s">
        <v>111</v>
      </c>
      <c r="G27" s="78" t="s">
        <v>104</v>
      </c>
      <c r="H27" s="77">
        <v>3.0</v>
      </c>
    </row>
    <row r="28">
      <c r="B28" s="77">
        <f t="shared" si="1"/>
        <v>20</v>
      </c>
      <c r="C28" s="78" t="s">
        <v>97</v>
      </c>
      <c r="D28" s="79" t="s">
        <v>86</v>
      </c>
      <c r="E28" s="79" t="s">
        <v>112</v>
      </c>
      <c r="F28" s="79" t="s">
        <v>113</v>
      </c>
      <c r="G28" s="78" t="s">
        <v>104</v>
      </c>
      <c r="H28" s="80">
        <v>4.0</v>
      </c>
    </row>
    <row r="29">
      <c r="B29" s="77">
        <f t="shared" si="1"/>
        <v>21</v>
      </c>
      <c r="C29" s="78" t="s">
        <v>97</v>
      </c>
      <c r="D29" s="79" t="s">
        <v>86</v>
      </c>
      <c r="E29" s="79" t="s">
        <v>112</v>
      </c>
      <c r="F29" s="79" t="s">
        <v>114</v>
      </c>
      <c r="G29" s="78" t="s">
        <v>104</v>
      </c>
      <c r="H29" s="77">
        <v>4.0</v>
      </c>
    </row>
    <row r="30">
      <c r="B30" s="77">
        <f t="shared" si="1"/>
        <v>22</v>
      </c>
      <c r="C30" s="78" t="s">
        <v>97</v>
      </c>
      <c r="D30" s="79" t="s">
        <v>86</v>
      </c>
      <c r="E30" s="79" t="s">
        <v>112</v>
      </c>
      <c r="F30" s="79" t="s">
        <v>115</v>
      </c>
      <c r="G30" s="78" t="s">
        <v>104</v>
      </c>
      <c r="H30" s="77">
        <v>4.0</v>
      </c>
    </row>
    <row r="31">
      <c r="B31" s="77">
        <f t="shared" si="1"/>
        <v>23</v>
      </c>
      <c r="C31" s="78" t="s">
        <v>97</v>
      </c>
      <c r="D31" s="79" t="s">
        <v>86</v>
      </c>
      <c r="E31" s="79" t="s">
        <v>112</v>
      </c>
      <c r="F31" s="79" t="s">
        <v>116</v>
      </c>
      <c r="G31" s="78" t="s">
        <v>104</v>
      </c>
      <c r="H31" s="77">
        <v>4.0</v>
      </c>
    </row>
    <row r="32">
      <c r="B32" s="77">
        <f t="shared" si="1"/>
        <v>24</v>
      </c>
      <c r="C32" s="78" t="s">
        <v>97</v>
      </c>
      <c r="D32" s="79" t="s">
        <v>86</v>
      </c>
      <c r="E32" s="79" t="s">
        <v>112</v>
      </c>
      <c r="F32" s="79" t="s">
        <v>117</v>
      </c>
      <c r="G32" s="78" t="s">
        <v>104</v>
      </c>
      <c r="H32" s="77">
        <v>4.0</v>
      </c>
    </row>
    <row r="33">
      <c r="B33" s="77">
        <f t="shared" si="1"/>
        <v>25</v>
      </c>
      <c r="C33" s="78" t="s">
        <v>97</v>
      </c>
      <c r="D33" s="79" t="s">
        <v>86</v>
      </c>
      <c r="E33" s="79" t="s">
        <v>112</v>
      </c>
      <c r="F33" s="79" t="s">
        <v>118</v>
      </c>
      <c r="G33" s="78" t="s">
        <v>104</v>
      </c>
      <c r="H33" s="77">
        <v>4.0</v>
      </c>
    </row>
    <row r="34">
      <c r="B34" s="77">
        <f t="shared" si="1"/>
        <v>26</v>
      </c>
      <c r="C34" s="78" t="s">
        <v>97</v>
      </c>
      <c r="D34" s="79" t="s">
        <v>86</v>
      </c>
      <c r="E34" s="79" t="s">
        <v>112</v>
      </c>
      <c r="F34" s="79" t="s">
        <v>119</v>
      </c>
      <c r="G34" s="78" t="s">
        <v>104</v>
      </c>
      <c r="H34" s="77">
        <v>4.0</v>
      </c>
    </row>
    <row r="35">
      <c r="B35" s="77">
        <f t="shared" si="1"/>
        <v>27</v>
      </c>
      <c r="C35" s="78" t="s">
        <v>120</v>
      </c>
      <c r="D35" s="79" t="s">
        <v>86</v>
      </c>
      <c r="E35" s="79" t="s">
        <v>121</v>
      </c>
      <c r="F35" s="79" t="s">
        <v>122</v>
      </c>
      <c r="G35" s="78" t="s">
        <v>104</v>
      </c>
      <c r="H35" s="80">
        <v>5.0</v>
      </c>
    </row>
    <row r="36">
      <c r="B36" s="77">
        <f t="shared" si="1"/>
        <v>28</v>
      </c>
      <c r="C36" s="78" t="s">
        <v>120</v>
      </c>
      <c r="D36" s="79" t="s">
        <v>86</v>
      </c>
      <c r="E36" s="79" t="s">
        <v>121</v>
      </c>
      <c r="F36" s="79" t="s">
        <v>123</v>
      </c>
      <c r="G36" s="78" t="s">
        <v>104</v>
      </c>
      <c r="H36" s="77">
        <v>5.0</v>
      </c>
    </row>
    <row r="37">
      <c r="B37" s="77">
        <f t="shared" si="1"/>
        <v>29</v>
      </c>
      <c r="C37" s="78" t="s">
        <v>120</v>
      </c>
      <c r="D37" s="79" t="s">
        <v>86</v>
      </c>
      <c r="E37" s="79" t="s">
        <v>121</v>
      </c>
      <c r="F37" s="79" t="s">
        <v>124</v>
      </c>
      <c r="G37" s="78" t="s">
        <v>104</v>
      </c>
      <c r="H37" s="77">
        <v>5.0</v>
      </c>
    </row>
    <row r="38">
      <c r="B38" s="77">
        <f t="shared" si="1"/>
        <v>30</v>
      </c>
      <c r="C38" s="78" t="s">
        <v>120</v>
      </c>
      <c r="D38" s="79" t="s">
        <v>86</v>
      </c>
      <c r="E38" s="79" t="s">
        <v>121</v>
      </c>
      <c r="F38" s="79" t="s">
        <v>125</v>
      </c>
      <c r="G38" s="78" t="s">
        <v>104</v>
      </c>
      <c r="H38" s="77">
        <v>5.0</v>
      </c>
    </row>
    <row r="39">
      <c r="B39" s="77">
        <f t="shared" si="1"/>
        <v>31</v>
      </c>
      <c r="C39" s="78" t="s">
        <v>120</v>
      </c>
      <c r="D39" s="79" t="s">
        <v>86</v>
      </c>
      <c r="E39" s="79" t="s">
        <v>121</v>
      </c>
      <c r="F39" s="79" t="s">
        <v>126</v>
      </c>
      <c r="G39" s="78" t="s">
        <v>104</v>
      </c>
      <c r="H39" s="77">
        <v>5.0</v>
      </c>
    </row>
    <row r="40">
      <c r="B40" s="77">
        <f t="shared" si="1"/>
        <v>32</v>
      </c>
      <c r="C40" s="78" t="s">
        <v>120</v>
      </c>
      <c r="D40" s="79" t="s">
        <v>86</v>
      </c>
      <c r="E40" s="79" t="s">
        <v>121</v>
      </c>
      <c r="F40" s="79" t="s">
        <v>127</v>
      </c>
      <c r="G40" s="78" t="s">
        <v>104</v>
      </c>
      <c r="H40" s="77">
        <v>5.0</v>
      </c>
    </row>
    <row r="41">
      <c r="B41" s="77">
        <f t="shared" si="1"/>
        <v>33</v>
      </c>
      <c r="C41" s="78" t="s">
        <v>120</v>
      </c>
      <c r="D41" s="79" t="s">
        <v>86</v>
      </c>
      <c r="E41" s="79" t="s">
        <v>121</v>
      </c>
      <c r="F41" s="79" t="s">
        <v>128</v>
      </c>
      <c r="G41" s="78" t="s">
        <v>104</v>
      </c>
      <c r="H41" s="77">
        <v>5.0</v>
      </c>
    </row>
    <row r="42">
      <c r="B42" s="77">
        <f t="shared" si="1"/>
        <v>34</v>
      </c>
      <c r="C42" s="78" t="s">
        <v>129</v>
      </c>
      <c r="D42" s="79" t="s">
        <v>86</v>
      </c>
      <c r="E42" s="79" t="s">
        <v>130</v>
      </c>
      <c r="F42" s="79" t="s">
        <v>131</v>
      </c>
      <c r="G42" s="78" t="s">
        <v>104</v>
      </c>
      <c r="H42" s="77">
        <v>5.0</v>
      </c>
    </row>
    <row r="43">
      <c r="B43" s="77">
        <f t="shared" si="1"/>
        <v>35</v>
      </c>
      <c r="C43" s="78" t="s">
        <v>129</v>
      </c>
      <c r="D43" s="79" t="s">
        <v>86</v>
      </c>
      <c r="E43" s="79" t="s">
        <v>130</v>
      </c>
      <c r="F43" s="79" t="s">
        <v>132</v>
      </c>
      <c r="G43" s="78" t="s">
        <v>104</v>
      </c>
      <c r="H43" s="77">
        <v>6.0</v>
      </c>
    </row>
    <row r="44">
      <c r="B44" s="77">
        <f t="shared" si="1"/>
        <v>36</v>
      </c>
      <c r="C44" s="78" t="s">
        <v>129</v>
      </c>
      <c r="D44" s="79" t="s">
        <v>86</v>
      </c>
      <c r="E44" s="79" t="s">
        <v>130</v>
      </c>
      <c r="F44" s="79" t="s">
        <v>133</v>
      </c>
      <c r="G44" s="78" t="s">
        <v>104</v>
      </c>
      <c r="H44" s="77">
        <v>6.0</v>
      </c>
    </row>
    <row r="45">
      <c r="B45" s="77">
        <f t="shared" si="1"/>
        <v>37</v>
      </c>
      <c r="C45" s="78" t="s">
        <v>129</v>
      </c>
      <c r="D45" s="79" t="s">
        <v>86</v>
      </c>
      <c r="E45" s="79" t="s">
        <v>130</v>
      </c>
      <c r="F45" s="79" t="s">
        <v>134</v>
      </c>
      <c r="G45" s="78" t="s">
        <v>104</v>
      </c>
      <c r="H45" s="77">
        <v>6.0</v>
      </c>
    </row>
    <row r="46">
      <c r="B46" s="77">
        <f t="shared" si="1"/>
        <v>38</v>
      </c>
      <c r="C46" s="78" t="s">
        <v>129</v>
      </c>
      <c r="D46" s="79" t="s">
        <v>86</v>
      </c>
      <c r="E46" s="79" t="s">
        <v>130</v>
      </c>
      <c r="F46" s="79" t="s">
        <v>135</v>
      </c>
      <c r="G46" s="78" t="s">
        <v>104</v>
      </c>
      <c r="H46" s="77">
        <v>6.0</v>
      </c>
    </row>
    <row r="47">
      <c r="B47" s="77">
        <f t="shared" si="1"/>
        <v>39</v>
      </c>
      <c r="C47" s="78" t="s">
        <v>129</v>
      </c>
      <c r="D47" s="79" t="s">
        <v>86</v>
      </c>
      <c r="E47" s="79" t="s">
        <v>130</v>
      </c>
      <c r="F47" s="79" t="s">
        <v>136</v>
      </c>
      <c r="G47" s="78" t="s">
        <v>104</v>
      </c>
      <c r="H47" s="77">
        <v>6.0</v>
      </c>
    </row>
    <row r="48">
      <c r="B48" s="77">
        <f t="shared" si="1"/>
        <v>40</v>
      </c>
      <c r="C48" s="78" t="s">
        <v>129</v>
      </c>
      <c r="D48" s="79" t="s">
        <v>86</v>
      </c>
      <c r="E48" s="79" t="s">
        <v>130</v>
      </c>
      <c r="F48" s="79" t="s">
        <v>137</v>
      </c>
      <c r="G48" s="78" t="s">
        <v>104</v>
      </c>
      <c r="H48" s="77">
        <v>6.0</v>
      </c>
    </row>
    <row r="49">
      <c r="B49" s="77">
        <f t="shared" si="1"/>
        <v>41</v>
      </c>
      <c r="C49" s="78" t="s">
        <v>138</v>
      </c>
      <c r="D49" s="79" t="s">
        <v>86</v>
      </c>
      <c r="E49" s="79" t="s">
        <v>110</v>
      </c>
      <c r="F49" s="79" t="s">
        <v>113</v>
      </c>
      <c r="G49" s="78" t="s">
        <v>139</v>
      </c>
      <c r="H49" s="77">
        <v>6.0</v>
      </c>
    </row>
    <row r="50">
      <c r="B50" s="77">
        <f t="shared" si="1"/>
        <v>42</v>
      </c>
      <c r="C50" s="78" t="s">
        <v>138</v>
      </c>
      <c r="D50" s="79" t="s">
        <v>86</v>
      </c>
      <c r="E50" s="79" t="s">
        <v>110</v>
      </c>
      <c r="F50" s="79" t="s">
        <v>140</v>
      </c>
      <c r="G50" s="78" t="s">
        <v>139</v>
      </c>
      <c r="H50" s="77">
        <v>7.0</v>
      </c>
    </row>
    <row r="51">
      <c r="B51" s="77">
        <f t="shared" si="1"/>
        <v>43</v>
      </c>
      <c r="C51" s="78" t="s">
        <v>138</v>
      </c>
      <c r="D51" s="79" t="s">
        <v>86</v>
      </c>
      <c r="E51" s="79" t="s">
        <v>110</v>
      </c>
      <c r="F51" s="79" t="s">
        <v>141</v>
      </c>
      <c r="G51" s="78" t="s">
        <v>139</v>
      </c>
      <c r="H51" s="77">
        <v>7.0</v>
      </c>
    </row>
    <row r="52">
      <c r="B52" s="77">
        <f t="shared" si="1"/>
        <v>44</v>
      </c>
      <c r="C52" s="78" t="s">
        <v>138</v>
      </c>
      <c r="D52" s="79" t="s">
        <v>86</v>
      </c>
      <c r="E52" s="79" t="s">
        <v>110</v>
      </c>
      <c r="F52" s="79" t="s">
        <v>142</v>
      </c>
      <c r="G52" s="78" t="s">
        <v>139</v>
      </c>
      <c r="H52" s="77">
        <v>7.0</v>
      </c>
    </row>
    <row r="53">
      <c r="B53" s="77">
        <f t="shared" si="1"/>
        <v>45</v>
      </c>
      <c r="C53" s="78" t="s">
        <v>138</v>
      </c>
      <c r="D53" s="79" t="s">
        <v>86</v>
      </c>
      <c r="E53" s="79" t="s">
        <v>110</v>
      </c>
      <c r="F53" s="79" t="s">
        <v>143</v>
      </c>
      <c r="G53" s="78" t="s">
        <v>139</v>
      </c>
      <c r="H53" s="77">
        <v>7.0</v>
      </c>
    </row>
    <row r="54">
      <c r="B54" s="77">
        <f t="shared" si="1"/>
        <v>46</v>
      </c>
      <c r="C54" s="78" t="s">
        <v>138</v>
      </c>
      <c r="D54" s="79" t="s">
        <v>86</v>
      </c>
      <c r="E54" s="79" t="s">
        <v>110</v>
      </c>
      <c r="F54" s="79" t="s">
        <v>144</v>
      </c>
      <c r="G54" s="78" t="s">
        <v>139</v>
      </c>
      <c r="H54" s="77">
        <v>7.0</v>
      </c>
    </row>
    <row r="55">
      <c r="B55" s="77">
        <f t="shared" si="1"/>
        <v>47</v>
      </c>
      <c r="C55" s="78" t="s">
        <v>138</v>
      </c>
      <c r="D55" s="79" t="s">
        <v>86</v>
      </c>
      <c r="E55" s="79" t="s">
        <v>110</v>
      </c>
      <c r="F55" s="79" t="s">
        <v>145</v>
      </c>
      <c r="G55" s="78" t="s">
        <v>139</v>
      </c>
      <c r="H55" s="77">
        <v>7.0</v>
      </c>
    </row>
    <row r="56">
      <c r="B56" s="77">
        <f t="shared" si="1"/>
        <v>48</v>
      </c>
      <c r="C56" s="78" t="s">
        <v>146</v>
      </c>
      <c r="D56" s="79" t="s">
        <v>147</v>
      </c>
      <c r="E56" s="79" t="s">
        <v>148</v>
      </c>
      <c r="F56" s="79" t="s">
        <v>149</v>
      </c>
      <c r="G56" s="78" t="s">
        <v>139</v>
      </c>
      <c r="H56" s="77">
        <v>7.0</v>
      </c>
    </row>
    <row r="57">
      <c r="B57" s="77">
        <f t="shared" si="1"/>
        <v>49</v>
      </c>
      <c r="C57" s="78" t="s">
        <v>146</v>
      </c>
      <c r="D57" s="79" t="s">
        <v>147</v>
      </c>
      <c r="E57" s="79" t="s">
        <v>150</v>
      </c>
      <c r="F57" s="79" t="s">
        <v>151</v>
      </c>
      <c r="G57" s="78" t="s">
        <v>139</v>
      </c>
      <c r="H57" s="77">
        <v>8.0</v>
      </c>
    </row>
    <row r="58">
      <c r="B58" s="77">
        <f t="shared" si="1"/>
        <v>50</v>
      </c>
      <c r="C58" s="78" t="s">
        <v>146</v>
      </c>
      <c r="D58" s="79" t="s">
        <v>147</v>
      </c>
      <c r="E58" s="79" t="s">
        <v>152</v>
      </c>
      <c r="F58" s="79" t="s">
        <v>153</v>
      </c>
      <c r="G58" s="78" t="s">
        <v>139</v>
      </c>
      <c r="H58" s="77">
        <v>8.0</v>
      </c>
    </row>
    <row r="59">
      <c r="B59" s="77">
        <f t="shared" si="1"/>
        <v>51</v>
      </c>
      <c r="C59" s="78" t="s">
        <v>146</v>
      </c>
      <c r="D59" s="79" t="s">
        <v>147</v>
      </c>
      <c r="E59" s="79" t="s">
        <v>154</v>
      </c>
      <c r="F59" s="79" t="s">
        <v>155</v>
      </c>
      <c r="G59" s="78" t="s">
        <v>139</v>
      </c>
      <c r="H59" s="77">
        <v>8.0</v>
      </c>
    </row>
    <row r="60">
      <c r="B60" s="77">
        <f t="shared" si="1"/>
        <v>52</v>
      </c>
      <c r="C60" s="78" t="s">
        <v>146</v>
      </c>
      <c r="D60" s="79" t="s">
        <v>147</v>
      </c>
      <c r="E60" s="79" t="s">
        <v>156</v>
      </c>
      <c r="F60" s="79" t="s">
        <v>157</v>
      </c>
      <c r="G60" s="78" t="s">
        <v>139</v>
      </c>
      <c r="H60" s="77">
        <v>8.0</v>
      </c>
    </row>
    <row r="61">
      <c r="B61" s="77">
        <f t="shared" si="1"/>
        <v>53</v>
      </c>
      <c r="C61" s="78" t="s">
        <v>146</v>
      </c>
      <c r="D61" s="79" t="s">
        <v>147</v>
      </c>
      <c r="E61" s="79" t="s">
        <v>158</v>
      </c>
      <c r="F61" s="79" t="s">
        <v>159</v>
      </c>
      <c r="G61" s="78" t="s">
        <v>139</v>
      </c>
      <c r="H61" s="77">
        <v>8.0</v>
      </c>
    </row>
    <row r="62">
      <c r="B62" s="77">
        <f t="shared" si="1"/>
        <v>54</v>
      </c>
      <c r="C62" s="78" t="s">
        <v>146</v>
      </c>
      <c r="D62" s="79" t="s">
        <v>147</v>
      </c>
      <c r="E62" s="79" t="s">
        <v>160</v>
      </c>
      <c r="F62" s="79" t="s">
        <v>161</v>
      </c>
      <c r="G62" s="78" t="s">
        <v>139</v>
      </c>
      <c r="H62" s="77">
        <v>8.0</v>
      </c>
    </row>
    <row r="63">
      <c r="B63" s="77">
        <f t="shared" si="1"/>
        <v>55</v>
      </c>
      <c r="C63" s="78" t="s">
        <v>146</v>
      </c>
      <c r="D63" s="79" t="s">
        <v>147</v>
      </c>
      <c r="E63" s="79" t="s">
        <v>162</v>
      </c>
      <c r="F63" s="79" t="s">
        <v>163</v>
      </c>
      <c r="G63" s="78" t="s">
        <v>139</v>
      </c>
      <c r="H63" s="77">
        <v>8.0</v>
      </c>
    </row>
    <row r="64">
      <c r="B64" s="77">
        <f t="shared" si="1"/>
        <v>56</v>
      </c>
      <c r="C64" s="78" t="s">
        <v>146</v>
      </c>
      <c r="D64" s="79" t="s">
        <v>147</v>
      </c>
      <c r="E64" s="79" t="s">
        <v>164</v>
      </c>
      <c r="F64" s="79" t="s">
        <v>165</v>
      </c>
      <c r="G64" s="78" t="s">
        <v>139</v>
      </c>
      <c r="H64" s="77">
        <v>8.0</v>
      </c>
    </row>
    <row r="65">
      <c r="B65" s="77">
        <f t="shared" si="1"/>
        <v>57</v>
      </c>
      <c r="C65" s="78" t="s">
        <v>146</v>
      </c>
      <c r="D65" s="79" t="s">
        <v>147</v>
      </c>
      <c r="E65" s="79" t="s">
        <v>166</v>
      </c>
      <c r="F65" s="79" t="s">
        <v>167</v>
      </c>
      <c r="G65" s="78" t="s">
        <v>139</v>
      </c>
      <c r="H65" s="77">
        <v>8.0</v>
      </c>
    </row>
    <row r="66">
      <c r="B66" s="77">
        <f t="shared" si="1"/>
        <v>58</v>
      </c>
      <c r="C66" s="78" t="s">
        <v>146</v>
      </c>
      <c r="D66" s="79" t="s">
        <v>147</v>
      </c>
      <c r="E66" s="79" t="s">
        <v>168</v>
      </c>
      <c r="F66" s="79" t="s">
        <v>169</v>
      </c>
      <c r="G66" s="78" t="s">
        <v>139</v>
      </c>
      <c r="H66" s="77">
        <v>9.0</v>
      </c>
    </row>
    <row r="67">
      <c r="B67" s="77">
        <f t="shared" si="1"/>
        <v>59</v>
      </c>
      <c r="C67" s="78" t="s">
        <v>170</v>
      </c>
      <c r="D67" s="79" t="s">
        <v>147</v>
      </c>
      <c r="E67" s="79" t="s">
        <v>171</v>
      </c>
      <c r="F67" s="79" t="s">
        <v>172</v>
      </c>
      <c r="G67" s="78" t="s">
        <v>139</v>
      </c>
      <c r="H67" s="77">
        <v>9.0</v>
      </c>
    </row>
    <row r="68">
      <c r="B68" s="77">
        <f t="shared" si="1"/>
        <v>60</v>
      </c>
      <c r="C68" s="78" t="s">
        <v>85</v>
      </c>
      <c r="D68" s="79" t="s">
        <v>147</v>
      </c>
      <c r="E68" s="79" t="s">
        <v>173</v>
      </c>
      <c r="F68" s="79" t="s">
        <v>174</v>
      </c>
      <c r="G68" s="78" t="s">
        <v>139</v>
      </c>
      <c r="H68" s="77">
        <v>9.0</v>
      </c>
    </row>
    <row r="69">
      <c r="B69" s="77">
        <f t="shared" si="1"/>
        <v>61</v>
      </c>
      <c r="C69" s="78" t="s">
        <v>97</v>
      </c>
      <c r="D69" s="79" t="s">
        <v>147</v>
      </c>
      <c r="E69" s="79" t="s">
        <v>164</v>
      </c>
      <c r="F69" s="79" t="s">
        <v>175</v>
      </c>
      <c r="G69" s="78" t="s">
        <v>139</v>
      </c>
      <c r="H69" s="77">
        <v>9.0</v>
      </c>
    </row>
    <row r="70">
      <c r="B70" s="77">
        <f t="shared" si="1"/>
        <v>62</v>
      </c>
      <c r="C70" s="78" t="s">
        <v>129</v>
      </c>
      <c r="D70" s="79" t="s">
        <v>176</v>
      </c>
      <c r="E70" s="79" t="s">
        <v>177</v>
      </c>
      <c r="F70" s="79" t="s">
        <v>178</v>
      </c>
      <c r="G70" s="78" t="s">
        <v>139</v>
      </c>
      <c r="H70" s="77">
        <v>9.0</v>
      </c>
    </row>
    <row r="71">
      <c r="B71" s="77">
        <f t="shared" si="1"/>
        <v>63</v>
      </c>
      <c r="C71" s="78" t="s">
        <v>170</v>
      </c>
      <c r="D71" s="79" t="s">
        <v>176</v>
      </c>
      <c r="E71" s="79" t="s">
        <v>177</v>
      </c>
      <c r="F71" s="79" t="s">
        <v>179</v>
      </c>
      <c r="G71" s="78" t="s">
        <v>139</v>
      </c>
      <c r="H71" s="77">
        <v>9.0</v>
      </c>
    </row>
    <row r="72">
      <c r="B72" s="77">
        <f t="shared" si="1"/>
        <v>64</v>
      </c>
      <c r="C72" s="78" t="s">
        <v>120</v>
      </c>
      <c r="D72" s="79" t="s">
        <v>176</v>
      </c>
      <c r="E72" s="79" t="s">
        <v>177</v>
      </c>
      <c r="F72" s="79" t="s">
        <v>180</v>
      </c>
      <c r="G72" s="78" t="s">
        <v>181</v>
      </c>
      <c r="H72" s="77">
        <v>9.0</v>
      </c>
    </row>
    <row r="73">
      <c r="B73" s="77">
        <f t="shared" si="1"/>
        <v>65</v>
      </c>
      <c r="C73" s="78" t="s">
        <v>97</v>
      </c>
      <c r="D73" s="79" t="s">
        <v>176</v>
      </c>
      <c r="E73" s="79" t="s">
        <v>177</v>
      </c>
      <c r="F73" s="79" t="s">
        <v>182</v>
      </c>
      <c r="G73" s="78" t="s">
        <v>181</v>
      </c>
      <c r="H73" s="77">
        <v>10.0</v>
      </c>
    </row>
    <row r="74">
      <c r="B74" s="77">
        <f t="shared" si="1"/>
        <v>66</v>
      </c>
      <c r="C74" s="78" t="s">
        <v>146</v>
      </c>
      <c r="D74" s="79" t="s">
        <v>176</v>
      </c>
      <c r="E74" s="79" t="s">
        <v>177</v>
      </c>
      <c r="F74" s="79" t="s">
        <v>183</v>
      </c>
      <c r="G74" s="78" t="s">
        <v>181</v>
      </c>
      <c r="H74" s="77">
        <v>10.0</v>
      </c>
    </row>
    <row r="75">
      <c r="B75" s="77">
        <f t="shared" si="1"/>
        <v>67</v>
      </c>
      <c r="C75" s="78" t="s">
        <v>97</v>
      </c>
      <c r="D75" s="79" t="s">
        <v>176</v>
      </c>
      <c r="E75" s="79" t="s">
        <v>177</v>
      </c>
      <c r="F75" s="79" t="s">
        <v>184</v>
      </c>
      <c r="G75" s="78" t="s">
        <v>181</v>
      </c>
      <c r="H75" s="77">
        <v>10.0</v>
      </c>
    </row>
    <row r="76">
      <c r="B76" s="77">
        <f t="shared" si="1"/>
        <v>68</v>
      </c>
      <c r="C76" s="78" t="s">
        <v>129</v>
      </c>
      <c r="D76" s="79" t="s">
        <v>176</v>
      </c>
      <c r="E76" s="79" t="s">
        <v>177</v>
      </c>
      <c r="F76" s="79" t="s">
        <v>185</v>
      </c>
      <c r="G76" s="78" t="s">
        <v>181</v>
      </c>
      <c r="H76" s="77">
        <v>10.0</v>
      </c>
    </row>
    <row r="77">
      <c r="B77" s="77">
        <f t="shared" si="1"/>
        <v>69</v>
      </c>
      <c r="C77" s="78" t="s">
        <v>129</v>
      </c>
      <c r="D77" s="79" t="s">
        <v>176</v>
      </c>
      <c r="E77" s="79" t="s">
        <v>186</v>
      </c>
      <c r="F77" s="79" t="s">
        <v>187</v>
      </c>
      <c r="G77" s="78" t="s">
        <v>181</v>
      </c>
      <c r="H77" s="77">
        <v>10.0</v>
      </c>
    </row>
    <row r="78">
      <c r="B78" s="77">
        <f t="shared" si="1"/>
        <v>70</v>
      </c>
      <c r="C78" s="78" t="s">
        <v>97</v>
      </c>
      <c r="D78" s="79" t="s">
        <v>176</v>
      </c>
      <c r="E78" s="79" t="s">
        <v>186</v>
      </c>
      <c r="F78" s="79" t="s">
        <v>188</v>
      </c>
      <c r="G78" s="78" t="s">
        <v>181</v>
      </c>
      <c r="H78" s="77">
        <v>10.0</v>
      </c>
    </row>
    <row r="79">
      <c r="B79" s="77">
        <f t="shared" si="1"/>
        <v>71</v>
      </c>
      <c r="C79" s="78" t="s">
        <v>129</v>
      </c>
      <c r="D79" s="79" t="s">
        <v>176</v>
      </c>
      <c r="E79" s="79" t="s">
        <v>186</v>
      </c>
      <c r="F79" s="79" t="s">
        <v>189</v>
      </c>
      <c r="G79" s="78" t="s">
        <v>181</v>
      </c>
      <c r="H79" s="77">
        <v>10.0</v>
      </c>
    </row>
    <row r="80">
      <c r="B80" s="77">
        <f t="shared" si="1"/>
        <v>72</v>
      </c>
      <c r="C80" s="78" t="s">
        <v>97</v>
      </c>
      <c r="D80" s="79" t="s">
        <v>176</v>
      </c>
      <c r="E80" s="79" t="s">
        <v>186</v>
      </c>
      <c r="F80" s="79" t="s">
        <v>190</v>
      </c>
      <c r="G80" s="78" t="s">
        <v>181</v>
      </c>
      <c r="H80" s="77">
        <v>10.0</v>
      </c>
    </row>
    <row r="81">
      <c r="B81" s="77">
        <f t="shared" si="1"/>
        <v>73</v>
      </c>
      <c r="C81" s="78" t="s">
        <v>170</v>
      </c>
      <c r="D81" s="79" t="s">
        <v>176</v>
      </c>
      <c r="E81" s="79" t="s">
        <v>186</v>
      </c>
      <c r="F81" s="79" t="s">
        <v>191</v>
      </c>
      <c r="G81" s="78" t="s">
        <v>181</v>
      </c>
      <c r="H81" s="77">
        <v>11.0</v>
      </c>
    </row>
    <row r="82">
      <c r="B82" s="77">
        <f t="shared" si="1"/>
        <v>74</v>
      </c>
      <c r="C82" s="78" t="s">
        <v>120</v>
      </c>
      <c r="D82" s="79" t="s">
        <v>176</v>
      </c>
      <c r="E82" s="79" t="s">
        <v>186</v>
      </c>
      <c r="F82" s="79" t="s">
        <v>192</v>
      </c>
      <c r="G82" s="78" t="s">
        <v>181</v>
      </c>
      <c r="H82" s="77">
        <v>11.0</v>
      </c>
    </row>
    <row r="83">
      <c r="B83" s="77">
        <f t="shared" si="1"/>
        <v>75</v>
      </c>
      <c r="C83" s="78" t="s">
        <v>120</v>
      </c>
      <c r="D83" s="79" t="s">
        <v>176</v>
      </c>
      <c r="E83" s="79" t="s">
        <v>186</v>
      </c>
      <c r="F83" s="79" t="s">
        <v>193</v>
      </c>
      <c r="G83" s="78" t="s">
        <v>181</v>
      </c>
      <c r="H83" s="77">
        <v>11.0</v>
      </c>
    </row>
    <row r="84">
      <c r="B84" s="77">
        <f t="shared" si="1"/>
        <v>76</v>
      </c>
      <c r="C84" s="78" t="s">
        <v>97</v>
      </c>
      <c r="D84" s="79" t="s">
        <v>176</v>
      </c>
      <c r="E84" s="79" t="s">
        <v>194</v>
      </c>
      <c r="F84" s="79" t="s">
        <v>195</v>
      </c>
      <c r="G84" s="78" t="s">
        <v>181</v>
      </c>
      <c r="H84" s="77">
        <v>11.0</v>
      </c>
    </row>
    <row r="85">
      <c r="B85" s="77">
        <f t="shared" si="1"/>
        <v>77</v>
      </c>
      <c r="C85" s="78" t="s">
        <v>129</v>
      </c>
      <c r="D85" s="79" t="s">
        <v>176</v>
      </c>
      <c r="E85" s="79" t="s">
        <v>194</v>
      </c>
      <c r="F85" s="79" t="s">
        <v>196</v>
      </c>
      <c r="G85" s="78" t="s">
        <v>181</v>
      </c>
      <c r="H85" s="77">
        <v>11.0</v>
      </c>
    </row>
    <row r="86">
      <c r="B86" s="77">
        <f t="shared" si="1"/>
        <v>78</v>
      </c>
      <c r="C86" s="78" t="s">
        <v>170</v>
      </c>
      <c r="D86" s="79" t="s">
        <v>176</v>
      </c>
      <c r="E86" s="79" t="s">
        <v>194</v>
      </c>
      <c r="F86" s="79" t="s">
        <v>197</v>
      </c>
      <c r="G86" s="78" t="s">
        <v>181</v>
      </c>
      <c r="H86" s="77">
        <v>11.0</v>
      </c>
    </row>
    <row r="87">
      <c r="B87" s="77">
        <f t="shared" si="1"/>
        <v>79</v>
      </c>
      <c r="C87" s="78" t="s">
        <v>138</v>
      </c>
      <c r="D87" s="79" t="s">
        <v>176</v>
      </c>
      <c r="E87" s="79" t="s">
        <v>194</v>
      </c>
      <c r="F87" s="79" t="s">
        <v>198</v>
      </c>
      <c r="G87" s="78" t="s">
        <v>181</v>
      </c>
      <c r="H87" s="77">
        <v>11.0</v>
      </c>
    </row>
    <row r="88">
      <c r="B88" s="77">
        <f t="shared" si="1"/>
        <v>80</v>
      </c>
      <c r="C88" s="78" t="s">
        <v>85</v>
      </c>
      <c r="D88" s="79" t="s">
        <v>176</v>
      </c>
      <c r="E88" s="79" t="s">
        <v>194</v>
      </c>
      <c r="F88" s="79" t="s">
        <v>199</v>
      </c>
      <c r="G88" s="78" t="s">
        <v>181</v>
      </c>
      <c r="H88" s="77">
        <v>11.0</v>
      </c>
    </row>
    <row r="89">
      <c r="B89" s="77">
        <f t="shared" si="1"/>
        <v>81</v>
      </c>
      <c r="C89" s="78" t="s">
        <v>97</v>
      </c>
      <c r="D89" s="79" t="s">
        <v>176</v>
      </c>
      <c r="E89" s="79" t="s">
        <v>194</v>
      </c>
      <c r="F89" s="79" t="s">
        <v>200</v>
      </c>
      <c r="G89" s="78" t="s">
        <v>181</v>
      </c>
      <c r="H89" s="77">
        <v>11.0</v>
      </c>
    </row>
    <row r="90">
      <c r="B90" s="77">
        <f t="shared" si="1"/>
        <v>82</v>
      </c>
      <c r="C90" s="78" t="s">
        <v>146</v>
      </c>
      <c r="D90" s="79" t="s">
        <v>176</v>
      </c>
      <c r="E90" s="79" t="s">
        <v>194</v>
      </c>
      <c r="F90" s="79" t="s">
        <v>201</v>
      </c>
      <c r="G90" s="78" t="s">
        <v>181</v>
      </c>
      <c r="H90" s="77">
        <v>11.0</v>
      </c>
    </row>
    <row r="91">
      <c r="B91" s="77">
        <f t="shared" si="1"/>
        <v>83</v>
      </c>
      <c r="C91" s="1"/>
      <c r="H91" s="6"/>
    </row>
    <row r="92" ht="15.75" customHeight="1">
      <c r="B92" s="77">
        <f t="shared" si="1"/>
        <v>84</v>
      </c>
      <c r="C92" s="1"/>
      <c r="H92" s="6"/>
    </row>
    <row r="93" ht="15.75" customHeight="1">
      <c r="B93" s="77">
        <f t="shared" si="1"/>
        <v>85</v>
      </c>
      <c r="C93" s="1"/>
      <c r="H93" s="6"/>
    </row>
    <row r="94" ht="15.75" customHeight="1">
      <c r="B94" s="77">
        <f t="shared" si="1"/>
        <v>86</v>
      </c>
      <c r="C94" s="1"/>
      <c r="H94" s="6"/>
    </row>
    <row r="95" ht="15.75" customHeight="1">
      <c r="B95" s="77">
        <f t="shared" si="1"/>
        <v>87</v>
      </c>
      <c r="C95" s="1"/>
      <c r="H95" s="6"/>
    </row>
    <row r="96" ht="15.75" customHeight="1">
      <c r="B96" s="77">
        <f t="shared" si="1"/>
        <v>88</v>
      </c>
      <c r="C96" s="1"/>
      <c r="H96" s="6"/>
    </row>
    <row r="97" ht="15.75" customHeight="1">
      <c r="B97" s="77">
        <f t="shared" si="1"/>
        <v>89</v>
      </c>
      <c r="C97" s="1"/>
      <c r="H97" s="6"/>
    </row>
    <row r="98" ht="15.75" customHeight="1">
      <c r="B98" s="77">
        <f t="shared" si="1"/>
        <v>90</v>
      </c>
      <c r="C98" s="1"/>
      <c r="H98" s="6"/>
    </row>
    <row r="99" ht="15.75" customHeight="1">
      <c r="B99" s="77">
        <f t="shared" si="1"/>
        <v>91</v>
      </c>
      <c r="C99" s="1"/>
      <c r="H99" s="6"/>
    </row>
    <row r="100" ht="15.75" customHeight="1">
      <c r="B100" s="77">
        <f t="shared" si="1"/>
        <v>92</v>
      </c>
      <c r="C100" s="1"/>
      <c r="H100" s="6"/>
    </row>
    <row r="101" ht="15.75" customHeight="1">
      <c r="B101" s="77">
        <f t="shared" si="1"/>
        <v>93</v>
      </c>
      <c r="C101" s="1"/>
      <c r="H101" s="6"/>
    </row>
    <row r="102" ht="15.75" customHeight="1">
      <c r="B102" s="77">
        <f t="shared" si="1"/>
        <v>94</v>
      </c>
      <c r="C102" s="1"/>
      <c r="H102" s="6"/>
    </row>
    <row r="103" ht="15.75" customHeight="1">
      <c r="B103" s="77">
        <f t="shared" si="1"/>
        <v>95</v>
      </c>
      <c r="C103" s="1"/>
      <c r="H103" s="6"/>
    </row>
    <row r="104" ht="15.75" customHeight="1">
      <c r="B104" s="77">
        <f t="shared" si="1"/>
        <v>96</v>
      </c>
      <c r="C104" s="1"/>
      <c r="H104" s="6"/>
    </row>
    <row r="105" ht="15.75" customHeight="1">
      <c r="B105" s="77">
        <f t="shared" si="1"/>
        <v>97</v>
      </c>
      <c r="C105" s="1"/>
      <c r="H105" s="6"/>
    </row>
    <row r="106" ht="15.75" customHeight="1">
      <c r="B106" s="77">
        <f t="shared" si="1"/>
        <v>98</v>
      </c>
      <c r="C106" s="1"/>
      <c r="H106" s="6"/>
    </row>
    <row r="107" ht="15.75" customHeight="1">
      <c r="B107" s="77">
        <f t="shared" si="1"/>
        <v>99</v>
      </c>
      <c r="C107" s="1"/>
      <c r="H107" s="6"/>
    </row>
    <row r="108" ht="15.75" customHeight="1">
      <c r="B108" s="77">
        <f t="shared" si="1"/>
        <v>100</v>
      </c>
      <c r="C108" s="1"/>
    </row>
    <row r="109" ht="15.75" customHeight="1">
      <c r="B109" s="77">
        <f t="shared" si="1"/>
        <v>101</v>
      </c>
      <c r="C109" s="1"/>
    </row>
    <row r="110" ht="15.75" customHeight="1">
      <c r="B110" s="77">
        <f t="shared" si="1"/>
        <v>102</v>
      </c>
      <c r="C110" s="1"/>
    </row>
    <row r="111" ht="15.75" customHeight="1">
      <c r="B111" s="77">
        <f t="shared" si="1"/>
        <v>103</v>
      </c>
      <c r="C111" s="1"/>
    </row>
    <row r="112" ht="15.75" customHeight="1">
      <c r="B112" s="77">
        <f t="shared" si="1"/>
        <v>104</v>
      </c>
      <c r="C112" s="1"/>
    </row>
    <row r="113" ht="15.75" customHeight="1">
      <c r="B113" s="77">
        <f t="shared" si="1"/>
        <v>105</v>
      </c>
      <c r="C113" s="78"/>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113">
      <formula1>Metadata!$B$2:$B$12</formula1>
    </dataValidation>
    <dataValidation type="list" allowBlank="1" showErrorMessage="1" sqref="H9:H90">
      <formula1>"2,3,4,5,6,7,8,9,10,11"</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s>
  <sheetData>
    <row r="1" ht="15.75" customHeight="1"/>
    <row r="2" ht="15.75" customHeight="1">
      <c r="B2" s="73" t="s">
        <v>76</v>
      </c>
    </row>
    <row r="3" ht="15.75" customHeight="1"/>
    <row r="4" ht="15.75" customHeight="1">
      <c r="B4" s="81" t="s">
        <v>1</v>
      </c>
      <c r="C4" s="82" t="str">
        <f>'Diseño'!C4</f>
        <v>773 - Manejo e Implementación de Archivos</v>
      </c>
      <c r="D4" s="34"/>
      <c r="E4" s="34"/>
      <c r="F4" s="34"/>
      <c r="G4" s="35"/>
    </row>
    <row r="5" ht="15.75" customHeight="1">
      <c r="B5" s="83" t="s">
        <v>84</v>
      </c>
      <c r="C5" s="82">
        <v>1.0</v>
      </c>
      <c r="D5" s="34"/>
      <c r="E5" s="34"/>
      <c r="F5" s="34"/>
      <c r="G5" s="35"/>
    </row>
    <row r="6" ht="15.75" customHeight="1">
      <c r="B6" s="83" t="s">
        <v>202</v>
      </c>
      <c r="C6" s="82">
        <f>B15+B22+B29+B41+B47+C48</f>
        <v>100</v>
      </c>
      <c r="D6" s="34"/>
      <c r="E6" s="34"/>
      <c r="F6" s="34"/>
      <c r="G6" s="35"/>
    </row>
    <row r="7" ht="15.75" customHeight="1"/>
    <row r="8" ht="15.75" customHeight="1">
      <c r="K8" s="84" t="s">
        <v>203</v>
      </c>
    </row>
    <row r="9" ht="15.75" customHeight="1">
      <c r="A9" s="85" t="s">
        <v>204</v>
      </c>
      <c r="G9" s="86" t="s">
        <v>205</v>
      </c>
      <c r="H9" s="87">
        <v>15.0</v>
      </c>
    </row>
    <row r="10" ht="15.75" customHeight="1">
      <c r="G10" s="88" t="s">
        <v>206</v>
      </c>
    </row>
    <row r="11" ht="24.75" customHeight="1">
      <c r="A11" s="89" t="s">
        <v>207</v>
      </c>
      <c r="B11" s="37" t="s">
        <v>208</v>
      </c>
      <c r="C11" s="34"/>
      <c r="D11" s="34"/>
      <c r="E11" s="34"/>
      <c r="F11" s="34"/>
      <c r="G11" s="34"/>
      <c r="H11" s="35"/>
    </row>
    <row r="12" ht="75.0" customHeight="1">
      <c r="A12" s="89" t="s">
        <v>209</v>
      </c>
      <c r="B12" s="37" t="s">
        <v>210</v>
      </c>
      <c r="C12" s="34"/>
      <c r="D12" s="34"/>
      <c r="E12" s="34"/>
      <c r="F12" s="34"/>
      <c r="G12" s="34"/>
      <c r="H12" s="35"/>
    </row>
    <row r="13">
      <c r="A13" s="90" t="s">
        <v>211</v>
      </c>
      <c r="B13" s="91" t="s">
        <v>212</v>
      </c>
      <c r="C13" s="34"/>
      <c r="D13" s="34"/>
      <c r="E13" s="34"/>
      <c r="F13" s="34"/>
      <c r="G13" s="34"/>
      <c r="H13" s="35"/>
    </row>
    <row r="14">
      <c r="A14" s="90" t="s">
        <v>213</v>
      </c>
      <c r="B14" s="91" t="s">
        <v>214</v>
      </c>
      <c r="C14" s="34"/>
      <c r="D14" s="34"/>
      <c r="E14" s="34"/>
      <c r="F14" s="34"/>
      <c r="G14" s="34"/>
      <c r="H14" s="35"/>
    </row>
    <row r="15" ht="15.75" customHeight="1">
      <c r="A15" s="92" t="s">
        <v>215</v>
      </c>
      <c r="B15" s="91">
        <v>15.0</v>
      </c>
      <c r="C15" s="34"/>
      <c r="D15" s="34"/>
      <c r="E15" s="34"/>
      <c r="F15" s="34"/>
      <c r="G15" s="34"/>
      <c r="H15" s="35"/>
    </row>
    <row r="16" ht="15.75" customHeight="1"/>
    <row r="17" ht="15.75" customHeight="1"/>
    <row r="18" ht="15.75" customHeight="1">
      <c r="A18" s="93" t="s">
        <v>216</v>
      </c>
      <c r="G18" s="86" t="s">
        <v>205</v>
      </c>
      <c r="H18" s="87">
        <v>25.0</v>
      </c>
    </row>
    <row r="19" ht="15.75" customHeight="1">
      <c r="G19" s="94">
        <v>3.0</v>
      </c>
      <c r="K19" s="84" t="s">
        <v>217</v>
      </c>
    </row>
    <row r="20">
      <c r="A20" s="89" t="s">
        <v>218</v>
      </c>
      <c r="B20" s="37" t="s">
        <v>219</v>
      </c>
      <c r="C20" s="34"/>
      <c r="D20" s="34"/>
      <c r="E20" s="34"/>
      <c r="F20" s="34"/>
      <c r="G20" s="34"/>
      <c r="H20" s="35"/>
    </row>
    <row r="21">
      <c r="A21" s="89" t="s">
        <v>220</v>
      </c>
      <c r="B21" s="37" t="s">
        <v>221</v>
      </c>
      <c r="C21" s="34"/>
      <c r="D21" s="34"/>
      <c r="E21" s="34"/>
      <c r="F21" s="34"/>
      <c r="G21" s="34"/>
      <c r="H21" s="35"/>
    </row>
    <row r="22">
      <c r="A22" s="92" t="s">
        <v>215</v>
      </c>
      <c r="B22" s="91">
        <v>25.0</v>
      </c>
      <c r="C22" s="34"/>
      <c r="D22" s="34"/>
      <c r="E22" s="34"/>
      <c r="F22" s="34"/>
      <c r="G22" s="34"/>
      <c r="H22" s="35"/>
    </row>
    <row r="23" ht="15.75" customHeight="1"/>
    <row r="24" ht="15.75" customHeight="1"/>
    <row r="25" ht="15.75" customHeight="1">
      <c r="A25" s="93" t="s">
        <v>222</v>
      </c>
      <c r="G25" s="95" t="s">
        <v>205</v>
      </c>
      <c r="H25" s="96">
        <f>B29</f>
        <v>25</v>
      </c>
    </row>
    <row r="26" ht="15.75" customHeight="1">
      <c r="G26" s="88" t="s">
        <v>223</v>
      </c>
      <c r="H26" s="88"/>
      <c r="I26" s="88"/>
      <c r="J26" s="88"/>
    </row>
    <row r="27" ht="39.75" customHeight="1">
      <c r="A27" s="89" t="s">
        <v>224</v>
      </c>
      <c r="B27" s="37" t="s">
        <v>225</v>
      </c>
      <c r="C27" s="34"/>
      <c r="D27" s="34"/>
      <c r="E27" s="34"/>
      <c r="F27" s="34"/>
      <c r="G27" s="34"/>
      <c r="H27" s="35"/>
      <c r="K27" s="84" t="s">
        <v>226</v>
      </c>
    </row>
    <row r="28" ht="69.75" customHeight="1">
      <c r="A28" s="89" t="s">
        <v>227</v>
      </c>
      <c r="B28" s="37" t="s">
        <v>228</v>
      </c>
      <c r="C28" s="34"/>
      <c r="D28" s="34"/>
      <c r="E28" s="34"/>
      <c r="F28" s="34"/>
      <c r="G28" s="34"/>
      <c r="H28" s="35"/>
    </row>
    <row r="29" ht="15.75" customHeight="1">
      <c r="A29" s="92" t="s">
        <v>215</v>
      </c>
      <c r="B29" s="91">
        <v>25.0</v>
      </c>
      <c r="C29" s="34"/>
      <c r="D29" s="34"/>
      <c r="E29" s="34"/>
      <c r="F29" s="34"/>
      <c r="G29" s="34"/>
      <c r="H29" s="35"/>
    </row>
    <row r="30" ht="15.75" customHeight="1"/>
    <row r="31" ht="15.75" customHeight="1"/>
    <row r="32" ht="15.75" customHeight="1">
      <c r="A32" s="93" t="s">
        <v>229</v>
      </c>
      <c r="G32" s="95" t="s">
        <v>205</v>
      </c>
      <c r="H32" s="87">
        <v>5.0</v>
      </c>
    </row>
    <row r="33" ht="15.75" customHeight="1">
      <c r="A33" s="74" t="s">
        <v>230</v>
      </c>
      <c r="G33" s="74" t="s">
        <v>231</v>
      </c>
    </row>
    <row r="34">
      <c r="A34" s="89" t="s">
        <v>232</v>
      </c>
      <c r="B34" s="97" t="s">
        <v>233</v>
      </c>
      <c r="C34" s="34"/>
      <c r="D34" s="34"/>
      <c r="E34" s="34"/>
      <c r="F34" s="34"/>
      <c r="G34" s="34"/>
      <c r="H34" s="35"/>
      <c r="K34" s="84" t="s">
        <v>234</v>
      </c>
    </row>
    <row r="35">
      <c r="A35" s="89" t="s">
        <v>235</v>
      </c>
      <c r="B35" s="37" t="s">
        <v>236</v>
      </c>
      <c r="C35" s="34"/>
      <c r="D35" s="34"/>
      <c r="E35" s="34"/>
      <c r="F35" s="34"/>
      <c r="G35" s="34"/>
      <c r="H35" s="35"/>
    </row>
    <row r="36" ht="15.75" customHeight="1">
      <c r="A36" s="92" t="s">
        <v>215</v>
      </c>
      <c r="B36" s="91">
        <v>5.0</v>
      </c>
      <c r="C36" s="34"/>
      <c r="D36" s="34"/>
      <c r="E36" s="34"/>
      <c r="F36" s="34"/>
      <c r="G36" s="34"/>
      <c r="H36" s="35"/>
    </row>
    <row r="37" ht="15.75" customHeight="1"/>
    <row r="38" ht="15.75" customHeight="1"/>
    <row r="39" ht="15.75" customHeight="1">
      <c r="A39" s="93" t="s">
        <v>237</v>
      </c>
      <c r="G39" s="95" t="s">
        <v>205</v>
      </c>
      <c r="H39" s="96">
        <f>B41</f>
        <v>20</v>
      </c>
    </row>
    <row r="40" ht="15.75" customHeight="1">
      <c r="G40" s="88" t="s">
        <v>238</v>
      </c>
    </row>
    <row r="41" ht="15.75" customHeight="1">
      <c r="A41" s="92" t="s">
        <v>215</v>
      </c>
      <c r="B41" s="91">
        <v>20.0</v>
      </c>
      <c r="C41" s="34"/>
      <c r="D41" s="34"/>
      <c r="E41" s="34"/>
      <c r="F41" s="34"/>
      <c r="G41" s="34"/>
      <c r="H41" s="35"/>
    </row>
    <row r="42" ht="15.75" customHeight="1"/>
    <row r="43" ht="15.75" customHeight="1"/>
    <row r="44" ht="15.75" customHeight="1">
      <c r="A44" s="93" t="s">
        <v>239</v>
      </c>
      <c r="G44" s="95" t="s">
        <v>205</v>
      </c>
      <c r="H44" s="87">
        <v>15.0</v>
      </c>
    </row>
    <row r="45" ht="15.75" customHeight="1">
      <c r="G45" s="88" t="s">
        <v>206</v>
      </c>
    </row>
    <row r="46">
      <c r="A46" s="89" t="s">
        <v>240</v>
      </c>
      <c r="B46" s="37" t="s">
        <v>241</v>
      </c>
      <c r="C46" s="34"/>
      <c r="D46" s="34"/>
      <c r="E46" s="34"/>
      <c r="F46" s="34"/>
      <c r="G46" s="34"/>
      <c r="H46" s="35"/>
    </row>
    <row r="47" ht="15.75" customHeight="1">
      <c r="A47" s="92" t="s">
        <v>215</v>
      </c>
      <c r="B47" s="91">
        <v>15.0</v>
      </c>
      <c r="C47" s="34"/>
      <c r="D47" s="34"/>
      <c r="E47" s="34"/>
      <c r="F47" s="34"/>
      <c r="G47" s="34"/>
      <c r="H47" s="35"/>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2.0</v>
      </c>
      <c r="D5" s="34"/>
      <c r="E5" s="34"/>
      <c r="F5" s="34"/>
      <c r="G5" s="35"/>
    </row>
    <row r="6" ht="15.75" customHeight="1">
      <c r="B6" s="99" t="s">
        <v>202</v>
      </c>
      <c r="C6" s="82">
        <f>H10+H21+H45+H69</f>
        <v>100</v>
      </c>
      <c r="D6" s="34"/>
      <c r="E6" s="34"/>
      <c r="F6" s="34"/>
      <c r="G6" s="35"/>
      <c r="I6" s="6"/>
    </row>
    <row r="7" ht="15.75" customHeight="1">
      <c r="B7" s="99" t="s">
        <v>243</v>
      </c>
      <c r="C7" s="82">
        <f>B50+B61</f>
        <v>1</v>
      </c>
      <c r="D7" s="34"/>
      <c r="E7" s="34"/>
      <c r="F7" s="34"/>
      <c r="G7" s="35"/>
    </row>
    <row r="8">
      <c r="B8" s="99" t="s">
        <v>244</v>
      </c>
      <c r="C8" s="100" t="str">
        <f>IF(H45&lt;=0, "❌ ERROR: La Actividad 1 debe tener un tiempo mayor a 0.", IF(H21&gt;60, "❌ ERROR: El 'Área de Conocimiento' no puede exceder los 60 min.", IF((H10+H21+H45+H69)&lt;100,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02">
        <f>B13</f>
        <v>5</v>
      </c>
    </row>
    <row r="11" ht="15.75" customHeight="1">
      <c r="G11" s="88" t="s">
        <v>246</v>
      </c>
    </row>
    <row r="12" ht="15.75" customHeight="1">
      <c r="A12" s="90" t="s">
        <v>247</v>
      </c>
      <c r="B12" s="103" t="s">
        <v>248</v>
      </c>
      <c r="C12" s="34"/>
      <c r="D12" s="34"/>
      <c r="E12" s="34"/>
      <c r="F12" s="34"/>
      <c r="G12" s="34"/>
      <c r="H12" s="35"/>
    </row>
    <row r="13" ht="15.75" customHeight="1">
      <c r="A13" s="92" t="s">
        <v>205</v>
      </c>
      <c r="B13" s="91">
        <v>5.0</v>
      </c>
      <c r="C13" s="34"/>
      <c r="D13" s="34"/>
      <c r="E13" s="34"/>
      <c r="F13" s="34"/>
      <c r="G13" s="34"/>
      <c r="H13" s="35"/>
    </row>
    <row r="14" ht="15.75" customHeight="1">
      <c r="A14" s="104" t="s">
        <v>249</v>
      </c>
      <c r="B14" s="34"/>
      <c r="C14" s="34"/>
      <c r="D14" s="34"/>
      <c r="E14" s="34"/>
      <c r="F14" s="34"/>
      <c r="G14" s="34"/>
      <c r="H14" s="35"/>
    </row>
    <row r="15" ht="15.75" customHeight="1">
      <c r="A15" s="105" t="s">
        <v>250</v>
      </c>
      <c r="H15" s="106"/>
    </row>
    <row r="16" ht="15.75" customHeight="1">
      <c r="A16" s="69"/>
      <c r="B16" s="69"/>
      <c r="C16" s="69"/>
      <c r="D16" s="69"/>
      <c r="E16" s="69"/>
      <c r="F16" s="69"/>
      <c r="G16" s="69"/>
      <c r="H16" s="70"/>
    </row>
    <row r="17" ht="15.75" customHeight="1">
      <c r="A17" s="104" t="s">
        <v>251</v>
      </c>
      <c r="B17" s="34"/>
      <c r="C17" s="34"/>
      <c r="D17" s="34"/>
      <c r="E17" s="34"/>
      <c r="F17" s="34"/>
      <c r="G17" s="34"/>
      <c r="H17" s="35"/>
    </row>
    <row r="18" ht="15.75" customHeight="1">
      <c r="A18" s="105" t="s">
        <v>252</v>
      </c>
      <c r="H18" s="106"/>
    </row>
    <row r="19" ht="15.75" customHeight="1">
      <c r="A19" s="69"/>
      <c r="B19" s="69"/>
      <c r="C19" s="69"/>
      <c r="D19" s="69"/>
      <c r="E19" s="69"/>
      <c r="F19" s="69"/>
      <c r="G19" s="69"/>
      <c r="H19" s="70"/>
    </row>
    <row r="20" ht="15.75" customHeight="1"/>
    <row r="21" ht="15.75" customHeight="1">
      <c r="A21" s="101" t="s">
        <v>253</v>
      </c>
      <c r="G21" s="95" t="s">
        <v>205</v>
      </c>
      <c r="H21" s="102">
        <f>SUM(D40:H43)</f>
        <v>55</v>
      </c>
      <c r="I21" s="6"/>
    </row>
    <row r="22" ht="15.75" customHeight="1">
      <c r="G22" s="88" t="s">
        <v>254</v>
      </c>
    </row>
    <row r="23" ht="15.75" customHeight="1">
      <c r="A23" s="90" t="s">
        <v>255</v>
      </c>
      <c r="B23" s="91" t="s">
        <v>138</v>
      </c>
      <c r="C23" s="34"/>
      <c r="D23" s="34"/>
      <c r="E23" s="34"/>
      <c r="F23" s="34"/>
      <c r="G23" s="34"/>
      <c r="H23" s="35"/>
    </row>
    <row r="24" ht="15.75" customHeight="1">
      <c r="A24" s="90" t="s">
        <v>255</v>
      </c>
      <c r="B24" s="91" t="s">
        <v>97</v>
      </c>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IFERROR(__xludf.DUMMYFUNCTION("FILTER('Diseño'!D:D,'Diseño'!H:H=$C$5)"),"1. Introducción a las tecnologías de almacenamiento y arquitecturas de los sistemas de 
almacenamiento enfocadas en GNU/LINUX")</f>
        <v>1. Introducción a las tecnologías de almacenamiento y arquitecturas de los sistemas de 
almacenamiento enfocadas en GNU/LINUX</v>
      </c>
      <c r="C28" s="35"/>
      <c r="D28" s="82" t="str">
        <f>IFERROR(__xludf.DUMMYFUNCTION("FILTER('Diseño'!E:E,'Diseño'!H:H=$C$5)"),"Elementos básicos de Almacenamiento")</f>
        <v>Elementos básicos de Almacenamiento</v>
      </c>
      <c r="E28" s="35"/>
      <c r="F28" s="82" t="str">
        <f>IFERROR(__xludf.DUMMYFUNCTION("FILTER('Diseño'!F:F,'Diseño'!H:H=$C$5)"),"Del dato a la información y al conocimiento")</f>
        <v>Del dato a la información y al conocimiento</v>
      </c>
      <c r="G28" s="34"/>
      <c r="H28" s="35"/>
    </row>
    <row r="29" ht="15.75" customHeight="1">
      <c r="A29" s="83">
        <v>2.0</v>
      </c>
      <c r="B29"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29" s="35"/>
      <c r="D29" s="82" t="str">
        <f>IFERROR(__xludf.DUMMYFUNCTION("""COMPUTED_VALUE"""),"Elementos básicos de Almacenamiento")</f>
        <v>Elementos básicos de Almacenamiento</v>
      </c>
      <c r="E29" s="35"/>
      <c r="F29" s="82" t="str">
        <f>IFERROR(__xludf.DUMMYFUNCTION("""COMPUTED_VALUE"""),"Proliferación de los datos")</f>
        <v>Proliferación de los datos</v>
      </c>
      <c r="G29" s="34"/>
      <c r="H29" s="35"/>
    </row>
    <row r="30" ht="15.75" customHeight="1">
      <c r="A30" s="83">
        <v>3.0</v>
      </c>
      <c r="B30"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0" s="35"/>
      <c r="D30" s="82" t="str">
        <f>IFERROR(__xludf.DUMMYFUNCTION("""COMPUTED_VALUE"""),"Elementos básicos de Almacenamiento")</f>
        <v>Elementos básicos de Almacenamiento</v>
      </c>
      <c r="E30" s="35"/>
      <c r="F30" s="82" t="str">
        <f>IFERROR(__xludf.DUMMYFUNCTION("""COMPUTED_VALUE"""),"Formatos en archivos")</f>
        <v>Formatos en archivos</v>
      </c>
      <c r="G30" s="34"/>
      <c r="H30" s="35"/>
    </row>
    <row r="31" ht="15.75" customHeight="1">
      <c r="A31" s="83">
        <v>4.0</v>
      </c>
      <c r="B31"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1" s="35"/>
      <c r="D31" s="82" t="str">
        <f>IFERROR(__xludf.DUMMYFUNCTION("""COMPUTED_VALUE"""),"Elementos básicos de Almacenamiento")</f>
        <v>Elementos básicos de Almacenamiento</v>
      </c>
      <c r="E31" s="35"/>
      <c r="F31" s="82" t="str">
        <f>IFERROR(__xludf.DUMMYFUNCTION("""COMPUTED_VALUE"""),"La variabilidad de los datos en su valor y su uso a lo largo del tiempo")</f>
        <v>La variabilidad de los datos en su valor y su uso a lo largo del tiempo</v>
      </c>
      <c r="G31" s="34"/>
      <c r="H31" s="35"/>
    </row>
    <row r="32" ht="15.75" customHeight="1">
      <c r="A32" s="83">
        <v>5.0</v>
      </c>
      <c r="B32"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2" s="35"/>
      <c r="D32" s="82" t="str">
        <f>IFERROR(__xludf.DUMMYFUNCTION("""COMPUTED_VALUE"""),"Elementos básicos de Almacenamiento")</f>
        <v>Elementos básicos de Almacenamiento</v>
      </c>
      <c r="E32" s="35"/>
      <c r="F32" s="82" t="str">
        <f>IFERROR(__xludf.DUMMYFUNCTION("""COMPUTED_VALUE"""),"Fuentes de datos")</f>
        <v>Fuentes de datos</v>
      </c>
      <c r="G32" s="34"/>
      <c r="H32" s="35"/>
    </row>
    <row r="33" ht="15.75" customHeight="1">
      <c r="A33" s="83">
        <v>6.0</v>
      </c>
      <c r="B33"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3" s="35"/>
      <c r="D33" s="82" t="str">
        <f>IFERROR(__xludf.DUMMYFUNCTION("""COMPUTED_VALUE"""),"Elementos básicos de Almacenamiento")</f>
        <v>Elementos básicos de Almacenamiento</v>
      </c>
      <c r="E33" s="35"/>
      <c r="F33" s="82" t="str">
        <f>IFERROR(__xludf.DUMMYFUNCTION("""COMPUTED_VALUE"""),"Tipos de Fuentes de datos")</f>
        <v>Tipos de Fuentes de datos</v>
      </c>
      <c r="G33" s="34"/>
      <c r="H33" s="35"/>
    </row>
    <row r="34" ht="15.75" customHeight="1">
      <c r="A34" s="83">
        <v>7.0</v>
      </c>
      <c r="B34"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4" s="35"/>
      <c r="D34" s="82" t="str">
        <f>IFERROR(__xludf.DUMMYFUNCTION("""COMPUTED_VALUE"""),"Elementos básicos de Almacenamiento")</f>
        <v>Elementos básicos de Almacenamiento</v>
      </c>
      <c r="E34" s="35"/>
      <c r="F34" s="82" t="str">
        <f>IFERROR(__xludf.DUMMYFUNCTION("""COMPUTED_VALUE"""),"Fuentes comunes de datos")</f>
        <v>Fuentes comunes de datos</v>
      </c>
      <c r="G34" s="34"/>
      <c r="H34" s="35"/>
    </row>
    <row r="35" ht="15.75" customHeight="1">
      <c r="A35" s="110">
        <v>8.0</v>
      </c>
      <c r="B35" s="111"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5" s="111"/>
      <c r="D35" s="111" t="str">
        <f>IFERROR(__xludf.DUMMYFUNCTION("""COMPUTED_VALUE"""),"Elementos básicos de Almacenamiento")</f>
        <v>Elementos básicos de Almacenamiento</v>
      </c>
      <c r="E35" s="111"/>
      <c r="F35" s="112" t="str">
        <f>IFERROR(__xludf.DUMMYFUNCTION("""COMPUTED_VALUE"""),"El ciclo de vida de los datos")</f>
        <v>El ciclo de vida de los datos</v>
      </c>
      <c r="G35" s="34"/>
      <c r="H35" s="35"/>
    </row>
    <row r="36" ht="15.75" customHeight="1">
      <c r="A36" s="107"/>
    </row>
    <row r="37" ht="15.75" customHeight="1">
      <c r="A37" s="107" t="s">
        <v>260</v>
      </c>
    </row>
    <row r="38" ht="15.75" customHeight="1">
      <c r="A38" s="6"/>
      <c r="B38" s="6"/>
      <c r="C38" s="6"/>
      <c r="D38" s="6"/>
      <c r="E38" s="6"/>
      <c r="F38" s="6"/>
      <c r="G38" s="6"/>
      <c r="H38" s="6"/>
    </row>
    <row r="39">
      <c r="A39" s="108" t="s">
        <v>261</v>
      </c>
      <c r="B39" s="108" t="s">
        <v>29</v>
      </c>
      <c r="C39" s="113" t="s">
        <v>262</v>
      </c>
      <c r="D39" s="114" t="s">
        <v>263</v>
      </c>
      <c r="E39" s="34"/>
      <c r="F39" s="34"/>
      <c r="G39" s="34"/>
      <c r="H39" s="35"/>
      <c r="I39" s="115" t="s">
        <v>18</v>
      </c>
    </row>
    <row r="40" ht="15.75" customHeight="1">
      <c r="A40" s="83" t="s">
        <v>264</v>
      </c>
      <c r="B40" s="83" t="s">
        <v>265</v>
      </c>
      <c r="C40" s="83">
        <v>30.0</v>
      </c>
      <c r="D40" s="91">
        <v>25.0</v>
      </c>
      <c r="E40" s="34"/>
      <c r="F40" s="34"/>
      <c r="G40" s="34"/>
      <c r="H40" s="35"/>
      <c r="I40" s="83" t="str">
        <f t="shared" ref="I40:I43" si="1">IF(D40&lt;=C40,"Correcto", "Corregir")</f>
        <v>Correcto</v>
      </c>
    </row>
    <row r="41" ht="15.75" customHeight="1">
      <c r="A41" s="83" t="s">
        <v>266</v>
      </c>
      <c r="B41" s="83" t="s">
        <v>265</v>
      </c>
      <c r="C41" s="83">
        <v>6.0</v>
      </c>
      <c r="D41" s="91">
        <v>0.0</v>
      </c>
      <c r="E41" s="34"/>
      <c r="F41" s="34"/>
      <c r="G41" s="34"/>
      <c r="H41" s="35"/>
      <c r="I41" s="83" t="str">
        <f t="shared" si="1"/>
        <v>Correcto</v>
      </c>
    </row>
    <row r="42" ht="15.75" customHeight="1">
      <c r="A42" s="83" t="s">
        <v>267</v>
      </c>
      <c r="B42" s="83" t="s">
        <v>268</v>
      </c>
      <c r="C42" s="83">
        <v>10.0</v>
      </c>
      <c r="D42" s="91">
        <v>0.0</v>
      </c>
      <c r="E42" s="34"/>
      <c r="F42" s="34"/>
      <c r="G42" s="34"/>
      <c r="H42" s="35"/>
      <c r="I42" s="83" t="str">
        <f t="shared" si="1"/>
        <v>Correcto</v>
      </c>
    </row>
    <row r="43" ht="15.75" customHeight="1">
      <c r="A43" s="83" t="s">
        <v>269</v>
      </c>
      <c r="B43" s="83" t="s">
        <v>265</v>
      </c>
      <c r="C43" s="83">
        <v>30.0</v>
      </c>
      <c r="D43" s="91">
        <v>30.0</v>
      </c>
      <c r="E43" s="34"/>
      <c r="F43" s="34"/>
      <c r="G43" s="34"/>
      <c r="H43" s="35"/>
      <c r="I43" s="83" t="str">
        <f t="shared" si="1"/>
        <v>Correcto</v>
      </c>
    </row>
    <row r="44" ht="15.75" customHeight="1"/>
    <row r="45" ht="15.75" customHeight="1">
      <c r="A45" s="101" t="s">
        <v>270</v>
      </c>
      <c r="G45" s="95" t="s">
        <v>205</v>
      </c>
      <c r="H45" s="102">
        <f>B51</f>
        <v>30</v>
      </c>
    </row>
    <row r="46" ht="15.75" customHeight="1">
      <c r="G46" s="88" t="s">
        <v>271</v>
      </c>
    </row>
    <row r="47" ht="15.75" customHeight="1">
      <c r="A47" s="88" t="s">
        <v>272</v>
      </c>
    </row>
    <row r="48">
      <c r="A48" s="90" t="s">
        <v>273</v>
      </c>
      <c r="B48" s="91" t="s">
        <v>170</v>
      </c>
      <c r="C48" s="34"/>
      <c r="D48" s="34"/>
      <c r="E48" s="34"/>
      <c r="F48" s="34"/>
      <c r="G48" s="34"/>
      <c r="H48" s="35"/>
    </row>
    <row r="49" ht="15.75" customHeight="1">
      <c r="A49" s="90" t="s">
        <v>8</v>
      </c>
      <c r="B49" s="91" t="s">
        <v>274</v>
      </c>
      <c r="C49" s="34"/>
      <c r="D49" s="34"/>
      <c r="E49" s="34"/>
      <c r="F49" s="34"/>
      <c r="G49" s="34"/>
      <c r="H49" s="35"/>
    </row>
    <row r="50" ht="15.75" customHeight="1">
      <c r="A50" s="90" t="s">
        <v>243</v>
      </c>
      <c r="B50" s="116">
        <v>1.0</v>
      </c>
      <c r="C50" s="34"/>
      <c r="D50" s="34"/>
      <c r="E50" s="34"/>
      <c r="F50" s="34"/>
      <c r="G50" s="34"/>
      <c r="H50" s="35"/>
    </row>
    <row r="51" ht="15.75" customHeight="1">
      <c r="A51" s="90" t="s">
        <v>205</v>
      </c>
      <c r="B51" s="91">
        <v>30.0</v>
      </c>
      <c r="C51" s="34"/>
      <c r="D51" s="34"/>
      <c r="E51" s="34"/>
      <c r="F51" s="34"/>
      <c r="G51" s="34"/>
      <c r="H51" s="35"/>
    </row>
    <row r="52" ht="15.75" customHeight="1">
      <c r="A52" s="117" t="s">
        <v>275</v>
      </c>
      <c r="B52" s="6"/>
      <c r="C52" s="6"/>
      <c r="D52" s="6"/>
      <c r="E52" s="6"/>
      <c r="F52" s="6"/>
      <c r="G52" s="6"/>
      <c r="H52" s="6"/>
    </row>
    <row r="53" ht="15.75" customHeight="1">
      <c r="A53" s="104" t="s">
        <v>276</v>
      </c>
      <c r="B53" s="34"/>
      <c r="C53" s="34"/>
      <c r="D53" s="34"/>
      <c r="E53" s="34"/>
      <c r="F53" s="34"/>
      <c r="G53" s="34"/>
      <c r="H53" s="35"/>
    </row>
    <row r="54" ht="15.75" customHeight="1">
      <c r="A54" s="65" t="s">
        <v>277</v>
      </c>
      <c r="B54" s="66"/>
      <c r="C54" s="66"/>
      <c r="D54" s="66"/>
      <c r="E54" s="66"/>
      <c r="F54" s="66"/>
      <c r="G54" s="66"/>
      <c r="H54" s="67"/>
    </row>
    <row r="55" ht="15.75" customHeight="1">
      <c r="A55" s="118"/>
      <c r="H55" s="106"/>
    </row>
    <row r="56" ht="15.75" customHeight="1">
      <c r="A56" s="68"/>
      <c r="B56" s="69"/>
      <c r="C56" s="69"/>
      <c r="D56" s="69"/>
      <c r="E56" s="69"/>
      <c r="F56" s="69"/>
      <c r="G56" s="69"/>
      <c r="H56" s="70"/>
    </row>
    <row r="57" ht="15.75" customHeight="1"/>
    <row r="58" ht="15.75" customHeight="1">
      <c r="A58" s="88" t="s">
        <v>278</v>
      </c>
    </row>
    <row r="59">
      <c r="A59" s="90" t="s">
        <v>273</v>
      </c>
      <c r="B59" s="82"/>
      <c r="C59" s="34"/>
      <c r="D59" s="34"/>
      <c r="E59" s="34"/>
      <c r="F59" s="34"/>
      <c r="G59" s="34"/>
      <c r="H59" s="35"/>
    </row>
    <row r="60" ht="15.75" customHeight="1">
      <c r="A60" s="90" t="s">
        <v>8</v>
      </c>
      <c r="B60" s="82"/>
      <c r="C60" s="34"/>
      <c r="D60" s="34"/>
      <c r="E60" s="34"/>
      <c r="F60" s="34"/>
      <c r="G60" s="34"/>
      <c r="H60" s="35"/>
    </row>
    <row r="61" ht="15.75" customHeight="1">
      <c r="A61" s="90" t="s">
        <v>243</v>
      </c>
      <c r="B61" s="119"/>
      <c r="C61" s="34"/>
      <c r="D61" s="34"/>
      <c r="E61" s="34"/>
      <c r="F61" s="34"/>
      <c r="G61" s="34"/>
      <c r="H61" s="35"/>
    </row>
    <row r="62" ht="15.75" customHeight="1">
      <c r="A62" s="90" t="s">
        <v>205</v>
      </c>
      <c r="B62" s="119"/>
      <c r="C62" s="34"/>
      <c r="D62" s="34"/>
      <c r="E62" s="34"/>
      <c r="F62" s="34"/>
      <c r="G62" s="34"/>
      <c r="H62" s="35"/>
    </row>
    <row r="63" ht="15.75" customHeight="1">
      <c r="A63" s="120" t="s">
        <v>279</v>
      </c>
      <c r="B63" s="6"/>
      <c r="C63" s="6"/>
      <c r="D63" s="6"/>
      <c r="E63" s="6"/>
      <c r="F63" s="6"/>
      <c r="G63" s="6"/>
      <c r="H63" s="6"/>
    </row>
    <row r="64" ht="15.75" customHeight="1">
      <c r="A64" s="104" t="s">
        <v>276</v>
      </c>
      <c r="B64" s="34"/>
      <c r="C64" s="34"/>
      <c r="D64" s="34"/>
      <c r="E64" s="34"/>
      <c r="F64" s="34"/>
      <c r="G64" s="34"/>
      <c r="H64" s="35"/>
    </row>
    <row r="65" ht="15.75" customHeight="1">
      <c r="A65" s="121"/>
      <c r="B65" s="66"/>
      <c r="C65" s="66"/>
      <c r="D65" s="66"/>
      <c r="E65" s="66"/>
      <c r="F65" s="66"/>
      <c r="G65" s="66"/>
      <c r="H65" s="67"/>
    </row>
    <row r="66" ht="15.75" customHeight="1">
      <c r="A66" s="118"/>
      <c r="H66" s="106"/>
    </row>
    <row r="67" ht="15.75" customHeight="1">
      <c r="A67" s="68"/>
      <c r="B67" s="69"/>
      <c r="C67" s="69"/>
      <c r="D67" s="69"/>
      <c r="E67" s="69"/>
      <c r="F67" s="69"/>
      <c r="G67" s="69"/>
      <c r="H67" s="70"/>
    </row>
    <row r="68" ht="15.75" customHeight="1"/>
    <row r="69" ht="15.75" customHeight="1">
      <c r="A69" s="101" t="s">
        <v>280</v>
      </c>
      <c r="G69" s="95" t="s">
        <v>205</v>
      </c>
      <c r="H69" s="102">
        <f>B71</f>
        <v>10</v>
      </c>
    </row>
    <row r="70" ht="15.75" customHeight="1">
      <c r="G70" s="88" t="s">
        <v>281</v>
      </c>
    </row>
    <row r="71" ht="15.75" customHeight="1">
      <c r="A71" s="90" t="s">
        <v>205</v>
      </c>
      <c r="B71" s="116">
        <v>10.0</v>
      </c>
      <c r="C71" s="34"/>
      <c r="D71" s="34"/>
      <c r="E71" s="34"/>
      <c r="F71" s="34"/>
      <c r="G71" s="34"/>
      <c r="H71" s="35"/>
    </row>
    <row r="72" ht="15.75" customHeight="1">
      <c r="A72" s="114" t="s">
        <v>282</v>
      </c>
      <c r="B72" s="34"/>
      <c r="C72" s="34"/>
      <c r="D72" s="34"/>
      <c r="E72" s="34"/>
      <c r="F72" s="34"/>
      <c r="G72" s="34"/>
      <c r="H72" s="35"/>
    </row>
    <row r="73" ht="15.75" customHeight="1">
      <c r="A73" s="65" t="s">
        <v>283</v>
      </c>
      <c r="B73" s="66"/>
      <c r="C73" s="66"/>
      <c r="D73" s="66"/>
      <c r="E73" s="66"/>
      <c r="F73" s="66"/>
      <c r="G73" s="66"/>
      <c r="H73" s="67"/>
    </row>
    <row r="74" ht="15.75" customHeight="1">
      <c r="A74" s="68"/>
      <c r="B74" s="69"/>
      <c r="C74" s="69"/>
      <c r="D74" s="69"/>
      <c r="E74" s="69"/>
      <c r="F74" s="69"/>
      <c r="G74" s="69"/>
      <c r="H74" s="70"/>
    </row>
    <row r="75" ht="15.75" customHeight="1">
      <c r="A75" s="88" t="s">
        <v>284</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D39:H39"/>
    <mergeCell ref="D40:H40"/>
    <mergeCell ref="D41:H41"/>
    <mergeCell ref="D42:H42"/>
  </mergeCells>
  <conditionalFormatting sqref="D40:H43">
    <cfRule type="cellIs" dxfId="0" priority="1" operator="between">
      <formula>0</formula>
      <formula>45</formula>
    </cfRule>
  </conditionalFormatting>
  <dataValidations>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8 B59">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242</v>
      </c>
    </row>
    <row r="3" ht="15.75" customHeight="1"/>
    <row r="4" ht="15.75" customHeight="1">
      <c r="B4" s="122" t="s">
        <v>1</v>
      </c>
      <c r="C4" s="98" t="str">
        <f>'Diseño'!C4</f>
        <v>773 - Manejo e Implementación de Archivos</v>
      </c>
      <c r="D4" s="34"/>
      <c r="E4" s="34"/>
      <c r="F4" s="34"/>
      <c r="G4" s="35"/>
    </row>
    <row r="5" ht="15.75" customHeight="1">
      <c r="B5" s="83" t="s">
        <v>84</v>
      </c>
      <c r="C5" s="82">
        <v>3.0</v>
      </c>
      <c r="D5" s="34"/>
      <c r="E5" s="34"/>
      <c r="F5" s="34"/>
      <c r="G5" s="35"/>
    </row>
    <row r="6" ht="15.75" customHeight="1">
      <c r="B6" s="99" t="s">
        <v>202</v>
      </c>
      <c r="C6" s="91">
        <v>100.0</v>
      </c>
      <c r="D6" s="34"/>
      <c r="E6" s="34"/>
      <c r="F6" s="34"/>
      <c r="G6" s="35"/>
      <c r="I6" s="6"/>
    </row>
    <row r="7" ht="15.75" customHeight="1">
      <c r="B7" s="99" t="s">
        <v>243</v>
      </c>
      <c r="C7" s="91">
        <v>1.0</v>
      </c>
      <c r="D7" s="34"/>
      <c r="E7" s="34"/>
      <c r="F7" s="34"/>
      <c r="G7" s="35"/>
    </row>
    <row r="8" ht="15.75" customHeight="1">
      <c r="B8" s="99" t="s">
        <v>244</v>
      </c>
      <c r="C8" s="100" t="str">
        <f>IF(H49&lt;=0, "❌ ERROR: La Actividad 1 debe tener un tiempo mayor a 0.", IF(H21&gt;60, "❌ ERROR: El 'Área de Conocimiento' no puede exceder los 60 min.", IF((H10+H21+H49+H73)&lt;100,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02">
        <f>B13</f>
        <v>15</v>
      </c>
    </row>
    <row r="11" ht="15.75" customHeight="1">
      <c r="G11" s="88" t="s">
        <v>246</v>
      </c>
    </row>
    <row r="12" ht="15.75" customHeight="1">
      <c r="A12" s="90" t="s">
        <v>247</v>
      </c>
      <c r="B12" s="91" t="s">
        <v>285</v>
      </c>
      <c r="C12" s="34"/>
      <c r="D12" s="34"/>
      <c r="E12" s="34"/>
      <c r="F12" s="34"/>
      <c r="G12" s="34"/>
      <c r="H12" s="35"/>
    </row>
    <row r="13" ht="15.75" customHeight="1">
      <c r="A13" s="92" t="s">
        <v>205</v>
      </c>
      <c r="B13" s="91">
        <v>15.0</v>
      </c>
      <c r="C13" s="34"/>
      <c r="D13" s="34"/>
      <c r="E13" s="34"/>
      <c r="F13" s="34"/>
      <c r="G13" s="34"/>
      <c r="H13" s="35"/>
    </row>
    <row r="14" ht="15.75" customHeight="1">
      <c r="A14" s="104" t="s">
        <v>249</v>
      </c>
      <c r="B14" s="34"/>
      <c r="C14" s="34"/>
      <c r="D14" s="34"/>
      <c r="E14" s="34"/>
      <c r="F14" s="34"/>
      <c r="G14" s="34"/>
      <c r="H14" s="35"/>
    </row>
    <row r="15" ht="15.75" customHeight="1">
      <c r="A15" s="123" t="s">
        <v>286</v>
      </c>
      <c r="H15" s="106"/>
    </row>
    <row r="16" ht="15.75" customHeight="1">
      <c r="A16" s="69"/>
      <c r="B16" s="69"/>
      <c r="C16" s="69"/>
      <c r="D16" s="69"/>
      <c r="E16" s="69"/>
      <c r="F16" s="69"/>
      <c r="G16" s="69"/>
      <c r="H16" s="70"/>
    </row>
    <row r="17" ht="15.75" customHeight="1">
      <c r="A17" s="104" t="s">
        <v>251</v>
      </c>
      <c r="B17" s="34"/>
      <c r="C17" s="34"/>
      <c r="D17" s="34"/>
      <c r="E17" s="34"/>
      <c r="F17" s="34"/>
      <c r="G17" s="34"/>
      <c r="H17" s="35"/>
    </row>
    <row r="18" ht="15.75" customHeight="1">
      <c r="A18" s="121"/>
      <c r="B18" s="66"/>
      <c r="C18" s="66"/>
      <c r="D18" s="66"/>
      <c r="E18" s="66"/>
      <c r="F18" s="66"/>
      <c r="G18" s="66"/>
      <c r="H18" s="67"/>
    </row>
    <row r="19" ht="15.75" customHeight="1">
      <c r="A19" s="68"/>
      <c r="B19" s="69"/>
      <c r="C19" s="69"/>
      <c r="D19" s="69"/>
      <c r="E19" s="69"/>
      <c r="F19" s="69"/>
      <c r="G19" s="69"/>
      <c r="H19" s="70"/>
    </row>
    <row r="20" ht="15.75" customHeight="1"/>
    <row r="21" ht="15.75" customHeight="1">
      <c r="A21" s="101" t="s">
        <v>253</v>
      </c>
      <c r="G21" s="95" t="s">
        <v>205</v>
      </c>
      <c r="H21" s="124">
        <v>55.0</v>
      </c>
      <c r="I21" s="6"/>
    </row>
    <row r="22" ht="15.75" customHeight="1">
      <c r="G22" s="88" t="s">
        <v>254</v>
      </c>
    </row>
    <row r="23" ht="15.75" customHeight="1">
      <c r="A23" s="90" t="s">
        <v>255</v>
      </c>
      <c r="B23" s="91" t="s">
        <v>138</v>
      </c>
      <c r="C23" s="34"/>
      <c r="D23" s="34"/>
      <c r="E23" s="34"/>
      <c r="F23" s="34"/>
      <c r="G23" s="34"/>
      <c r="H23" s="35"/>
    </row>
    <row r="24" ht="15.75" customHeight="1">
      <c r="A24" s="90" t="s">
        <v>255</v>
      </c>
      <c r="B24" s="91" t="s">
        <v>97</v>
      </c>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IFERROR(__xludf.DUMMYFUNCTION("FILTER('Diseño'!D:D,'Diseño'!H:H=$C$5)"),"1. Introducción a las tecnologías de almacenamiento y arquitecturas de los sistemas de 
almacenamiento enfocadas en GNU/LINUX")</f>
        <v>1. Introducción a las tecnologías de almacenamiento y arquitecturas de los sistemas de 
almacenamiento enfocadas en GNU/LINUX</v>
      </c>
      <c r="C28" s="35"/>
      <c r="D28" s="82" t="str">
        <f>IFERROR(__xludf.DUMMYFUNCTION("FILTER('Diseño'!E:E,'Diseño'!H:H=$C$5)"),"Tipos de almacenamiento")</f>
        <v>Tipos de almacenamiento</v>
      </c>
      <c r="E28" s="35"/>
      <c r="F28" s="82" t="str">
        <f>IFERROR(__xludf.DUMMYFUNCTION("FILTER('Diseño'!F:F,'Diseño'!H:H=$C$5)"),"Tecnologias y metodos de Almacenamiento de Datos")</f>
        <v>Tecnologias y metodos de Almacenamiento de Datos</v>
      </c>
      <c r="G28" s="34"/>
      <c r="H28" s="35"/>
    </row>
    <row r="29" ht="15.75" customHeight="1">
      <c r="A29" s="83">
        <v>2.0</v>
      </c>
      <c r="B29"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29" s="35"/>
      <c r="D29" s="82" t="str">
        <f>IFERROR(__xludf.DUMMYFUNCTION("""COMPUTED_VALUE"""),"Tipos de almacenamiento")</f>
        <v>Tipos de almacenamiento</v>
      </c>
      <c r="E29" s="35"/>
      <c r="F29" s="82" t="str">
        <f>IFERROR(__xludf.DUMMYFUNCTION("""COMPUTED_VALUE"""),"Almacenamiento a nivel Fisico")</f>
        <v>Almacenamiento a nivel Fisico</v>
      </c>
      <c r="G29" s="34"/>
      <c r="H29" s="35"/>
    </row>
    <row r="30" ht="15.75" customHeight="1">
      <c r="A30" s="83">
        <v>3.0</v>
      </c>
      <c r="B30"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0" s="35"/>
      <c r="D30" s="82" t="str">
        <f>IFERROR(__xludf.DUMMYFUNCTION("""COMPUTED_VALUE"""),"Tipos de almacenamiento")</f>
        <v>Tipos de almacenamiento</v>
      </c>
      <c r="E30" s="35"/>
      <c r="F30" s="82" t="str">
        <f>IFERROR(__xludf.DUMMYFUNCTION("""COMPUTED_VALUE"""),"Proliferecion de nuevas Tecnologias y metodos de Almacenamiento")</f>
        <v>Proliferecion de nuevas Tecnologias y metodos de Almacenamiento</v>
      </c>
      <c r="G30" s="34"/>
      <c r="H30" s="35"/>
    </row>
    <row r="31" ht="15.75" customHeight="1">
      <c r="A31" s="83">
        <v>4.0</v>
      </c>
      <c r="B31"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1" s="35"/>
      <c r="D31" s="82" t="str">
        <f>IFERROR(__xludf.DUMMYFUNCTION("""COMPUTED_VALUE"""),"Tipos de almacenamiento")</f>
        <v>Tipos de almacenamiento</v>
      </c>
      <c r="E31" s="35"/>
      <c r="F31" s="82" t="str">
        <f>IFERROR(__xludf.DUMMYFUNCTION("""COMPUTED_VALUE"""),"Tecnologias usadas para compartir Archivos")</f>
        <v>Tecnologias usadas para compartir Archivos</v>
      </c>
      <c r="G31" s="34"/>
      <c r="H31" s="35"/>
    </row>
    <row r="32" ht="15.75" customHeight="1">
      <c r="A32" s="83">
        <v>5.0</v>
      </c>
      <c r="B32"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2" s="35"/>
      <c r="D32" s="82" t="str">
        <f>IFERROR(__xludf.DUMMYFUNCTION("""COMPUTED_VALUE"""),"Tipos de almacenamiento")</f>
        <v>Tipos de almacenamiento</v>
      </c>
      <c r="E32" s="35"/>
      <c r="F32" s="82" t="str">
        <f>IFERROR(__xludf.DUMMYFUNCTION("""COMPUTED_VALUE"""),"Almacenamiento distribuido")</f>
        <v>Almacenamiento distribuido</v>
      </c>
      <c r="G32" s="34"/>
      <c r="H32" s="35"/>
    </row>
    <row r="33" ht="15.75" customHeight="1">
      <c r="A33" s="83">
        <v>6.0</v>
      </c>
      <c r="B33"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3" s="35"/>
      <c r="D33" s="82" t="str">
        <f>IFERROR(__xludf.DUMMYFUNCTION("""COMPUTED_VALUE"""),"Tipos de almacenamiento")</f>
        <v>Tipos de almacenamiento</v>
      </c>
      <c r="E33" s="35"/>
      <c r="F33" s="82" t="str">
        <f>IFERROR(__xludf.DUMMYFUNCTION("""COMPUTED_VALUE"""),"Dispositivos de almacenamiento secundario")</f>
        <v>Dispositivos de almacenamiento secundario</v>
      </c>
      <c r="G33" s="34"/>
      <c r="H33" s="35"/>
    </row>
    <row r="34" ht="15.75" customHeight="1">
      <c r="A34" s="83">
        <v>7.0</v>
      </c>
      <c r="B34"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4" s="35"/>
      <c r="D34" s="82" t="str">
        <f>IFERROR(__xludf.DUMMYFUNCTION("""COMPUTED_VALUE"""),"Tipos de almacenamiento")</f>
        <v>Tipos de almacenamiento</v>
      </c>
      <c r="E34" s="35"/>
      <c r="F34" s="82" t="str">
        <f>IFERROR(__xludf.DUMMYFUNCTION("""COMPUTED_VALUE"""),"Ventajas y desventajas de los dispositivos de almacenamiento")</f>
        <v>Ventajas y desventajas de los dispositivos de almacenamiento</v>
      </c>
      <c r="G34" s="34"/>
      <c r="H34" s="35"/>
    </row>
    <row r="35" ht="15.75" customHeight="1">
      <c r="A35" s="125">
        <v>8.0</v>
      </c>
      <c r="B35" s="11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5" s="35"/>
      <c r="D35" s="111" t="str">
        <f>IFERROR(__xludf.DUMMYFUNCTION("""COMPUTED_VALUE"""),"Tipos de almacenamiento")</f>
        <v>Tipos de almacenamiento</v>
      </c>
      <c r="E35" s="111"/>
      <c r="F35" s="112" t="str">
        <f>IFERROR(__xludf.DUMMYFUNCTION("""COMPUTED_VALUE"""),"La evolución de los dispositivos de almacenamiento")</f>
        <v>La evolución de los dispositivos de almacenamiento</v>
      </c>
      <c r="G35" s="34"/>
      <c r="H35" s="35"/>
    </row>
    <row r="36" ht="15.75" customHeight="1">
      <c r="A36" s="125">
        <v>9.0</v>
      </c>
      <c r="B36" s="11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6" s="35"/>
      <c r="D36" s="111" t="str">
        <f>IFERROR(__xludf.DUMMYFUNCTION("""COMPUTED_VALUE"""),"Tipos de almacenamiento")</f>
        <v>Tipos de almacenamiento</v>
      </c>
      <c r="E36" s="111"/>
      <c r="F36" s="112" t="str">
        <f>IFERROR(__xludf.DUMMYFUNCTION("""COMPUTED_VALUE"""),"Comparativa entre HDD y SDD")</f>
        <v>Comparativa entre HDD y SDD</v>
      </c>
      <c r="G36" s="34"/>
      <c r="H36" s="35"/>
    </row>
    <row r="37" ht="15.75" customHeight="1">
      <c r="A37" s="125">
        <v>10.0</v>
      </c>
      <c r="B37" s="11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7" s="35"/>
      <c r="D37" s="111" t="str">
        <f>IFERROR(__xludf.DUMMYFUNCTION("""COMPUTED_VALUE"""),"Tipos de almacenamiento")</f>
        <v>Tipos de almacenamiento</v>
      </c>
      <c r="E37" s="111"/>
      <c r="F37" s="112" t="str">
        <f>IFERROR(__xludf.DUMMYFUNCTION("""COMPUTED_VALUE"""),"Comparativa entre el almacenamiento en red y en la nube")</f>
        <v>Comparativa entre el almacenamiento en red y en la nube</v>
      </c>
      <c r="G37" s="34"/>
      <c r="H37" s="35"/>
    </row>
    <row r="38" ht="15.75" customHeight="1">
      <c r="A38" s="125">
        <v>11.0</v>
      </c>
      <c r="B38" s="11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8" s="35"/>
      <c r="D38" s="112" t="str">
        <f>IFERROR(__xludf.DUMMYFUNCTION("""COMPUTED_VALUE"""),"RAID")</f>
        <v>RAID</v>
      </c>
      <c r="E38" s="35"/>
      <c r="F38" s="112" t="str">
        <f>IFERROR(__xludf.DUMMYFUNCTION("""COMPUTED_VALUE"""),"Conceptos fundamentales del manejo de archivos")</f>
        <v>Conceptos fundamentales del manejo de archivos</v>
      </c>
      <c r="G38" s="34"/>
      <c r="H38" s="35"/>
    </row>
    <row r="39" ht="15.75" customHeight="1">
      <c r="A39" s="125">
        <v>12.0</v>
      </c>
      <c r="B39" s="112"/>
      <c r="C39" s="35"/>
      <c r="D39" s="112"/>
      <c r="E39" s="35"/>
      <c r="F39" s="112"/>
      <c r="G39" s="34"/>
      <c r="H39" s="35"/>
    </row>
    <row r="40" ht="15.75" customHeight="1">
      <c r="A40" s="107"/>
    </row>
    <row r="41" ht="15.75" customHeight="1">
      <c r="A41" s="107" t="s">
        <v>260</v>
      </c>
    </row>
    <row r="42" ht="15.75" customHeight="1">
      <c r="A42" s="6"/>
      <c r="B42" s="6"/>
      <c r="C42" s="6"/>
      <c r="D42" s="6"/>
      <c r="E42" s="6"/>
      <c r="F42" s="6"/>
      <c r="G42" s="6"/>
      <c r="H42" s="6"/>
    </row>
    <row r="43">
      <c r="A43" s="108" t="s">
        <v>261</v>
      </c>
      <c r="B43" s="108" t="s">
        <v>29</v>
      </c>
      <c r="C43" s="113" t="s">
        <v>262</v>
      </c>
      <c r="D43" s="114" t="s">
        <v>263</v>
      </c>
      <c r="E43" s="34"/>
      <c r="F43" s="34"/>
      <c r="G43" s="34"/>
      <c r="H43" s="35"/>
      <c r="I43" s="115" t="s">
        <v>18</v>
      </c>
    </row>
    <row r="44" ht="15.75" customHeight="1">
      <c r="A44" s="83" t="s">
        <v>264</v>
      </c>
      <c r="B44" s="83" t="s">
        <v>265</v>
      </c>
      <c r="C44" s="83">
        <v>30.0</v>
      </c>
      <c r="D44" s="91">
        <v>25.0</v>
      </c>
      <c r="E44" s="34"/>
      <c r="F44" s="34"/>
      <c r="G44" s="34"/>
      <c r="H44" s="35"/>
      <c r="I44" s="83" t="str">
        <f t="shared" ref="I44:I47" si="1">IF(D44&lt;=C44,"Correcto", "Corregir")</f>
        <v>Correcto</v>
      </c>
    </row>
    <row r="45" ht="15.75" customHeight="1">
      <c r="A45" s="83" t="s">
        <v>266</v>
      </c>
      <c r="B45" s="83" t="s">
        <v>265</v>
      </c>
      <c r="C45" s="83">
        <v>6.0</v>
      </c>
      <c r="D45" s="91">
        <v>0.0</v>
      </c>
      <c r="E45" s="34"/>
      <c r="F45" s="34"/>
      <c r="G45" s="34"/>
      <c r="H45" s="35"/>
      <c r="I45" s="83" t="str">
        <f t="shared" si="1"/>
        <v>Correcto</v>
      </c>
    </row>
    <row r="46" ht="15.75" customHeight="1">
      <c r="A46" s="83" t="s">
        <v>267</v>
      </c>
      <c r="B46" s="83" t="s">
        <v>268</v>
      </c>
      <c r="C46" s="83">
        <v>10.0</v>
      </c>
      <c r="D46" s="91">
        <v>0.0</v>
      </c>
      <c r="E46" s="34"/>
      <c r="F46" s="34"/>
      <c r="G46" s="34"/>
      <c r="H46" s="35"/>
      <c r="I46" s="83" t="str">
        <f t="shared" si="1"/>
        <v>Correcto</v>
      </c>
    </row>
    <row r="47" ht="15.75" customHeight="1">
      <c r="A47" s="83" t="s">
        <v>269</v>
      </c>
      <c r="B47" s="83" t="s">
        <v>265</v>
      </c>
      <c r="C47" s="83">
        <v>30.0</v>
      </c>
      <c r="D47" s="91">
        <v>30.0</v>
      </c>
      <c r="E47" s="34"/>
      <c r="F47" s="34"/>
      <c r="G47" s="34"/>
      <c r="H47" s="35"/>
      <c r="I47" s="83" t="str">
        <f t="shared" si="1"/>
        <v>Correcto</v>
      </c>
    </row>
    <row r="48" ht="15.75" customHeight="1"/>
    <row r="49" ht="15.75" customHeight="1">
      <c r="A49" s="101" t="s">
        <v>270</v>
      </c>
      <c r="G49" s="95" t="s">
        <v>205</v>
      </c>
      <c r="H49" s="124">
        <v>30.0</v>
      </c>
    </row>
    <row r="50" ht="15.75" customHeight="1">
      <c r="G50" s="88" t="s">
        <v>271</v>
      </c>
    </row>
    <row r="51" ht="15.75" customHeight="1">
      <c r="A51" s="88" t="s">
        <v>272</v>
      </c>
    </row>
    <row r="52">
      <c r="A52" s="90" t="s">
        <v>273</v>
      </c>
      <c r="B52" s="91" t="s">
        <v>138</v>
      </c>
      <c r="C52" s="34"/>
      <c r="D52" s="34"/>
      <c r="E52" s="34"/>
      <c r="F52" s="34"/>
      <c r="G52" s="34"/>
      <c r="H52" s="35"/>
    </row>
    <row r="53" ht="15.75" customHeight="1">
      <c r="A53" s="90" t="s">
        <v>8</v>
      </c>
      <c r="B53" s="91" t="s">
        <v>287</v>
      </c>
      <c r="C53" s="34"/>
      <c r="D53" s="34"/>
      <c r="E53" s="34"/>
      <c r="F53" s="34"/>
      <c r="G53" s="34"/>
      <c r="H53" s="35"/>
    </row>
    <row r="54" ht="15.75" customHeight="1">
      <c r="A54" s="90" t="s">
        <v>243</v>
      </c>
      <c r="B54" s="116">
        <v>1.0</v>
      </c>
      <c r="C54" s="34"/>
      <c r="D54" s="34"/>
      <c r="E54" s="34"/>
      <c r="F54" s="34"/>
      <c r="G54" s="34"/>
      <c r="H54" s="35"/>
    </row>
    <row r="55" ht="15.75" customHeight="1">
      <c r="A55" s="90" t="s">
        <v>205</v>
      </c>
      <c r="B55" s="91">
        <v>30.0</v>
      </c>
      <c r="C55" s="34"/>
      <c r="D55" s="34"/>
      <c r="E55" s="34"/>
      <c r="F55" s="34"/>
      <c r="G55" s="34"/>
      <c r="H55" s="35"/>
    </row>
    <row r="56" ht="15.75" customHeight="1">
      <c r="A56" s="117" t="s">
        <v>275</v>
      </c>
      <c r="B56" s="6"/>
      <c r="C56" s="6"/>
      <c r="D56" s="6"/>
      <c r="E56" s="6"/>
      <c r="F56" s="6"/>
      <c r="G56" s="6"/>
      <c r="H56" s="6"/>
    </row>
    <row r="57" ht="15.75" customHeight="1">
      <c r="A57" s="104" t="s">
        <v>276</v>
      </c>
      <c r="B57" s="34"/>
      <c r="C57" s="34"/>
      <c r="D57" s="34"/>
      <c r="E57" s="34"/>
      <c r="F57" s="34"/>
      <c r="G57" s="34"/>
      <c r="H57" s="35"/>
    </row>
    <row r="58" ht="15.75" customHeight="1">
      <c r="A58" s="65" t="s">
        <v>277</v>
      </c>
      <c r="B58" s="66"/>
      <c r="C58" s="66"/>
      <c r="D58" s="66"/>
      <c r="E58" s="66"/>
      <c r="F58" s="66"/>
      <c r="G58" s="66"/>
      <c r="H58" s="67"/>
    </row>
    <row r="59" ht="15.75" customHeight="1">
      <c r="A59" s="118"/>
      <c r="H59" s="106"/>
    </row>
    <row r="60" ht="15.75" customHeight="1">
      <c r="A60" s="68"/>
      <c r="B60" s="69"/>
      <c r="C60" s="69"/>
      <c r="D60" s="69"/>
      <c r="E60" s="69"/>
      <c r="F60" s="69"/>
      <c r="G60" s="69"/>
      <c r="H60" s="70"/>
    </row>
    <row r="61" ht="15.75" customHeight="1"/>
    <row r="62" ht="15.75" customHeight="1">
      <c r="A62" s="88" t="s">
        <v>278</v>
      </c>
    </row>
    <row r="63">
      <c r="A63" s="90" t="s">
        <v>273</v>
      </c>
      <c r="B63" s="82"/>
      <c r="C63" s="34"/>
      <c r="D63" s="34"/>
      <c r="E63" s="34"/>
      <c r="F63" s="34"/>
      <c r="G63" s="34"/>
      <c r="H63" s="35"/>
    </row>
    <row r="64" ht="15.75" customHeight="1">
      <c r="A64" s="90" t="s">
        <v>8</v>
      </c>
      <c r="B64" s="82"/>
      <c r="C64" s="34"/>
      <c r="D64" s="34"/>
      <c r="E64" s="34"/>
      <c r="F64" s="34"/>
      <c r="G64" s="34"/>
      <c r="H64" s="35"/>
    </row>
    <row r="65" ht="15.75" customHeight="1">
      <c r="A65" s="90" t="s">
        <v>243</v>
      </c>
      <c r="B65" s="119"/>
      <c r="C65" s="34"/>
      <c r="D65" s="34"/>
      <c r="E65" s="34"/>
      <c r="F65" s="34"/>
      <c r="G65" s="34"/>
      <c r="H65" s="35"/>
    </row>
    <row r="66" ht="15.75" customHeight="1">
      <c r="A66" s="90" t="s">
        <v>205</v>
      </c>
      <c r="B66" s="119"/>
      <c r="C66" s="34"/>
      <c r="D66" s="34"/>
      <c r="E66" s="34"/>
      <c r="F66" s="34"/>
      <c r="G66" s="34"/>
      <c r="H66" s="35"/>
    </row>
    <row r="67" ht="15.75" customHeight="1">
      <c r="A67" s="120" t="s">
        <v>279</v>
      </c>
      <c r="B67" s="6"/>
      <c r="C67" s="6"/>
      <c r="D67" s="6"/>
      <c r="E67" s="6"/>
      <c r="F67" s="6"/>
      <c r="G67" s="6"/>
      <c r="H67" s="6"/>
    </row>
    <row r="68" ht="15.75" customHeight="1">
      <c r="A68" s="104" t="s">
        <v>276</v>
      </c>
      <c r="B68" s="34"/>
      <c r="C68" s="34"/>
      <c r="D68" s="34"/>
      <c r="E68" s="34"/>
      <c r="F68" s="34"/>
      <c r="G68" s="34"/>
      <c r="H68" s="35"/>
    </row>
    <row r="69" ht="15.75" customHeight="1">
      <c r="A69" s="121"/>
      <c r="B69" s="66"/>
      <c r="C69" s="66"/>
      <c r="D69" s="66"/>
      <c r="E69" s="66"/>
      <c r="F69" s="66"/>
      <c r="G69" s="66"/>
      <c r="H69" s="67"/>
    </row>
    <row r="70" ht="15.75" customHeight="1">
      <c r="A70" s="118"/>
      <c r="H70" s="106"/>
    </row>
    <row r="71" ht="15.75" customHeight="1">
      <c r="A71" s="68"/>
      <c r="B71" s="69"/>
      <c r="C71" s="69"/>
      <c r="D71" s="69"/>
      <c r="E71" s="69"/>
      <c r="F71" s="69"/>
      <c r="G71" s="69"/>
      <c r="H71" s="70"/>
    </row>
    <row r="72" ht="15.75" customHeight="1"/>
    <row r="73" ht="15.75" customHeight="1">
      <c r="A73" s="101" t="s">
        <v>280</v>
      </c>
      <c r="G73" s="95" t="s">
        <v>205</v>
      </c>
      <c r="H73" s="102">
        <f>B75</f>
        <v>10</v>
      </c>
    </row>
    <row r="74" ht="15.75" customHeight="1">
      <c r="G74" s="88" t="s">
        <v>281</v>
      </c>
    </row>
    <row r="75" ht="15.75" customHeight="1">
      <c r="A75" s="90" t="s">
        <v>205</v>
      </c>
      <c r="B75" s="116">
        <v>10.0</v>
      </c>
      <c r="C75" s="34"/>
      <c r="D75" s="34"/>
      <c r="E75" s="34"/>
      <c r="F75" s="34"/>
      <c r="G75" s="34"/>
      <c r="H75" s="35"/>
    </row>
    <row r="76" ht="15.75" customHeight="1">
      <c r="A76" s="114" t="s">
        <v>282</v>
      </c>
      <c r="B76" s="34"/>
      <c r="C76" s="34"/>
      <c r="D76" s="34"/>
      <c r="E76" s="34"/>
      <c r="F76" s="34"/>
      <c r="G76" s="34"/>
      <c r="H76" s="35"/>
    </row>
    <row r="77" ht="15.75" customHeight="1">
      <c r="A77" s="65" t="s">
        <v>283</v>
      </c>
      <c r="B77" s="66"/>
      <c r="C77" s="66"/>
      <c r="D77" s="66"/>
      <c r="E77" s="66"/>
      <c r="F77" s="66"/>
      <c r="G77" s="66"/>
      <c r="H77" s="67"/>
    </row>
    <row r="78" ht="15.75" customHeight="1">
      <c r="A78" s="68"/>
      <c r="B78" s="69"/>
      <c r="C78" s="69"/>
      <c r="D78" s="69"/>
      <c r="E78" s="69"/>
      <c r="F78" s="69"/>
      <c r="G78" s="69"/>
      <c r="H78" s="70"/>
    </row>
    <row r="79" ht="15.75" customHeight="1">
      <c r="A79" s="88" t="s">
        <v>284</v>
      </c>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73">
    <mergeCell ref="B39:C39"/>
    <mergeCell ref="D39:E39"/>
    <mergeCell ref="F39:H39"/>
    <mergeCell ref="B35:C35"/>
    <mergeCell ref="F35:H35"/>
    <mergeCell ref="B36:C36"/>
    <mergeCell ref="F36:H36"/>
    <mergeCell ref="B37:C37"/>
    <mergeCell ref="F37:H37"/>
    <mergeCell ref="B38:C38"/>
    <mergeCell ref="D38:E38"/>
    <mergeCell ref="F38:H38"/>
    <mergeCell ref="D43:H43"/>
    <mergeCell ref="D44:H44"/>
    <mergeCell ref="D45:H45"/>
    <mergeCell ref="D46:H46"/>
    <mergeCell ref="D47:H47"/>
    <mergeCell ref="A49:F49"/>
    <mergeCell ref="B52:H52"/>
    <mergeCell ref="B53:H53"/>
    <mergeCell ref="B54:H54"/>
    <mergeCell ref="B55:H55"/>
    <mergeCell ref="A57:H57"/>
    <mergeCell ref="A58:H60"/>
    <mergeCell ref="B75:H75"/>
    <mergeCell ref="A76:H76"/>
    <mergeCell ref="A77:H78"/>
    <mergeCell ref="B63:H63"/>
    <mergeCell ref="B64:H64"/>
    <mergeCell ref="B65:H65"/>
    <mergeCell ref="B66:H66"/>
    <mergeCell ref="A68:H68"/>
    <mergeCell ref="A69:H71"/>
    <mergeCell ref="A73:F73"/>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conditionalFormatting sqref="D44:H47">
    <cfRule type="cellIs" dxfId="0" priority="1" operator="between">
      <formula>0</formula>
      <formula>45</formula>
    </cfRule>
  </conditionalFormatting>
  <dataValidations>
    <dataValidation type="list" allowBlank="1" showErrorMessage="1" sqref="B53">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2 B63">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45.75"/>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4.0</v>
      </c>
      <c r="D5" s="34"/>
      <c r="E5" s="34"/>
      <c r="F5" s="34"/>
      <c r="G5" s="35"/>
    </row>
    <row r="6" ht="15.75" customHeight="1">
      <c r="B6" s="99" t="s">
        <v>202</v>
      </c>
      <c r="C6" s="91">
        <v>100.0</v>
      </c>
      <c r="D6" s="34"/>
      <c r="E6" s="34"/>
      <c r="F6" s="34"/>
      <c r="G6" s="35"/>
      <c r="I6" s="6"/>
    </row>
    <row r="7" ht="15.75" customHeight="1">
      <c r="B7" s="99" t="s">
        <v>243</v>
      </c>
      <c r="C7" s="82">
        <f>B49+B60</f>
        <v>1</v>
      </c>
      <c r="D7" s="34"/>
      <c r="E7" s="34"/>
      <c r="F7" s="34"/>
      <c r="G7" s="35"/>
    </row>
    <row r="8" ht="15.75" customHeight="1">
      <c r="B8" s="99" t="s">
        <v>244</v>
      </c>
      <c r="C8" s="100"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24">
        <v>5.0</v>
      </c>
    </row>
    <row r="11" ht="15.75" customHeight="1">
      <c r="G11" s="88" t="s">
        <v>246</v>
      </c>
    </row>
    <row r="12" ht="15.75" customHeight="1">
      <c r="A12" s="90" t="s">
        <v>247</v>
      </c>
      <c r="B12" s="91" t="s">
        <v>288</v>
      </c>
      <c r="C12" s="34"/>
      <c r="D12" s="34"/>
      <c r="E12" s="34"/>
      <c r="F12" s="34"/>
      <c r="G12" s="34"/>
      <c r="H12" s="35"/>
    </row>
    <row r="13" ht="15.75" customHeight="1">
      <c r="A13" s="92" t="s">
        <v>205</v>
      </c>
      <c r="B13" s="91" t="s">
        <v>289</v>
      </c>
      <c r="C13" s="34"/>
      <c r="D13" s="34"/>
      <c r="E13" s="34"/>
      <c r="F13" s="34"/>
      <c r="G13" s="34"/>
      <c r="H13" s="35"/>
    </row>
    <row r="14" ht="15.75" customHeight="1">
      <c r="A14" s="104" t="s">
        <v>249</v>
      </c>
      <c r="B14" s="34"/>
      <c r="C14" s="34"/>
      <c r="D14" s="34"/>
      <c r="E14" s="34"/>
      <c r="F14" s="34"/>
      <c r="G14" s="34"/>
      <c r="H14" s="35"/>
    </row>
    <row r="15" ht="15.75" customHeight="1">
      <c r="A15" s="126" t="s">
        <v>290</v>
      </c>
      <c r="B15" s="66"/>
      <c r="C15" s="66"/>
      <c r="D15" s="66"/>
      <c r="E15" s="66"/>
      <c r="F15" s="66"/>
      <c r="G15" s="66"/>
      <c r="H15" s="67"/>
    </row>
    <row r="16" ht="15.75" customHeight="1">
      <c r="A16" s="68"/>
      <c r="B16" s="69"/>
      <c r="C16" s="69"/>
      <c r="D16" s="69"/>
      <c r="E16" s="69"/>
      <c r="F16" s="69"/>
      <c r="G16" s="69"/>
      <c r="H16" s="70"/>
    </row>
    <row r="17" ht="15.75" customHeight="1">
      <c r="A17" s="104" t="s">
        <v>251</v>
      </c>
      <c r="B17" s="34"/>
      <c r="C17" s="34"/>
      <c r="D17" s="34"/>
      <c r="E17" s="34"/>
      <c r="F17" s="34"/>
      <c r="G17" s="34"/>
      <c r="H17" s="35"/>
    </row>
    <row r="18" ht="15.75" customHeight="1">
      <c r="A18" s="121"/>
      <c r="B18" s="66"/>
      <c r="C18" s="66"/>
      <c r="D18" s="66"/>
      <c r="E18" s="66"/>
      <c r="F18" s="66"/>
      <c r="G18" s="66"/>
      <c r="H18" s="67"/>
    </row>
    <row r="19" ht="15.75" customHeight="1">
      <c r="A19" s="68"/>
      <c r="B19" s="69"/>
      <c r="C19" s="69"/>
      <c r="D19" s="69"/>
      <c r="E19" s="69"/>
      <c r="F19" s="69"/>
      <c r="G19" s="69"/>
      <c r="H19" s="70"/>
    </row>
    <row r="20" ht="15.75" customHeight="1"/>
    <row r="21" ht="15.75" customHeight="1">
      <c r="A21" s="101" t="s">
        <v>253</v>
      </c>
      <c r="G21" s="95" t="s">
        <v>205</v>
      </c>
      <c r="H21" s="124">
        <v>60.0</v>
      </c>
      <c r="I21" s="6"/>
    </row>
    <row r="22" ht="15.75" customHeight="1">
      <c r="G22" s="88" t="s">
        <v>254</v>
      </c>
    </row>
    <row r="23" ht="15.75" customHeight="1">
      <c r="A23" s="90" t="s">
        <v>255</v>
      </c>
      <c r="B23" s="91" t="s">
        <v>97</v>
      </c>
      <c r="C23" s="34"/>
      <c r="D23" s="34"/>
      <c r="E23" s="34"/>
      <c r="F23" s="34"/>
      <c r="G23" s="34"/>
      <c r="H23" s="35"/>
    </row>
    <row r="24" ht="15.75" customHeight="1">
      <c r="A24" s="90" t="s">
        <v>255</v>
      </c>
      <c r="B24" s="91" t="s">
        <v>120</v>
      </c>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c r="A28" s="83">
        <v>1.0</v>
      </c>
      <c r="B28" s="82" t="str">
        <f>IFERROR(__xludf.DUMMYFUNCTION("FILTER('Diseño'!D:D,'Diseño'!H:H=$C$5)"),"1. Introducción a las tecnologías de almacenamiento y arquitecturas de los sistemas de 
almacenamiento enfocadas en GNU/LINUX")</f>
        <v>1. Introducción a las tecnologías de almacenamiento y arquitecturas de los sistemas de 
almacenamiento enfocadas en GNU/LINUX</v>
      </c>
      <c r="C28" s="35"/>
      <c r="D28" s="82" t="str">
        <f>IFERROR(__xludf.DUMMYFUNCTION("FILTER('Diseño'!E:E,'Diseño'!H:H=$C$5)"),"Manejo de archivos")</f>
        <v>Manejo de archivos</v>
      </c>
      <c r="E28" s="35"/>
      <c r="F28" s="82" t="str">
        <f>IFERROR(__xludf.DUMMYFUNCTION("FILTER('Diseño'!F:F,'Diseño'!H:H=$C$5)"),"Introducción a RAID: Concepto y Tipos")</f>
        <v>Introducción a RAID: Concepto y Tipos</v>
      </c>
      <c r="G28" s="34"/>
      <c r="H28" s="35"/>
    </row>
    <row r="29">
      <c r="A29" s="83">
        <v>2.0</v>
      </c>
      <c r="B29"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29" s="35"/>
      <c r="D29" s="82" t="str">
        <f>IFERROR(__xludf.DUMMYFUNCTION("""COMPUTED_VALUE"""),"Manejo de archivos")</f>
        <v>Manejo de archivos</v>
      </c>
      <c r="E29" s="35"/>
      <c r="F29" s="82" t="str">
        <f>IFERROR(__xludf.DUMMYFUNCTION("""COMPUTED_VALUE"""),"Operaciones básicas de archivos")</f>
        <v>Operaciones básicas de archivos</v>
      </c>
      <c r="G29" s="34"/>
      <c r="H29" s="35"/>
    </row>
    <row r="30">
      <c r="A30" s="83">
        <v>3.0</v>
      </c>
      <c r="B30"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0" s="35"/>
      <c r="D30" s="82" t="str">
        <f>IFERROR(__xludf.DUMMYFUNCTION("""COMPUTED_VALUE"""),"Manejo de archivos")</f>
        <v>Manejo de archivos</v>
      </c>
      <c r="E30" s="35"/>
      <c r="F30" s="82" t="str">
        <f>IFERROR(__xludf.DUMMYFUNCTION("""COMPUTED_VALUE"""),"Permisos y Seguridad en Archivos")</f>
        <v>Permisos y Seguridad en Archivos</v>
      </c>
      <c r="G30" s="34"/>
      <c r="H30" s="35"/>
      <c r="J30" s="105" t="s">
        <v>291</v>
      </c>
    </row>
    <row r="31" ht="15.75" customHeight="1">
      <c r="A31" s="83">
        <v>4.0</v>
      </c>
      <c r="B31"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1" s="35"/>
      <c r="D31" s="82" t="str">
        <f>IFERROR(__xludf.DUMMYFUNCTION("""COMPUTED_VALUE"""),"Manejo de archivos")</f>
        <v>Manejo de archivos</v>
      </c>
      <c r="E31" s="35"/>
      <c r="F31" s="82" t="str">
        <f>IFERROR(__xludf.DUMMYFUNCTION("""COMPUTED_VALUE"""),"Niveles de archivo")</f>
        <v>Niveles de archivo</v>
      </c>
      <c r="G31" s="34"/>
      <c r="H31" s="35"/>
    </row>
    <row r="32">
      <c r="A32" s="83">
        <v>5.0</v>
      </c>
      <c r="B32"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2" s="35"/>
      <c r="D32" s="82" t="str">
        <f>IFERROR(__xludf.DUMMYFUNCTION("""COMPUTED_VALUE"""),"Manejo de archivos")</f>
        <v>Manejo de archivos</v>
      </c>
      <c r="E32" s="35"/>
      <c r="F32" s="82" t="str">
        <f>IFERROR(__xludf.DUMMYFUNCTION("""COMPUTED_VALUE"""),"Particiones")</f>
        <v>Particiones</v>
      </c>
      <c r="G32" s="34"/>
      <c r="H32" s="35"/>
    </row>
    <row r="33">
      <c r="A33" s="83">
        <v>6.0</v>
      </c>
      <c r="B33"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3" s="35"/>
      <c r="D33" s="82" t="str">
        <f>IFERROR(__xludf.DUMMYFUNCTION("""COMPUTED_VALUE"""),"Manejo de archivos")</f>
        <v>Manejo de archivos</v>
      </c>
      <c r="E33" s="35"/>
      <c r="F33" s="82" t="str">
        <f>IFERROR(__xludf.DUMMYFUNCTION("""COMPUTED_VALUE"""),"Estrategias de colocación")</f>
        <v>Estrategias de colocación</v>
      </c>
      <c r="G33" s="34"/>
      <c r="H33" s="35"/>
    </row>
    <row r="34">
      <c r="A34" s="83">
        <v>7.0</v>
      </c>
      <c r="B34"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4" s="35"/>
      <c r="D34" s="82" t="str">
        <f>IFERROR(__xludf.DUMMYFUNCTION("""COMPUTED_VALUE"""),"Manejo de archivos")</f>
        <v>Manejo de archivos</v>
      </c>
      <c r="E34" s="35"/>
      <c r="F34" s="82" t="str">
        <f>IFERROR(__xludf.DUMMYFUNCTION("""COMPUTED_VALUE"""),"Fragmentación")</f>
        <v>Fragmentación</v>
      </c>
      <c r="G34" s="34"/>
      <c r="H34" s="35"/>
    </row>
    <row r="35" ht="15.75" customHeight="1"/>
    <row r="36" ht="15.75" customHeight="1">
      <c r="A36" s="107" t="s">
        <v>260</v>
      </c>
    </row>
    <row r="37" ht="15.75" customHeight="1">
      <c r="A37" s="6"/>
      <c r="B37" s="6"/>
      <c r="C37" s="6"/>
      <c r="D37" s="6"/>
      <c r="E37" s="6"/>
      <c r="F37" s="6"/>
      <c r="G37" s="6"/>
      <c r="H37" s="6"/>
    </row>
    <row r="38">
      <c r="A38" s="108" t="s">
        <v>261</v>
      </c>
      <c r="B38" s="108" t="s">
        <v>29</v>
      </c>
      <c r="C38" s="113" t="s">
        <v>262</v>
      </c>
      <c r="D38" s="114" t="s">
        <v>263</v>
      </c>
      <c r="E38" s="34"/>
      <c r="F38" s="34"/>
      <c r="G38" s="34"/>
      <c r="H38" s="35"/>
      <c r="I38" s="115" t="s">
        <v>18</v>
      </c>
    </row>
    <row r="39" ht="15.75" customHeight="1">
      <c r="A39" s="83" t="s">
        <v>264</v>
      </c>
      <c r="B39" s="83" t="s">
        <v>265</v>
      </c>
      <c r="C39" s="83">
        <v>30.0</v>
      </c>
      <c r="D39" s="91">
        <v>30.0</v>
      </c>
      <c r="E39" s="34"/>
      <c r="F39" s="34"/>
      <c r="G39" s="34"/>
      <c r="H39" s="35"/>
      <c r="I39" s="83" t="str">
        <f t="shared" ref="I39:I42" si="1">IF(D39&lt;=C39,"Correcto", "Corregir")</f>
        <v>Correcto</v>
      </c>
    </row>
    <row r="40" ht="15.75" customHeight="1">
      <c r="A40" s="83" t="s">
        <v>266</v>
      </c>
      <c r="B40" s="83" t="s">
        <v>265</v>
      </c>
      <c r="C40" s="125">
        <v>15.0</v>
      </c>
      <c r="D40" s="91">
        <v>15.0</v>
      </c>
      <c r="E40" s="34"/>
      <c r="F40" s="34"/>
      <c r="G40" s="34"/>
      <c r="H40" s="35"/>
      <c r="I40" s="83" t="str">
        <f t="shared" si="1"/>
        <v>Correcto</v>
      </c>
    </row>
    <row r="41" ht="15.75" customHeight="1">
      <c r="A41" s="83" t="s">
        <v>267</v>
      </c>
      <c r="B41" s="83" t="s">
        <v>268</v>
      </c>
      <c r="C41" s="125">
        <v>0.0</v>
      </c>
      <c r="D41" s="91">
        <v>0.0</v>
      </c>
      <c r="E41" s="34"/>
      <c r="F41" s="34"/>
      <c r="G41" s="34"/>
      <c r="H41" s="35"/>
      <c r="I41" s="83" t="str">
        <f t="shared" si="1"/>
        <v>Correcto</v>
      </c>
    </row>
    <row r="42" ht="15.75" customHeight="1">
      <c r="A42" s="83" t="s">
        <v>269</v>
      </c>
      <c r="B42" s="83" t="s">
        <v>265</v>
      </c>
      <c r="C42" s="83">
        <v>30.0</v>
      </c>
      <c r="D42" s="91">
        <v>25.0</v>
      </c>
      <c r="E42" s="34"/>
      <c r="F42" s="34"/>
      <c r="G42" s="34"/>
      <c r="H42" s="35"/>
      <c r="I42" s="83" t="str">
        <f t="shared" si="1"/>
        <v>Correcto</v>
      </c>
    </row>
    <row r="43" ht="15.75" customHeight="1"/>
    <row r="44" ht="15.75" customHeight="1">
      <c r="A44" s="101" t="s">
        <v>270</v>
      </c>
      <c r="G44" s="95" t="s">
        <v>205</v>
      </c>
      <c r="H44" s="124">
        <v>30.0</v>
      </c>
    </row>
    <row r="45" ht="15.75" customHeight="1">
      <c r="G45" s="88" t="s">
        <v>271</v>
      </c>
    </row>
    <row r="46" ht="15.75" customHeight="1">
      <c r="A46" s="88" t="s">
        <v>272</v>
      </c>
    </row>
    <row r="47">
      <c r="A47" s="90" t="s">
        <v>273</v>
      </c>
      <c r="B47" s="91" t="s">
        <v>97</v>
      </c>
      <c r="C47" s="34"/>
      <c r="D47" s="34"/>
      <c r="E47" s="34"/>
      <c r="F47" s="34"/>
      <c r="G47" s="34"/>
      <c r="H47" s="35"/>
    </row>
    <row r="48" ht="15.75" customHeight="1">
      <c r="A48" s="90" t="s">
        <v>8</v>
      </c>
      <c r="B48" s="91" t="s">
        <v>287</v>
      </c>
      <c r="C48" s="34"/>
      <c r="D48" s="34"/>
      <c r="E48" s="34"/>
      <c r="F48" s="34"/>
      <c r="G48" s="34"/>
      <c r="H48" s="35"/>
    </row>
    <row r="49" ht="15.75" customHeight="1">
      <c r="A49" s="90" t="s">
        <v>243</v>
      </c>
      <c r="B49" s="116">
        <v>1.0</v>
      </c>
      <c r="C49" s="34"/>
      <c r="D49" s="34"/>
      <c r="E49" s="34"/>
      <c r="F49" s="34"/>
      <c r="G49" s="34"/>
      <c r="H49" s="35"/>
    </row>
    <row r="50" ht="15.75" customHeight="1">
      <c r="A50" s="90" t="s">
        <v>205</v>
      </c>
      <c r="B50" s="91" t="s">
        <v>292</v>
      </c>
      <c r="C50" s="34"/>
      <c r="D50" s="34"/>
      <c r="E50" s="34"/>
      <c r="F50" s="34"/>
      <c r="G50" s="34"/>
      <c r="H50" s="35"/>
    </row>
    <row r="51" ht="15.75" customHeight="1">
      <c r="A51" s="117" t="s">
        <v>275</v>
      </c>
      <c r="B51" s="6"/>
      <c r="C51" s="6"/>
      <c r="D51" s="6"/>
      <c r="E51" s="6"/>
      <c r="F51" s="6"/>
      <c r="G51" s="6"/>
      <c r="H51" s="6"/>
    </row>
    <row r="52" ht="15.75" customHeight="1">
      <c r="A52" s="104" t="s">
        <v>276</v>
      </c>
      <c r="B52" s="34"/>
      <c r="C52" s="34"/>
      <c r="D52" s="34"/>
      <c r="E52" s="34"/>
      <c r="F52" s="34"/>
      <c r="G52" s="34"/>
      <c r="H52" s="35"/>
    </row>
    <row r="53" ht="15.75" customHeight="1">
      <c r="A53" s="126" t="s">
        <v>293</v>
      </c>
      <c r="B53" s="66"/>
      <c r="C53" s="66"/>
      <c r="D53" s="66"/>
      <c r="E53" s="66"/>
      <c r="F53" s="66"/>
      <c r="G53" s="66"/>
      <c r="H53" s="67"/>
    </row>
    <row r="54" ht="15.75" customHeight="1">
      <c r="A54" s="118"/>
      <c r="H54" s="106"/>
    </row>
    <row r="55" ht="15.75" customHeight="1">
      <c r="A55" s="68"/>
      <c r="B55" s="69"/>
      <c r="C55" s="69"/>
      <c r="D55" s="69"/>
      <c r="E55" s="69"/>
      <c r="F55" s="69"/>
      <c r="G55" s="69"/>
      <c r="H55" s="70"/>
    </row>
    <row r="56" ht="15.75" customHeight="1"/>
    <row r="57" ht="15.75" customHeight="1">
      <c r="A57" s="88" t="s">
        <v>278</v>
      </c>
    </row>
    <row r="58">
      <c r="A58" s="90" t="s">
        <v>273</v>
      </c>
      <c r="B58" s="82"/>
      <c r="C58" s="34"/>
      <c r="D58" s="34"/>
      <c r="E58" s="34"/>
      <c r="F58" s="34"/>
      <c r="G58" s="34"/>
      <c r="H58" s="35"/>
    </row>
    <row r="59" ht="15.75" customHeight="1">
      <c r="A59" s="90" t="s">
        <v>8</v>
      </c>
      <c r="B59" s="82"/>
      <c r="C59" s="34"/>
      <c r="D59" s="34"/>
      <c r="E59" s="34"/>
      <c r="F59" s="34"/>
      <c r="G59" s="34"/>
      <c r="H59" s="35"/>
    </row>
    <row r="60" ht="15.75" customHeight="1">
      <c r="A60" s="90" t="s">
        <v>243</v>
      </c>
      <c r="B60" s="119"/>
      <c r="C60" s="34"/>
      <c r="D60" s="34"/>
      <c r="E60" s="34"/>
      <c r="F60" s="34"/>
      <c r="G60" s="34"/>
      <c r="H60" s="35"/>
    </row>
    <row r="61" ht="15.75" customHeight="1">
      <c r="A61" s="90" t="s">
        <v>205</v>
      </c>
      <c r="B61" s="119"/>
      <c r="C61" s="34"/>
      <c r="D61" s="34"/>
      <c r="E61" s="34"/>
      <c r="F61" s="34"/>
      <c r="G61" s="34"/>
      <c r="H61" s="35"/>
    </row>
    <row r="62" ht="15.75" customHeight="1">
      <c r="A62" s="120" t="s">
        <v>279</v>
      </c>
      <c r="B62" s="6"/>
      <c r="C62" s="6"/>
      <c r="D62" s="6"/>
      <c r="E62" s="6"/>
      <c r="F62" s="6"/>
      <c r="G62" s="6"/>
      <c r="H62" s="6"/>
    </row>
    <row r="63" ht="15.75" customHeight="1">
      <c r="A63" s="104" t="s">
        <v>276</v>
      </c>
      <c r="B63" s="34"/>
      <c r="C63" s="34"/>
      <c r="D63" s="34"/>
      <c r="E63" s="34"/>
      <c r="F63" s="34"/>
      <c r="G63" s="34"/>
      <c r="H63" s="35"/>
    </row>
    <row r="64" ht="15.75" customHeight="1">
      <c r="A64" s="121"/>
      <c r="B64" s="66"/>
      <c r="C64" s="66"/>
      <c r="D64" s="66"/>
      <c r="E64" s="66"/>
      <c r="F64" s="66"/>
      <c r="G64" s="66"/>
      <c r="H64" s="67"/>
    </row>
    <row r="65" ht="15.75" customHeight="1">
      <c r="A65" s="118"/>
      <c r="H65" s="106"/>
    </row>
    <row r="66" ht="15.75" customHeight="1">
      <c r="A66" s="68"/>
      <c r="B66" s="69"/>
      <c r="C66" s="69"/>
      <c r="D66" s="69"/>
      <c r="E66" s="69"/>
      <c r="F66" s="69"/>
      <c r="G66" s="69"/>
      <c r="H66" s="70"/>
    </row>
    <row r="67" ht="15.75" customHeight="1"/>
    <row r="68" ht="15.75" customHeight="1">
      <c r="A68" s="101" t="s">
        <v>280</v>
      </c>
      <c r="G68" s="95" t="s">
        <v>205</v>
      </c>
      <c r="H68" s="124">
        <v>10.0</v>
      </c>
    </row>
    <row r="69" ht="15.75" customHeight="1">
      <c r="G69" s="88" t="s">
        <v>281</v>
      </c>
    </row>
    <row r="70" ht="15.75" customHeight="1">
      <c r="A70" s="90" t="s">
        <v>205</v>
      </c>
      <c r="B70" s="127">
        <v>46366.0</v>
      </c>
      <c r="C70" s="34"/>
      <c r="D70" s="34"/>
      <c r="E70" s="34"/>
      <c r="F70" s="34"/>
      <c r="G70" s="34"/>
      <c r="H70" s="35"/>
    </row>
    <row r="71" ht="15.75" customHeight="1">
      <c r="A71" s="114" t="s">
        <v>282</v>
      </c>
      <c r="B71" s="34"/>
      <c r="C71" s="34"/>
      <c r="D71" s="34"/>
      <c r="E71" s="34"/>
      <c r="F71" s="34"/>
      <c r="G71" s="34"/>
      <c r="H71" s="35"/>
    </row>
    <row r="72" ht="15.75" customHeight="1">
      <c r="A72" s="126" t="s">
        <v>294</v>
      </c>
      <c r="B72" s="66"/>
      <c r="C72" s="66"/>
      <c r="D72" s="66"/>
      <c r="E72" s="66"/>
      <c r="F72" s="66"/>
      <c r="G72" s="66"/>
      <c r="H72" s="67"/>
    </row>
    <row r="73" ht="15.75" customHeight="1">
      <c r="A73" s="68"/>
      <c r="B73" s="69"/>
      <c r="C73" s="69"/>
      <c r="D73" s="69"/>
      <c r="E73" s="69"/>
      <c r="F73" s="69"/>
      <c r="G73" s="69"/>
      <c r="H73" s="70"/>
    </row>
    <row r="74" ht="15.75" customHeight="1">
      <c r="A74" s="88" t="s">
        <v>284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0.63"/>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5.0</v>
      </c>
      <c r="D5" s="34"/>
      <c r="E5" s="34"/>
      <c r="F5" s="34"/>
      <c r="G5" s="35"/>
    </row>
    <row r="6" ht="15.75" customHeight="1">
      <c r="B6" s="99" t="s">
        <v>202</v>
      </c>
      <c r="C6" s="82">
        <f>H10+H21+H44+H68</f>
        <v>102</v>
      </c>
      <c r="D6" s="34"/>
      <c r="E6" s="34"/>
      <c r="F6" s="34"/>
      <c r="G6" s="35"/>
      <c r="I6" s="6"/>
    </row>
    <row r="7" ht="15.75" customHeight="1">
      <c r="B7" s="99" t="s">
        <v>243</v>
      </c>
      <c r="C7" s="82">
        <f>B49+B60</f>
        <v>1</v>
      </c>
      <c r="D7" s="34"/>
      <c r="E7" s="34"/>
      <c r="F7" s="34"/>
      <c r="G7" s="35"/>
    </row>
    <row r="8">
      <c r="B8" s="99" t="s">
        <v>244</v>
      </c>
      <c r="C8" s="100"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24">
        <v>5.0</v>
      </c>
    </row>
    <row r="11" ht="15.75" customHeight="1">
      <c r="G11" s="88" t="s">
        <v>246</v>
      </c>
    </row>
    <row r="12" ht="15.75" customHeight="1">
      <c r="A12" s="90" t="s">
        <v>247</v>
      </c>
      <c r="B12" s="91" t="s">
        <v>288</v>
      </c>
      <c r="C12" s="34"/>
      <c r="D12" s="34"/>
      <c r="E12" s="34"/>
      <c r="F12" s="34"/>
      <c r="G12" s="34"/>
      <c r="H12" s="35"/>
    </row>
    <row r="13" ht="15.75" customHeight="1">
      <c r="A13" s="92" t="s">
        <v>205</v>
      </c>
      <c r="B13" s="91">
        <v>3.0</v>
      </c>
      <c r="C13" s="34"/>
      <c r="D13" s="34"/>
      <c r="E13" s="34"/>
      <c r="F13" s="34"/>
      <c r="G13" s="34"/>
      <c r="H13" s="35"/>
    </row>
    <row r="14" ht="15.75" customHeight="1">
      <c r="A14" s="104" t="s">
        <v>249</v>
      </c>
      <c r="B14" s="34"/>
      <c r="C14" s="34"/>
      <c r="D14" s="34"/>
      <c r="E14" s="34"/>
      <c r="F14" s="34"/>
      <c r="G14" s="34"/>
      <c r="H14" s="35"/>
    </row>
    <row r="15" ht="15.75" customHeight="1">
      <c r="A15" s="128" t="s">
        <v>295</v>
      </c>
      <c r="B15" s="66"/>
      <c r="C15" s="66"/>
      <c r="D15" s="66"/>
      <c r="E15" s="66"/>
      <c r="F15" s="66"/>
      <c r="G15" s="66"/>
      <c r="H15" s="67"/>
    </row>
    <row r="16" ht="15.75" customHeight="1">
      <c r="A16" s="68"/>
      <c r="B16" s="69"/>
      <c r="C16" s="69"/>
      <c r="D16" s="69"/>
      <c r="E16" s="69"/>
      <c r="F16" s="69"/>
      <c r="G16" s="69"/>
      <c r="H16" s="70"/>
    </row>
    <row r="17" ht="15.75" customHeight="1">
      <c r="A17" s="104" t="s">
        <v>251</v>
      </c>
      <c r="B17" s="34"/>
      <c r="C17" s="34"/>
      <c r="D17" s="34"/>
      <c r="E17" s="34"/>
      <c r="F17" s="34"/>
      <c r="G17" s="34"/>
      <c r="H17" s="35"/>
    </row>
    <row r="18" ht="15.75" customHeight="1">
      <c r="A18" s="126" t="s">
        <v>296</v>
      </c>
      <c r="B18" s="66"/>
      <c r="C18" s="66"/>
      <c r="D18" s="66"/>
      <c r="E18" s="66"/>
      <c r="F18" s="66"/>
      <c r="G18" s="66"/>
      <c r="H18" s="67"/>
    </row>
    <row r="19" ht="38.25" customHeight="1">
      <c r="A19" s="68"/>
      <c r="B19" s="69"/>
      <c r="C19" s="69"/>
      <c r="D19" s="69"/>
      <c r="E19" s="69"/>
      <c r="F19" s="69"/>
      <c r="G19" s="69"/>
      <c r="H19" s="70"/>
    </row>
    <row r="20" ht="15.75" customHeight="1"/>
    <row r="21" ht="15.75" customHeight="1">
      <c r="A21" s="101" t="s">
        <v>253</v>
      </c>
      <c r="G21" s="95" t="s">
        <v>205</v>
      </c>
      <c r="H21" s="102">
        <f>SUM(D39:H42)</f>
        <v>60</v>
      </c>
      <c r="I21" s="6"/>
    </row>
    <row r="22" ht="15.75" customHeight="1">
      <c r="G22" s="88" t="s">
        <v>254</v>
      </c>
    </row>
    <row r="23" ht="15.75" customHeight="1">
      <c r="A23" s="90" t="s">
        <v>255</v>
      </c>
      <c r="B23" s="91" t="s">
        <v>138</v>
      </c>
      <c r="C23" s="34"/>
      <c r="D23" s="34"/>
      <c r="E23" s="34"/>
      <c r="F23" s="34"/>
      <c r="G23" s="34"/>
      <c r="H23" s="35"/>
    </row>
    <row r="24" ht="27.0" customHeight="1">
      <c r="A24" s="90" t="s">
        <v>255</v>
      </c>
      <c r="B24" s="129"/>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IFERROR(__xludf.DUMMYFUNCTION("FILTER('Diseño'!D:D,'Diseño'!H:H=$C$5)"),"#REF!")</f>
        <v>#REF!</v>
      </c>
      <c r="C28" s="35"/>
      <c r="D28" s="91" t="s">
        <v>297</v>
      </c>
      <c r="E28" s="35"/>
      <c r="F28" s="82" t="str">
        <f>IFERROR(__xludf.DUMMYFUNCTION("FILTER('Diseño'!F:F,'Diseño'!H:H=$C$5)"),"#REF!")</f>
        <v>#REF!</v>
      </c>
      <c r="G28" s="34"/>
      <c r="H28" s="35"/>
    </row>
    <row r="29" ht="15.75" customHeight="1">
      <c r="A29" s="83">
        <v>2.0</v>
      </c>
      <c r="B29" s="91">
        <v>1.0</v>
      </c>
      <c r="C29" s="35"/>
      <c r="D29" s="91" t="s">
        <v>130</v>
      </c>
      <c r="E29" s="35"/>
      <c r="F29" s="130" t="s">
        <v>131</v>
      </c>
      <c r="G29" s="131"/>
      <c r="H29" s="132"/>
    </row>
    <row r="30" ht="15.75" customHeight="1">
      <c r="A30" s="83">
        <v>3.0</v>
      </c>
      <c r="B30" s="91">
        <v>1.0</v>
      </c>
      <c r="C30" s="35"/>
      <c r="D30" s="91" t="s">
        <v>130</v>
      </c>
      <c r="E30" s="35"/>
      <c r="F30" s="91" t="s">
        <v>298</v>
      </c>
      <c r="G30" s="34"/>
      <c r="H30" s="35"/>
    </row>
    <row r="31" ht="15.75" customHeight="1">
      <c r="A31" s="83">
        <v>4.0</v>
      </c>
      <c r="B31" s="91">
        <v>1.0</v>
      </c>
      <c r="C31" s="35"/>
      <c r="D31" s="91" t="s">
        <v>130</v>
      </c>
      <c r="E31" s="35"/>
      <c r="F31" s="91" t="s">
        <v>299</v>
      </c>
      <c r="G31" s="34"/>
      <c r="H31" s="35"/>
    </row>
    <row r="32" ht="15.75" customHeight="1">
      <c r="A32" s="83">
        <v>5.0</v>
      </c>
      <c r="B32" s="91">
        <v>1.0</v>
      </c>
      <c r="C32" s="35"/>
      <c r="D32" s="91" t="s">
        <v>130</v>
      </c>
      <c r="E32" s="35"/>
      <c r="F32" s="91" t="s">
        <v>123</v>
      </c>
      <c r="G32" s="34"/>
      <c r="H32" s="35"/>
    </row>
    <row r="33" ht="15.75" customHeight="1">
      <c r="A33" s="83">
        <v>6.0</v>
      </c>
      <c r="B33" s="91">
        <v>1.0</v>
      </c>
      <c r="C33" s="35"/>
      <c r="D33" s="91" t="s">
        <v>130</v>
      </c>
      <c r="E33" s="35"/>
      <c r="F33" s="91" t="s">
        <v>300</v>
      </c>
      <c r="G33" s="34"/>
      <c r="H33" s="35"/>
    </row>
    <row r="34" ht="15.75" customHeight="1">
      <c r="A34" s="83">
        <v>7.0</v>
      </c>
      <c r="B34" s="82"/>
      <c r="C34" s="35"/>
      <c r="D34" s="82"/>
      <c r="E34" s="35"/>
      <c r="F34" s="82"/>
      <c r="G34" s="34"/>
      <c r="H34" s="35"/>
    </row>
    <row r="35" ht="15.75" customHeight="1"/>
    <row r="36" ht="15.75" customHeight="1">
      <c r="A36" s="107" t="s">
        <v>260</v>
      </c>
    </row>
    <row r="37" ht="15.75" customHeight="1">
      <c r="A37" s="6"/>
      <c r="B37" s="6"/>
      <c r="C37" s="6"/>
      <c r="D37" s="6"/>
      <c r="E37" s="6"/>
      <c r="F37" s="6"/>
      <c r="G37" s="6"/>
      <c r="H37" s="6"/>
    </row>
    <row r="38">
      <c r="A38" s="108" t="s">
        <v>261</v>
      </c>
      <c r="B38" s="108" t="s">
        <v>29</v>
      </c>
      <c r="C38" s="113" t="s">
        <v>262</v>
      </c>
      <c r="D38" s="114" t="s">
        <v>263</v>
      </c>
      <c r="E38" s="34"/>
      <c r="F38" s="34"/>
      <c r="G38" s="34"/>
      <c r="H38" s="35"/>
      <c r="I38" s="115" t="s">
        <v>18</v>
      </c>
    </row>
    <row r="39" ht="15.75" customHeight="1">
      <c r="A39" s="83" t="s">
        <v>264</v>
      </c>
      <c r="B39" s="83" t="s">
        <v>265</v>
      </c>
      <c r="C39" s="83">
        <v>30.0</v>
      </c>
      <c r="D39" s="91">
        <v>30.0</v>
      </c>
      <c r="E39" s="34"/>
      <c r="F39" s="34"/>
      <c r="G39" s="34"/>
      <c r="H39" s="35"/>
      <c r="I39" s="83" t="str">
        <f t="shared" ref="I39:I42" si="1">IF(D39&lt;=C39,"Correcto", "Corregir")</f>
        <v>Correcto</v>
      </c>
    </row>
    <row r="40" ht="15.75" customHeight="1">
      <c r="A40" s="83" t="s">
        <v>266</v>
      </c>
      <c r="B40" s="83" t="s">
        <v>265</v>
      </c>
      <c r="C40" s="83">
        <v>6.0</v>
      </c>
      <c r="D40" s="91">
        <v>6.0</v>
      </c>
      <c r="E40" s="34"/>
      <c r="F40" s="34"/>
      <c r="G40" s="34"/>
      <c r="H40" s="35"/>
      <c r="I40" s="83" t="str">
        <f t="shared" si="1"/>
        <v>Correcto</v>
      </c>
    </row>
    <row r="41" ht="15.75" customHeight="1">
      <c r="A41" s="83" t="s">
        <v>267</v>
      </c>
      <c r="B41" s="83" t="s">
        <v>268</v>
      </c>
      <c r="C41" s="83">
        <v>10.0</v>
      </c>
      <c r="D41" s="91">
        <v>0.0</v>
      </c>
      <c r="E41" s="34"/>
      <c r="F41" s="34"/>
      <c r="G41" s="34"/>
      <c r="H41" s="35"/>
      <c r="I41" s="83" t="str">
        <f t="shared" si="1"/>
        <v>Correcto</v>
      </c>
    </row>
    <row r="42" ht="15.75" customHeight="1">
      <c r="A42" s="83" t="s">
        <v>269</v>
      </c>
      <c r="B42" s="83" t="s">
        <v>265</v>
      </c>
      <c r="C42" s="83">
        <v>30.0</v>
      </c>
      <c r="D42" s="91">
        <v>24.0</v>
      </c>
      <c r="E42" s="34"/>
      <c r="F42" s="34"/>
      <c r="G42" s="34"/>
      <c r="H42" s="35"/>
      <c r="I42" s="83" t="str">
        <f t="shared" si="1"/>
        <v>Correcto</v>
      </c>
    </row>
    <row r="43" ht="15.75" customHeight="1"/>
    <row r="44" ht="15.75" customHeight="1">
      <c r="A44" s="101" t="s">
        <v>270</v>
      </c>
      <c r="G44" s="95" t="s">
        <v>205</v>
      </c>
      <c r="H44" s="102">
        <f>B50</f>
        <v>25</v>
      </c>
    </row>
    <row r="45" ht="15.75" customHeight="1">
      <c r="G45" s="88" t="s">
        <v>271</v>
      </c>
    </row>
    <row r="46" ht="15.75" customHeight="1">
      <c r="A46" s="88" t="s">
        <v>272</v>
      </c>
    </row>
    <row r="47">
      <c r="A47" s="90" t="s">
        <v>273</v>
      </c>
      <c r="B47" s="91" t="s">
        <v>301</v>
      </c>
      <c r="C47" s="34"/>
      <c r="D47" s="34"/>
      <c r="E47" s="34"/>
      <c r="F47" s="34"/>
      <c r="G47" s="34"/>
      <c r="H47" s="35"/>
    </row>
    <row r="48" ht="15.75" customHeight="1">
      <c r="A48" s="90" t="s">
        <v>8</v>
      </c>
      <c r="B48" s="91" t="s">
        <v>287</v>
      </c>
      <c r="C48" s="34"/>
      <c r="D48" s="34"/>
      <c r="E48" s="34"/>
      <c r="F48" s="34"/>
      <c r="G48" s="34"/>
      <c r="H48" s="35"/>
    </row>
    <row r="49" ht="15.75" customHeight="1">
      <c r="A49" s="90" t="s">
        <v>243</v>
      </c>
      <c r="B49" s="116">
        <v>1.0</v>
      </c>
      <c r="C49" s="34"/>
      <c r="D49" s="34"/>
      <c r="E49" s="34"/>
      <c r="F49" s="34"/>
      <c r="G49" s="34"/>
      <c r="H49" s="35"/>
    </row>
    <row r="50" ht="15.75" customHeight="1">
      <c r="A50" s="90" t="s">
        <v>205</v>
      </c>
      <c r="B50" s="91">
        <v>25.0</v>
      </c>
      <c r="C50" s="34"/>
      <c r="D50" s="34"/>
      <c r="E50" s="34"/>
      <c r="F50" s="34"/>
      <c r="G50" s="34"/>
      <c r="H50" s="35"/>
    </row>
    <row r="51" ht="15.75" customHeight="1">
      <c r="A51" s="117" t="s">
        <v>275</v>
      </c>
      <c r="B51" s="6"/>
      <c r="C51" s="6"/>
      <c r="D51" s="6"/>
      <c r="E51" s="6"/>
      <c r="F51" s="6"/>
      <c r="G51" s="6"/>
      <c r="H51" s="6"/>
    </row>
    <row r="52" ht="15.75" customHeight="1">
      <c r="A52" s="104" t="s">
        <v>276</v>
      </c>
      <c r="B52" s="34"/>
      <c r="C52" s="34"/>
      <c r="D52" s="34"/>
      <c r="E52" s="34"/>
      <c r="F52" s="34"/>
      <c r="G52" s="34"/>
      <c r="H52" s="35"/>
    </row>
    <row r="53" ht="15.75" customHeight="1">
      <c r="A53" s="128" t="s">
        <v>302</v>
      </c>
      <c r="B53" s="66"/>
      <c r="C53" s="66"/>
      <c r="D53" s="66"/>
      <c r="E53" s="66"/>
      <c r="F53" s="66"/>
      <c r="G53" s="66"/>
      <c r="H53" s="67"/>
    </row>
    <row r="54" ht="15.75" customHeight="1">
      <c r="A54" s="118"/>
      <c r="H54" s="106"/>
    </row>
    <row r="55" ht="15.75" customHeight="1">
      <c r="A55" s="68"/>
      <c r="B55" s="69"/>
      <c r="C55" s="69"/>
      <c r="D55" s="69"/>
      <c r="E55" s="69"/>
      <c r="F55" s="69"/>
      <c r="G55" s="69"/>
      <c r="H55" s="70"/>
    </row>
    <row r="56" ht="15.75" customHeight="1"/>
    <row r="57" ht="15.75" customHeight="1">
      <c r="A57" s="88" t="s">
        <v>278</v>
      </c>
    </row>
    <row r="58">
      <c r="A58" s="90" t="s">
        <v>273</v>
      </c>
      <c r="B58" s="82"/>
      <c r="C58" s="34"/>
      <c r="D58" s="34"/>
      <c r="E58" s="34"/>
      <c r="F58" s="34"/>
      <c r="G58" s="34"/>
      <c r="H58" s="35"/>
    </row>
    <row r="59" ht="15.75" customHeight="1">
      <c r="A59" s="90" t="s">
        <v>8</v>
      </c>
      <c r="B59" s="82"/>
      <c r="C59" s="34"/>
      <c r="D59" s="34"/>
      <c r="E59" s="34"/>
      <c r="F59" s="34"/>
      <c r="G59" s="34"/>
      <c r="H59" s="35"/>
    </row>
    <row r="60" ht="15.75" customHeight="1">
      <c r="A60" s="90" t="s">
        <v>243</v>
      </c>
      <c r="B60" s="119"/>
      <c r="C60" s="34"/>
      <c r="D60" s="34"/>
      <c r="E60" s="34"/>
      <c r="F60" s="34"/>
      <c r="G60" s="34"/>
      <c r="H60" s="35"/>
    </row>
    <row r="61" ht="15.75" customHeight="1">
      <c r="A61" s="90" t="s">
        <v>205</v>
      </c>
      <c r="B61" s="119"/>
      <c r="C61" s="34"/>
      <c r="D61" s="34"/>
      <c r="E61" s="34"/>
      <c r="F61" s="34"/>
      <c r="G61" s="34"/>
      <c r="H61" s="35"/>
    </row>
    <row r="62" ht="15.75" customHeight="1">
      <c r="A62" s="120" t="s">
        <v>279</v>
      </c>
      <c r="B62" s="6"/>
      <c r="C62" s="6"/>
      <c r="D62" s="6"/>
      <c r="E62" s="6"/>
      <c r="F62" s="6"/>
      <c r="G62" s="6"/>
      <c r="H62" s="6"/>
    </row>
    <row r="63" ht="15.75" customHeight="1">
      <c r="A63" s="104" t="s">
        <v>276</v>
      </c>
      <c r="B63" s="34"/>
      <c r="C63" s="34"/>
      <c r="D63" s="34"/>
      <c r="E63" s="34"/>
      <c r="F63" s="34"/>
      <c r="G63" s="34"/>
      <c r="H63" s="35"/>
    </row>
    <row r="64" ht="15.75" customHeight="1">
      <c r="A64" s="121"/>
      <c r="B64" s="66"/>
      <c r="C64" s="66"/>
      <c r="D64" s="66"/>
      <c r="E64" s="66"/>
      <c r="F64" s="66"/>
      <c r="G64" s="66"/>
      <c r="H64" s="67"/>
    </row>
    <row r="65" ht="15.75" customHeight="1">
      <c r="A65" s="118"/>
      <c r="H65" s="106"/>
    </row>
    <row r="66" ht="15.75" customHeight="1">
      <c r="A66" s="68"/>
      <c r="B66" s="69"/>
      <c r="C66" s="69"/>
      <c r="D66" s="69"/>
      <c r="E66" s="69"/>
      <c r="F66" s="69"/>
      <c r="G66" s="69"/>
      <c r="H66" s="70"/>
    </row>
    <row r="67" ht="15.75" customHeight="1"/>
    <row r="68" ht="15.75" customHeight="1">
      <c r="A68" s="101" t="s">
        <v>280</v>
      </c>
      <c r="G68" s="95" t="s">
        <v>205</v>
      </c>
      <c r="H68" s="102">
        <f>B70</f>
        <v>12</v>
      </c>
    </row>
    <row r="69" ht="15.75" customHeight="1">
      <c r="G69" s="88" t="s">
        <v>281</v>
      </c>
    </row>
    <row r="70" ht="15.75" customHeight="1">
      <c r="A70" s="90" t="s">
        <v>205</v>
      </c>
      <c r="B70" s="116">
        <v>12.0</v>
      </c>
      <c r="C70" s="34"/>
      <c r="D70" s="34"/>
      <c r="E70" s="34"/>
      <c r="F70" s="34"/>
      <c r="G70" s="34"/>
      <c r="H70" s="35"/>
    </row>
    <row r="71" ht="15.75" customHeight="1">
      <c r="A71" s="114" t="s">
        <v>282</v>
      </c>
      <c r="B71" s="34"/>
      <c r="C71" s="34"/>
      <c r="D71" s="34"/>
      <c r="E71" s="34"/>
      <c r="F71" s="34"/>
      <c r="G71" s="34"/>
      <c r="H71" s="35"/>
    </row>
    <row r="72" ht="15.75" customHeight="1">
      <c r="A72" s="126" t="s">
        <v>303</v>
      </c>
      <c r="B72" s="66"/>
      <c r="C72" s="66"/>
      <c r="D72" s="66"/>
      <c r="E72" s="66"/>
      <c r="F72" s="66"/>
      <c r="G72" s="66"/>
      <c r="H72" s="67"/>
    </row>
    <row r="73" ht="15.75" customHeight="1">
      <c r="A73" s="68"/>
      <c r="B73" s="69"/>
      <c r="C73" s="69"/>
      <c r="D73" s="69"/>
      <c r="E73" s="69"/>
      <c r="F73" s="69"/>
      <c r="G73" s="69"/>
      <c r="H73" s="70"/>
    </row>
    <row r="74" ht="15.75" customHeight="1">
      <c r="A74" s="88" t="s">
        <v>284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0">
    <mergeCell ref="D42:H42"/>
    <mergeCell ref="A44:F44"/>
    <mergeCell ref="B47:H47"/>
    <mergeCell ref="B48:H48"/>
    <mergeCell ref="B49:H49"/>
    <mergeCell ref="B50:H50"/>
    <mergeCell ref="A52:H52"/>
    <mergeCell ref="A53:H55"/>
    <mergeCell ref="B58:H58"/>
    <mergeCell ref="B59:H59"/>
    <mergeCell ref="B60:H60"/>
    <mergeCell ref="B61:H61"/>
    <mergeCell ref="A63:H63"/>
    <mergeCell ref="A64:H66"/>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B29:C29"/>
    <mergeCell ref="D29:E29"/>
    <mergeCell ref="B30:C30"/>
    <mergeCell ref="D30:E30"/>
    <mergeCell ref="F30:H30"/>
    <mergeCell ref="D31:E31"/>
    <mergeCell ref="F31:H31"/>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A68:F68"/>
    <mergeCell ref="B70:H70"/>
    <mergeCell ref="A71:H71"/>
    <mergeCell ref="A72:H73"/>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6.0</v>
      </c>
      <c r="D5" s="34"/>
      <c r="E5" s="34"/>
      <c r="F5" s="34"/>
      <c r="G5" s="35"/>
    </row>
    <row r="6" ht="15.75" customHeight="1">
      <c r="B6" s="99" t="s">
        <v>202</v>
      </c>
      <c r="C6" s="82">
        <f>H10+H21+H44+H68</f>
        <v>100</v>
      </c>
      <c r="D6" s="34"/>
      <c r="E6" s="34"/>
      <c r="F6" s="34"/>
      <c r="G6" s="35"/>
      <c r="I6" s="6"/>
    </row>
    <row r="7" ht="15.75" customHeight="1">
      <c r="B7" s="99" t="s">
        <v>243</v>
      </c>
      <c r="C7" s="82">
        <f>B49+B60</f>
        <v>1</v>
      </c>
      <c r="D7" s="34"/>
      <c r="E7" s="34"/>
      <c r="F7" s="34"/>
      <c r="G7" s="35"/>
    </row>
    <row r="8" ht="15.75" customHeight="1">
      <c r="B8" s="99" t="s">
        <v>244</v>
      </c>
      <c r="C8" s="100"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02">
        <f>B13</f>
        <v>5</v>
      </c>
    </row>
    <row r="11" ht="15.75" customHeight="1">
      <c r="G11" s="88" t="s">
        <v>246</v>
      </c>
    </row>
    <row r="12" ht="15.75" customHeight="1">
      <c r="A12" s="90" t="s">
        <v>247</v>
      </c>
      <c r="B12" s="103" t="s">
        <v>248</v>
      </c>
      <c r="C12" s="34"/>
      <c r="D12" s="34"/>
      <c r="E12" s="34"/>
      <c r="F12" s="34"/>
      <c r="G12" s="34"/>
      <c r="H12" s="35"/>
    </row>
    <row r="13" ht="15.75" customHeight="1">
      <c r="A13" s="92" t="s">
        <v>205</v>
      </c>
      <c r="B13" s="91">
        <v>5.0</v>
      </c>
      <c r="C13" s="34"/>
      <c r="D13" s="34"/>
      <c r="E13" s="34"/>
      <c r="F13" s="34"/>
      <c r="G13" s="34"/>
      <c r="H13" s="35"/>
    </row>
    <row r="14" ht="15.75" customHeight="1">
      <c r="A14" s="104" t="s">
        <v>249</v>
      </c>
      <c r="B14" s="34"/>
      <c r="C14" s="34"/>
      <c r="D14" s="34"/>
      <c r="E14" s="34"/>
      <c r="F14" s="34"/>
      <c r="G14" s="34"/>
      <c r="H14" s="35"/>
    </row>
    <row r="15" ht="15.75" customHeight="1">
      <c r="A15" s="105" t="s">
        <v>250</v>
      </c>
      <c r="H15" s="106"/>
    </row>
    <row r="16" ht="15.75" customHeight="1">
      <c r="A16" s="69"/>
      <c r="B16" s="69"/>
      <c r="C16" s="69"/>
      <c r="D16" s="69"/>
      <c r="E16" s="69"/>
      <c r="F16" s="69"/>
      <c r="G16" s="69"/>
      <c r="H16" s="70"/>
    </row>
    <row r="17" ht="15.75" customHeight="1">
      <c r="A17" s="104" t="s">
        <v>251</v>
      </c>
      <c r="B17" s="34"/>
      <c r="C17" s="34"/>
      <c r="D17" s="34"/>
      <c r="E17" s="34"/>
      <c r="F17" s="34"/>
      <c r="G17" s="34"/>
      <c r="H17" s="35"/>
    </row>
    <row r="18" ht="15.75" customHeight="1">
      <c r="A18" s="105" t="s">
        <v>252</v>
      </c>
      <c r="H18" s="106"/>
    </row>
    <row r="19" ht="15.75" customHeight="1">
      <c r="A19" s="69"/>
      <c r="B19" s="69"/>
      <c r="C19" s="69"/>
      <c r="D19" s="69"/>
      <c r="E19" s="69"/>
      <c r="F19" s="69"/>
      <c r="G19" s="69"/>
      <c r="H19" s="70"/>
    </row>
    <row r="20" ht="15.75" customHeight="1"/>
    <row r="21" ht="15.75" customHeight="1">
      <c r="A21" s="101" t="s">
        <v>253</v>
      </c>
      <c r="G21" s="95" t="s">
        <v>205</v>
      </c>
      <c r="H21" s="102">
        <f>SUM(D39:H42)</f>
        <v>55</v>
      </c>
      <c r="I21" s="6"/>
    </row>
    <row r="22" ht="15.75" customHeight="1">
      <c r="G22" s="88" t="s">
        <v>254</v>
      </c>
    </row>
    <row r="23" ht="15.75" customHeight="1">
      <c r="A23" s="90" t="s">
        <v>255</v>
      </c>
      <c r="B23" s="91" t="s">
        <v>129</v>
      </c>
      <c r="C23" s="34"/>
      <c r="D23" s="34"/>
      <c r="E23" s="34"/>
      <c r="F23" s="34"/>
      <c r="G23" s="34"/>
      <c r="H23" s="35"/>
    </row>
    <row r="24" ht="15.75" customHeight="1">
      <c r="A24" s="90" t="s">
        <v>255</v>
      </c>
      <c r="B24" s="91" t="s">
        <v>138</v>
      </c>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IFERROR(__xludf.DUMMYFUNCTION("FILTER('Diseño'!D:D,'Diseño'!H:H=$C$5)"),"1. Introducción a las tecnologías de almacenamiento y arquitecturas de los sistemas de 
almacenamiento enfocadas en GNU/LINUX")</f>
        <v>1. Introducción a las tecnologías de almacenamiento y arquitecturas de los sistemas de 
almacenamiento enfocadas en GNU/LINUX</v>
      </c>
      <c r="C28" s="35"/>
      <c r="D28" s="82" t="str">
        <f>IFERROR(__xludf.DUMMYFUNCTION("FILTER('Diseño'!E:E,'Diseño'!H:H=$C$5)"),"GNU/Linux y Organización de Archivos")</f>
        <v>GNU/Linux y Organización de Archivos</v>
      </c>
      <c r="E28" s="35"/>
      <c r="F28" s="82" t="str">
        <f>IFERROR(__xludf.DUMMYFUNCTION("FILTER('Diseño'!F:F,'Diseño'!H:H=$C$5)"),"Arquitectura y sistema de archivos")</f>
        <v>Arquitectura y sistema de archivos</v>
      </c>
      <c r="G28" s="34"/>
      <c r="H28" s="35"/>
    </row>
    <row r="29" ht="15.75" customHeight="1">
      <c r="A29" s="83">
        <v>2.0</v>
      </c>
      <c r="B29"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29" s="35"/>
      <c r="D29" s="82" t="str">
        <f>IFERROR(__xludf.DUMMYFUNCTION("""COMPUTED_VALUE"""),"GNU/Linux y Organización de Archivos")</f>
        <v>GNU/Linux y Organización de Archivos</v>
      </c>
      <c r="E29" s="35"/>
      <c r="F29" s="82" t="str">
        <f>IFERROR(__xludf.DUMMYFUNCTION("""COMPUTED_VALUE"""),"Procesos y estructuras en memoria")</f>
        <v>Procesos y estructuras en memoria</v>
      </c>
      <c r="G29" s="34"/>
      <c r="H29" s="35"/>
    </row>
    <row r="30" ht="15.75" customHeight="1">
      <c r="A30" s="83">
        <v>3.0</v>
      </c>
      <c r="B30"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0" s="35"/>
      <c r="D30" s="82" t="str">
        <f>IFERROR(__xludf.DUMMYFUNCTION("""COMPUTED_VALUE"""),"GNU/Linux y Organización de Archivos")</f>
        <v>GNU/Linux y Organización de Archivos</v>
      </c>
      <c r="E30" s="35"/>
      <c r="F30" s="82" t="str">
        <f>IFERROR(__xludf.DUMMYFUNCTION("""COMPUTED_VALUE"""),"Tipos de archivos y modelos lógicos")</f>
        <v>Tipos de archivos y modelos lógicos</v>
      </c>
      <c r="G30" s="34"/>
      <c r="H30" s="35"/>
    </row>
    <row r="31" ht="15.75" customHeight="1">
      <c r="A31" s="83">
        <v>4.0</v>
      </c>
      <c r="B31"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1" s="35"/>
      <c r="D31" s="82" t="str">
        <f>IFERROR(__xludf.DUMMYFUNCTION("""COMPUTED_VALUE"""),"GNU/Linux y Organización de Archivos")</f>
        <v>GNU/Linux y Organización de Archivos</v>
      </c>
      <c r="E31" s="35"/>
      <c r="F31" s="82" t="str">
        <f>IFERROR(__xludf.DUMMYFUNCTION("""COMPUTED_VALUE"""),"Sistemas de archivos en Linux")</f>
        <v>Sistemas de archivos en Linux</v>
      </c>
      <c r="G31" s="34"/>
      <c r="H31" s="35"/>
    </row>
    <row r="32" ht="15.75" customHeight="1">
      <c r="A32" s="83">
        <v>5.0</v>
      </c>
      <c r="B32"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2" s="35"/>
      <c r="D32" s="82" t="str">
        <f>IFERROR(__xludf.DUMMYFUNCTION("""COMPUTED_VALUE"""),"GNU/Linux y Organización de Archivos")</f>
        <v>GNU/Linux y Organización de Archivos</v>
      </c>
      <c r="E32" s="35"/>
      <c r="F32" s="82" t="str">
        <f>IFERROR(__xludf.DUMMYFUNCTION("""COMPUTED_VALUE"""),"Paquetes e indexación")</f>
        <v>Paquetes e indexación</v>
      </c>
      <c r="G32" s="34"/>
      <c r="H32" s="35"/>
    </row>
    <row r="33" ht="15.75" customHeight="1">
      <c r="A33" s="83">
        <v>6.0</v>
      </c>
      <c r="B33"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3" s="35"/>
      <c r="D33" s="82" t="str">
        <f>IFERROR(__xludf.DUMMYFUNCTION("""COMPUTED_VALUE"""),"GNU/Linux y Organización de Archivos")</f>
        <v>GNU/Linux y Organización de Archivos</v>
      </c>
      <c r="E33" s="35"/>
      <c r="F33" s="82" t="str">
        <f>IFERROR(__xludf.DUMMYFUNCTION("""COMPUTED_VALUE"""),"Linux en empresas y nube")</f>
        <v>Linux en empresas y nube</v>
      </c>
      <c r="G33" s="34"/>
      <c r="H33" s="35"/>
    </row>
    <row r="34" ht="15.75" customHeight="1">
      <c r="A34" s="83">
        <v>7.0</v>
      </c>
      <c r="B34"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4" s="35"/>
      <c r="D34" s="82" t="str">
        <f>IFERROR(__xludf.DUMMYFUNCTION("""COMPUTED_VALUE"""),"RAID")</f>
        <v>RAID</v>
      </c>
      <c r="E34" s="35"/>
      <c r="F34" s="82" t="str">
        <f>IFERROR(__xludf.DUMMYFUNCTION("""COMPUTED_VALUE"""),"Introducción a RAID: Concepto y Tipos")</f>
        <v>Introducción a RAID: Concepto y Tipos</v>
      </c>
      <c r="G34" s="34"/>
      <c r="H34" s="35"/>
    </row>
    <row r="35" ht="15.75" customHeight="1"/>
    <row r="36" ht="15.75" customHeight="1">
      <c r="A36" s="107" t="s">
        <v>260</v>
      </c>
    </row>
    <row r="37" ht="15.75" customHeight="1">
      <c r="A37" s="6"/>
      <c r="B37" s="6"/>
      <c r="C37" s="6"/>
      <c r="D37" s="6"/>
      <c r="E37" s="6"/>
      <c r="F37" s="6"/>
      <c r="G37" s="6"/>
      <c r="H37" s="6"/>
    </row>
    <row r="38">
      <c r="A38" s="108" t="s">
        <v>261</v>
      </c>
      <c r="B38" s="108" t="s">
        <v>29</v>
      </c>
      <c r="C38" s="113" t="s">
        <v>262</v>
      </c>
      <c r="D38" s="114" t="s">
        <v>263</v>
      </c>
      <c r="E38" s="34"/>
      <c r="F38" s="34"/>
      <c r="G38" s="34"/>
      <c r="H38" s="35"/>
      <c r="I38" s="115" t="s">
        <v>18</v>
      </c>
    </row>
    <row r="39" ht="15.75" customHeight="1">
      <c r="A39" s="83" t="s">
        <v>264</v>
      </c>
      <c r="B39" s="83" t="s">
        <v>265</v>
      </c>
      <c r="C39" s="83">
        <v>30.0</v>
      </c>
      <c r="D39" s="91">
        <v>25.0</v>
      </c>
      <c r="E39" s="34"/>
      <c r="F39" s="34"/>
      <c r="G39" s="34"/>
      <c r="H39" s="35"/>
      <c r="I39" s="83" t="str">
        <f t="shared" ref="I39:I42" si="1">IF(D39&lt;=C39,"Correcto", "Corregir")</f>
        <v>Correcto</v>
      </c>
    </row>
    <row r="40" ht="15.75" customHeight="1">
      <c r="A40" s="83" t="s">
        <v>266</v>
      </c>
      <c r="B40" s="83" t="s">
        <v>265</v>
      </c>
      <c r="C40" s="83">
        <v>6.0</v>
      </c>
      <c r="D40" s="91">
        <v>0.0</v>
      </c>
      <c r="E40" s="34"/>
      <c r="F40" s="34"/>
      <c r="G40" s="34"/>
      <c r="H40" s="35"/>
      <c r="I40" s="83" t="str">
        <f t="shared" si="1"/>
        <v>Correcto</v>
      </c>
    </row>
    <row r="41" ht="15.75" customHeight="1">
      <c r="A41" s="83" t="s">
        <v>267</v>
      </c>
      <c r="B41" s="83" t="s">
        <v>268</v>
      </c>
      <c r="C41" s="83">
        <v>10.0</v>
      </c>
      <c r="D41" s="91">
        <v>0.0</v>
      </c>
      <c r="E41" s="34"/>
      <c r="F41" s="34"/>
      <c r="G41" s="34"/>
      <c r="H41" s="35"/>
      <c r="I41" s="83" t="str">
        <f t="shared" si="1"/>
        <v>Correcto</v>
      </c>
    </row>
    <row r="42" ht="15.75" customHeight="1">
      <c r="A42" s="83" t="s">
        <v>269</v>
      </c>
      <c r="B42" s="83" t="s">
        <v>265</v>
      </c>
      <c r="C42" s="83">
        <v>30.0</v>
      </c>
      <c r="D42" s="91">
        <v>30.0</v>
      </c>
      <c r="E42" s="34"/>
      <c r="F42" s="34"/>
      <c r="G42" s="34"/>
      <c r="H42" s="35"/>
      <c r="I42" s="83" t="str">
        <f t="shared" si="1"/>
        <v>Correcto</v>
      </c>
    </row>
    <row r="43" ht="15.75" customHeight="1"/>
    <row r="44" ht="15.75" customHeight="1">
      <c r="A44" s="101" t="s">
        <v>270</v>
      </c>
      <c r="G44" s="95" t="s">
        <v>205</v>
      </c>
      <c r="H44" s="102">
        <f>B50</f>
        <v>30</v>
      </c>
    </row>
    <row r="45" ht="15.75" customHeight="1">
      <c r="G45" s="88" t="s">
        <v>271</v>
      </c>
    </row>
    <row r="46" ht="15.75" customHeight="1">
      <c r="A46" s="88" t="s">
        <v>272</v>
      </c>
    </row>
    <row r="47">
      <c r="A47" s="90" t="s">
        <v>273</v>
      </c>
      <c r="B47" s="91" t="s">
        <v>120</v>
      </c>
      <c r="C47" s="34"/>
      <c r="D47" s="34"/>
      <c r="E47" s="34"/>
      <c r="F47" s="34"/>
      <c r="G47" s="34"/>
      <c r="H47" s="35"/>
    </row>
    <row r="48" ht="15.75" customHeight="1">
      <c r="A48" s="90" t="s">
        <v>8</v>
      </c>
      <c r="B48" s="91" t="s">
        <v>274</v>
      </c>
      <c r="C48" s="34"/>
      <c r="D48" s="34"/>
      <c r="E48" s="34"/>
      <c r="F48" s="34"/>
      <c r="G48" s="34"/>
      <c r="H48" s="35"/>
    </row>
    <row r="49" ht="15.75" customHeight="1">
      <c r="A49" s="90" t="s">
        <v>243</v>
      </c>
      <c r="B49" s="116">
        <v>1.0</v>
      </c>
      <c r="C49" s="34"/>
      <c r="D49" s="34"/>
      <c r="E49" s="34"/>
      <c r="F49" s="34"/>
      <c r="G49" s="34"/>
      <c r="H49" s="35"/>
    </row>
    <row r="50" ht="15.75" customHeight="1">
      <c r="A50" s="90" t="s">
        <v>205</v>
      </c>
      <c r="B50" s="91">
        <v>30.0</v>
      </c>
      <c r="C50" s="34"/>
      <c r="D50" s="34"/>
      <c r="E50" s="34"/>
      <c r="F50" s="34"/>
      <c r="G50" s="34"/>
      <c r="H50" s="35"/>
    </row>
    <row r="51" ht="15.75" customHeight="1">
      <c r="A51" s="117" t="s">
        <v>275</v>
      </c>
      <c r="B51" s="6"/>
      <c r="C51" s="6"/>
      <c r="D51" s="6"/>
      <c r="E51" s="6"/>
      <c r="F51" s="6"/>
      <c r="G51" s="6"/>
      <c r="H51" s="6"/>
    </row>
    <row r="52" ht="15.75" customHeight="1">
      <c r="A52" s="104" t="s">
        <v>276</v>
      </c>
      <c r="B52" s="34"/>
      <c r="C52" s="34"/>
      <c r="D52" s="34"/>
      <c r="E52" s="34"/>
      <c r="F52" s="34"/>
      <c r="G52" s="34"/>
      <c r="H52" s="35"/>
    </row>
    <row r="53" ht="15.75" customHeight="1">
      <c r="A53" s="65" t="s">
        <v>277</v>
      </c>
      <c r="B53" s="66"/>
      <c r="C53" s="66"/>
      <c r="D53" s="66"/>
      <c r="E53" s="66"/>
      <c r="F53" s="66"/>
      <c r="G53" s="66"/>
      <c r="H53" s="67"/>
    </row>
    <row r="54" ht="15.75" customHeight="1">
      <c r="A54" s="118"/>
      <c r="H54" s="106"/>
    </row>
    <row r="55" ht="15.75" customHeight="1">
      <c r="A55" s="68"/>
      <c r="B55" s="69"/>
      <c r="C55" s="69"/>
      <c r="D55" s="69"/>
      <c r="E55" s="69"/>
      <c r="F55" s="69"/>
      <c r="G55" s="69"/>
      <c r="H55" s="70"/>
    </row>
    <row r="56" ht="15.75" customHeight="1"/>
    <row r="57" ht="15.75" customHeight="1">
      <c r="A57" s="88" t="s">
        <v>278</v>
      </c>
    </row>
    <row r="58">
      <c r="A58" s="90" t="s">
        <v>273</v>
      </c>
      <c r="B58" s="82"/>
      <c r="C58" s="34"/>
      <c r="D58" s="34"/>
      <c r="E58" s="34"/>
      <c r="F58" s="34"/>
      <c r="G58" s="34"/>
      <c r="H58" s="35"/>
    </row>
    <row r="59" ht="15.75" customHeight="1">
      <c r="A59" s="90" t="s">
        <v>8</v>
      </c>
      <c r="B59" s="82"/>
      <c r="C59" s="34"/>
      <c r="D59" s="34"/>
      <c r="E59" s="34"/>
      <c r="F59" s="34"/>
      <c r="G59" s="34"/>
      <c r="H59" s="35"/>
    </row>
    <row r="60" ht="15.75" customHeight="1">
      <c r="A60" s="90" t="s">
        <v>243</v>
      </c>
      <c r="B60" s="119"/>
      <c r="C60" s="34"/>
      <c r="D60" s="34"/>
      <c r="E60" s="34"/>
      <c r="F60" s="34"/>
      <c r="G60" s="34"/>
      <c r="H60" s="35"/>
    </row>
    <row r="61" ht="15.75" customHeight="1">
      <c r="A61" s="90" t="s">
        <v>205</v>
      </c>
      <c r="B61" s="119"/>
      <c r="C61" s="34"/>
      <c r="D61" s="34"/>
      <c r="E61" s="34"/>
      <c r="F61" s="34"/>
      <c r="G61" s="34"/>
      <c r="H61" s="35"/>
    </row>
    <row r="62" ht="15.75" customHeight="1">
      <c r="A62" s="120" t="s">
        <v>279</v>
      </c>
      <c r="B62" s="6"/>
      <c r="C62" s="6"/>
      <c r="D62" s="6"/>
      <c r="E62" s="6"/>
      <c r="F62" s="6"/>
      <c r="G62" s="6"/>
      <c r="H62" s="6"/>
    </row>
    <row r="63" ht="15.75" customHeight="1">
      <c r="A63" s="104" t="s">
        <v>276</v>
      </c>
      <c r="B63" s="34"/>
      <c r="C63" s="34"/>
      <c r="D63" s="34"/>
      <c r="E63" s="34"/>
      <c r="F63" s="34"/>
      <c r="G63" s="34"/>
      <c r="H63" s="35"/>
    </row>
    <row r="64" ht="15.75" customHeight="1">
      <c r="A64" s="121"/>
      <c r="B64" s="66"/>
      <c r="C64" s="66"/>
      <c r="D64" s="66"/>
      <c r="E64" s="66"/>
      <c r="F64" s="66"/>
      <c r="G64" s="66"/>
      <c r="H64" s="67"/>
    </row>
    <row r="65" ht="15.75" customHeight="1">
      <c r="A65" s="118"/>
      <c r="H65" s="106"/>
    </row>
    <row r="66" ht="15.75" customHeight="1">
      <c r="A66" s="68"/>
      <c r="B66" s="69"/>
      <c r="C66" s="69"/>
      <c r="D66" s="69"/>
      <c r="E66" s="69"/>
      <c r="F66" s="69"/>
      <c r="G66" s="69"/>
      <c r="H66" s="70"/>
    </row>
    <row r="67" ht="15.75" customHeight="1"/>
    <row r="68" ht="15.75" customHeight="1">
      <c r="A68" s="101" t="s">
        <v>280</v>
      </c>
      <c r="G68" s="95" t="s">
        <v>205</v>
      </c>
      <c r="H68" s="102">
        <f>B70</f>
        <v>10</v>
      </c>
    </row>
    <row r="69" ht="15.75" customHeight="1">
      <c r="G69" s="88" t="s">
        <v>281</v>
      </c>
    </row>
    <row r="70" ht="15.75" customHeight="1">
      <c r="A70" s="90" t="s">
        <v>205</v>
      </c>
      <c r="B70" s="116">
        <v>10.0</v>
      </c>
      <c r="C70" s="34"/>
      <c r="D70" s="34"/>
      <c r="E70" s="34"/>
      <c r="F70" s="34"/>
      <c r="G70" s="34"/>
      <c r="H70" s="35"/>
    </row>
    <row r="71" ht="15.75" customHeight="1">
      <c r="A71" s="114" t="s">
        <v>282</v>
      </c>
      <c r="B71" s="34"/>
      <c r="C71" s="34"/>
      <c r="D71" s="34"/>
      <c r="E71" s="34"/>
      <c r="F71" s="34"/>
      <c r="G71" s="34"/>
      <c r="H71" s="35"/>
    </row>
    <row r="72" ht="15.75" customHeight="1">
      <c r="A72" s="65" t="s">
        <v>283</v>
      </c>
      <c r="B72" s="66"/>
      <c r="C72" s="66"/>
      <c r="D72" s="66"/>
      <c r="E72" s="66"/>
      <c r="F72" s="66"/>
      <c r="G72" s="66"/>
      <c r="H72" s="67"/>
    </row>
    <row r="73" ht="15.75" customHeight="1">
      <c r="A73" s="68"/>
      <c r="B73" s="69"/>
      <c r="C73" s="69"/>
      <c r="D73" s="69"/>
      <c r="E73" s="69"/>
      <c r="F73" s="69"/>
      <c r="G73" s="69"/>
      <c r="H73" s="70"/>
    </row>
    <row r="74" ht="15.75" customHeight="1">
      <c r="A74" s="88" t="s">
        <v>284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7.0</v>
      </c>
      <c r="D5" s="34"/>
      <c r="E5" s="34"/>
      <c r="F5" s="34"/>
      <c r="G5" s="35"/>
    </row>
    <row r="6" ht="15.75" customHeight="1">
      <c r="B6" s="99" t="s">
        <v>202</v>
      </c>
      <c r="C6" s="91">
        <v>100.0</v>
      </c>
      <c r="D6" s="34"/>
      <c r="E6" s="34"/>
      <c r="F6" s="34"/>
      <c r="G6" s="35"/>
      <c r="I6" s="6"/>
    </row>
    <row r="7" ht="15.75" customHeight="1">
      <c r="B7" s="99" t="s">
        <v>243</v>
      </c>
      <c r="C7" s="91">
        <v>1.0</v>
      </c>
      <c r="D7" s="34"/>
      <c r="E7" s="34"/>
      <c r="F7" s="34"/>
      <c r="G7" s="35"/>
    </row>
    <row r="8" ht="15.75" customHeight="1">
      <c r="B8" s="99" t="s">
        <v>244</v>
      </c>
      <c r="C8" s="100" t="str">
        <f>IF(H44&lt;=0, "❌ ERROR: La Actividad 1 debe tener un tiempo mayor a 0.", IF(H21&gt;60, "❌ ERROR: El 'Área de Conocimiento' no puede exceder los 60 min.", IF((H10+H21+H44+H68)&lt;100,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02">
        <f>B13</f>
        <v>5</v>
      </c>
    </row>
    <row r="11" ht="15.75" customHeight="1">
      <c r="G11" s="88" t="s">
        <v>246</v>
      </c>
    </row>
    <row r="12" ht="15.75" customHeight="1">
      <c r="A12" s="90" t="s">
        <v>247</v>
      </c>
      <c r="B12" s="91" t="s">
        <v>304</v>
      </c>
      <c r="C12" s="34"/>
      <c r="D12" s="34"/>
      <c r="E12" s="34"/>
      <c r="F12" s="34"/>
      <c r="G12" s="34"/>
      <c r="H12" s="35"/>
    </row>
    <row r="13" ht="15.75" customHeight="1">
      <c r="A13" s="92" t="s">
        <v>205</v>
      </c>
      <c r="B13" s="91">
        <v>5.0</v>
      </c>
      <c r="C13" s="34"/>
      <c r="D13" s="34"/>
      <c r="E13" s="34"/>
      <c r="F13" s="34"/>
      <c r="G13" s="34"/>
      <c r="H13" s="35"/>
    </row>
    <row r="14" ht="15.75" customHeight="1">
      <c r="A14" s="104" t="s">
        <v>249</v>
      </c>
      <c r="B14" s="34"/>
      <c r="C14" s="34"/>
      <c r="D14" s="34"/>
      <c r="E14" s="34"/>
      <c r="F14" s="34"/>
      <c r="G14" s="34"/>
      <c r="H14" s="35"/>
    </row>
    <row r="15" ht="15.75" customHeight="1">
      <c r="A15" s="123" t="s">
        <v>305</v>
      </c>
      <c r="H15" s="106"/>
    </row>
    <row r="16" ht="15.75" customHeight="1">
      <c r="A16" s="69"/>
      <c r="B16" s="69"/>
      <c r="C16" s="69"/>
      <c r="D16" s="69"/>
      <c r="E16" s="69"/>
      <c r="F16" s="69"/>
      <c r="G16" s="69"/>
      <c r="H16" s="70"/>
    </row>
    <row r="17" ht="15.75" customHeight="1">
      <c r="A17" s="104" t="s">
        <v>251</v>
      </c>
      <c r="B17" s="34"/>
      <c r="C17" s="34"/>
      <c r="D17" s="34"/>
      <c r="E17" s="34"/>
      <c r="F17" s="34"/>
      <c r="G17" s="34"/>
      <c r="H17" s="35"/>
    </row>
    <row r="18" ht="15.75" customHeight="1">
      <c r="A18" s="121"/>
      <c r="B18" s="66"/>
      <c r="C18" s="66"/>
      <c r="D18" s="66"/>
      <c r="E18" s="66"/>
      <c r="F18" s="66"/>
      <c r="G18" s="66"/>
      <c r="H18" s="67"/>
    </row>
    <row r="19" ht="15.75" customHeight="1">
      <c r="A19" s="68"/>
      <c r="B19" s="69"/>
      <c r="C19" s="69"/>
      <c r="D19" s="69"/>
      <c r="E19" s="69"/>
      <c r="F19" s="69"/>
      <c r="G19" s="69"/>
      <c r="H19" s="70"/>
    </row>
    <row r="20" ht="15.75" customHeight="1"/>
    <row r="21" ht="15.75" customHeight="1">
      <c r="A21" s="101" t="s">
        <v>253</v>
      </c>
      <c r="G21" s="95" t="s">
        <v>205</v>
      </c>
      <c r="H21" s="102">
        <f>SUM(D39:H42)</f>
        <v>55</v>
      </c>
      <c r="I21" s="6"/>
    </row>
    <row r="22" ht="15.75" customHeight="1">
      <c r="G22" s="88" t="s">
        <v>254</v>
      </c>
    </row>
    <row r="23" ht="15.75" customHeight="1">
      <c r="A23" s="90" t="s">
        <v>255</v>
      </c>
      <c r="B23" s="91" t="s">
        <v>146</v>
      </c>
      <c r="C23" s="34"/>
      <c r="D23" s="34"/>
      <c r="E23" s="34"/>
      <c r="F23" s="34"/>
      <c r="G23" s="34"/>
      <c r="H23" s="35"/>
    </row>
    <row r="24" ht="15.75" customHeight="1">
      <c r="A24" s="90" t="s">
        <v>255</v>
      </c>
      <c r="B24" s="82"/>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IFERROR(__xludf.DUMMYFUNCTION("FILTER('Diseño'!D:D,'Diseño'!H:H=$C$5)"),"1. Introducción a las tecnologías de almacenamiento y arquitecturas de los sistemas de 
almacenamiento enfocadas en GNU/LINUX")</f>
        <v>1. Introducción a las tecnologías de almacenamiento y arquitecturas de los sistemas de 
almacenamiento enfocadas en GNU/LINUX</v>
      </c>
      <c r="C28" s="35"/>
      <c r="D28" s="82" t="str">
        <f>IFERROR(__xludf.DUMMYFUNCTION("FILTER('Diseño'!E:E,'Diseño'!H:H=$C$5)"),"RAID")</f>
        <v>RAID</v>
      </c>
      <c r="E28" s="35"/>
      <c r="F28" s="82" t="str">
        <f>IFERROR(__xludf.DUMMYFUNCTION("FILTER('Diseño'!F:F,'Diseño'!H:H=$C$5)"),"Niveles RAID: RAID 0, 1, 5, 6, 10, 50 y más")</f>
        <v>Niveles RAID: RAID 0, 1, 5, 6, 10, 50 y más</v>
      </c>
      <c r="G28" s="34"/>
      <c r="H28" s="35"/>
    </row>
    <row r="29" ht="15.75" customHeight="1">
      <c r="A29" s="83">
        <v>2.0</v>
      </c>
      <c r="B29"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29" s="35"/>
      <c r="D29" s="82" t="str">
        <f>IFERROR(__xludf.DUMMYFUNCTION("""COMPUTED_VALUE"""),"RAID")</f>
        <v>RAID</v>
      </c>
      <c r="E29" s="35"/>
      <c r="F29" s="82" t="str">
        <f>IFERROR(__xludf.DUMMYFUNCTION("""COMPUTED_VALUE"""),"Rendimiento y Fiabilidad en RAID")</f>
        <v>Rendimiento y Fiabilidad en RAID</v>
      </c>
      <c r="G29" s="34"/>
      <c r="H29" s="35"/>
    </row>
    <row r="30" ht="15.75" customHeight="1">
      <c r="A30" s="83">
        <v>3.0</v>
      </c>
      <c r="B30"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0" s="35"/>
      <c r="D30" s="82" t="str">
        <f>IFERROR(__xludf.DUMMYFUNCTION("""COMPUTED_VALUE"""),"RAID")</f>
        <v>RAID</v>
      </c>
      <c r="E30" s="35"/>
      <c r="F30" s="82" t="str">
        <f>IFERROR(__xludf.DUMMYFUNCTION("""COMPUTED_VALUE"""),"RAID y Tecnologías de Almacenamiento Actuales")</f>
        <v>RAID y Tecnologías de Almacenamiento Actuales</v>
      </c>
      <c r="G30" s="34"/>
      <c r="H30" s="35"/>
    </row>
    <row r="31" ht="15.75" customHeight="1">
      <c r="A31" s="83">
        <v>4.0</v>
      </c>
      <c r="B31"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1" s="35"/>
      <c r="D31" s="82" t="str">
        <f>IFERROR(__xludf.DUMMYFUNCTION("""COMPUTED_VALUE"""),"RAID")</f>
        <v>RAID</v>
      </c>
      <c r="E31" s="35"/>
      <c r="F31" s="82" t="str">
        <f>IFERROR(__xludf.DUMMYFUNCTION("""COMPUTED_VALUE"""),"Implementación de RAID por software vs hardware")</f>
        <v>Implementación de RAID por software vs hardware</v>
      </c>
      <c r="G31" s="34"/>
      <c r="H31" s="35"/>
    </row>
    <row r="32" ht="15.75" customHeight="1">
      <c r="A32" s="83">
        <v>5.0</v>
      </c>
      <c r="B32"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2" s="35"/>
      <c r="D32" s="82" t="str">
        <f>IFERROR(__xludf.DUMMYFUNCTION("""COMPUTED_VALUE"""),"RAID")</f>
        <v>RAID</v>
      </c>
      <c r="E32" s="35"/>
      <c r="F32" s="82" t="str">
        <f>IFERROR(__xludf.DUMMYFUNCTION("""COMPUTED_VALUE"""),"RAID en entornos virtualizados")</f>
        <v>RAID en entornos virtualizados</v>
      </c>
      <c r="G32" s="34"/>
      <c r="H32" s="35"/>
    </row>
    <row r="33" ht="15.75" customHeight="1">
      <c r="A33" s="83">
        <v>6.0</v>
      </c>
      <c r="B33" s="82" t="str">
        <f>IFERROR(__xludf.DUMMYFUNCTION("""COMPUTED_VALUE"""),"1. Introducción a las tecnologías de almacenamiento y arquitecturas de los sistemas de 
almacenamiento enfocadas en GNU/LINUX")</f>
        <v>1. Introducción a las tecnologías de almacenamiento y arquitecturas de los sistemas de 
almacenamiento enfocadas en GNU/LINUX</v>
      </c>
      <c r="C33" s="35"/>
      <c r="D33" s="82" t="str">
        <f>IFERROR(__xludf.DUMMYFUNCTION("""COMPUTED_VALUE"""),"RAID")</f>
        <v>RAID</v>
      </c>
      <c r="E33" s="35"/>
      <c r="F33" s="82" t="str">
        <f>IFERROR(__xludf.DUMMYFUNCTION("""COMPUTED_VALUE"""),"RAID en Entornos Empresariales y Personales")</f>
        <v>RAID en Entornos Empresariales y Personales</v>
      </c>
      <c r="G33" s="34"/>
      <c r="H33" s="35"/>
    </row>
    <row r="34" ht="15.75" customHeight="1">
      <c r="A34" s="83">
        <v>7.0</v>
      </c>
      <c r="B34" s="82" t="str">
        <f>IFERROR(__xludf.DUMMYFUNCTION("""COMPUTED_VALUE"""),"2. Introducción a los almacenamientos en red y en la nube")</f>
        <v>2. Introducción a los almacenamientos en red y en la nube</v>
      </c>
      <c r="C34" s="35"/>
      <c r="D34" s="82" t="str">
        <f>IFERROR(__xludf.DUMMYFUNCTION("""COMPUTED_VALUE"""),"Conceptos basicos")</f>
        <v>Conceptos basicos</v>
      </c>
      <c r="E34" s="35"/>
      <c r="F34" s="82" t="str">
        <f>IFERROR(__xludf.DUMMYFUNCTION("""COMPUTED_VALUE"""),"Evolución de los Sistemas de Almacenamiento en Red")</f>
        <v>Evolución de los Sistemas de Almacenamiento en Red</v>
      </c>
      <c r="G34" s="34"/>
      <c r="H34" s="35"/>
    </row>
    <row r="35" ht="15.75" customHeight="1"/>
    <row r="36" ht="15.75" customHeight="1">
      <c r="A36" s="107" t="s">
        <v>260</v>
      </c>
    </row>
    <row r="37" ht="15.75" customHeight="1">
      <c r="A37" s="6"/>
      <c r="B37" s="6"/>
      <c r="C37" s="6"/>
      <c r="D37" s="6"/>
      <c r="E37" s="6"/>
      <c r="F37" s="6"/>
      <c r="G37" s="6"/>
      <c r="H37" s="6"/>
    </row>
    <row r="38">
      <c r="A38" s="108" t="s">
        <v>261</v>
      </c>
      <c r="B38" s="108" t="s">
        <v>29</v>
      </c>
      <c r="C38" s="113" t="s">
        <v>262</v>
      </c>
      <c r="D38" s="114" t="s">
        <v>263</v>
      </c>
      <c r="E38" s="34"/>
      <c r="F38" s="34"/>
      <c r="G38" s="34"/>
      <c r="H38" s="35"/>
      <c r="I38" s="115" t="s">
        <v>18</v>
      </c>
    </row>
    <row r="39" ht="15.75" customHeight="1">
      <c r="A39" s="83" t="s">
        <v>264</v>
      </c>
      <c r="B39" s="83" t="s">
        <v>265</v>
      </c>
      <c r="C39" s="83">
        <v>30.0</v>
      </c>
      <c r="D39" s="91">
        <v>20.0</v>
      </c>
      <c r="E39" s="34"/>
      <c r="F39" s="34"/>
      <c r="G39" s="34"/>
      <c r="H39" s="35"/>
      <c r="I39" s="83" t="str">
        <f t="shared" ref="I39:I42" si="1">IF(D39&lt;=C39,"Correcto", "Corregir")</f>
        <v>Correcto</v>
      </c>
    </row>
    <row r="40" ht="15.75" customHeight="1">
      <c r="A40" s="83" t="s">
        <v>266</v>
      </c>
      <c r="B40" s="83" t="s">
        <v>265</v>
      </c>
      <c r="C40" s="83">
        <v>6.0</v>
      </c>
      <c r="D40" s="91">
        <v>5.0</v>
      </c>
      <c r="E40" s="34"/>
      <c r="F40" s="34"/>
      <c r="G40" s="34"/>
      <c r="H40" s="35"/>
      <c r="I40" s="83" t="str">
        <f t="shared" si="1"/>
        <v>Correcto</v>
      </c>
    </row>
    <row r="41" ht="15.75" customHeight="1">
      <c r="A41" s="83" t="s">
        <v>267</v>
      </c>
      <c r="B41" s="83" t="s">
        <v>268</v>
      </c>
      <c r="C41" s="83">
        <v>10.0</v>
      </c>
      <c r="D41" s="91">
        <v>0.0</v>
      </c>
      <c r="E41" s="34"/>
      <c r="F41" s="34"/>
      <c r="G41" s="34"/>
      <c r="H41" s="35"/>
      <c r="I41" s="83" t="str">
        <f t="shared" si="1"/>
        <v>Correcto</v>
      </c>
    </row>
    <row r="42" ht="15.75" customHeight="1">
      <c r="A42" s="83" t="s">
        <v>269</v>
      </c>
      <c r="B42" s="83" t="s">
        <v>265</v>
      </c>
      <c r="C42" s="83">
        <v>30.0</v>
      </c>
      <c r="D42" s="91">
        <v>30.0</v>
      </c>
      <c r="E42" s="34"/>
      <c r="F42" s="34"/>
      <c r="G42" s="34"/>
      <c r="H42" s="35"/>
      <c r="I42" s="83" t="str">
        <f t="shared" si="1"/>
        <v>Correcto</v>
      </c>
    </row>
    <row r="43" ht="15.75" customHeight="1"/>
    <row r="44" ht="15.75" customHeight="1">
      <c r="A44" s="101" t="s">
        <v>270</v>
      </c>
      <c r="G44" s="95" t="s">
        <v>205</v>
      </c>
      <c r="H44" s="102">
        <f>B50</f>
        <v>30</v>
      </c>
    </row>
    <row r="45" ht="15.75" customHeight="1">
      <c r="G45" s="88" t="s">
        <v>271</v>
      </c>
    </row>
    <row r="46" ht="15.75" customHeight="1">
      <c r="A46" s="88" t="s">
        <v>272</v>
      </c>
    </row>
    <row r="47">
      <c r="A47" s="90" t="s">
        <v>273</v>
      </c>
      <c r="B47" s="91" t="s">
        <v>146</v>
      </c>
      <c r="C47" s="34"/>
      <c r="D47" s="34"/>
      <c r="E47" s="34"/>
      <c r="F47" s="34"/>
      <c r="G47" s="34"/>
      <c r="H47" s="35"/>
    </row>
    <row r="48" ht="15.75" customHeight="1">
      <c r="A48" s="90" t="s">
        <v>8</v>
      </c>
      <c r="B48" s="91" t="s">
        <v>287</v>
      </c>
      <c r="C48" s="34"/>
      <c r="D48" s="34"/>
      <c r="E48" s="34"/>
      <c r="F48" s="34"/>
      <c r="G48" s="34"/>
      <c r="H48" s="35"/>
    </row>
    <row r="49" ht="15.75" customHeight="1">
      <c r="A49" s="90" t="s">
        <v>243</v>
      </c>
      <c r="B49" s="116">
        <v>1.0</v>
      </c>
      <c r="C49" s="34"/>
      <c r="D49" s="34"/>
      <c r="E49" s="34"/>
      <c r="F49" s="34"/>
      <c r="G49" s="34"/>
      <c r="H49" s="35"/>
    </row>
    <row r="50" ht="15.75" customHeight="1">
      <c r="A50" s="90" t="s">
        <v>205</v>
      </c>
      <c r="B50" s="91">
        <v>30.0</v>
      </c>
      <c r="C50" s="34"/>
      <c r="D50" s="34"/>
      <c r="E50" s="34"/>
      <c r="F50" s="34"/>
      <c r="G50" s="34"/>
      <c r="H50" s="35"/>
    </row>
    <row r="51" ht="15.75" customHeight="1">
      <c r="A51" s="117" t="s">
        <v>275</v>
      </c>
      <c r="B51" s="6"/>
      <c r="C51" s="6"/>
      <c r="D51" s="6"/>
      <c r="E51" s="6"/>
      <c r="F51" s="6"/>
      <c r="G51" s="6"/>
      <c r="H51" s="6"/>
    </row>
    <row r="52" ht="15.75" customHeight="1">
      <c r="A52" s="104" t="s">
        <v>276</v>
      </c>
      <c r="B52" s="34"/>
      <c r="C52" s="34"/>
      <c r="D52" s="34"/>
      <c r="E52" s="34"/>
      <c r="F52" s="34"/>
      <c r="G52" s="34"/>
      <c r="H52" s="35"/>
    </row>
    <row r="53" ht="15.75" customHeight="1">
      <c r="A53" s="65" t="s">
        <v>277</v>
      </c>
      <c r="B53" s="66"/>
      <c r="C53" s="66"/>
      <c r="D53" s="66"/>
      <c r="E53" s="66"/>
      <c r="F53" s="66"/>
      <c r="G53" s="66"/>
      <c r="H53" s="67"/>
    </row>
    <row r="54" ht="15.75" customHeight="1">
      <c r="A54" s="118"/>
      <c r="H54" s="106"/>
    </row>
    <row r="55" ht="15.75" customHeight="1">
      <c r="A55" s="68"/>
      <c r="B55" s="69"/>
      <c r="C55" s="69"/>
      <c r="D55" s="69"/>
      <c r="E55" s="69"/>
      <c r="F55" s="69"/>
      <c r="G55" s="69"/>
      <c r="H55" s="70"/>
    </row>
    <row r="56" ht="15.75" customHeight="1"/>
    <row r="57" ht="15.75" customHeight="1">
      <c r="A57" s="88" t="s">
        <v>278</v>
      </c>
    </row>
    <row r="58">
      <c r="A58" s="90" t="s">
        <v>273</v>
      </c>
      <c r="B58" s="82"/>
      <c r="C58" s="34"/>
      <c r="D58" s="34"/>
      <c r="E58" s="34"/>
      <c r="F58" s="34"/>
      <c r="G58" s="34"/>
      <c r="H58" s="35"/>
    </row>
    <row r="59" ht="15.75" customHeight="1">
      <c r="A59" s="90" t="s">
        <v>8</v>
      </c>
      <c r="B59" s="82"/>
      <c r="C59" s="34"/>
      <c r="D59" s="34"/>
      <c r="E59" s="34"/>
      <c r="F59" s="34"/>
      <c r="G59" s="34"/>
      <c r="H59" s="35"/>
    </row>
    <row r="60" ht="15.75" customHeight="1">
      <c r="A60" s="90" t="s">
        <v>243</v>
      </c>
      <c r="B60" s="119"/>
      <c r="C60" s="34"/>
      <c r="D60" s="34"/>
      <c r="E60" s="34"/>
      <c r="F60" s="34"/>
      <c r="G60" s="34"/>
      <c r="H60" s="35"/>
    </row>
    <row r="61" ht="15.75" customHeight="1">
      <c r="A61" s="90" t="s">
        <v>205</v>
      </c>
      <c r="B61" s="119"/>
      <c r="C61" s="34"/>
      <c r="D61" s="34"/>
      <c r="E61" s="34"/>
      <c r="F61" s="34"/>
      <c r="G61" s="34"/>
      <c r="H61" s="35"/>
    </row>
    <row r="62" ht="15.75" customHeight="1">
      <c r="A62" s="120" t="s">
        <v>279</v>
      </c>
      <c r="B62" s="6"/>
      <c r="C62" s="6"/>
      <c r="D62" s="6"/>
      <c r="E62" s="6"/>
      <c r="F62" s="6"/>
      <c r="G62" s="6"/>
      <c r="H62" s="6"/>
    </row>
    <row r="63" ht="15.75" customHeight="1">
      <c r="A63" s="104" t="s">
        <v>276</v>
      </c>
      <c r="B63" s="34"/>
      <c r="C63" s="34"/>
      <c r="D63" s="34"/>
      <c r="E63" s="34"/>
      <c r="F63" s="34"/>
      <c r="G63" s="34"/>
      <c r="H63" s="35"/>
    </row>
    <row r="64" ht="15.75" customHeight="1">
      <c r="A64" s="121"/>
      <c r="B64" s="66"/>
      <c r="C64" s="66"/>
      <c r="D64" s="66"/>
      <c r="E64" s="66"/>
      <c r="F64" s="66"/>
      <c r="G64" s="66"/>
      <c r="H64" s="67"/>
    </row>
    <row r="65" ht="15.75" customHeight="1">
      <c r="A65" s="118"/>
      <c r="H65" s="106"/>
    </row>
    <row r="66" ht="15.75" customHeight="1">
      <c r="A66" s="68"/>
      <c r="B66" s="69"/>
      <c r="C66" s="69"/>
      <c r="D66" s="69"/>
      <c r="E66" s="69"/>
      <c r="F66" s="69"/>
      <c r="G66" s="69"/>
      <c r="H66" s="70"/>
    </row>
    <row r="67" ht="15.75" customHeight="1"/>
    <row r="68" ht="15.75" customHeight="1">
      <c r="A68" s="101" t="s">
        <v>280</v>
      </c>
      <c r="G68" s="95" t="s">
        <v>205</v>
      </c>
      <c r="H68" s="102">
        <f>B70</f>
        <v>10</v>
      </c>
    </row>
    <row r="69" ht="15.75" customHeight="1">
      <c r="G69" s="88" t="s">
        <v>281</v>
      </c>
    </row>
    <row r="70" ht="15.75" customHeight="1">
      <c r="A70" s="90" t="s">
        <v>205</v>
      </c>
      <c r="B70" s="116">
        <v>10.0</v>
      </c>
      <c r="C70" s="34"/>
      <c r="D70" s="34"/>
      <c r="E70" s="34"/>
      <c r="F70" s="34"/>
      <c r="G70" s="34"/>
      <c r="H70" s="35"/>
    </row>
    <row r="71" ht="15.75" customHeight="1">
      <c r="A71" s="114" t="s">
        <v>282</v>
      </c>
      <c r="B71" s="34"/>
      <c r="C71" s="34"/>
      <c r="D71" s="34"/>
      <c r="E71" s="34"/>
      <c r="F71" s="34"/>
      <c r="G71" s="34"/>
      <c r="H71" s="35"/>
    </row>
    <row r="72" ht="15.75" customHeight="1">
      <c r="A72" s="65" t="s">
        <v>283</v>
      </c>
      <c r="B72" s="66"/>
      <c r="C72" s="66"/>
      <c r="D72" s="66"/>
      <c r="E72" s="66"/>
      <c r="F72" s="66"/>
      <c r="G72" s="66"/>
      <c r="H72" s="67"/>
    </row>
    <row r="73" ht="15.75" customHeight="1">
      <c r="A73" s="68"/>
      <c r="B73" s="69"/>
      <c r="C73" s="69"/>
      <c r="D73" s="69"/>
      <c r="E73" s="69"/>
      <c r="F73" s="69"/>
      <c r="G73" s="69"/>
      <c r="H73" s="70"/>
    </row>
    <row r="74" ht="15.75" customHeight="1">
      <c r="A74" s="88" t="s">
        <v>284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38.5"/>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8.0</v>
      </c>
      <c r="D5" s="34"/>
      <c r="E5" s="34"/>
      <c r="F5" s="34"/>
      <c r="G5" s="35"/>
    </row>
    <row r="6" ht="15.75" customHeight="1">
      <c r="B6" s="99" t="s">
        <v>202</v>
      </c>
      <c r="C6" s="91">
        <v>100.0</v>
      </c>
      <c r="D6" s="34"/>
      <c r="E6" s="34"/>
      <c r="F6" s="34"/>
      <c r="G6" s="35"/>
      <c r="I6" s="6"/>
    </row>
    <row r="7" ht="15.75" customHeight="1">
      <c r="B7" s="99" t="s">
        <v>243</v>
      </c>
      <c r="C7" s="82">
        <f>B51+B62</f>
        <v>1</v>
      </c>
      <c r="D7" s="34"/>
      <c r="E7" s="34"/>
      <c r="F7" s="34"/>
      <c r="G7" s="35"/>
    </row>
    <row r="8" ht="15.75" customHeight="1">
      <c r="B8" s="99" t="s">
        <v>244</v>
      </c>
      <c r="C8" s="100" t="str">
        <f>IF(H46&lt;=0, "❌ ERROR: La Actividad 1 debe tener un tiempo mayor a 0.", IF(H21&gt;60, "❌ ERROR: El 'Área de Conocimiento' no puede exceder los 60 min.", IF((H10+H21+H46+H70)&lt;100,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24">
        <v>5.0</v>
      </c>
    </row>
    <row r="11" ht="15.75" customHeight="1">
      <c r="G11" s="88" t="s">
        <v>246</v>
      </c>
    </row>
    <row r="12" ht="15.75" customHeight="1">
      <c r="A12" s="90" t="s">
        <v>247</v>
      </c>
      <c r="B12" s="91" t="s">
        <v>306</v>
      </c>
      <c r="C12" s="34"/>
      <c r="D12" s="34"/>
      <c r="E12" s="34"/>
      <c r="F12" s="34"/>
      <c r="G12" s="34"/>
      <c r="H12" s="35"/>
    </row>
    <row r="13" ht="15.75" customHeight="1">
      <c r="A13" s="92" t="s">
        <v>205</v>
      </c>
      <c r="B13" s="91">
        <v>5.0</v>
      </c>
      <c r="C13" s="34"/>
      <c r="D13" s="34"/>
      <c r="E13" s="34"/>
      <c r="F13" s="34"/>
      <c r="G13" s="34"/>
      <c r="H13" s="35"/>
    </row>
    <row r="14" ht="15.75" customHeight="1">
      <c r="A14" s="104" t="s">
        <v>249</v>
      </c>
      <c r="B14" s="34"/>
      <c r="C14" s="34"/>
      <c r="D14" s="34"/>
      <c r="E14" s="34"/>
      <c r="F14" s="34"/>
      <c r="G14" s="34"/>
      <c r="H14" s="35"/>
    </row>
    <row r="15" ht="15.75" customHeight="1">
      <c r="A15" s="126" t="s">
        <v>307</v>
      </c>
      <c r="B15" s="66"/>
      <c r="C15" s="66"/>
      <c r="D15" s="66"/>
      <c r="E15" s="66"/>
      <c r="F15" s="66"/>
      <c r="G15" s="66"/>
      <c r="H15" s="67"/>
    </row>
    <row r="16" ht="15.75" customHeight="1">
      <c r="A16" s="68"/>
      <c r="B16" s="69"/>
      <c r="C16" s="69"/>
      <c r="D16" s="69"/>
      <c r="E16" s="69"/>
      <c r="F16" s="69"/>
      <c r="G16" s="69"/>
      <c r="H16" s="70"/>
    </row>
    <row r="17" ht="15.75" customHeight="1">
      <c r="A17" s="104" t="s">
        <v>251</v>
      </c>
      <c r="B17" s="34"/>
      <c r="C17" s="34"/>
      <c r="D17" s="34"/>
      <c r="E17" s="34"/>
      <c r="F17" s="34"/>
      <c r="G17" s="34"/>
      <c r="H17" s="35"/>
    </row>
    <row r="18" ht="15.75" customHeight="1">
      <c r="A18" s="121"/>
      <c r="B18" s="66"/>
      <c r="C18" s="66"/>
      <c r="D18" s="66"/>
      <c r="E18" s="66"/>
      <c r="F18" s="66"/>
      <c r="G18" s="66"/>
      <c r="H18" s="67"/>
    </row>
    <row r="19" ht="15.75" customHeight="1">
      <c r="A19" s="68"/>
      <c r="B19" s="69"/>
      <c r="C19" s="69"/>
      <c r="D19" s="69"/>
      <c r="E19" s="69"/>
      <c r="F19" s="69"/>
      <c r="G19" s="69"/>
      <c r="H19" s="70"/>
    </row>
    <row r="20" ht="15.75" customHeight="1"/>
    <row r="21" ht="15.75" customHeight="1">
      <c r="A21" s="101" t="s">
        <v>253</v>
      </c>
      <c r="G21" s="95" t="s">
        <v>205</v>
      </c>
      <c r="H21" s="124">
        <v>60.0</v>
      </c>
      <c r="I21" s="6"/>
    </row>
    <row r="22" ht="15.75" customHeight="1">
      <c r="G22" s="88" t="s">
        <v>254</v>
      </c>
    </row>
    <row r="23" ht="15.75" customHeight="1">
      <c r="A23" s="90" t="s">
        <v>255</v>
      </c>
      <c r="B23" s="91" t="s">
        <v>146</v>
      </c>
      <c r="C23" s="34"/>
      <c r="D23" s="34"/>
      <c r="E23" s="34"/>
      <c r="F23" s="34"/>
      <c r="G23" s="34"/>
      <c r="H23" s="35"/>
    </row>
    <row r="24" ht="15.75" customHeight="1">
      <c r="A24" s="90" t="s">
        <v>255</v>
      </c>
      <c r="B24" s="82"/>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IFERROR(__xludf.DUMMYFUNCTION("FILTER('Diseño'!D:D,'Diseño'!H:H=$C$5)"),"2. Introducción a los almacenamientos en red y en la nube")</f>
        <v>2. Introducción a los almacenamientos en red y en la nube</v>
      </c>
      <c r="C28" s="35"/>
      <c r="D28" s="82" t="str">
        <f>IFERROR(__xludf.DUMMYFUNCTION("FILTER('Diseño'!E:E,'Diseño'!H:H=$C$5)"),"Beneficios del alamacenamiento en red")</f>
        <v>Beneficios del alamacenamiento en red</v>
      </c>
      <c r="E28" s="35"/>
      <c r="F28" s="82" t="str">
        <f>IFERROR(__xludf.DUMMYFUNCTION("FILTER('Diseño'!F:F,'Diseño'!H:H=$C$5)"),"Direct Attached Storage (DAS)")</f>
        <v>Direct Attached Storage (DAS)</v>
      </c>
      <c r="G28" s="34"/>
      <c r="H28" s="35"/>
    </row>
    <row r="29" ht="15.75" customHeight="1">
      <c r="A29" s="83">
        <v>2.0</v>
      </c>
      <c r="B29" s="82" t="str">
        <f>IFERROR(__xludf.DUMMYFUNCTION("""COMPUTED_VALUE"""),"2. Introducción a los almacenamientos en red y en la nube")</f>
        <v>2. Introducción a los almacenamientos en red y en la nube</v>
      </c>
      <c r="C29" s="35"/>
      <c r="D29" s="82" t="str">
        <f>IFERROR(__xludf.DUMMYFUNCTION("""COMPUTED_VALUE"""),"Desafios del almacenamiento en red")</f>
        <v>Desafios del almacenamiento en red</v>
      </c>
      <c r="E29" s="35"/>
      <c r="F29" s="82" t="str">
        <f>IFERROR(__xludf.DUMMYFUNCTION("""COMPUTED_VALUE"""),"Storage Area Networks (SAN)")</f>
        <v>Storage Area Networks (SAN)</v>
      </c>
      <c r="G29" s="34"/>
      <c r="H29" s="35"/>
    </row>
    <row r="30" ht="15.75" customHeight="1">
      <c r="A30" s="83">
        <v>3.0</v>
      </c>
      <c r="B30" s="82" t="str">
        <f>IFERROR(__xludf.DUMMYFUNCTION("""COMPUTED_VALUE"""),"2. Introducción a los almacenamientos en red y en la nube")</f>
        <v>2. Introducción a los almacenamientos en red y en la nube</v>
      </c>
      <c r="C30" s="35"/>
      <c r="D30" s="82" t="str">
        <f>IFERROR(__xludf.DUMMYFUNCTION("""COMPUTED_VALUE"""),"NAS (Network-attached Storgae)")</f>
        <v>NAS (Network-attached Storgae)</v>
      </c>
      <c r="E30" s="35"/>
      <c r="F30" s="82" t="str">
        <f>IFERROR(__xludf.DUMMYFUNCTION("""COMPUTED_VALUE"""),"Protocolos de Almacenamiento en Red")</f>
        <v>Protocolos de Almacenamiento en Red</v>
      </c>
      <c r="G30" s="34"/>
      <c r="H30" s="35"/>
    </row>
    <row r="31" ht="15.75" customHeight="1">
      <c r="A31" s="83">
        <v>4.0</v>
      </c>
      <c r="B31" s="82" t="str">
        <f>IFERROR(__xludf.DUMMYFUNCTION("""COMPUTED_VALUE"""),"2. Introducción a los almacenamientos en red y en la nube")</f>
        <v>2. Introducción a los almacenamientos en red y en la nube</v>
      </c>
      <c r="C31" s="35"/>
      <c r="D31" s="82" t="str">
        <f>IFERROR(__xludf.DUMMYFUNCTION("""COMPUTED_VALUE"""),"SAN (Storage Area Network)")</f>
        <v>SAN (Storage Area Network)</v>
      </c>
      <c r="E31" s="35"/>
      <c r="F31" s="82" t="str">
        <f>IFERROR(__xludf.DUMMYFUNCTION("""COMPUTED_VALUE"""),"Principios de Fibra Óptica en Redes de Almacenamiento")</f>
        <v>Principios de Fibra Óptica en Redes de Almacenamiento</v>
      </c>
      <c r="G31" s="34"/>
      <c r="H31" s="35"/>
    </row>
    <row r="32" ht="15.75" customHeight="1">
      <c r="A32" s="83">
        <v>5.0</v>
      </c>
      <c r="B32" s="82" t="str">
        <f>IFERROR(__xludf.DUMMYFUNCTION("""COMPUTED_VALUE"""),"2. Introducción a los almacenamientos en red y en la nube")</f>
        <v>2. Introducción a los almacenamientos en red y en la nube</v>
      </c>
      <c r="C32" s="35"/>
      <c r="D32" s="82" t="str">
        <f>IFERROR(__xludf.DUMMYFUNCTION("""COMPUTED_VALUE"""),"Almacenamiento para big data")</f>
        <v>Almacenamiento para big data</v>
      </c>
      <c r="E32" s="35"/>
      <c r="F32" s="82" t="str">
        <f>IFERROR(__xludf.DUMMYFUNCTION("""COMPUTED_VALUE"""),"Administración de Redes de Almacenamiento")</f>
        <v>Administración de Redes de Almacenamiento</v>
      </c>
      <c r="G32" s="34"/>
      <c r="H32" s="35"/>
    </row>
    <row r="33" ht="15.75" customHeight="1">
      <c r="A33" s="83">
        <v>6.0</v>
      </c>
      <c r="B33" s="82" t="str">
        <f>IFERROR(__xludf.DUMMYFUNCTION("""COMPUTED_VALUE"""),"2. Introducción a los almacenamientos en red y en la nube")</f>
        <v>2. Introducción a los almacenamientos en red y en la nube</v>
      </c>
      <c r="C33" s="35"/>
      <c r="D33" s="82" t="str">
        <f>IFERROR(__xludf.DUMMYFUNCTION("""COMPUTED_VALUE"""),"Almacenamiento en red para tipos de redes")</f>
        <v>Almacenamiento en red para tipos de redes</v>
      </c>
      <c r="E33" s="35"/>
      <c r="F33" s="82" t="str">
        <f>IFERROR(__xludf.DUMMYFUNCTION("""COMPUTED_VALUE"""),"Comparación y Selección de Soluciones de Almacenamiento")</f>
        <v>Comparación y Selección de Soluciones de Almacenamiento</v>
      </c>
      <c r="G33" s="34"/>
      <c r="H33" s="35"/>
    </row>
    <row r="34" ht="15.75" customHeight="1">
      <c r="A34" s="83">
        <v>7.0</v>
      </c>
      <c r="B34" s="82" t="str">
        <f>IFERROR(__xludf.DUMMYFUNCTION("""COMPUTED_VALUE"""),"2. Introducción a los almacenamientos en red y en la nube")</f>
        <v>2. Introducción a los almacenamientos en red y en la nube</v>
      </c>
      <c r="C34" s="35"/>
      <c r="D34" s="82" t="str">
        <f>IFERROR(__xludf.DUMMYFUNCTION("""COMPUTED_VALUE"""),"Historia y origenes")</f>
        <v>Historia y origenes</v>
      </c>
      <c r="E34" s="35"/>
      <c r="F34" s="82" t="str">
        <f>IFERROR(__xludf.DUMMYFUNCTION("""COMPUTED_VALUE"""),"Introducción al Almacenamiento en la Nube")</f>
        <v>Introducción al Almacenamiento en la Nube</v>
      </c>
      <c r="G34" s="34"/>
      <c r="H34" s="35"/>
    </row>
    <row r="35" ht="15.75" customHeight="1">
      <c r="A35" s="125">
        <v>8.0</v>
      </c>
      <c r="B35" s="112" t="str">
        <f>IFERROR(__xludf.DUMMYFUNCTION("""COMPUTED_VALUE"""),"2. Introducción a los almacenamientos en red y en la nube")</f>
        <v>2. Introducción a los almacenamientos en red y en la nube</v>
      </c>
      <c r="C35" s="35"/>
      <c r="D35" s="112" t="str">
        <f>IFERROR(__xludf.DUMMYFUNCTION("""COMPUTED_VALUE"""),"Tipos de almacenamiento en la nube")</f>
        <v>Tipos de almacenamiento en la nube</v>
      </c>
      <c r="E35" s="35"/>
      <c r="F35" s="112" t="str">
        <f>IFERROR(__xludf.DUMMYFUNCTION("""COMPUTED_VALUE"""),"Modelos de Almacenamiento en la Nube")</f>
        <v>Modelos de Almacenamiento en la Nube</v>
      </c>
      <c r="G35" s="34"/>
      <c r="H35" s="35"/>
    </row>
    <row r="36" ht="15.75" customHeight="1">
      <c r="A36" s="125">
        <v>9.0</v>
      </c>
      <c r="B36" s="112" t="str">
        <f>IFERROR(__xludf.DUMMYFUNCTION("""COMPUTED_VALUE"""),"2. Introducción a los almacenamientos en red y en la nube")</f>
        <v>2. Introducción a los almacenamientos en red y en la nube</v>
      </c>
      <c r="C36" s="35"/>
      <c r="D36" s="112" t="str">
        <f>IFERROR(__xludf.DUMMYFUNCTION("""COMPUTED_VALUE"""),"Almacenamiento en la nuebe para empresas")</f>
        <v>Almacenamiento en la nuebe para empresas</v>
      </c>
      <c r="E36" s="35"/>
      <c r="F36" s="112" t="str">
        <f>IFERROR(__xludf.DUMMYFUNCTION("""COMPUTED_VALUE"""),"Tipos de Servicios de Almacenamiento en la Nube")</f>
        <v>Tipos de Servicios de Almacenamiento en la Nube</v>
      </c>
      <c r="G36" s="34"/>
      <c r="H36" s="35"/>
    </row>
    <row r="37" ht="15.75" customHeight="1">
      <c r="A37" s="107"/>
    </row>
    <row r="38" ht="15.75" customHeight="1">
      <c r="A38" s="107" t="s">
        <v>260</v>
      </c>
    </row>
    <row r="39" ht="15.75" customHeight="1">
      <c r="A39" s="6"/>
      <c r="B39" s="6"/>
      <c r="C39" s="6"/>
      <c r="D39" s="6"/>
      <c r="E39" s="6"/>
      <c r="F39" s="6"/>
      <c r="G39" s="6"/>
      <c r="H39" s="6"/>
    </row>
    <row r="40">
      <c r="A40" s="108" t="s">
        <v>261</v>
      </c>
      <c r="B40" s="108" t="s">
        <v>29</v>
      </c>
      <c r="C40" s="113" t="s">
        <v>262</v>
      </c>
      <c r="D40" s="114" t="s">
        <v>263</v>
      </c>
      <c r="E40" s="34"/>
      <c r="F40" s="34"/>
      <c r="G40" s="34"/>
      <c r="H40" s="35"/>
      <c r="I40" s="115" t="s">
        <v>18</v>
      </c>
    </row>
    <row r="41" ht="15.75" customHeight="1">
      <c r="A41" s="83" t="s">
        <v>264</v>
      </c>
      <c r="B41" s="83" t="s">
        <v>265</v>
      </c>
      <c r="C41" s="83">
        <v>30.0</v>
      </c>
      <c r="D41" s="91">
        <v>30.0</v>
      </c>
      <c r="E41" s="34"/>
      <c r="F41" s="34"/>
      <c r="G41" s="34"/>
      <c r="H41" s="35"/>
      <c r="I41" s="83" t="str">
        <f t="shared" ref="I41:I44" si="1">IF(D41&lt;=C41,"Correcto", "Corregir")</f>
        <v>Correcto</v>
      </c>
    </row>
    <row r="42" ht="15.75" customHeight="1">
      <c r="A42" s="83" t="s">
        <v>266</v>
      </c>
      <c r="B42" s="83" t="s">
        <v>265</v>
      </c>
      <c r="C42" s="83">
        <v>6.0</v>
      </c>
      <c r="D42" s="91">
        <v>10.0</v>
      </c>
      <c r="E42" s="34"/>
      <c r="F42" s="34"/>
      <c r="G42" s="34"/>
      <c r="H42" s="35"/>
      <c r="I42" s="83" t="str">
        <f t="shared" si="1"/>
        <v>Corregir</v>
      </c>
    </row>
    <row r="43" ht="15.75" customHeight="1">
      <c r="A43" s="83" t="s">
        <v>267</v>
      </c>
      <c r="B43" s="83" t="s">
        <v>268</v>
      </c>
      <c r="C43" s="83">
        <v>10.0</v>
      </c>
      <c r="D43" s="91">
        <v>0.0</v>
      </c>
      <c r="E43" s="34"/>
      <c r="F43" s="34"/>
      <c r="G43" s="34"/>
      <c r="H43" s="35"/>
      <c r="I43" s="83" t="str">
        <f t="shared" si="1"/>
        <v>Correcto</v>
      </c>
    </row>
    <row r="44" ht="15.75" customHeight="1">
      <c r="A44" s="83" t="s">
        <v>269</v>
      </c>
      <c r="B44" s="83" t="s">
        <v>265</v>
      </c>
      <c r="C44" s="83">
        <v>30.0</v>
      </c>
      <c r="D44" s="91">
        <v>25.0</v>
      </c>
      <c r="E44" s="34"/>
      <c r="F44" s="34"/>
      <c r="G44" s="34"/>
      <c r="H44" s="35"/>
      <c r="I44" s="83" t="str">
        <f t="shared" si="1"/>
        <v>Correcto</v>
      </c>
    </row>
    <row r="45" ht="15.75" customHeight="1"/>
    <row r="46" ht="15.75" customHeight="1">
      <c r="A46" s="101" t="s">
        <v>270</v>
      </c>
      <c r="G46" s="95" t="s">
        <v>205</v>
      </c>
      <c r="H46" s="124">
        <v>25.0</v>
      </c>
    </row>
    <row r="47" ht="15.75" customHeight="1">
      <c r="G47" s="88" t="s">
        <v>271</v>
      </c>
    </row>
    <row r="48" ht="15.75" customHeight="1">
      <c r="A48" s="88" t="s">
        <v>272</v>
      </c>
    </row>
    <row r="49">
      <c r="A49" s="90" t="s">
        <v>273</v>
      </c>
      <c r="B49" s="91" t="s">
        <v>97</v>
      </c>
      <c r="C49" s="34"/>
      <c r="D49" s="34"/>
      <c r="E49" s="34"/>
      <c r="F49" s="34"/>
      <c r="G49" s="34"/>
      <c r="H49" s="35"/>
    </row>
    <row r="50" ht="15.75" customHeight="1">
      <c r="A50" s="90" t="s">
        <v>8</v>
      </c>
      <c r="B50" s="91" t="s">
        <v>287</v>
      </c>
      <c r="C50" s="34"/>
      <c r="D50" s="34"/>
      <c r="E50" s="34"/>
      <c r="F50" s="34"/>
      <c r="G50" s="34"/>
      <c r="H50" s="35"/>
    </row>
    <row r="51" ht="15.75" customHeight="1">
      <c r="A51" s="90" t="s">
        <v>243</v>
      </c>
      <c r="B51" s="116">
        <v>1.0</v>
      </c>
      <c r="C51" s="34"/>
      <c r="D51" s="34"/>
      <c r="E51" s="34"/>
      <c r="F51" s="34"/>
      <c r="G51" s="34"/>
      <c r="H51" s="35"/>
    </row>
    <row r="52" ht="15.75" customHeight="1">
      <c r="A52" s="90" t="s">
        <v>205</v>
      </c>
      <c r="B52" s="91">
        <v>20.0</v>
      </c>
      <c r="C52" s="34"/>
      <c r="D52" s="34"/>
      <c r="E52" s="34"/>
      <c r="F52" s="34"/>
      <c r="G52" s="34"/>
      <c r="H52" s="35"/>
    </row>
    <row r="53" ht="15.75" customHeight="1">
      <c r="A53" s="117" t="s">
        <v>275</v>
      </c>
      <c r="B53" s="6"/>
      <c r="C53" s="6"/>
      <c r="D53" s="6"/>
      <c r="E53" s="6"/>
      <c r="F53" s="6"/>
      <c r="G53" s="6"/>
      <c r="H53" s="6"/>
    </row>
    <row r="54" ht="15.75" customHeight="1">
      <c r="A54" s="104" t="s">
        <v>276</v>
      </c>
      <c r="B54" s="34"/>
      <c r="C54" s="34"/>
      <c r="D54" s="34"/>
      <c r="E54" s="34"/>
      <c r="F54" s="34"/>
      <c r="G54" s="34"/>
      <c r="H54" s="35"/>
    </row>
    <row r="55" ht="15.75" customHeight="1">
      <c r="A55" s="126" t="s">
        <v>308</v>
      </c>
      <c r="B55" s="66"/>
      <c r="C55" s="66"/>
      <c r="D55" s="66"/>
      <c r="E55" s="66"/>
      <c r="F55" s="66"/>
      <c r="G55" s="66"/>
      <c r="H55" s="67"/>
    </row>
    <row r="56" ht="15.75" customHeight="1">
      <c r="A56" s="118"/>
      <c r="H56" s="106"/>
    </row>
    <row r="57" ht="15.75" customHeight="1">
      <c r="A57" s="68"/>
      <c r="B57" s="69"/>
      <c r="C57" s="69"/>
      <c r="D57" s="69"/>
      <c r="E57" s="69"/>
      <c r="F57" s="69"/>
      <c r="G57" s="69"/>
      <c r="H57" s="70"/>
    </row>
    <row r="58" ht="15.75" customHeight="1"/>
    <row r="59" ht="15.75" customHeight="1">
      <c r="A59" s="88" t="s">
        <v>278</v>
      </c>
    </row>
    <row r="60">
      <c r="A60" s="90" t="s">
        <v>273</v>
      </c>
      <c r="B60" s="82"/>
      <c r="C60" s="34"/>
      <c r="D60" s="34"/>
      <c r="E60" s="34"/>
      <c r="F60" s="34"/>
      <c r="G60" s="34"/>
      <c r="H60" s="35"/>
    </row>
    <row r="61" ht="15.75" customHeight="1">
      <c r="A61" s="90" t="s">
        <v>8</v>
      </c>
      <c r="B61" s="82"/>
      <c r="C61" s="34"/>
      <c r="D61" s="34"/>
      <c r="E61" s="34"/>
      <c r="F61" s="34"/>
      <c r="G61" s="34"/>
      <c r="H61" s="35"/>
    </row>
    <row r="62" ht="15.75" customHeight="1">
      <c r="A62" s="90" t="s">
        <v>243</v>
      </c>
      <c r="B62" s="119"/>
      <c r="C62" s="34"/>
      <c r="D62" s="34"/>
      <c r="E62" s="34"/>
      <c r="F62" s="34"/>
      <c r="G62" s="34"/>
      <c r="H62" s="35"/>
    </row>
    <row r="63" ht="15.75" customHeight="1">
      <c r="A63" s="90" t="s">
        <v>205</v>
      </c>
      <c r="B63" s="119"/>
      <c r="C63" s="34"/>
      <c r="D63" s="34"/>
      <c r="E63" s="34"/>
      <c r="F63" s="34"/>
      <c r="G63" s="34"/>
      <c r="H63" s="35"/>
    </row>
    <row r="64" ht="15.75" customHeight="1">
      <c r="A64" s="120" t="s">
        <v>279</v>
      </c>
      <c r="B64" s="6"/>
      <c r="C64" s="6"/>
      <c r="D64" s="6"/>
      <c r="E64" s="6"/>
      <c r="F64" s="6"/>
      <c r="G64" s="6"/>
      <c r="H64" s="6"/>
    </row>
    <row r="65" ht="15.75" customHeight="1">
      <c r="A65" s="104" t="s">
        <v>276</v>
      </c>
      <c r="B65" s="34"/>
      <c r="C65" s="34"/>
      <c r="D65" s="34"/>
      <c r="E65" s="34"/>
      <c r="F65" s="34"/>
      <c r="G65" s="34"/>
      <c r="H65" s="35"/>
    </row>
    <row r="66" ht="15.75" customHeight="1">
      <c r="A66" s="121"/>
      <c r="B66" s="66"/>
      <c r="C66" s="66"/>
      <c r="D66" s="66"/>
      <c r="E66" s="66"/>
      <c r="F66" s="66"/>
      <c r="G66" s="66"/>
      <c r="H66" s="67"/>
    </row>
    <row r="67" ht="15.75" customHeight="1">
      <c r="A67" s="118"/>
      <c r="H67" s="106"/>
    </row>
    <row r="68" ht="15.75" customHeight="1">
      <c r="A68" s="68"/>
      <c r="B68" s="69"/>
      <c r="C68" s="69"/>
      <c r="D68" s="69"/>
      <c r="E68" s="69"/>
      <c r="F68" s="69"/>
      <c r="G68" s="69"/>
      <c r="H68" s="70"/>
    </row>
    <row r="69" ht="15.75" customHeight="1"/>
    <row r="70" ht="15.75" customHeight="1">
      <c r="A70" s="101" t="s">
        <v>280</v>
      </c>
      <c r="G70" s="95" t="s">
        <v>205</v>
      </c>
      <c r="H70" s="124">
        <v>10.0</v>
      </c>
    </row>
    <row r="71" ht="15.75" customHeight="1">
      <c r="G71" s="88" t="s">
        <v>281</v>
      </c>
    </row>
    <row r="72" ht="15.75" customHeight="1">
      <c r="A72" s="90" t="s">
        <v>205</v>
      </c>
      <c r="B72" s="116">
        <v>10.0</v>
      </c>
      <c r="C72" s="34"/>
      <c r="D72" s="34"/>
      <c r="E72" s="34"/>
      <c r="F72" s="34"/>
      <c r="G72" s="34"/>
      <c r="H72" s="35"/>
    </row>
    <row r="73" ht="15.75" customHeight="1">
      <c r="A73" s="114" t="s">
        <v>282</v>
      </c>
      <c r="B73" s="34"/>
      <c r="C73" s="34"/>
      <c r="D73" s="34"/>
      <c r="E73" s="34"/>
      <c r="F73" s="34"/>
      <c r="G73" s="34"/>
      <c r="H73" s="35"/>
    </row>
    <row r="74" ht="15.75" customHeight="1">
      <c r="A74" s="126" t="s">
        <v>309</v>
      </c>
      <c r="B74" s="66"/>
      <c r="C74" s="66"/>
      <c r="D74" s="66"/>
      <c r="E74" s="66"/>
      <c r="F74" s="66"/>
      <c r="G74" s="66"/>
      <c r="H74" s="67"/>
    </row>
    <row r="75" ht="15.75" customHeight="1">
      <c r="A75" s="68"/>
      <c r="B75" s="69"/>
      <c r="C75" s="69"/>
      <c r="D75" s="69"/>
      <c r="E75" s="69"/>
      <c r="F75" s="69"/>
      <c r="G75" s="69"/>
      <c r="H75" s="70"/>
    </row>
    <row r="76" ht="15.75" customHeight="1">
      <c r="A76" s="88" t="s">
        <v>284</v>
      </c>
    </row>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67">
    <mergeCell ref="B32:C32"/>
    <mergeCell ref="D32:E32"/>
    <mergeCell ref="F32:H32"/>
    <mergeCell ref="B33:C33"/>
    <mergeCell ref="D33:E33"/>
    <mergeCell ref="F33:H33"/>
    <mergeCell ref="B34:C34"/>
    <mergeCell ref="B35:C35"/>
    <mergeCell ref="D35:E35"/>
    <mergeCell ref="F35:H35"/>
    <mergeCell ref="B36:C36"/>
    <mergeCell ref="D36:E36"/>
    <mergeCell ref="F36:H36"/>
    <mergeCell ref="D40:H40"/>
    <mergeCell ref="B63:H63"/>
    <mergeCell ref="A65:H65"/>
    <mergeCell ref="A66:H68"/>
    <mergeCell ref="A70:F70"/>
    <mergeCell ref="B72:H72"/>
    <mergeCell ref="A73:H73"/>
    <mergeCell ref="A74:H75"/>
    <mergeCell ref="B51:H51"/>
    <mergeCell ref="B52:H52"/>
    <mergeCell ref="A54:H54"/>
    <mergeCell ref="A55:H57"/>
    <mergeCell ref="B60:H60"/>
    <mergeCell ref="B61:H61"/>
    <mergeCell ref="B62:H62"/>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D41:H41"/>
    <mergeCell ref="D42:H42"/>
    <mergeCell ref="D43:H43"/>
    <mergeCell ref="D44:H44"/>
    <mergeCell ref="A46:F46"/>
    <mergeCell ref="B49:H49"/>
    <mergeCell ref="B50:H50"/>
  </mergeCells>
  <conditionalFormatting sqref="D41:H44">
    <cfRule type="cellIs" dxfId="0" priority="1" operator="between">
      <formula>0</formula>
      <formula>45</formula>
    </cfRule>
  </conditionalFormatting>
  <dataValidations>
    <dataValidation type="list" allowBlank="1" showErrorMessage="1" sqref="B50">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9 B60">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 customWidth="1" min="5" max="5" width="26.5"/>
    <col customWidth="1" min="8" max="8" width="17.13"/>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9.0</v>
      </c>
      <c r="D5" s="34"/>
      <c r="E5" s="34"/>
      <c r="F5" s="34"/>
      <c r="G5" s="35"/>
    </row>
    <row r="6" ht="15.75" customHeight="1">
      <c r="B6" s="99" t="s">
        <v>202</v>
      </c>
      <c r="C6" s="82">
        <f>H10+H21+H45+H69</f>
        <v>100</v>
      </c>
      <c r="D6" s="34"/>
      <c r="E6" s="34"/>
      <c r="F6" s="34"/>
      <c r="G6" s="35"/>
      <c r="I6" s="6"/>
    </row>
    <row r="7" ht="15.75" customHeight="1">
      <c r="B7" s="99" t="s">
        <v>243</v>
      </c>
      <c r="C7" s="82">
        <f>B50+B61</f>
        <v>1</v>
      </c>
      <c r="D7" s="34"/>
      <c r="E7" s="34"/>
      <c r="F7" s="34"/>
      <c r="G7" s="35"/>
    </row>
    <row r="8" ht="15.75" customHeight="1">
      <c r="B8" s="99" t="s">
        <v>244</v>
      </c>
      <c r="C8" s="100" t="str">
        <f>IF(H45&lt;=0, "❌ ERROR: La Actividad 1 debe tener un tiempo mayor a 0.", IF(H21&gt;60, "❌ ERROR: El 'Área de Conocimiento' no puede exceder los 60 min.", IF((H10+H21+H45+H69)&lt;100,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24">
        <v>5.0</v>
      </c>
    </row>
    <row r="11" ht="15.75" customHeight="1">
      <c r="G11" s="88" t="s">
        <v>246</v>
      </c>
    </row>
    <row r="12" ht="15.75" customHeight="1">
      <c r="A12" s="90" t="s">
        <v>247</v>
      </c>
      <c r="B12" s="91" t="s">
        <v>288</v>
      </c>
      <c r="C12" s="34"/>
      <c r="D12" s="34"/>
      <c r="E12" s="34"/>
      <c r="F12" s="34"/>
      <c r="G12" s="34"/>
      <c r="H12" s="35"/>
    </row>
    <row r="13" ht="15.75" customHeight="1">
      <c r="A13" s="92" t="s">
        <v>205</v>
      </c>
      <c r="B13" s="91">
        <v>3.0</v>
      </c>
      <c r="C13" s="34"/>
      <c r="D13" s="34"/>
      <c r="E13" s="34"/>
      <c r="F13" s="34"/>
      <c r="G13" s="34"/>
      <c r="H13" s="35"/>
    </row>
    <row r="14" ht="15.75" customHeight="1">
      <c r="A14" s="104" t="s">
        <v>249</v>
      </c>
      <c r="B14" s="34"/>
      <c r="C14" s="34"/>
      <c r="D14" s="34"/>
      <c r="E14" s="34"/>
      <c r="F14" s="34"/>
      <c r="G14" s="34"/>
      <c r="H14" s="35"/>
    </row>
    <row r="15" ht="15.75" customHeight="1">
      <c r="A15" s="128" t="s">
        <v>295</v>
      </c>
      <c r="B15" s="66"/>
      <c r="C15" s="66"/>
      <c r="D15" s="66"/>
      <c r="E15" s="66"/>
      <c r="F15" s="66"/>
      <c r="G15" s="66"/>
      <c r="H15" s="67"/>
    </row>
    <row r="16" ht="15.75" customHeight="1">
      <c r="A16" s="68"/>
      <c r="B16" s="69"/>
      <c r="C16" s="69"/>
      <c r="D16" s="69"/>
      <c r="E16" s="69"/>
      <c r="F16" s="69"/>
      <c r="G16" s="69"/>
      <c r="H16" s="70"/>
    </row>
    <row r="17" ht="15.75" customHeight="1">
      <c r="A17" s="104" t="s">
        <v>251</v>
      </c>
      <c r="B17" s="34"/>
      <c r="C17" s="34"/>
      <c r="D17" s="34"/>
      <c r="E17" s="34"/>
      <c r="F17" s="34"/>
      <c r="G17" s="34"/>
      <c r="H17" s="35"/>
    </row>
    <row r="18">
      <c r="A18" s="128" t="s">
        <v>310</v>
      </c>
      <c r="B18" s="66"/>
      <c r="C18" s="66"/>
      <c r="D18" s="66"/>
      <c r="E18" s="66"/>
      <c r="F18" s="66"/>
      <c r="G18" s="66"/>
      <c r="H18" s="67"/>
    </row>
    <row r="19" ht="83.25" customHeight="1">
      <c r="A19" s="68"/>
      <c r="B19" s="69"/>
      <c r="C19" s="69"/>
      <c r="D19" s="69"/>
      <c r="E19" s="69"/>
      <c r="F19" s="69"/>
      <c r="G19" s="69"/>
      <c r="H19" s="70"/>
    </row>
    <row r="20" ht="15.75" customHeight="1"/>
    <row r="21" ht="15.75" customHeight="1">
      <c r="A21" s="101" t="s">
        <v>253</v>
      </c>
      <c r="G21" s="95" t="s">
        <v>205</v>
      </c>
      <c r="H21" s="102">
        <f>SUM(D40:H43)</f>
        <v>60</v>
      </c>
      <c r="I21" s="6"/>
    </row>
    <row r="22" ht="15.75" customHeight="1">
      <c r="G22" s="88" t="s">
        <v>254</v>
      </c>
    </row>
    <row r="23" ht="15.75" customHeight="1">
      <c r="A23" s="90" t="s">
        <v>255</v>
      </c>
      <c r="B23" s="91" t="s">
        <v>170</v>
      </c>
      <c r="C23" s="34"/>
      <c r="D23" s="34"/>
      <c r="E23" s="34"/>
      <c r="F23" s="34"/>
      <c r="G23" s="34"/>
      <c r="H23" s="35"/>
    </row>
    <row r="24" ht="15.75" customHeight="1">
      <c r="A24" s="90" t="s">
        <v>255</v>
      </c>
      <c r="B24" s="82"/>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IFERROR(__xludf.DUMMYFUNCTION("FILTER('Diseño'!D:D,'Diseño'!H:H=$C$5)"),"2. Introducción a los almacenamientos en red y en la nube")</f>
        <v>2. Introducción a los almacenamientos en red y en la nube</v>
      </c>
      <c r="C28" s="35"/>
      <c r="D28" s="91" t="s">
        <v>311</v>
      </c>
      <c r="E28" s="35"/>
      <c r="F28" s="82" t="str">
        <f>IFERROR(__xludf.DUMMYFUNCTION("FILTER('Diseño'!F:F,'Diseño'!H:H=$C$5)"),"Seguridad en el Almacenamiento en la Nube")</f>
        <v>Seguridad en el Almacenamiento en la Nube</v>
      </c>
      <c r="G28" s="34"/>
      <c r="H28" s="35"/>
    </row>
    <row r="29" ht="15.75" customHeight="1">
      <c r="A29" s="83">
        <v>2.0</v>
      </c>
      <c r="B29" s="91" t="str">
        <f>IFERROR(__xludf.DUMMYFUNCTION("""COMPUTED_VALUE"""),"2. Introducción a los almacenamientos en red y en la nube")</f>
        <v>2. Introducción a los almacenamientos en red y en la nube</v>
      </c>
      <c r="C29" s="35"/>
      <c r="D29" s="133" t="s">
        <v>177</v>
      </c>
      <c r="E29" s="35"/>
      <c r="F29" s="134" t="str">
        <f>IFERROR(__xludf.DUMMYFUNCTION("""COMPUTED_VALUE"""),"Escalabilidad y Rendimiento del Almacenamiento en la Nube")</f>
        <v>Escalabilidad y Rendimiento del Almacenamiento en la Nube</v>
      </c>
      <c r="G29" s="69"/>
      <c r="H29" s="70"/>
    </row>
    <row r="30" ht="15.75" customHeight="1">
      <c r="A30" s="83">
        <v>3.0</v>
      </c>
      <c r="B30" s="91" t="str">
        <f>IFERROR(__xludf.DUMMYFUNCTION("""COMPUTED_VALUE"""),"2. Introducción a los almacenamientos en red y en la nube")</f>
        <v>2. Introducción a los almacenamientos en red y en la nube</v>
      </c>
      <c r="C30" s="35"/>
      <c r="D30" s="133" t="s">
        <v>177</v>
      </c>
      <c r="E30" s="35"/>
      <c r="F30" s="134" t="str">
        <f>IFERROR(__xludf.DUMMYFUNCTION("""COMPUTED_VALUE"""),"Costos y Modelos de Precios del Almacenamiento en la Nube")</f>
        <v>Costos y Modelos de Precios del Almacenamiento en la Nube</v>
      </c>
      <c r="G30" s="69"/>
      <c r="H30" s="70"/>
    </row>
    <row r="31" ht="15.75" customHeight="1">
      <c r="A31" s="83">
        <v>4.0</v>
      </c>
      <c r="B31" s="91" t="str">
        <f>IFERROR(__xludf.DUMMYFUNCTION("""COMPUTED_VALUE"""),"2. Introducción a los almacenamientos en red y en la nube")</f>
        <v>2. Introducción a los almacenamientos en red y en la nube</v>
      </c>
      <c r="C31" s="35"/>
      <c r="D31" s="133" t="s">
        <v>177</v>
      </c>
      <c r="E31" s="35"/>
      <c r="F31" s="134" t="str">
        <f>IFERROR(__xludf.DUMMYFUNCTION("""COMPUTED_VALUE"""),"Tendencias Futuras en el Almacenamiento en la Nube")</f>
        <v>Tendencias Futuras en el Almacenamiento en la Nube</v>
      </c>
      <c r="G31" s="69"/>
      <c r="H31" s="70"/>
    </row>
    <row r="32" ht="15.75" customHeight="1">
      <c r="A32" s="83">
        <v>5.0</v>
      </c>
      <c r="B32" s="91" t="str">
        <f>IFERROR(__xludf.DUMMYFUNCTION("""COMPUTED_VALUE"""),"3. Introducción a la disponibilidad de información, a la seguridad y virtualización")</f>
        <v>3. Introducción a la disponibilidad de información, a la seguridad y virtualización</v>
      </c>
      <c r="C32" s="35"/>
      <c r="D32" s="133" t="s">
        <v>177</v>
      </c>
      <c r="E32" s="35"/>
      <c r="F32" s="134" t="str">
        <f>IFERROR(__xludf.DUMMYFUNCTION("""COMPUTED_VALUE"""),"Plan de Continuidad de Negocio (BCP)")</f>
        <v>Plan de Continuidad de Negocio (BCP)</v>
      </c>
      <c r="G32" s="69"/>
      <c r="H32" s="70"/>
    </row>
    <row r="33" ht="15.75" customHeight="1">
      <c r="A33" s="83">
        <v>6.0</v>
      </c>
      <c r="B33" s="91" t="str">
        <f>IFERROR(__xludf.DUMMYFUNCTION("""COMPUTED_VALUE"""),"3. Introducción a la disponibilidad de información, a la seguridad y virtualización")</f>
        <v>3. Introducción a la disponibilidad de información, a la seguridad y virtualización</v>
      </c>
      <c r="C33" s="35"/>
      <c r="D33" s="133" t="s">
        <v>177</v>
      </c>
      <c r="E33" s="35"/>
      <c r="F33" s="134" t="str">
        <f>IFERROR(__xludf.DUMMYFUNCTION("""COMPUTED_VALUE"""),"Pasos para Desarrollar un Plan de Continuidad de Negocio")</f>
        <v>Pasos para Desarrollar un Plan de Continuidad de Negocio</v>
      </c>
      <c r="G33" s="69"/>
      <c r="H33" s="70"/>
    </row>
    <row r="34" ht="15.75" customHeight="1">
      <c r="A34" s="83">
        <v>7.0</v>
      </c>
      <c r="B34" s="91" t="str">
        <f>IFERROR(__xludf.DUMMYFUNCTION("""COMPUTED_VALUE"""),"3. Introducción a la disponibilidad de información, a la seguridad y virtualización")</f>
        <v>3. Introducción a la disponibilidad de información, a la seguridad y virtualización</v>
      </c>
      <c r="C34" s="35"/>
      <c r="D34" s="133" t="s">
        <v>177</v>
      </c>
      <c r="E34" s="35"/>
      <c r="F34" s="134" t="str">
        <f>IFERROR(__xludf.DUMMYFUNCTION("""COMPUTED_VALUE"""),"Recuperación de Desastres (DR)")</f>
        <v>Recuperación de Desastres (DR)</v>
      </c>
      <c r="G34" s="69"/>
      <c r="H34" s="70"/>
    </row>
    <row r="35" ht="15.75" customHeight="1"/>
    <row r="36" ht="15.75" customHeight="1"/>
    <row r="37" ht="15.75" customHeight="1">
      <c r="A37" s="107" t="s">
        <v>260</v>
      </c>
    </row>
    <row r="38" ht="15.75" customHeight="1">
      <c r="A38" s="6"/>
      <c r="B38" s="6"/>
      <c r="C38" s="6"/>
      <c r="D38" s="6"/>
      <c r="E38" s="6"/>
      <c r="F38" s="6"/>
      <c r="G38" s="6"/>
      <c r="H38" s="6"/>
    </row>
    <row r="39">
      <c r="A39" s="108" t="s">
        <v>261</v>
      </c>
      <c r="B39" s="108" t="s">
        <v>29</v>
      </c>
      <c r="C39" s="113" t="s">
        <v>262</v>
      </c>
      <c r="D39" s="114" t="s">
        <v>263</v>
      </c>
      <c r="E39" s="34"/>
      <c r="F39" s="34"/>
      <c r="G39" s="34"/>
      <c r="H39" s="35"/>
      <c r="I39" s="115" t="s">
        <v>18</v>
      </c>
    </row>
    <row r="40" ht="15.75" customHeight="1">
      <c r="A40" s="83" t="s">
        <v>264</v>
      </c>
      <c r="B40" s="83" t="s">
        <v>265</v>
      </c>
      <c r="C40" s="83">
        <v>30.0</v>
      </c>
      <c r="D40" s="91">
        <v>30.0</v>
      </c>
      <c r="E40" s="34"/>
      <c r="F40" s="34"/>
      <c r="G40" s="34"/>
      <c r="H40" s="35"/>
      <c r="I40" s="83" t="str">
        <f t="shared" ref="I40:I43" si="1">IF(D40&lt;=C40,"Correcto", "Corregir")</f>
        <v>Correcto</v>
      </c>
    </row>
    <row r="41" ht="15.75" customHeight="1">
      <c r="A41" s="83" t="s">
        <v>266</v>
      </c>
      <c r="B41" s="83" t="s">
        <v>265</v>
      </c>
      <c r="C41" s="83">
        <v>6.0</v>
      </c>
      <c r="D41" s="91">
        <v>6.0</v>
      </c>
      <c r="E41" s="34"/>
      <c r="F41" s="34"/>
      <c r="G41" s="34"/>
      <c r="H41" s="35"/>
      <c r="I41" s="83" t="str">
        <f t="shared" si="1"/>
        <v>Correcto</v>
      </c>
    </row>
    <row r="42" ht="15.75" customHeight="1">
      <c r="A42" s="83" t="s">
        <v>267</v>
      </c>
      <c r="B42" s="83" t="s">
        <v>268</v>
      </c>
      <c r="C42" s="83">
        <v>10.0</v>
      </c>
      <c r="D42" s="91">
        <v>0.0</v>
      </c>
      <c r="E42" s="34"/>
      <c r="F42" s="34"/>
      <c r="G42" s="34"/>
      <c r="H42" s="35"/>
      <c r="I42" s="83" t="str">
        <f t="shared" si="1"/>
        <v>Correcto</v>
      </c>
    </row>
    <row r="43" ht="15.75" customHeight="1">
      <c r="A43" s="83" t="s">
        <v>269</v>
      </c>
      <c r="B43" s="83" t="s">
        <v>265</v>
      </c>
      <c r="C43" s="83">
        <v>30.0</v>
      </c>
      <c r="D43" s="91">
        <v>24.0</v>
      </c>
      <c r="E43" s="34"/>
      <c r="F43" s="34"/>
      <c r="G43" s="34"/>
      <c r="H43" s="35"/>
      <c r="I43" s="83" t="str">
        <f t="shared" si="1"/>
        <v>Correcto</v>
      </c>
    </row>
    <row r="44" ht="15.75" customHeight="1"/>
    <row r="45" ht="15.75" customHeight="1">
      <c r="A45" s="101" t="s">
        <v>270</v>
      </c>
      <c r="G45" s="95" t="s">
        <v>205</v>
      </c>
      <c r="H45" s="102">
        <f>B51</f>
        <v>23</v>
      </c>
    </row>
    <row r="46" ht="15.75" customHeight="1">
      <c r="G46" s="88" t="s">
        <v>271</v>
      </c>
    </row>
    <row r="47" ht="15.75" customHeight="1">
      <c r="A47" s="88" t="s">
        <v>272</v>
      </c>
    </row>
    <row r="48">
      <c r="A48" s="90" t="s">
        <v>273</v>
      </c>
      <c r="B48" s="91" t="s">
        <v>146</v>
      </c>
      <c r="C48" s="34"/>
      <c r="D48" s="34"/>
      <c r="E48" s="34"/>
      <c r="F48" s="34"/>
      <c r="G48" s="34"/>
      <c r="H48" s="35"/>
    </row>
    <row r="49" ht="15.75" customHeight="1">
      <c r="A49" s="90" t="s">
        <v>8</v>
      </c>
      <c r="B49" s="91" t="s">
        <v>312</v>
      </c>
      <c r="C49" s="34"/>
      <c r="D49" s="34"/>
      <c r="E49" s="34"/>
      <c r="F49" s="34"/>
      <c r="G49" s="34"/>
      <c r="H49" s="35"/>
    </row>
    <row r="50" ht="15.75" customHeight="1">
      <c r="A50" s="90" t="s">
        <v>243</v>
      </c>
      <c r="B50" s="116">
        <v>1.0</v>
      </c>
      <c r="C50" s="34"/>
      <c r="D50" s="34"/>
      <c r="E50" s="34"/>
      <c r="F50" s="34"/>
      <c r="G50" s="34"/>
      <c r="H50" s="35"/>
    </row>
    <row r="51" ht="15.75" customHeight="1">
      <c r="A51" s="90" t="s">
        <v>205</v>
      </c>
      <c r="B51" s="91">
        <v>23.0</v>
      </c>
      <c r="C51" s="34"/>
      <c r="D51" s="34"/>
      <c r="E51" s="34"/>
      <c r="F51" s="34"/>
      <c r="G51" s="34"/>
      <c r="H51" s="35"/>
    </row>
    <row r="52" ht="15.75" customHeight="1">
      <c r="A52" s="117" t="s">
        <v>275</v>
      </c>
      <c r="B52" s="6"/>
      <c r="C52" s="6"/>
      <c r="D52" s="6"/>
      <c r="E52" s="6"/>
      <c r="F52" s="6"/>
      <c r="G52" s="6"/>
      <c r="H52" s="6"/>
    </row>
    <row r="53" ht="15.75" customHeight="1">
      <c r="A53" s="104" t="s">
        <v>276</v>
      </c>
      <c r="B53" s="34"/>
      <c r="C53" s="34"/>
      <c r="D53" s="34"/>
      <c r="E53" s="34"/>
      <c r="F53" s="34"/>
      <c r="G53" s="34"/>
      <c r="H53" s="35"/>
    </row>
    <row r="54" ht="15.75" customHeight="1">
      <c r="A54" s="128" t="s">
        <v>313</v>
      </c>
      <c r="B54" s="66"/>
      <c r="C54" s="66"/>
      <c r="D54" s="66"/>
      <c r="E54" s="66"/>
      <c r="F54" s="66"/>
      <c r="G54" s="66"/>
      <c r="H54" s="67"/>
      <c r="J54" s="105" t="s">
        <v>314</v>
      </c>
    </row>
    <row r="55" ht="15.75" customHeight="1">
      <c r="A55" s="118"/>
      <c r="H55" s="106"/>
    </row>
    <row r="56" ht="15.75" customHeight="1">
      <c r="A56" s="68"/>
      <c r="B56" s="69"/>
      <c r="C56" s="69"/>
      <c r="D56" s="69"/>
      <c r="E56" s="69"/>
      <c r="F56" s="69"/>
      <c r="G56" s="69"/>
      <c r="H56" s="70"/>
    </row>
    <row r="57" ht="15.75" customHeight="1"/>
    <row r="58" ht="15.75" customHeight="1">
      <c r="A58" s="88" t="s">
        <v>278</v>
      </c>
    </row>
    <row r="59">
      <c r="A59" s="90" t="s">
        <v>273</v>
      </c>
      <c r="B59" s="82"/>
      <c r="C59" s="34"/>
      <c r="D59" s="34"/>
      <c r="E59" s="34"/>
      <c r="F59" s="34"/>
      <c r="G59" s="34"/>
      <c r="H59" s="35"/>
    </row>
    <row r="60" ht="15.75" customHeight="1">
      <c r="A60" s="90" t="s">
        <v>8</v>
      </c>
      <c r="B60" s="82"/>
      <c r="C60" s="34"/>
      <c r="D60" s="34"/>
      <c r="E60" s="34"/>
      <c r="F60" s="34"/>
      <c r="G60" s="34"/>
      <c r="H60" s="35"/>
    </row>
    <row r="61" ht="15.75" customHeight="1">
      <c r="A61" s="90" t="s">
        <v>243</v>
      </c>
      <c r="B61" s="119"/>
      <c r="C61" s="34"/>
      <c r="D61" s="34"/>
      <c r="E61" s="34"/>
      <c r="F61" s="34"/>
      <c r="G61" s="34"/>
      <c r="H61" s="35"/>
    </row>
    <row r="62" ht="15.75" customHeight="1">
      <c r="A62" s="90" t="s">
        <v>205</v>
      </c>
      <c r="B62" s="119"/>
      <c r="C62" s="34"/>
      <c r="D62" s="34"/>
      <c r="E62" s="34"/>
      <c r="F62" s="34"/>
      <c r="G62" s="34"/>
      <c r="H62" s="35"/>
    </row>
    <row r="63" ht="15.75" customHeight="1">
      <c r="A63" s="120" t="s">
        <v>279</v>
      </c>
      <c r="B63" s="6"/>
      <c r="C63" s="6"/>
      <c r="D63" s="6"/>
      <c r="E63" s="6"/>
      <c r="F63" s="6"/>
      <c r="G63" s="6"/>
      <c r="H63" s="6"/>
    </row>
    <row r="64" ht="15.75" customHeight="1">
      <c r="A64" s="104" t="s">
        <v>276</v>
      </c>
      <c r="B64" s="34"/>
      <c r="C64" s="34"/>
      <c r="D64" s="34"/>
      <c r="E64" s="34"/>
      <c r="F64" s="34"/>
      <c r="G64" s="34"/>
      <c r="H64" s="35"/>
    </row>
    <row r="65" ht="15.75" customHeight="1">
      <c r="A65" s="121"/>
      <c r="B65" s="66"/>
      <c r="C65" s="66"/>
      <c r="D65" s="66"/>
      <c r="E65" s="66"/>
      <c r="F65" s="66"/>
      <c r="G65" s="66"/>
      <c r="H65" s="67"/>
    </row>
    <row r="66" ht="15.75" customHeight="1">
      <c r="A66" s="118"/>
      <c r="H66" s="106"/>
    </row>
    <row r="67" ht="15.75" customHeight="1">
      <c r="A67" s="68"/>
      <c r="B67" s="69"/>
      <c r="C67" s="69"/>
      <c r="D67" s="69"/>
      <c r="E67" s="69"/>
      <c r="F67" s="69"/>
      <c r="G67" s="69"/>
      <c r="H67" s="70"/>
    </row>
    <row r="68" ht="15.75" customHeight="1"/>
    <row r="69" ht="15.75" customHeight="1">
      <c r="A69" s="101" t="s">
        <v>280</v>
      </c>
      <c r="G69" s="95" t="s">
        <v>205</v>
      </c>
      <c r="H69" s="102">
        <f>B71</f>
        <v>12</v>
      </c>
    </row>
    <row r="70" ht="15.75" customHeight="1">
      <c r="G70" s="88" t="s">
        <v>281</v>
      </c>
    </row>
    <row r="71" ht="15.75" customHeight="1">
      <c r="A71" s="90" t="s">
        <v>205</v>
      </c>
      <c r="B71" s="116">
        <v>12.0</v>
      </c>
      <c r="C71" s="34"/>
      <c r="D71" s="34"/>
      <c r="E71" s="34"/>
      <c r="F71" s="34"/>
      <c r="G71" s="34"/>
      <c r="H71" s="35"/>
    </row>
    <row r="72" ht="15.75" customHeight="1">
      <c r="A72" s="114" t="s">
        <v>282</v>
      </c>
      <c r="B72" s="34"/>
      <c r="C72" s="34"/>
      <c r="D72" s="34"/>
      <c r="E72" s="34"/>
      <c r="F72" s="34"/>
      <c r="G72" s="34"/>
      <c r="H72" s="35"/>
    </row>
    <row r="73" ht="15.75" customHeight="1">
      <c r="A73" s="126" t="s">
        <v>315</v>
      </c>
      <c r="B73" s="66"/>
      <c r="C73" s="66"/>
      <c r="D73" s="66"/>
      <c r="E73" s="66"/>
      <c r="F73" s="66"/>
      <c r="G73" s="66"/>
      <c r="H73" s="67"/>
    </row>
    <row r="74" ht="15.75" customHeight="1">
      <c r="A74" s="68"/>
      <c r="B74" s="69"/>
      <c r="C74" s="69"/>
      <c r="D74" s="69"/>
      <c r="E74" s="69"/>
      <c r="F74" s="69"/>
      <c r="G74" s="69"/>
      <c r="H74" s="70"/>
    </row>
    <row r="75" ht="15.75" customHeight="1">
      <c r="A75" s="88" t="s">
        <v>284</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1">
    <mergeCell ref="A45:F45"/>
    <mergeCell ref="B48:H48"/>
    <mergeCell ref="B49:H49"/>
    <mergeCell ref="B50:H50"/>
    <mergeCell ref="B51:H51"/>
    <mergeCell ref="A53:H53"/>
    <mergeCell ref="A54:H56"/>
    <mergeCell ref="B71:H71"/>
    <mergeCell ref="A72:H72"/>
    <mergeCell ref="A73:H74"/>
    <mergeCell ref="B59:H59"/>
    <mergeCell ref="B60:H60"/>
    <mergeCell ref="B61:H61"/>
    <mergeCell ref="B62:H62"/>
    <mergeCell ref="A64:H64"/>
    <mergeCell ref="A65:H67"/>
    <mergeCell ref="A69:F69"/>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9:H39"/>
    <mergeCell ref="D40:H40"/>
    <mergeCell ref="D41:H41"/>
    <mergeCell ref="D42:H42"/>
    <mergeCell ref="D43:H43"/>
  </mergeCells>
  <conditionalFormatting sqref="D40:H43">
    <cfRule type="cellIs" dxfId="0" priority="1" operator="between">
      <formula>0</formula>
      <formula>45</formula>
    </cfRule>
  </conditionalFormatting>
  <dataValidations>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8 B59">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10.0</v>
      </c>
      <c r="D5" s="34"/>
      <c r="E5" s="34"/>
      <c r="F5" s="34"/>
      <c r="G5" s="35"/>
    </row>
    <row r="6" ht="15.75" customHeight="1">
      <c r="B6" s="99" t="s">
        <v>202</v>
      </c>
      <c r="C6" s="82">
        <f>H10+H21+H45+H69</f>
        <v>100</v>
      </c>
      <c r="D6" s="34"/>
      <c r="E6" s="34"/>
      <c r="F6" s="34"/>
      <c r="G6" s="35"/>
      <c r="I6" s="6"/>
    </row>
    <row r="7" ht="15.75" customHeight="1">
      <c r="B7" s="99" t="s">
        <v>243</v>
      </c>
      <c r="C7" s="82">
        <f>B50+B61</f>
        <v>1</v>
      </c>
      <c r="D7" s="34"/>
      <c r="E7" s="34"/>
      <c r="F7" s="34"/>
      <c r="G7" s="35"/>
    </row>
    <row r="8" ht="15.75" customHeight="1">
      <c r="B8" s="99" t="s">
        <v>244</v>
      </c>
      <c r="C8" s="100" t="str">
        <f>IF(H45&lt;=0, "❌ ERROR: La Actividad 1 debe tener un tiempo mayor a 0.", IF(H21&gt;60, "❌ ERROR: El 'Área de Conocimiento' no puede exceder los 60 min.", IF((H10+H21+H45+H69)&lt;100,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02">
        <f>B13</f>
        <v>5</v>
      </c>
    </row>
    <row r="11" ht="15.75" customHeight="1">
      <c r="G11" s="88" t="s">
        <v>246</v>
      </c>
    </row>
    <row r="12" ht="15.75" customHeight="1">
      <c r="A12" s="90" t="s">
        <v>247</v>
      </c>
      <c r="B12" s="103" t="s">
        <v>316</v>
      </c>
      <c r="C12" s="34"/>
      <c r="D12" s="34"/>
      <c r="E12" s="34"/>
      <c r="F12" s="34"/>
      <c r="G12" s="34"/>
      <c r="H12" s="35"/>
    </row>
    <row r="13" ht="15.75" customHeight="1">
      <c r="A13" s="92" t="s">
        <v>205</v>
      </c>
      <c r="B13" s="91">
        <v>5.0</v>
      </c>
      <c r="C13" s="34"/>
      <c r="D13" s="34"/>
      <c r="E13" s="34"/>
      <c r="F13" s="34"/>
      <c r="G13" s="34"/>
      <c r="H13" s="35"/>
    </row>
    <row r="14" ht="15.75" customHeight="1">
      <c r="A14" s="104" t="s">
        <v>249</v>
      </c>
      <c r="B14" s="34"/>
      <c r="C14" s="34"/>
      <c r="D14" s="34"/>
      <c r="E14" s="34"/>
      <c r="F14" s="34"/>
      <c r="G14" s="34"/>
      <c r="H14" s="35"/>
    </row>
    <row r="15" ht="15.75" customHeight="1">
      <c r="A15" s="105" t="s">
        <v>317</v>
      </c>
      <c r="H15" s="106"/>
    </row>
    <row r="16" ht="15.75" customHeight="1">
      <c r="A16" s="69"/>
      <c r="B16" s="69"/>
      <c r="C16" s="69"/>
      <c r="D16" s="69"/>
      <c r="E16" s="69"/>
      <c r="F16" s="69"/>
      <c r="G16" s="69"/>
      <c r="H16" s="70"/>
    </row>
    <row r="17" ht="15.75" customHeight="1">
      <c r="A17" s="104" t="s">
        <v>251</v>
      </c>
      <c r="B17" s="34"/>
      <c r="C17" s="34"/>
      <c r="D17" s="34"/>
      <c r="E17" s="34"/>
      <c r="F17" s="34"/>
      <c r="G17" s="34"/>
      <c r="H17" s="35"/>
    </row>
    <row r="18" ht="15.75" customHeight="1">
      <c r="A18" s="105" t="s">
        <v>318</v>
      </c>
      <c r="H18" s="106"/>
    </row>
    <row r="19" ht="15.75" customHeight="1">
      <c r="A19" s="69"/>
      <c r="B19" s="69"/>
      <c r="C19" s="69"/>
      <c r="D19" s="69"/>
      <c r="E19" s="69"/>
      <c r="F19" s="69"/>
      <c r="G19" s="69"/>
      <c r="H19" s="70"/>
    </row>
    <row r="20" ht="15.75" customHeight="1"/>
    <row r="21" ht="15.75" customHeight="1">
      <c r="A21" s="101" t="s">
        <v>253</v>
      </c>
      <c r="G21" s="95" t="s">
        <v>205</v>
      </c>
      <c r="H21" s="102">
        <f>SUM(D40:H43)</f>
        <v>55</v>
      </c>
      <c r="I21" s="6"/>
    </row>
    <row r="22" ht="15.75" customHeight="1">
      <c r="G22" s="88" t="s">
        <v>254</v>
      </c>
    </row>
    <row r="23" ht="15.75" customHeight="1">
      <c r="A23" s="90" t="s">
        <v>255</v>
      </c>
      <c r="B23" s="91" t="s">
        <v>97</v>
      </c>
      <c r="C23" s="34"/>
      <c r="D23" s="34"/>
      <c r="E23" s="34"/>
      <c r="F23" s="34"/>
      <c r="G23" s="34"/>
      <c r="H23" s="35"/>
    </row>
    <row r="24" ht="15.75" customHeight="1">
      <c r="A24" s="90" t="s">
        <v>255</v>
      </c>
      <c r="B24" s="91" t="s">
        <v>146</v>
      </c>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IFERROR(__xludf.DUMMYFUNCTION("FILTER('Diseño'!D:D,'Diseño'!H:H=$C$5)"),"3. Introducción a la disponibilidad de información, a la seguridad y virtualización")</f>
        <v>3. Introducción a la disponibilidad de información, a la seguridad y virtualización</v>
      </c>
      <c r="C28" s="35"/>
      <c r="D28" s="82" t="str">
        <f>IFERROR(__xludf.DUMMYFUNCTION("FILTER('Diseño'!E:E,'Diseño'!H:H=$C$5)"),"Disponibilidad de la información")</f>
        <v>Disponibilidad de la información</v>
      </c>
      <c r="E28" s="35"/>
      <c r="F28" s="82" t="str">
        <f>IFERROR(__xludf.DUMMYFUNCTION("FILTER('Diseño'!F:F,'Diseño'!H:H=$C$5)"),"Diferencias entre Continuidad de Negocio y Recuperación de Desastres")</f>
        <v>Diferencias entre Continuidad de Negocio y Recuperación de Desastres</v>
      </c>
      <c r="G28" s="34"/>
      <c r="H28" s="35"/>
    </row>
    <row r="29" ht="15.75" customHeight="1">
      <c r="A29" s="83">
        <v>2.0</v>
      </c>
      <c r="B29" s="82" t="str">
        <f>IFERROR(__xludf.DUMMYFUNCTION("""COMPUTED_VALUE"""),"3. Introducción a la disponibilidad de información, a la seguridad y virtualización")</f>
        <v>3. Introducción a la disponibilidad de información, a la seguridad y virtualización</v>
      </c>
      <c r="C29" s="35"/>
      <c r="D29" s="82" t="str">
        <f>IFERROR(__xludf.DUMMYFUNCTION("""COMPUTED_VALUE"""),"Disponibilidad de la información")</f>
        <v>Disponibilidad de la información</v>
      </c>
      <c r="E29" s="35"/>
      <c r="F29" s="82" t="str">
        <f>IFERROR(__xludf.DUMMYFUNCTION("""COMPUTED_VALUE"""),"Análisis de Riesgos y Análisis de Impacto")</f>
        <v>Análisis de Riesgos y Análisis de Impacto</v>
      </c>
      <c r="G29" s="34"/>
      <c r="H29" s="35"/>
    </row>
    <row r="30" ht="15.75" customHeight="1">
      <c r="A30" s="83">
        <v>3.0</v>
      </c>
      <c r="B30" s="82" t="str">
        <f>IFERROR(__xludf.DUMMYFUNCTION("""COMPUTED_VALUE"""),"3. Introducción a la disponibilidad de información, a la seguridad y virtualización")</f>
        <v>3. Introducción a la disponibilidad de información, a la seguridad y virtualización</v>
      </c>
      <c r="C30" s="35"/>
      <c r="D30" s="82" t="str">
        <f>IFERROR(__xludf.DUMMYFUNCTION("""COMPUTED_VALUE"""),"Disponibilidad de la información")</f>
        <v>Disponibilidad de la información</v>
      </c>
      <c r="E30" s="35"/>
      <c r="F30" s="82" t="str">
        <f>IFERROR(__xludf.DUMMYFUNCTION("""COMPUTED_VALUE"""),"Estrategias de Continuidad y Recuperación")</f>
        <v>Estrategias de Continuidad y Recuperación</v>
      </c>
      <c r="G30" s="34"/>
      <c r="H30" s="35"/>
    </row>
    <row r="31" ht="15.75" customHeight="1">
      <c r="A31" s="83">
        <v>4.0</v>
      </c>
      <c r="B31" s="82" t="str">
        <f>IFERROR(__xludf.DUMMYFUNCTION("""COMPUTED_VALUE"""),"3. Introducción a la disponibilidad de información, a la seguridad y virtualización")</f>
        <v>3. Introducción a la disponibilidad de información, a la seguridad y virtualización</v>
      </c>
      <c r="C31" s="35"/>
      <c r="D31" s="82" t="str">
        <f>IFERROR(__xludf.DUMMYFUNCTION("""COMPUTED_VALUE"""),"Disponibilidad de la información")</f>
        <v>Disponibilidad de la información</v>
      </c>
      <c r="E31" s="35"/>
      <c r="F31" s="82" t="str">
        <f>IFERROR(__xludf.DUMMYFUNCTION("""COMPUTED_VALUE"""),"Enfoque Tecnológico en la Recuperación de Desastres")</f>
        <v>Enfoque Tecnológico en la Recuperación de Desastres</v>
      </c>
      <c r="G31" s="34"/>
      <c r="H31" s="35"/>
    </row>
    <row r="32" ht="15.75" customHeight="1">
      <c r="A32" s="83">
        <v>5.0</v>
      </c>
      <c r="B32" s="82" t="str">
        <f>IFERROR(__xludf.DUMMYFUNCTION("""COMPUTED_VALUE"""),"3. Introducción a la disponibilidad de información, a la seguridad y virtualización")</f>
        <v>3. Introducción a la disponibilidad de información, a la seguridad y virtualización</v>
      </c>
      <c r="C32" s="35"/>
      <c r="D32" s="82" t="str">
        <f>IFERROR(__xludf.DUMMYFUNCTION("""COMPUTED_VALUE"""),"Seguridad de la información")</f>
        <v>Seguridad de la información</v>
      </c>
      <c r="E32" s="35"/>
      <c r="F32" s="112" t="str">
        <f>IFERROR(__xludf.DUMMYFUNCTION("""COMPUTED_VALUE"""),"Importancia de la seguridad de la información en almacenamiento")</f>
        <v>Importancia de la seguridad de la información en almacenamiento</v>
      </c>
      <c r="G32" s="34"/>
      <c r="H32" s="35"/>
    </row>
    <row r="33" ht="15.75" customHeight="1">
      <c r="A33" s="83">
        <v>6.0</v>
      </c>
      <c r="B33" s="82" t="str">
        <f>IFERROR(__xludf.DUMMYFUNCTION("""COMPUTED_VALUE"""),"3. Introducción a la disponibilidad de información, a la seguridad y virtualización")</f>
        <v>3. Introducción a la disponibilidad de información, a la seguridad y virtualización</v>
      </c>
      <c r="C33" s="35"/>
      <c r="D33" s="82" t="str">
        <f>IFERROR(__xludf.DUMMYFUNCTION("""COMPUTED_VALUE"""),"Seguridad de la información")</f>
        <v>Seguridad de la información</v>
      </c>
      <c r="E33" s="35"/>
      <c r="F33" s="112" t="str">
        <f>IFERROR(__xludf.DUMMYFUNCTION("""COMPUTED_VALUE"""),"Elementos clave de la seguridad")</f>
        <v>Elementos clave de la seguridad</v>
      </c>
      <c r="G33" s="34"/>
      <c r="H33" s="35"/>
    </row>
    <row r="34" ht="15.75" customHeight="1">
      <c r="A34" s="83">
        <v>7.0</v>
      </c>
      <c r="B34" s="82" t="str">
        <f>IFERROR(__xludf.DUMMYFUNCTION("""COMPUTED_VALUE"""),"3. Introducción a la disponibilidad de información, a la seguridad y virtualización")</f>
        <v>3. Introducción a la disponibilidad de información, a la seguridad y virtualización</v>
      </c>
      <c r="C34" s="35"/>
      <c r="D34" s="82" t="str">
        <f>IFERROR(__xludf.DUMMYFUNCTION("""COMPUTED_VALUE"""),"Seguridad de la información")</f>
        <v>Seguridad de la información</v>
      </c>
      <c r="E34" s="35"/>
      <c r="F34" s="112" t="str">
        <f>IFERROR(__xludf.DUMMYFUNCTION("""COMPUTED_VALUE"""),"Amenazas comunes a la seguridad")</f>
        <v>Amenazas comunes a la seguridad</v>
      </c>
      <c r="G34" s="34"/>
      <c r="H34" s="35"/>
    </row>
    <row r="35" ht="15.75" customHeight="1">
      <c r="A35" s="110">
        <v>8.0</v>
      </c>
      <c r="B35" s="111" t="str">
        <f>IFERROR(__xludf.DUMMYFUNCTION("""COMPUTED_VALUE"""),"3. Introducción a la disponibilidad de información, a la seguridad y virtualización")</f>
        <v>3. Introducción a la disponibilidad de información, a la seguridad y virtualización</v>
      </c>
      <c r="C35" s="111"/>
      <c r="D35" s="111" t="str">
        <f>IFERROR(__xludf.DUMMYFUNCTION("""COMPUTED_VALUE"""),"Seguridad de la información")</f>
        <v>Seguridad de la información</v>
      </c>
      <c r="E35" s="111"/>
      <c r="F35" s="112" t="str">
        <f>IFERROR(__xludf.DUMMYFUNCTION("""COMPUTED_VALUE"""),"Desarrollo de un modelo de seguridad para almacenamiento")</f>
        <v>Desarrollo de un modelo de seguridad para almacenamiento</v>
      </c>
      <c r="G35" s="34"/>
      <c r="H35" s="35"/>
    </row>
    <row r="36" ht="15.75" customHeight="1">
      <c r="A36" s="107"/>
    </row>
    <row r="37" ht="15.75" customHeight="1">
      <c r="A37" s="107" t="s">
        <v>260</v>
      </c>
    </row>
    <row r="38" ht="15.75" customHeight="1">
      <c r="A38" s="6"/>
      <c r="B38" s="6"/>
      <c r="C38" s="6"/>
      <c r="D38" s="6"/>
      <c r="E38" s="6"/>
      <c r="F38" s="6"/>
      <c r="G38" s="6"/>
      <c r="H38" s="6"/>
    </row>
    <row r="39">
      <c r="A39" s="108" t="s">
        <v>261</v>
      </c>
      <c r="B39" s="108" t="s">
        <v>29</v>
      </c>
      <c r="C39" s="113" t="s">
        <v>262</v>
      </c>
      <c r="D39" s="114" t="s">
        <v>263</v>
      </c>
      <c r="E39" s="34"/>
      <c r="F39" s="34"/>
      <c r="G39" s="34"/>
      <c r="H39" s="35"/>
      <c r="I39" s="115" t="s">
        <v>18</v>
      </c>
    </row>
    <row r="40" ht="15.75" customHeight="1">
      <c r="A40" s="83" t="s">
        <v>264</v>
      </c>
      <c r="B40" s="83" t="s">
        <v>265</v>
      </c>
      <c r="C40" s="83">
        <v>30.0</v>
      </c>
      <c r="D40" s="91">
        <v>25.0</v>
      </c>
      <c r="E40" s="34"/>
      <c r="F40" s="34"/>
      <c r="G40" s="34"/>
      <c r="H40" s="35"/>
      <c r="I40" s="83" t="str">
        <f t="shared" ref="I40:I43" si="1">IF(D40&lt;=C40,"Correcto", "Corregir")</f>
        <v>Correcto</v>
      </c>
    </row>
    <row r="41" ht="15.75" customHeight="1">
      <c r="A41" s="83" t="s">
        <v>266</v>
      </c>
      <c r="B41" s="83" t="s">
        <v>265</v>
      </c>
      <c r="C41" s="83">
        <v>6.0</v>
      </c>
      <c r="D41" s="91">
        <v>0.0</v>
      </c>
      <c r="E41" s="34"/>
      <c r="F41" s="34"/>
      <c r="G41" s="34"/>
      <c r="H41" s="35"/>
      <c r="I41" s="83" t="str">
        <f t="shared" si="1"/>
        <v>Correcto</v>
      </c>
    </row>
    <row r="42" ht="15.75" customHeight="1">
      <c r="A42" s="83" t="s">
        <v>267</v>
      </c>
      <c r="B42" s="83" t="s">
        <v>268</v>
      </c>
      <c r="C42" s="83">
        <v>10.0</v>
      </c>
      <c r="D42" s="91">
        <v>0.0</v>
      </c>
      <c r="E42" s="34"/>
      <c r="F42" s="34"/>
      <c r="G42" s="34"/>
      <c r="H42" s="35"/>
      <c r="I42" s="83" t="str">
        <f t="shared" si="1"/>
        <v>Correcto</v>
      </c>
    </row>
    <row r="43" ht="15.75" customHeight="1">
      <c r="A43" s="83" t="s">
        <v>269</v>
      </c>
      <c r="B43" s="83" t="s">
        <v>265</v>
      </c>
      <c r="C43" s="83">
        <v>30.0</v>
      </c>
      <c r="D43" s="91">
        <v>30.0</v>
      </c>
      <c r="E43" s="34"/>
      <c r="F43" s="34"/>
      <c r="G43" s="34"/>
      <c r="H43" s="35"/>
      <c r="I43" s="83" t="str">
        <f t="shared" si="1"/>
        <v>Correcto</v>
      </c>
    </row>
    <row r="44" ht="15.75" customHeight="1"/>
    <row r="45" ht="15.75" customHeight="1">
      <c r="A45" s="101" t="s">
        <v>270</v>
      </c>
      <c r="G45" s="95" t="s">
        <v>205</v>
      </c>
      <c r="H45" s="102">
        <f>B51</f>
        <v>30</v>
      </c>
    </row>
    <row r="46" ht="15.75" customHeight="1">
      <c r="G46" s="88" t="s">
        <v>271</v>
      </c>
    </row>
    <row r="47" ht="15.75" customHeight="1">
      <c r="A47" s="88" t="s">
        <v>272</v>
      </c>
    </row>
    <row r="48">
      <c r="A48" s="90" t="s">
        <v>273</v>
      </c>
      <c r="B48" s="91" t="s">
        <v>146</v>
      </c>
      <c r="C48" s="34"/>
      <c r="D48" s="34"/>
      <c r="E48" s="34"/>
      <c r="F48" s="34"/>
      <c r="G48" s="34"/>
      <c r="H48" s="35"/>
    </row>
    <row r="49" ht="15.75" customHeight="1">
      <c r="A49" s="90" t="s">
        <v>8</v>
      </c>
      <c r="B49" s="91" t="s">
        <v>274</v>
      </c>
      <c r="C49" s="34"/>
      <c r="D49" s="34"/>
      <c r="E49" s="34"/>
      <c r="F49" s="34"/>
      <c r="G49" s="34"/>
      <c r="H49" s="35"/>
    </row>
    <row r="50" ht="15.75" customHeight="1">
      <c r="A50" s="90" t="s">
        <v>243</v>
      </c>
      <c r="B50" s="116">
        <v>1.0</v>
      </c>
      <c r="C50" s="34"/>
      <c r="D50" s="34"/>
      <c r="E50" s="34"/>
      <c r="F50" s="34"/>
      <c r="G50" s="34"/>
      <c r="H50" s="35"/>
    </row>
    <row r="51" ht="15.75" customHeight="1">
      <c r="A51" s="90" t="s">
        <v>205</v>
      </c>
      <c r="B51" s="91">
        <v>30.0</v>
      </c>
      <c r="C51" s="34"/>
      <c r="D51" s="34"/>
      <c r="E51" s="34"/>
      <c r="F51" s="34"/>
      <c r="G51" s="34"/>
      <c r="H51" s="35"/>
    </row>
    <row r="52" ht="15.75" customHeight="1">
      <c r="A52" s="117" t="s">
        <v>275</v>
      </c>
      <c r="B52" s="6"/>
      <c r="C52" s="6"/>
      <c r="D52" s="6"/>
      <c r="E52" s="6"/>
      <c r="F52" s="6"/>
      <c r="G52" s="6"/>
      <c r="H52" s="6"/>
    </row>
    <row r="53" ht="15.75" customHeight="1">
      <c r="A53" s="104" t="s">
        <v>276</v>
      </c>
      <c r="B53" s="34"/>
      <c r="C53" s="34"/>
      <c r="D53" s="34"/>
      <c r="E53" s="34"/>
      <c r="F53" s="34"/>
      <c r="G53" s="34"/>
      <c r="H53" s="35"/>
    </row>
    <row r="54" ht="15.75" customHeight="1">
      <c r="A54" s="126" t="s">
        <v>277</v>
      </c>
      <c r="B54" s="66"/>
      <c r="C54" s="66"/>
      <c r="D54" s="66"/>
      <c r="E54" s="66"/>
      <c r="F54" s="66"/>
      <c r="G54" s="66"/>
      <c r="H54" s="67"/>
    </row>
    <row r="55" ht="15.75" customHeight="1">
      <c r="A55" s="118"/>
      <c r="H55" s="106"/>
    </row>
    <row r="56" ht="15.75" customHeight="1">
      <c r="A56" s="68"/>
      <c r="B56" s="69"/>
      <c r="C56" s="69"/>
      <c r="D56" s="69"/>
      <c r="E56" s="69"/>
      <c r="F56" s="69"/>
      <c r="G56" s="69"/>
      <c r="H56" s="70"/>
    </row>
    <row r="57" ht="15.75" customHeight="1"/>
    <row r="58" ht="15.75" customHeight="1">
      <c r="A58" s="88" t="s">
        <v>278</v>
      </c>
    </row>
    <row r="59">
      <c r="A59" s="90" t="s">
        <v>273</v>
      </c>
      <c r="B59" s="82"/>
      <c r="C59" s="34"/>
      <c r="D59" s="34"/>
      <c r="E59" s="34"/>
      <c r="F59" s="34"/>
      <c r="G59" s="34"/>
      <c r="H59" s="35"/>
    </row>
    <row r="60" ht="15.75" customHeight="1">
      <c r="A60" s="90" t="s">
        <v>8</v>
      </c>
      <c r="B60" s="82"/>
      <c r="C60" s="34"/>
      <c r="D60" s="34"/>
      <c r="E60" s="34"/>
      <c r="F60" s="34"/>
      <c r="G60" s="34"/>
      <c r="H60" s="35"/>
    </row>
    <row r="61" ht="15.75" customHeight="1">
      <c r="A61" s="90" t="s">
        <v>243</v>
      </c>
      <c r="B61" s="119"/>
      <c r="C61" s="34"/>
      <c r="D61" s="34"/>
      <c r="E61" s="34"/>
      <c r="F61" s="34"/>
      <c r="G61" s="34"/>
      <c r="H61" s="35"/>
    </row>
    <row r="62" ht="15.75" customHeight="1">
      <c r="A62" s="90" t="s">
        <v>205</v>
      </c>
      <c r="B62" s="119"/>
      <c r="C62" s="34"/>
      <c r="D62" s="34"/>
      <c r="E62" s="34"/>
      <c r="F62" s="34"/>
      <c r="G62" s="34"/>
      <c r="H62" s="35"/>
    </row>
    <row r="63" ht="15.75" customHeight="1">
      <c r="A63" s="120" t="s">
        <v>279</v>
      </c>
      <c r="B63" s="6"/>
      <c r="C63" s="6"/>
      <c r="D63" s="6"/>
      <c r="E63" s="6"/>
      <c r="F63" s="6"/>
      <c r="G63" s="6"/>
      <c r="H63" s="6"/>
    </row>
    <row r="64" ht="15.75" customHeight="1">
      <c r="A64" s="104" t="s">
        <v>276</v>
      </c>
      <c r="B64" s="34"/>
      <c r="C64" s="34"/>
      <c r="D64" s="34"/>
      <c r="E64" s="34"/>
      <c r="F64" s="34"/>
      <c r="G64" s="34"/>
      <c r="H64" s="35"/>
    </row>
    <row r="65" ht="15.75" customHeight="1">
      <c r="A65" s="121"/>
      <c r="B65" s="66"/>
      <c r="C65" s="66"/>
      <c r="D65" s="66"/>
      <c r="E65" s="66"/>
      <c r="F65" s="66"/>
      <c r="G65" s="66"/>
      <c r="H65" s="67"/>
    </row>
    <row r="66" ht="15.75" customHeight="1">
      <c r="A66" s="118"/>
      <c r="H66" s="106"/>
    </row>
    <row r="67" ht="15.75" customHeight="1">
      <c r="A67" s="68"/>
      <c r="B67" s="69"/>
      <c r="C67" s="69"/>
      <c r="D67" s="69"/>
      <c r="E67" s="69"/>
      <c r="F67" s="69"/>
      <c r="G67" s="69"/>
      <c r="H67" s="70"/>
    </row>
    <row r="68" ht="15.75" customHeight="1"/>
    <row r="69" ht="15.75" customHeight="1">
      <c r="A69" s="101" t="s">
        <v>280</v>
      </c>
      <c r="G69" s="95" t="s">
        <v>205</v>
      </c>
      <c r="H69" s="102">
        <f>B71</f>
        <v>10</v>
      </c>
    </row>
    <row r="70" ht="15.75" customHeight="1">
      <c r="G70" s="88" t="s">
        <v>281</v>
      </c>
    </row>
    <row r="71" ht="15.75" customHeight="1">
      <c r="A71" s="90" t="s">
        <v>205</v>
      </c>
      <c r="B71" s="116">
        <v>10.0</v>
      </c>
      <c r="C71" s="34"/>
      <c r="D71" s="34"/>
      <c r="E71" s="34"/>
      <c r="F71" s="34"/>
      <c r="G71" s="34"/>
      <c r="H71" s="35"/>
    </row>
    <row r="72" ht="15.75" customHeight="1">
      <c r="A72" s="114" t="s">
        <v>282</v>
      </c>
      <c r="B72" s="34"/>
      <c r="C72" s="34"/>
      <c r="D72" s="34"/>
      <c r="E72" s="34"/>
      <c r="F72" s="34"/>
      <c r="G72" s="34"/>
      <c r="H72" s="35"/>
    </row>
    <row r="73" ht="15.75" customHeight="1">
      <c r="A73" s="126" t="s">
        <v>283</v>
      </c>
      <c r="B73" s="66"/>
      <c r="C73" s="66"/>
      <c r="D73" s="66"/>
      <c r="E73" s="66"/>
      <c r="F73" s="66"/>
      <c r="G73" s="66"/>
      <c r="H73" s="67"/>
    </row>
    <row r="74" ht="15.75" customHeight="1">
      <c r="A74" s="68"/>
      <c r="B74" s="69"/>
      <c r="C74" s="69"/>
      <c r="D74" s="69"/>
      <c r="E74" s="69"/>
      <c r="F74" s="69"/>
      <c r="G74" s="69"/>
      <c r="H74" s="70"/>
    </row>
    <row r="75" ht="15.75" customHeight="1">
      <c r="A75" s="88" t="s">
        <v>284</v>
      </c>
    </row>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62">
    <mergeCell ref="D43:H43"/>
    <mergeCell ref="A45:F45"/>
    <mergeCell ref="B48:H48"/>
    <mergeCell ref="B49:H49"/>
    <mergeCell ref="B50:H50"/>
    <mergeCell ref="B51:H51"/>
    <mergeCell ref="A53:H53"/>
    <mergeCell ref="A69:F69"/>
    <mergeCell ref="B71:H71"/>
    <mergeCell ref="A72:H72"/>
    <mergeCell ref="A73:H74"/>
    <mergeCell ref="A54:H56"/>
    <mergeCell ref="B59:H59"/>
    <mergeCell ref="B60:H60"/>
    <mergeCell ref="B61:H61"/>
    <mergeCell ref="B62:H62"/>
    <mergeCell ref="A64:H64"/>
    <mergeCell ref="A65:H67"/>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F35:H35"/>
    <mergeCell ref="D39:H39"/>
    <mergeCell ref="D40:H40"/>
    <mergeCell ref="D41:H41"/>
    <mergeCell ref="D42:H42"/>
  </mergeCells>
  <conditionalFormatting sqref="D40:H43">
    <cfRule type="cellIs" dxfId="0" priority="1" operator="between">
      <formula>0</formula>
      <formula>45</formula>
    </cfRule>
  </conditionalFormatting>
  <dataValidations>
    <dataValidation type="list" allowBlank="1" showErrorMessage="1" sqref="B49">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8 B59">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242</v>
      </c>
    </row>
    <row r="3" ht="15.75" customHeight="1"/>
    <row r="4" ht="15.75" customHeight="1">
      <c r="B4" s="81" t="s">
        <v>1</v>
      </c>
      <c r="C4" s="98" t="str">
        <f>'Diseño'!C4</f>
        <v>773 - Manejo e Implementación de Archivos</v>
      </c>
      <c r="D4" s="34"/>
      <c r="E4" s="34"/>
      <c r="F4" s="34"/>
      <c r="G4" s="35"/>
    </row>
    <row r="5" ht="15.75" customHeight="1">
      <c r="B5" s="83" t="s">
        <v>84</v>
      </c>
      <c r="C5" s="82">
        <v>11.0</v>
      </c>
      <c r="D5" s="34"/>
      <c r="E5" s="34"/>
      <c r="F5" s="34"/>
      <c r="G5" s="35"/>
    </row>
    <row r="6" ht="15.75" customHeight="1">
      <c r="B6" s="99" t="s">
        <v>202</v>
      </c>
      <c r="C6" s="91">
        <v>100.0</v>
      </c>
      <c r="D6" s="34"/>
      <c r="E6" s="34"/>
      <c r="F6" s="34"/>
      <c r="G6" s="35"/>
      <c r="I6" s="6"/>
    </row>
    <row r="7" ht="15.75" customHeight="1">
      <c r="B7" s="99" t="s">
        <v>243</v>
      </c>
      <c r="C7" s="91">
        <v>1.0</v>
      </c>
      <c r="D7" s="34"/>
      <c r="E7" s="34"/>
      <c r="F7" s="34"/>
      <c r="G7" s="35"/>
    </row>
    <row r="8" ht="15.75" customHeight="1">
      <c r="B8" s="99" t="s">
        <v>244</v>
      </c>
      <c r="C8" s="100" t="str">
        <f>IF(H48&lt;=0, "❌ ERROR: La Actividad 1 debe tener un tiempo mayor a 0.", IF(H21&gt;60, "❌ ERROR: El 'Área de Conocimiento' no puede exceder los 60 min.", IF((H10+H21+H48+H72)&lt;100, "❌ ERROR: El tiempo total debe ser de al menos 100 min.", "✅ VALIDACIÓN CORRECTA")))</f>
        <v>✅ VALIDACIÓN CORRECTA</v>
      </c>
      <c r="D8" s="34"/>
      <c r="E8" s="34"/>
      <c r="F8" s="34"/>
      <c r="G8" s="35"/>
      <c r="I8" s="6"/>
      <c r="J8" s="6"/>
      <c r="K8" s="6"/>
    </row>
    <row r="9" ht="15.75" customHeight="1"/>
    <row r="10" ht="15.75" customHeight="1">
      <c r="A10" s="101" t="s">
        <v>245</v>
      </c>
      <c r="G10" s="95" t="s">
        <v>205</v>
      </c>
      <c r="H10" s="102">
        <f>B13</f>
        <v>5</v>
      </c>
    </row>
    <row r="11" ht="15.75" customHeight="1">
      <c r="G11" s="88" t="s">
        <v>246</v>
      </c>
    </row>
    <row r="12" ht="15.75" customHeight="1">
      <c r="A12" s="90" t="s">
        <v>247</v>
      </c>
      <c r="B12" s="91" t="s">
        <v>319</v>
      </c>
      <c r="C12" s="34"/>
      <c r="D12" s="34"/>
      <c r="E12" s="34"/>
      <c r="F12" s="34"/>
      <c r="G12" s="34"/>
      <c r="H12" s="35"/>
    </row>
    <row r="13" ht="15.75" customHeight="1">
      <c r="A13" s="92" t="s">
        <v>205</v>
      </c>
      <c r="B13" s="91">
        <v>5.0</v>
      </c>
      <c r="C13" s="34"/>
      <c r="D13" s="34"/>
      <c r="E13" s="34"/>
      <c r="F13" s="34"/>
      <c r="G13" s="34"/>
      <c r="H13" s="35"/>
    </row>
    <row r="14" ht="15.75" customHeight="1">
      <c r="A14" s="104" t="s">
        <v>249</v>
      </c>
      <c r="B14" s="34"/>
      <c r="C14" s="34"/>
      <c r="D14" s="34"/>
      <c r="E14" s="34"/>
      <c r="F14" s="34"/>
      <c r="G14" s="34"/>
      <c r="H14" s="35"/>
    </row>
    <row r="15" ht="15.75" customHeight="1">
      <c r="A15" s="123" t="s">
        <v>75</v>
      </c>
      <c r="H15" s="106"/>
    </row>
    <row r="16" ht="15.75" customHeight="1">
      <c r="A16" s="69"/>
      <c r="B16" s="69"/>
      <c r="C16" s="69"/>
      <c r="D16" s="69"/>
      <c r="E16" s="69"/>
      <c r="F16" s="69"/>
      <c r="G16" s="69"/>
      <c r="H16" s="70"/>
    </row>
    <row r="17" ht="15.75" customHeight="1">
      <c r="A17" s="104" t="s">
        <v>251</v>
      </c>
      <c r="B17" s="34"/>
      <c r="C17" s="34"/>
      <c r="D17" s="34"/>
      <c r="E17" s="34"/>
      <c r="F17" s="34"/>
      <c r="G17" s="34"/>
      <c r="H17" s="35"/>
    </row>
    <row r="18" ht="15.75" customHeight="1">
      <c r="A18" s="121"/>
      <c r="B18" s="66"/>
      <c r="C18" s="66"/>
      <c r="D18" s="66"/>
      <c r="E18" s="66"/>
      <c r="F18" s="66"/>
      <c r="G18" s="66"/>
      <c r="H18" s="67"/>
    </row>
    <row r="19" ht="15.75" customHeight="1">
      <c r="A19" s="68"/>
      <c r="B19" s="69"/>
      <c r="C19" s="69"/>
      <c r="D19" s="69"/>
      <c r="E19" s="69"/>
      <c r="F19" s="69"/>
      <c r="G19" s="69"/>
      <c r="H19" s="70"/>
    </row>
    <row r="20" ht="15.75" customHeight="1"/>
    <row r="21" ht="15.75" customHeight="1">
      <c r="A21" s="101" t="s">
        <v>253</v>
      </c>
      <c r="G21" s="95" t="s">
        <v>205</v>
      </c>
      <c r="H21" s="102">
        <f>SUM(D43:H46)</f>
        <v>55</v>
      </c>
      <c r="I21" s="6"/>
    </row>
    <row r="22" ht="15.75" customHeight="1">
      <c r="G22" s="88" t="s">
        <v>254</v>
      </c>
    </row>
    <row r="23" ht="15.75" customHeight="1">
      <c r="A23" s="90" t="s">
        <v>255</v>
      </c>
      <c r="B23" s="91" t="s">
        <v>129</v>
      </c>
      <c r="C23" s="34"/>
      <c r="D23" s="34"/>
      <c r="E23" s="34"/>
      <c r="F23" s="34"/>
      <c r="G23" s="34"/>
      <c r="H23" s="35"/>
    </row>
    <row r="24" ht="15.75" customHeight="1">
      <c r="A24" s="90" t="s">
        <v>255</v>
      </c>
      <c r="B24" s="91" t="s">
        <v>170</v>
      </c>
      <c r="C24" s="34"/>
      <c r="D24" s="34"/>
      <c r="E24" s="34"/>
      <c r="F24" s="34"/>
      <c r="G24" s="34"/>
      <c r="H24" s="35"/>
    </row>
    <row r="25" ht="15.75" customHeight="1"/>
    <row r="26" ht="15.75" customHeight="1">
      <c r="A26" s="107" t="s">
        <v>256</v>
      </c>
      <c r="B26" s="6"/>
      <c r="C26" s="6"/>
      <c r="D26" s="6"/>
    </row>
    <row r="27" ht="15.75" customHeight="1">
      <c r="A27" s="108" t="s">
        <v>78</v>
      </c>
      <c r="B27" s="109" t="s">
        <v>257</v>
      </c>
      <c r="C27" s="35"/>
      <c r="D27" s="109" t="s">
        <v>258</v>
      </c>
      <c r="E27" s="35"/>
      <c r="F27" s="109" t="s">
        <v>259</v>
      </c>
      <c r="G27" s="34"/>
      <c r="H27" s="35"/>
    </row>
    <row r="28" ht="15.75" customHeight="1">
      <c r="A28" s="83">
        <v>1.0</v>
      </c>
      <c r="B28" s="82" t="str">
        <f>IFERROR(__xludf.DUMMYFUNCTION("FILTER('Diseño'!D:D,'Diseño'!H:H=$C$5)"),"3. Introducción a la disponibilidad de información, a la seguridad y virtualización")</f>
        <v>3. Introducción a la disponibilidad de información, a la seguridad y virtualización</v>
      </c>
      <c r="C28" s="35"/>
      <c r="D28" s="82" t="str">
        <f>IFERROR(__xludf.DUMMYFUNCTION("FILTER('Diseño'!E:E,'Diseño'!H:H=$C$5)"),"Seguridad de la información")</f>
        <v>Seguridad de la información</v>
      </c>
      <c r="E28" s="35"/>
      <c r="F28" s="82" t="str">
        <f>IFERROR(__xludf.DUMMYFUNCTION("FILTER('Diseño'!F:F,'Diseño'!H:H=$C$5)"),"Control de acceso de usuarios a los datos")</f>
        <v>Control de acceso de usuarios a los datos</v>
      </c>
      <c r="G28" s="34"/>
      <c r="H28" s="35"/>
    </row>
    <row r="29" ht="15.75" customHeight="1">
      <c r="A29" s="83">
        <v>2.0</v>
      </c>
      <c r="B29" s="82" t="str">
        <f>IFERROR(__xludf.DUMMYFUNCTION("""COMPUTED_VALUE"""),"3. Introducción a la disponibilidad de información, a la seguridad y virtualización")</f>
        <v>3. Introducción a la disponibilidad de información, a la seguridad y virtualización</v>
      </c>
      <c r="C29" s="35"/>
      <c r="D29" s="82" t="str">
        <f>IFERROR(__xludf.DUMMYFUNCTION("""COMPUTED_VALUE"""),"Seguridad de la información")</f>
        <v>Seguridad de la información</v>
      </c>
      <c r="E29" s="35"/>
      <c r="F29" s="82" t="str">
        <f>IFERROR(__xludf.DUMMYFUNCTION("""COMPUTED_VALUE"""),"Seguridad en el almacenamiento en la Nube")</f>
        <v>Seguridad en el almacenamiento en la Nube</v>
      </c>
      <c r="G29" s="34"/>
      <c r="H29" s="35"/>
    </row>
    <row r="30" ht="15.75" customHeight="1">
      <c r="A30" s="83">
        <v>3.0</v>
      </c>
      <c r="B30" s="82" t="str">
        <f>IFERROR(__xludf.DUMMYFUNCTION("""COMPUTED_VALUE"""),"3. Introducción a la disponibilidad de información, a la seguridad y virtualización")</f>
        <v>3. Introducción a la disponibilidad de información, a la seguridad y virtualización</v>
      </c>
      <c r="C30" s="35"/>
      <c r="D30" s="82" t="str">
        <f>IFERROR(__xludf.DUMMYFUNCTION("""COMPUTED_VALUE"""),"Seguridad de la información")</f>
        <v>Seguridad de la información</v>
      </c>
      <c r="E30" s="35"/>
      <c r="F30" s="82" t="str">
        <f>IFERROR(__xludf.DUMMYFUNCTION("""COMPUTED_VALUE"""),"Técnicas de respaldo y recuperación de archivos")</f>
        <v>Técnicas de respaldo y recuperación de archivos</v>
      </c>
      <c r="G30" s="34"/>
      <c r="H30" s="35"/>
    </row>
    <row r="31" ht="15.75" customHeight="1">
      <c r="A31" s="83">
        <v>4.0</v>
      </c>
      <c r="B31" s="82" t="str">
        <f>IFERROR(__xludf.DUMMYFUNCTION("""COMPUTED_VALUE"""),"3. Introducción a la disponibilidad de información, a la seguridad y virtualización")</f>
        <v>3. Introducción a la disponibilidad de información, a la seguridad y virtualización</v>
      </c>
      <c r="C31" s="35"/>
      <c r="D31" s="82" t="str">
        <f>IFERROR(__xludf.DUMMYFUNCTION("""COMPUTED_VALUE"""),"Virtualización")</f>
        <v>Virtualización</v>
      </c>
      <c r="E31" s="35"/>
      <c r="F31" s="82" t="str">
        <f>IFERROR(__xludf.DUMMYFUNCTION("""COMPUTED_VALUE"""),"Funcionalidad de almacenaje")</f>
        <v>Funcionalidad de almacenaje</v>
      </c>
      <c r="G31" s="34"/>
      <c r="H31" s="35"/>
    </row>
    <row r="32" ht="15.75" customHeight="1">
      <c r="A32" s="83">
        <v>5.0</v>
      </c>
      <c r="B32" s="112" t="str">
        <f>IFERROR(__xludf.DUMMYFUNCTION("""COMPUTED_VALUE"""),"3. Introducción a la disponibilidad de información, a la seguridad y virtualización")</f>
        <v>3. Introducción a la disponibilidad de información, a la seguridad y virtualización</v>
      </c>
      <c r="C32" s="35"/>
      <c r="D32" s="112" t="str">
        <f>IFERROR(__xludf.DUMMYFUNCTION("""COMPUTED_VALUE"""),"Virtualización")</f>
        <v>Virtualización</v>
      </c>
      <c r="E32" s="35"/>
      <c r="F32" s="82" t="str">
        <f>IFERROR(__xludf.DUMMYFUNCTION("""COMPUTED_VALUE"""),"Almacenamiento virtual")</f>
        <v>Almacenamiento virtual</v>
      </c>
      <c r="G32" s="34"/>
      <c r="H32" s="35"/>
    </row>
    <row r="33" ht="15.75" customHeight="1">
      <c r="A33" s="83">
        <v>6.0</v>
      </c>
      <c r="B33" s="112" t="str">
        <f>IFERROR(__xludf.DUMMYFUNCTION("""COMPUTED_VALUE"""),"3. Introducción a la disponibilidad de información, a la seguridad y virtualización")</f>
        <v>3. Introducción a la disponibilidad de información, a la seguridad y virtualización</v>
      </c>
      <c r="C33" s="35"/>
      <c r="D33" s="112" t="str">
        <f>IFERROR(__xludf.DUMMYFUNCTION("""COMPUTED_VALUE"""),"Virtualización")</f>
        <v>Virtualización</v>
      </c>
      <c r="E33" s="35"/>
      <c r="F33" s="112" t="str">
        <f>IFERROR(__xludf.DUMMYFUNCTION("""COMPUTED_VALUE"""),"Comparación de arquitecturas de virtualización")</f>
        <v>Comparación de arquitecturas de virtualización</v>
      </c>
      <c r="G33" s="34"/>
      <c r="H33" s="35"/>
    </row>
    <row r="34" ht="15.75" customHeight="1">
      <c r="A34" s="83">
        <v>7.0</v>
      </c>
      <c r="B34" s="112" t="str">
        <f>IFERROR(__xludf.DUMMYFUNCTION("""COMPUTED_VALUE"""),"3. Introducción a la disponibilidad de información, a la seguridad y virtualización")</f>
        <v>3. Introducción a la disponibilidad de información, a la seguridad y virtualización</v>
      </c>
      <c r="C34" s="35"/>
      <c r="D34" s="112" t="str">
        <f>IFERROR(__xludf.DUMMYFUNCTION("""COMPUTED_VALUE"""),"Virtualización")</f>
        <v>Virtualización</v>
      </c>
      <c r="E34" s="35"/>
      <c r="F34" s="112" t="str">
        <f>IFERROR(__xludf.DUMMYFUNCTION("""COMPUTED_VALUE"""),"Retos de la virtualización del almacenamiento")</f>
        <v>Retos de la virtualización del almacenamiento</v>
      </c>
      <c r="G34" s="34"/>
      <c r="H34" s="35"/>
    </row>
    <row r="35" ht="15.75" customHeight="1">
      <c r="A35" s="110">
        <v>8.0</v>
      </c>
      <c r="B35" s="112" t="str">
        <f>IFERROR(__xludf.DUMMYFUNCTION("""COMPUTED_VALUE"""),"3. Introducción a la disponibilidad de información, a la seguridad y virtualización")</f>
        <v>3. Introducción a la disponibilidad de información, a la seguridad y virtualización</v>
      </c>
      <c r="C35" s="35"/>
      <c r="D35" s="112" t="str">
        <f>IFERROR(__xludf.DUMMYFUNCTION("""COMPUTED_VALUE"""),"Virtualización")</f>
        <v>Virtualización</v>
      </c>
      <c r="E35" s="35"/>
      <c r="F35" s="112" t="str">
        <f>IFERROR(__xludf.DUMMYFUNCTION("""COMPUTED_VALUE"""),"Virtualización a nivel de bloque")</f>
        <v>Virtualización a nivel de bloque</v>
      </c>
      <c r="G35" s="34"/>
      <c r="H35" s="35"/>
    </row>
    <row r="36" ht="15.75" customHeight="1">
      <c r="A36" s="110">
        <v>9.0</v>
      </c>
      <c r="B36" s="112" t="str">
        <f>IFERROR(__xludf.DUMMYFUNCTION("""COMPUTED_VALUE"""),"3. Introducción a la disponibilidad de información, a la seguridad y virtualización")</f>
        <v>3. Introducción a la disponibilidad de información, a la seguridad y virtualización</v>
      </c>
      <c r="C36" s="35"/>
      <c r="D36" s="112" t="str">
        <f>IFERROR(__xludf.DUMMYFUNCTION("""COMPUTED_VALUE"""),"Virtualización")</f>
        <v>Virtualización</v>
      </c>
      <c r="E36" s="35"/>
      <c r="F36" s="112" t="str">
        <f>IFERROR(__xludf.DUMMYFUNCTION("""COMPUTED_VALUE"""),"Virtualización a nivel de archivo")</f>
        <v>Virtualización a nivel de archivo</v>
      </c>
      <c r="G36" s="34"/>
      <c r="H36" s="35"/>
    </row>
    <row r="37" ht="15.75" customHeight="1">
      <c r="A37" s="110">
        <v>10.0</v>
      </c>
      <c r="B37" s="112" t="str">
        <f>IFERROR(__xludf.DUMMYFUNCTION("""COMPUTED_VALUE"""),"3. Introducción a la disponibilidad de información, a la seguridad y virtualización")</f>
        <v>3. Introducción a la disponibilidad de información, a la seguridad y virtualización</v>
      </c>
      <c r="C37" s="35"/>
      <c r="D37" s="112" t="str">
        <f>IFERROR(__xludf.DUMMYFUNCTION("""COMPUTED_VALUE"""),"Virtualización")</f>
        <v>Virtualización</v>
      </c>
      <c r="E37" s="35"/>
      <c r="F37" s="112" t="str">
        <f>IFERROR(__xludf.DUMMYFUNCTION("""COMPUTED_VALUE"""),"Administración de recursos en entornos virtualizados")</f>
        <v>Administración de recursos en entornos virtualizados</v>
      </c>
      <c r="G37" s="34"/>
      <c r="H37" s="35"/>
    </row>
    <row r="38" ht="15.75" customHeight="1"/>
    <row r="39" ht="15.75" customHeight="1"/>
    <row r="40" ht="15.75" customHeight="1">
      <c r="A40" s="107" t="s">
        <v>260</v>
      </c>
    </row>
    <row r="41" ht="15.75" customHeight="1">
      <c r="A41" s="6"/>
      <c r="B41" s="6"/>
      <c r="C41" s="6"/>
      <c r="D41" s="6"/>
      <c r="E41" s="6"/>
      <c r="F41" s="6"/>
      <c r="G41" s="6"/>
      <c r="H41" s="6"/>
    </row>
    <row r="42">
      <c r="A42" s="108" t="s">
        <v>261</v>
      </c>
      <c r="B42" s="108" t="s">
        <v>29</v>
      </c>
      <c r="C42" s="113" t="s">
        <v>262</v>
      </c>
      <c r="D42" s="114" t="s">
        <v>263</v>
      </c>
      <c r="E42" s="34"/>
      <c r="F42" s="34"/>
      <c r="G42" s="34"/>
      <c r="H42" s="35"/>
      <c r="I42" s="115" t="s">
        <v>18</v>
      </c>
    </row>
    <row r="43" ht="15.75" customHeight="1">
      <c r="A43" s="83" t="s">
        <v>264</v>
      </c>
      <c r="B43" s="83" t="s">
        <v>265</v>
      </c>
      <c r="C43" s="83">
        <v>30.0</v>
      </c>
      <c r="D43" s="91">
        <v>20.0</v>
      </c>
      <c r="E43" s="34"/>
      <c r="F43" s="34"/>
      <c r="G43" s="34"/>
      <c r="H43" s="35"/>
      <c r="I43" s="83" t="str">
        <f t="shared" ref="I43:I46" si="1">IF(D43&lt;=C43,"Correcto", "Corregir")</f>
        <v>Correcto</v>
      </c>
    </row>
    <row r="44" ht="15.75" customHeight="1">
      <c r="A44" s="83" t="s">
        <v>266</v>
      </c>
      <c r="B44" s="83" t="s">
        <v>265</v>
      </c>
      <c r="C44" s="83">
        <v>6.0</v>
      </c>
      <c r="D44" s="91">
        <v>5.0</v>
      </c>
      <c r="E44" s="34"/>
      <c r="F44" s="34"/>
      <c r="G44" s="34"/>
      <c r="H44" s="35"/>
      <c r="I44" s="83" t="str">
        <f t="shared" si="1"/>
        <v>Correcto</v>
      </c>
    </row>
    <row r="45" ht="15.75" customHeight="1">
      <c r="A45" s="83" t="s">
        <v>267</v>
      </c>
      <c r="B45" s="83" t="s">
        <v>268</v>
      </c>
      <c r="C45" s="83">
        <v>10.0</v>
      </c>
      <c r="D45" s="91">
        <v>0.0</v>
      </c>
      <c r="E45" s="34"/>
      <c r="F45" s="34"/>
      <c r="G45" s="34"/>
      <c r="H45" s="35"/>
      <c r="I45" s="83" t="str">
        <f t="shared" si="1"/>
        <v>Correcto</v>
      </c>
    </row>
    <row r="46" ht="15.75" customHeight="1">
      <c r="A46" s="83" t="s">
        <v>269</v>
      </c>
      <c r="B46" s="83" t="s">
        <v>265</v>
      </c>
      <c r="C46" s="83">
        <v>30.0</v>
      </c>
      <c r="D46" s="91">
        <v>30.0</v>
      </c>
      <c r="E46" s="34"/>
      <c r="F46" s="34"/>
      <c r="G46" s="34"/>
      <c r="H46" s="35"/>
      <c r="I46" s="83" t="str">
        <f t="shared" si="1"/>
        <v>Correcto</v>
      </c>
    </row>
    <row r="47" ht="15.75" customHeight="1"/>
    <row r="48" ht="15.75" customHeight="1">
      <c r="A48" s="101" t="s">
        <v>270</v>
      </c>
      <c r="G48" s="95" t="s">
        <v>205</v>
      </c>
      <c r="H48" s="102">
        <f>B54</f>
        <v>30</v>
      </c>
    </row>
    <row r="49" ht="15.75" customHeight="1">
      <c r="G49" s="88" t="s">
        <v>271</v>
      </c>
    </row>
    <row r="50" ht="15.75" customHeight="1">
      <c r="A50" s="88" t="s">
        <v>272</v>
      </c>
    </row>
    <row r="51">
      <c r="A51" s="90" t="s">
        <v>273</v>
      </c>
      <c r="B51" s="91" t="s">
        <v>129</v>
      </c>
      <c r="C51" s="34"/>
      <c r="D51" s="34"/>
      <c r="E51" s="34"/>
      <c r="F51" s="34"/>
      <c r="G51" s="34"/>
      <c r="H51" s="35"/>
    </row>
    <row r="52" ht="15.75" customHeight="1">
      <c r="A52" s="90" t="s">
        <v>8</v>
      </c>
      <c r="B52" s="91" t="s">
        <v>287</v>
      </c>
      <c r="C52" s="34"/>
      <c r="D52" s="34"/>
      <c r="E52" s="34"/>
      <c r="F52" s="34"/>
      <c r="G52" s="34"/>
      <c r="H52" s="35"/>
    </row>
    <row r="53" ht="15.75" customHeight="1">
      <c r="A53" s="90" t="s">
        <v>243</v>
      </c>
      <c r="B53" s="116">
        <v>1.0</v>
      </c>
      <c r="C53" s="34"/>
      <c r="D53" s="34"/>
      <c r="E53" s="34"/>
      <c r="F53" s="34"/>
      <c r="G53" s="34"/>
      <c r="H53" s="35"/>
    </row>
    <row r="54" ht="15.75" customHeight="1">
      <c r="A54" s="90" t="s">
        <v>205</v>
      </c>
      <c r="B54" s="91">
        <v>30.0</v>
      </c>
      <c r="C54" s="34"/>
      <c r="D54" s="34"/>
      <c r="E54" s="34"/>
      <c r="F54" s="34"/>
      <c r="G54" s="34"/>
      <c r="H54" s="35"/>
    </row>
    <row r="55" ht="15.75" customHeight="1">
      <c r="A55" s="117" t="s">
        <v>275</v>
      </c>
      <c r="B55" s="6"/>
      <c r="C55" s="6"/>
      <c r="D55" s="6"/>
      <c r="E55" s="6"/>
      <c r="F55" s="6"/>
      <c r="G55" s="6"/>
      <c r="H55" s="6"/>
    </row>
    <row r="56" ht="15.75" customHeight="1">
      <c r="A56" s="104" t="s">
        <v>276</v>
      </c>
      <c r="B56" s="34"/>
      <c r="C56" s="34"/>
      <c r="D56" s="34"/>
      <c r="E56" s="34"/>
      <c r="F56" s="34"/>
      <c r="G56" s="34"/>
      <c r="H56" s="35"/>
    </row>
    <row r="57" ht="15.75" customHeight="1">
      <c r="A57" s="65" t="s">
        <v>277</v>
      </c>
      <c r="B57" s="66"/>
      <c r="C57" s="66"/>
      <c r="D57" s="66"/>
      <c r="E57" s="66"/>
      <c r="F57" s="66"/>
      <c r="G57" s="66"/>
      <c r="H57" s="67"/>
    </row>
    <row r="58" ht="15.75" customHeight="1">
      <c r="A58" s="118"/>
      <c r="H58" s="106"/>
    </row>
    <row r="59" ht="15.75" customHeight="1">
      <c r="A59" s="68"/>
      <c r="B59" s="69"/>
      <c r="C59" s="69"/>
      <c r="D59" s="69"/>
      <c r="E59" s="69"/>
      <c r="F59" s="69"/>
      <c r="G59" s="69"/>
      <c r="H59" s="70"/>
    </row>
    <row r="60" ht="15.75" customHeight="1"/>
    <row r="61" ht="15.75" customHeight="1">
      <c r="A61" s="88" t="s">
        <v>278</v>
      </c>
    </row>
    <row r="62">
      <c r="A62" s="90" t="s">
        <v>273</v>
      </c>
      <c r="B62" s="82"/>
      <c r="C62" s="34"/>
      <c r="D62" s="34"/>
      <c r="E62" s="34"/>
      <c r="F62" s="34"/>
      <c r="G62" s="34"/>
      <c r="H62" s="35"/>
    </row>
    <row r="63" ht="15.75" customHeight="1">
      <c r="A63" s="90" t="s">
        <v>8</v>
      </c>
      <c r="B63" s="82"/>
      <c r="C63" s="34"/>
      <c r="D63" s="34"/>
      <c r="E63" s="34"/>
      <c r="F63" s="34"/>
      <c r="G63" s="34"/>
      <c r="H63" s="35"/>
    </row>
    <row r="64" ht="15.75" customHeight="1">
      <c r="A64" s="90" t="s">
        <v>243</v>
      </c>
      <c r="B64" s="119"/>
      <c r="C64" s="34"/>
      <c r="D64" s="34"/>
      <c r="E64" s="34"/>
      <c r="F64" s="34"/>
      <c r="G64" s="34"/>
      <c r="H64" s="35"/>
    </row>
    <row r="65" ht="15.75" customHeight="1">
      <c r="A65" s="90" t="s">
        <v>205</v>
      </c>
      <c r="B65" s="119"/>
      <c r="C65" s="34"/>
      <c r="D65" s="34"/>
      <c r="E65" s="34"/>
      <c r="F65" s="34"/>
      <c r="G65" s="34"/>
      <c r="H65" s="35"/>
    </row>
    <row r="66" ht="15.75" customHeight="1">
      <c r="A66" s="120" t="s">
        <v>279</v>
      </c>
      <c r="B66" s="6"/>
      <c r="C66" s="6"/>
      <c r="D66" s="6"/>
      <c r="E66" s="6"/>
      <c r="F66" s="6"/>
      <c r="G66" s="6"/>
      <c r="H66" s="6"/>
    </row>
    <row r="67" ht="15.75" customHeight="1">
      <c r="A67" s="104" t="s">
        <v>276</v>
      </c>
      <c r="B67" s="34"/>
      <c r="C67" s="34"/>
      <c r="D67" s="34"/>
      <c r="E67" s="34"/>
      <c r="F67" s="34"/>
      <c r="G67" s="34"/>
      <c r="H67" s="35"/>
    </row>
    <row r="68" ht="15.75" customHeight="1">
      <c r="A68" s="121"/>
      <c r="B68" s="66"/>
      <c r="C68" s="66"/>
      <c r="D68" s="66"/>
      <c r="E68" s="66"/>
      <c r="F68" s="66"/>
      <c r="G68" s="66"/>
      <c r="H68" s="67"/>
    </row>
    <row r="69" ht="15.75" customHeight="1">
      <c r="A69" s="118"/>
      <c r="H69" s="106"/>
    </row>
    <row r="70" ht="15.75" customHeight="1">
      <c r="A70" s="68"/>
      <c r="B70" s="69"/>
      <c r="C70" s="69"/>
      <c r="D70" s="69"/>
      <c r="E70" s="69"/>
      <c r="F70" s="69"/>
      <c r="G70" s="69"/>
      <c r="H70" s="70"/>
    </row>
    <row r="71" ht="15.75" customHeight="1"/>
    <row r="72" ht="15.75" customHeight="1">
      <c r="A72" s="101" t="s">
        <v>280</v>
      </c>
      <c r="G72" s="95" t="s">
        <v>205</v>
      </c>
      <c r="H72" s="102">
        <f>B74</f>
        <v>10</v>
      </c>
    </row>
    <row r="73" ht="15.75" customHeight="1">
      <c r="G73" s="88" t="s">
        <v>281</v>
      </c>
    </row>
    <row r="74" ht="15.75" customHeight="1">
      <c r="A74" s="90" t="s">
        <v>205</v>
      </c>
      <c r="B74" s="116">
        <v>10.0</v>
      </c>
      <c r="C74" s="34"/>
      <c r="D74" s="34"/>
      <c r="E74" s="34"/>
      <c r="F74" s="34"/>
      <c r="G74" s="34"/>
      <c r="H74" s="35"/>
    </row>
    <row r="75" ht="15.75" customHeight="1">
      <c r="A75" s="114" t="s">
        <v>282</v>
      </c>
      <c r="B75" s="34"/>
      <c r="C75" s="34"/>
      <c r="D75" s="34"/>
      <c r="E75" s="34"/>
      <c r="F75" s="34"/>
      <c r="G75" s="34"/>
      <c r="H75" s="35"/>
    </row>
    <row r="76" ht="15.75" customHeight="1">
      <c r="A76" s="65" t="s">
        <v>283</v>
      </c>
      <c r="B76" s="66"/>
      <c r="C76" s="66"/>
      <c r="D76" s="66"/>
      <c r="E76" s="66"/>
      <c r="F76" s="66"/>
      <c r="G76" s="66"/>
      <c r="H76" s="67"/>
    </row>
    <row r="77" ht="15.75" customHeight="1">
      <c r="A77" s="68"/>
      <c r="B77" s="69"/>
      <c r="C77" s="69"/>
      <c r="D77" s="69"/>
      <c r="E77" s="69"/>
      <c r="F77" s="69"/>
      <c r="G77" s="69"/>
      <c r="H77" s="70"/>
    </row>
    <row r="78" ht="15.75" customHeight="1">
      <c r="A78" s="88" t="s">
        <v>284</v>
      </c>
    </row>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70">
    <mergeCell ref="B35:C35"/>
    <mergeCell ref="D35:E35"/>
    <mergeCell ref="F35:H35"/>
    <mergeCell ref="B36:C36"/>
    <mergeCell ref="D36:E36"/>
    <mergeCell ref="F36:H36"/>
    <mergeCell ref="B37:C37"/>
    <mergeCell ref="D37:E37"/>
    <mergeCell ref="F37:H37"/>
    <mergeCell ref="D42:H42"/>
    <mergeCell ref="D43:H43"/>
    <mergeCell ref="D44:H44"/>
    <mergeCell ref="D45:H45"/>
    <mergeCell ref="D46:H46"/>
    <mergeCell ref="A48:F48"/>
    <mergeCell ref="B51:H51"/>
    <mergeCell ref="B52:H52"/>
    <mergeCell ref="B53:H53"/>
    <mergeCell ref="B54:H54"/>
    <mergeCell ref="A56:H56"/>
    <mergeCell ref="A57:H59"/>
    <mergeCell ref="B74:H74"/>
    <mergeCell ref="A75:H75"/>
    <mergeCell ref="A76:H77"/>
    <mergeCell ref="B62:H62"/>
    <mergeCell ref="B63:H63"/>
    <mergeCell ref="B64:H64"/>
    <mergeCell ref="B65:H65"/>
    <mergeCell ref="A67:H67"/>
    <mergeCell ref="A68:H70"/>
    <mergeCell ref="A72:F72"/>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D34:E34"/>
    <mergeCell ref="F34:H34"/>
    <mergeCell ref="B32:C32"/>
    <mergeCell ref="D32:E32"/>
    <mergeCell ref="F32:H32"/>
    <mergeCell ref="B33:C33"/>
    <mergeCell ref="D33:E33"/>
    <mergeCell ref="F33:H33"/>
    <mergeCell ref="B34:C34"/>
  </mergeCells>
  <conditionalFormatting sqref="D43:H46">
    <cfRule type="cellIs" dxfId="0" priority="1" operator="between">
      <formula>0</formula>
      <formula>45</formula>
    </cfRule>
  </conditionalFormatting>
  <dataValidations>
    <dataValidation type="list" allowBlank="1" showErrorMessage="1" sqref="B52">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51 B62">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5" t="s">
        <v>14</v>
      </c>
    </row>
    <row r="3" ht="15.75" customHeight="1"/>
    <row r="4" ht="15.75" customHeight="1">
      <c r="B4" s="81" t="s">
        <v>1</v>
      </c>
      <c r="C4" s="82" t="str">
        <f>'Diseño'!C4</f>
        <v>773 - Manejo e Implementación de Archivos</v>
      </c>
      <c r="D4" s="34"/>
      <c r="E4" s="34"/>
      <c r="F4" s="34"/>
      <c r="G4" s="35"/>
    </row>
    <row r="5" ht="15.75" customHeight="1">
      <c r="B5" s="99" t="s">
        <v>202</v>
      </c>
      <c r="C5" s="82">
        <f>H9+H26+H43</f>
        <v>316</v>
      </c>
      <c r="D5" s="34"/>
      <c r="E5" s="34"/>
      <c r="F5" s="34"/>
      <c r="G5" s="35"/>
    </row>
    <row r="6" ht="15.75" customHeight="1">
      <c r="B6" s="99" t="s">
        <v>243</v>
      </c>
      <c r="C6" s="82">
        <f>F9+F26+F43</f>
        <v>60</v>
      </c>
      <c r="D6" s="34"/>
      <c r="E6" s="34"/>
      <c r="F6" s="34"/>
      <c r="G6" s="35"/>
    </row>
    <row r="7" ht="15.75" customHeight="1">
      <c r="B7" s="74" t="s">
        <v>320</v>
      </c>
    </row>
    <row r="8" ht="15.75" customHeight="1"/>
    <row r="9" ht="15.75" customHeight="1">
      <c r="A9" s="101" t="s">
        <v>321</v>
      </c>
      <c r="E9" s="95" t="s">
        <v>243</v>
      </c>
      <c r="F9" s="124">
        <v>30.0</v>
      </c>
      <c r="G9" s="95" t="s">
        <v>322</v>
      </c>
      <c r="H9" s="124">
        <v>148.0</v>
      </c>
    </row>
    <row r="10" ht="15.75" customHeight="1">
      <c r="A10" s="74" t="s">
        <v>265</v>
      </c>
    </row>
    <row r="11" ht="15.75" customHeight="1">
      <c r="A11" s="108" t="s">
        <v>255</v>
      </c>
      <c r="B11" s="91" t="s">
        <v>120</v>
      </c>
      <c r="C11" s="34"/>
      <c r="D11" s="34"/>
      <c r="E11" s="34"/>
      <c r="F11" s="34"/>
      <c r="G11" s="34"/>
      <c r="H11" s="35"/>
    </row>
    <row r="12" ht="15.75" customHeight="1">
      <c r="A12" s="108" t="s">
        <v>255</v>
      </c>
      <c r="B12" s="91" t="s">
        <v>85</v>
      </c>
      <c r="C12" s="34"/>
      <c r="D12" s="34"/>
      <c r="E12" s="34"/>
      <c r="F12" s="34"/>
      <c r="G12" s="34"/>
      <c r="H12" s="35"/>
    </row>
    <row r="13" ht="15.75" customHeight="1">
      <c r="A13" s="108" t="s">
        <v>255</v>
      </c>
      <c r="B13" s="91" t="s">
        <v>120</v>
      </c>
      <c r="C13" s="34"/>
      <c r="D13" s="34"/>
      <c r="E13" s="34"/>
      <c r="F13" s="34"/>
      <c r="G13" s="34"/>
      <c r="H13" s="35"/>
    </row>
    <row r="14" ht="15.75" customHeight="1">
      <c r="A14" s="108" t="s">
        <v>323</v>
      </c>
      <c r="B14" s="91" t="s">
        <v>324</v>
      </c>
      <c r="C14" s="34"/>
      <c r="D14" s="34"/>
      <c r="E14" s="34"/>
      <c r="F14" s="34"/>
      <c r="G14" s="34"/>
      <c r="H14" s="35"/>
    </row>
    <row r="15" ht="15.75" customHeight="1">
      <c r="A15" s="104" t="s">
        <v>325</v>
      </c>
      <c r="B15" s="34"/>
      <c r="C15" s="34"/>
      <c r="D15" s="34"/>
      <c r="E15" s="34"/>
      <c r="F15" s="34"/>
      <c r="G15" s="34"/>
      <c r="H15" s="35"/>
    </row>
    <row r="16" ht="15.75" customHeight="1">
      <c r="A16" s="136" t="s">
        <v>326</v>
      </c>
      <c r="B16" s="66"/>
      <c r="C16" s="66"/>
      <c r="D16" s="66"/>
      <c r="E16" s="66"/>
      <c r="F16" s="66"/>
      <c r="G16" s="66"/>
      <c r="H16" s="67"/>
    </row>
    <row r="17" ht="15.75" customHeight="1">
      <c r="A17" s="118"/>
      <c r="H17" s="106"/>
    </row>
    <row r="18" ht="15.75" customHeight="1">
      <c r="A18" s="68"/>
      <c r="B18" s="69"/>
      <c r="C18" s="69"/>
      <c r="D18" s="69"/>
      <c r="E18" s="69"/>
      <c r="F18" s="69"/>
      <c r="G18" s="69"/>
      <c r="H18" s="70"/>
    </row>
    <row r="19" ht="15.75" customHeight="1">
      <c r="A19" s="104" t="s">
        <v>327</v>
      </c>
      <c r="B19" s="34"/>
      <c r="C19" s="34"/>
      <c r="D19" s="34"/>
      <c r="E19" s="34"/>
      <c r="F19" s="34"/>
      <c r="G19" s="34"/>
      <c r="H19" s="35"/>
    </row>
    <row r="20" ht="15.75" customHeight="1">
      <c r="A20" s="137" t="s">
        <v>328</v>
      </c>
      <c r="B20" s="66"/>
      <c r="C20" s="66"/>
      <c r="D20" s="66"/>
      <c r="E20" s="66"/>
      <c r="F20" s="66"/>
      <c r="G20" s="66"/>
      <c r="H20" s="67"/>
    </row>
    <row r="21" ht="15.75" customHeight="1">
      <c r="A21" s="118"/>
      <c r="H21" s="106"/>
    </row>
    <row r="22" ht="15.75" customHeight="1">
      <c r="A22" s="118"/>
      <c r="H22" s="106"/>
    </row>
    <row r="23" ht="15.75" customHeight="1">
      <c r="A23" s="68"/>
      <c r="B23" s="69"/>
      <c r="C23" s="69"/>
      <c r="D23" s="69"/>
      <c r="E23" s="69"/>
      <c r="F23" s="69"/>
      <c r="G23" s="69"/>
      <c r="H23" s="70"/>
    </row>
    <row r="24" ht="15.75" customHeight="1"/>
    <row r="25" ht="15.75" customHeight="1"/>
    <row r="26" ht="15.75" customHeight="1">
      <c r="A26" s="101" t="s">
        <v>329</v>
      </c>
      <c r="E26" s="95" t="s">
        <v>243</v>
      </c>
      <c r="F26" s="124">
        <v>30.0</v>
      </c>
      <c r="G26" s="95" t="s">
        <v>322</v>
      </c>
      <c r="H26" s="124">
        <v>168.0</v>
      </c>
    </row>
    <row r="27" ht="15.75" customHeight="1">
      <c r="A27" s="74" t="s">
        <v>265</v>
      </c>
    </row>
    <row r="28" ht="15.75" customHeight="1">
      <c r="A28" s="108" t="s">
        <v>255</v>
      </c>
      <c r="B28" s="91" t="s">
        <v>170</v>
      </c>
      <c r="C28" s="34"/>
      <c r="D28" s="34"/>
      <c r="E28" s="34"/>
      <c r="F28" s="34"/>
      <c r="G28" s="34"/>
      <c r="H28" s="35"/>
      <c r="I28" s="138" t="s">
        <v>330</v>
      </c>
      <c r="J28" s="34"/>
      <c r="K28" s="34"/>
      <c r="L28" s="34"/>
      <c r="M28" s="34"/>
      <c r="N28" s="34"/>
      <c r="O28" s="34"/>
      <c r="P28" s="35"/>
    </row>
    <row r="29" ht="15.75" customHeight="1">
      <c r="A29" s="108" t="s">
        <v>255</v>
      </c>
      <c r="B29" s="82"/>
      <c r="C29" s="34"/>
      <c r="D29" s="34"/>
      <c r="E29" s="34"/>
      <c r="F29" s="34"/>
      <c r="G29" s="34"/>
      <c r="H29" s="35"/>
    </row>
    <row r="30" ht="15.75" customHeight="1">
      <c r="A30" s="108" t="s">
        <v>255</v>
      </c>
      <c r="B30" s="82"/>
      <c r="C30" s="34"/>
      <c r="D30" s="34"/>
      <c r="E30" s="34"/>
      <c r="F30" s="34"/>
      <c r="G30" s="34"/>
      <c r="H30" s="35"/>
    </row>
    <row r="31" ht="15.75" customHeight="1">
      <c r="A31" s="108" t="s">
        <v>323</v>
      </c>
      <c r="B31" s="91" t="s">
        <v>331</v>
      </c>
      <c r="C31" s="34"/>
      <c r="D31" s="34"/>
      <c r="E31" s="34"/>
      <c r="F31" s="34"/>
      <c r="G31" s="34"/>
      <c r="H31" s="35"/>
    </row>
    <row r="32" ht="15.75" customHeight="1">
      <c r="A32" s="104" t="s">
        <v>325</v>
      </c>
      <c r="B32" s="34"/>
      <c r="C32" s="34"/>
      <c r="D32" s="34"/>
      <c r="E32" s="34"/>
      <c r="F32" s="34"/>
      <c r="G32" s="34"/>
      <c r="H32" s="35"/>
    </row>
    <row r="33" ht="15.75" customHeight="1">
      <c r="A33" s="126" t="s">
        <v>332</v>
      </c>
      <c r="B33" s="66"/>
      <c r="C33" s="66"/>
      <c r="D33" s="66"/>
      <c r="E33" s="66"/>
      <c r="F33" s="66"/>
      <c r="G33" s="66"/>
      <c r="H33" s="67"/>
    </row>
    <row r="34" ht="15.75" customHeight="1">
      <c r="A34" s="118"/>
      <c r="H34" s="106"/>
    </row>
    <row r="35" ht="15.75" customHeight="1">
      <c r="A35" s="68"/>
      <c r="B35" s="69"/>
      <c r="C35" s="69"/>
      <c r="D35" s="69"/>
      <c r="E35" s="69"/>
      <c r="F35" s="69"/>
      <c r="G35" s="69"/>
      <c r="H35" s="70"/>
    </row>
    <row r="36" ht="15.75" customHeight="1">
      <c r="A36" s="104" t="s">
        <v>327</v>
      </c>
      <c r="B36" s="34"/>
      <c r="C36" s="34"/>
      <c r="D36" s="34"/>
      <c r="E36" s="34"/>
      <c r="F36" s="34"/>
      <c r="G36" s="34"/>
      <c r="H36" s="35"/>
    </row>
    <row r="37" ht="15.75" customHeight="1">
      <c r="A37" s="128" t="s">
        <v>333</v>
      </c>
      <c r="B37" s="66"/>
      <c r="C37" s="66"/>
      <c r="D37" s="66"/>
      <c r="E37" s="66"/>
      <c r="F37" s="66"/>
      <c r="G37" s="66"/>
      <c r="H37" s="67"/>
    </row>
    <row r="38" ht="15.75" customHeight="1">
      <c r="A38" s="118"/>
      <c r="H38" s="106"/>
    </row>
    <row r="39" ht="15.75" customHeight="1">
      <c r="A39" s="118"/>
      <c r="H39" s="106"/>
    </row>
    <row r="40" ht="15.75" customHeight="1">
      <c r="A40" s="68"/>
      <c r="B40" s="69"/>
      <c r="C40" s="69"/>
      <c r="D40" s="69"/>
      <c r="E40" s="69"/>
      <c r="F40" s="69"/>
      <c r="G40" s="69"/>
      <c r="H40" s="70"/>
    </row>
    <row r="41" ht="15.75" customHeight="1"/>
    <row r="42" ht="15.75" customHeight="1"/>
    <row r="43" ht="15.75" customHeight="1">
      <c r="A43" s="101" t="s">
        <v>334</v>
      </c>
      <c r="E43" s="95" t="s">
        <v>243</v>
      </c>
      <c r="F43" s="102"/>
      <c r="G43" s="95" t="s">
        <v>322</v>
      </c>
      <c r="H43" s="102"/>
    </row>
    <row r="44" ht="15.75" customHeight="1">
      <c r="A44" s="117" t="s">
        <v>335</v>
      </c>
    </row>
    <row r="45" ht="15.75" customHeight="1">
      <c r="A45" s="108" t="s">
        <v>255</v>
      </c>
      <c r="B45" s="82"/>
      <c r="C45" s="34"/>
      <c r="D45" s="34"/>
      <c r="E45" s="34"/>
      <c r="F45" s="34"/>
      <c r="G45" s="34"/>
      <c r="H45" s="35"/>
    </row>
    <row r="46" ht="15.75" customHeight="1">
      <c r="A46" s="108" t="s">
        <v>255</v>
      </c>
      <c r="B46" s="82"/>
      <c r="C46" s="34"/>
      <c r="D46" s="34"/>
      <c r="E46" s="34"/>
      <c r="F46" s="34"/>
      <c r="G46" s="34"/>
      <c r="H46" s="35"/>
    </row>
    <row r="47" ht="15.75" customHeight="1">
      <c r="A47" s="108" t="s">
        <v>255</v>
      </c>
      <c r="B47" s="82"/>
      <c r="C47" s="34"/>
      <c r="D47" s="34"/>
      <c r="E47" s="34"/>
      <c r="F47" s="34"/>
      <c r="G47" s="34"/>
      <c r="H47" s="35"/>
    </row>
    <row r="48" ht="15.75" customHeight="1">
      <c r="A48" s="108" t="s">
        <v>323</v>
      </c>
      <c r="B48" s="82"/>
      <c r="C48" s="34"/>
      <c r="D48" s="34"/>
      <c r="E48" s="34"/>
      <c r="F48" s="34"/>
      <c r="G48" s="34"/>
      <c r="H48" s="35"/>
    </row>
    <row r="49" ht="15.75" customHeight="1">
      <c r="A49" s="104" t="s">
        <v>325</v>
      </c>
      <c r="B49" s="34"/>
      <c r="C49" s="34"/>
      <c r="D49" s="34"/>
      <c r="E49" s="34"/>
      <c r="F49" s="34"/>
      <c r="G49" s="34"/>
      <c r="H49" s="35"/>
    </row>
    <row r="50" ht="15.75" customHeight="1">
      <c r="A50" s="121"/>
      <c r="B50" s="66"/>
      <c r="C50" s="66"/>
      <c r="D50" s="66"/>
      <c r="E50" s="66"/>
      <c r="F50" s="66"/>
      <c r="G50" s="66"/>
      <c r="H50" s="67"/>
    </row>
    <row r="51" ht="15.75" customHeight="1">
      <c r="A51" s="118"/>
      <c r="H51" s="106"/>
    </row>
    <row r="52" ht="15.75" customHeight="1">
      <c r="A52" s="68"/>
      <c r="B52" s="69"/>
      <c r="C52" s="69"/>
      <c r="D52" s="69"/>
      <c r="E52" s="69"/>
      <c r="F52" s="69"/>
      <c r="G52" s="69"/>
      <c r="H52" s="70"/>
    </row>
    <row r="53" ht="15.75" customHeight="1">
      <c r="A53" s="104" t="s">
        <v>327</v>
      </c>
      <c r="B53" s="34"/>
      <c r="C53" s="34"/>
      <c r="D53" s="34"/>
      <c r="E53" s="34"/>
      <c r="F53" s="34"/>
      <c r="G53" s="34"/>
      <c r="H53" s="35"/>
    </row>
    <row r="54" ht="15.75" customHeight="1">
      <c r="A54" s="121"/>
      <c r="B54" s="66"/>
      <c r="C54" s="66"/>
      <c r="D54" s="66"/>
      <c r="E54" s="66"/>
      <c r="F54" s="66"/>
      <c r="G54" s="66"/>
      <c r="H54" s="67"/>
    </row>
    <row r="55" ht="15.75" customHeight="1">
      <c r="A55" s="118"/>
      <c r="H55" s="106"/>
    </row>
    <row r="56" ht="15.75" customHeight="1">
      <c r="A56" s="118"/>
      <c r="H56" s="106"/>
    </row>
    <row r="57" ht="15.75" customHeight="1">
      <c r="A57" s="68"/>
      <c r="B57" s="69"/>
      <c r="C57" s="69"/>
      <c r="D57" s="69"/>
      <c r="E57" s="69"/>
      <c r="F57" s="69"/>
      <c r="G57" s="69"/>
      <c r="H57" s="70"/>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2">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I28:P28"/>
    <mergeCell ref="B29:H29"/>
    <mergeCell ref="B30:H30"/>
    <mergeCell ref="B31:H31"/>
    <mergeCell ref="A32:H32"/>
    <mergeCell ref="A33:H35"/>
    <mergeCell ref="A49:H49"/>
    <mergeCell ref="A50:H52"/>
    <mergeCell ref="A53:H53"/>
    <mergeCell ref="A54:H57"/>
    <mergeCell ref="A36:H36"/>
    <mergeCell ref="A37:H40"/>
    <mergeCell ref="A43:D43"/>
    <mergeCell ref="B45:H45"/>
    <mergeCell ref="B46:H46"/>
    <mergeCell ref="B47:H47"/>
    <mergeCell ref="B48:H48"/>
  </mergeCells>
  <dataValidations>
    <dataValidation type="list" allowBlank="1" showErrorMessage="1" sqref="B29:B30 B45:B47">
      <formula1>Metadata!$I$17:$I$40</formula1>
    </dataValidation>
    <dataValidation type="list" allowBlank="1" showErrorMessage="1" sqref="B11:B13 B28">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5" t="s">
        <v>336</v>
      </c>
    </row>
    <row r="3" ht="15.75" customHeight="1"/>
    <row r="4" ht="15.75" customHeight="1">
      <c r="B4" s="81" t="s">
        <v>1</v>
      </c>
      <c r="C4" s="82" t="str">
        <f>'Diseño'!C4</f>
        <v>773 - Manejo e Implementación de Archivos</v>
      </c>
      <c r="D4" s="34"/>
      <c r="E4" s="34"/>
      <c r="F4" s="34"/>
      <c r="G4" s="35"/>
    </row>
    <row r="5" ht="15.75" customHeight="1">
      <c r="B5" s="99" t="s">
        <v>202</v>
      </c>
      <c r="C5" s="91">
        <v>56.0</v>
      </c>
      <c r="D5" s="34"/>
      <c r="E5" s="34"/>
      <c r="F5" s="34"/>
      <c r="G5" s="35"/>
    </row>
    <row r="6" ht="15.75" customHeight="1">
      <c r="B6" s="99" t="s">
        <v>243</v>
      </c>
      <c r="C6" s="91">
        <v>20.0</v>
      </c>
      <c r="D6" s="34"/>
      <c r="E6" s="34"/>
      <c r="F6" s="34"/>
      <c r="G6" s="35"/>
    </row>
    <row r="7" ht="15.75" customHeight="1">
      <c r="B7" s="74" t="s">
        <v>337</v>
      </c>
    </row>
    <row r="8" ht="15.75" customHeight="1"/>
    <row r="9" ht="15.75" customHeight="1">
      <c r="A9" s="101" t="s">
        <v>338</v>
      </c>
      <c r="E9" s="95" t="s">
        <v>243</v>
      </c>
      <c r="F9" s="124">
        <v>20.0</v>
      </c>
      <c r="G9" s="95" t="s">
        <v>322</v>
      </c>
      <c r="H9" s="124">
        <v>56.0</v>
      </c>
    </row>
    <row r="10" ht="15.75" customHeight="1">
      <c r="A10" s="74" t="s">
        <v>339</v>
      </c>
    </row>
    <row r="11" ht="15.75" customHeight="1">
      <c r="A11" s="108" t="s">
        <v>255</v>
      </c>
      <c r="B11" s="91" t="s">
        <v>120</v>
      </c>
      <c r="C11" s="34"/>
      <c r="D11" s="34"/>
      <c r="E11" s="34"/>
      <c r="F11" s="34"/>
      <c r="G11" s="34"/>
      <c r="H11" s="35"/>
    </row>
    <row r="12" ht="15.75" customHeight="1">
      <c r="A12" s="108" t="s">
        <v>255</v>
      </c>
      <c r="B12" s="82" t="s">
        <v>340</v>
      </c>
      <c r="C12" s="34"/>
      <c r="D12" s="34"/>
      <c r="E12" s="34"/>
      <c r="F12" s="34"/>
      <c r="G12" s="34"/>
      <c r="H12" s="35"/>
    </row>
    <row r="13" ht="15.75" customHeight="1">
      <c r="A13" s="108" t="s">
        <v>255</v>
      </c>
      <c r="B13" s="82" t="s">
        <v>340</v>
      </c>
      <c r="C13" s="34"/>
      <c r="D13" s="34"/>
      <c r="E13" s="34"/>
      <c r="F13" s="34"/>
      <c r="G13" s="34"/>
      <c r="H13" s="35"/>
    </row>
    <row r="14" ht="15.75" customHeight="1">
      <c r="A14" s="108" t="s">
        <v>323</v>
      </c>
      <c r="B14" s="91" t="s">
        <v>341</v>
      </c>
      <c r="C14" s="34"/>
      <c r="D14" s="34"/>
      <c r="E14" s="34"/>
      <c r="F14" s="34"/>
      <c r="G14" s="34"/>
      <c r="H14" s="35"/>
    </row>
    <row r="15" ht="15.75" customHeight="1">
      <c r="A15" s="104" t="s">
        <v>325</v>
      </c>
      <c r="B15" s="34"/>
      <c r="C15" s="34"/>
      <c r="D15" s="34"/>
      <c r="E15" s="34"/>
      <c r="F15" s="34"/>
      <c r="G15" s="34"/>
      <c r="H15" s="35"/>
    </row>
    <row r="16" ht="15.75" customHeight="1">
      <c r="A16" s="126" t="s">
        <v>342</v>
      </c>
      <c r="B16" s="66"/>
      <c r="C16" s="66"/>
      <c r="D16" s="66"/>
      <c r="E16" s="66"/>
      <c r="F16" s="66"/>
      <c r="G16" s="66"/>
      <c r="H16" s="67"/>
    </row>
    <row r="17" ht="15.75" customHeight="1">
      <c r="A17" s="118"/>
      <c r="H17" s="106"/>
    </row>
    <row r="18" ht="15.75" customHeight="1">
      <c r="A18" s="68"/>
      <c r="B18" s="69"/>
      <c r="C18" s="69"/>
      <c r="D18" s="69"/>
      <c r="E18" s="69"/>
      <c r="F18" s="69"/>
      <c r="G18" s="69"/>
      <c r="H18" s="70"/>
    </row>
    <row r="19" ht="15.75" customHeight="1">
      <c r="A19" s="104" t="s">
        <v>327</v>
      </c>
      <c r="B19" s="34"/>
      <c r="C19" s="34"/>
      <c r="D19" s="34"/>
      <c r="E19" s="34"/>
      <c r="F19" s="34"/>
      <c r="G19" s="34"/>
      <c r="H19" s="35"/>
    </row>
    <row r="20" ht="15.75" customHeight="1">
      <c r="A20" s="139" t="s">
        <v>343</v>
      </c>
      <c r="B20" s="66"/>
      <c r="C20" s="66"/>
      <c r="D20" s="66"/>
      <c r="E20" s="66"/>
      <c r="F20" s="66"/>
      <c r="G20" s="66"/>
      <c r="H20" s="67"/>
    </row>
    <row r="21" ht="15.75" customHeight="1">
      <c r="A21" s="118"/>
      <c r="H21" s="106"/>
    </row>
    <row r="22" ht="15.75" customHeight="1">
      <c r="A22" s="118"/>
      <c r="H22" s="106"/>
    </row>
    <row r="23" ht="15.75" customHeight="1">
      <c r="A23" s="68"/>
      <c r="B23" s="69"/>
      <c r="C23" s="69"/>
      <c r="D23" s="69"/>
      <c r="E23" s="69"/>
      <c r="F23" s="69"/>
      <c r="G23" s="69"/>
      <c r="H23" s="70"/>
    </row>
    <row r="24" ht="15.75" customHeight="1"/>
    <row r="25" ht="15.75" customHeight="1"/>
    <row r="26" ht="15.75" customHeight="1">
      <c r="A26" s="101" t="s">
        <v>344</v>
      </c>
      <c r="E26" s="95" t="s">
        <v>243</v>
      </c>
      <c r="F26" s="102"/>
      <c r="G26" s="95" t="s">
        <v>322</v>
      </c>
      <c r="H26" s="102"/>
    </row>
    <row r="27" ht="15.75" customHeight="1">
      <c r="A27" s="117" t="s">
        <v>335</v>
      </c>
    </row>
    <row r="28" ht="15.75" customHeight="1">
      <c r="A28" s="108" t="s">
        <v>255</v>
      </c>
      <c r="B28" s="82"/>
      <c r="C28" s="34"/>
      <c r="D28" s="34"/>
      <c r="E28" s="34"/>
      <c r="F28" s="34"/>
      <c r="G28" s="34"/>
      <c r="H28" s="35"/>
    </row>
    <row r="29" ht="15.75" customHeight="1">
      <c r="A29" s="108" t="s">
        <v>255</v>
      </c>
      <c r="B29" s="82"/>
      <c r="C29" s="34"/>
      <c r="D29" s="34"/>
      <c r="E29" s="34"/>
      <c r="F29" s="34"/>
      <c r="G29" s="34"/>
      <c r="H29" s="35"/>
    </row>
    <row r="30" ht="15.75" customHeight="1">
      <c r="A30" s="108" t="s">
        <v>255</v>
      </c>
      <c r="B30" s="82"/>
      <c r="C30" s="34"/>
      <c r="D30" s="34"/>
      <c r="E30" s="34"/>
      <c r="F30" s="34"/>
      <c r="G30" s="34"/>
      <c r="H30" s="35"/>
    </row>
    <row r="31" ht="15.75" customHeight="1">
      <c r="A31" s="108" t="s">
        <v>323</v>
      </c>
      <c r="B31" s="82"/>
      <c r="C31" s="34"/>
      <c r="D31" s="34"/>
      <c r="E31" s="34"/>
      <c r="F31" s="34"/>
      <c r="G31" s="34"/>
      <c r="H31" s="35"/>
    </row>
    <row r="32" ht="15.75" customHeight="1">
      <c r="A32" s="104" t="s">
        <v>325</v>
      </c>
      <c r="B32" s="34"/>
      <c r="C32" s="34"/>
      <c r="D32" s="34"/>
      <c r="E32" s="34"/>
      <c r="F32" s="34"/>
      <c r="G32" s="34"/>
      <c r="H32" s="35"/>
    </row>
    <row r="33" ht="15.75" customHeight="1">
      <c r="A33" s="121"/>
      <c r="B33" s="66"/>
      <c r="C33" s="66"/>
      <c r="D33" s="66"/>
      <c r="E33" s="66"/>
      <c r="F33" s="66"/>
      <c r="G33" s="66"/>
      <c r="H33" s="67"/>
    </row>
    <row r="34" ht="15.75" customHeight="1">
      <c r="A34" s="118"/>
      <c r="H34" s="106"/>
    </row>
    <row r="35" ht="15.75" customHeight="1">
      <c r="A35" s="68"/>
      <c r="B35" s="69"/>
      <c r="C35" s="69"/>
      <c r="D35" s="69"/>
      <c r="E35" s="69"/>
      <c r="F35" s="69"/>
      <c r="G35" s="69"/>
      <c r="H35" s="70"/>
    </row>
    <row r="36" ht="15.75" customHeight="1">
      <c r="A36" s="104" t="s">
        <v>327</v>
      </c>
      <c r="B36" s="34"/>
      <c r="C36" s="34"/>
      <c r="D36" s="34"/>
      <c r="E36" s="34"/>
      <c r="F36" s="34"/>
      <c r="G36" s="34"/>
      <c r="H36" s="35"/>
    </row>
    <row r="37" ht="15.75" customHeight="1">
      <c r="A37" s="121"/>
      <c r="B37" s="66"/>
      <c r="C37" s="66"/>
      <c r="D37" s="66"/>
      <c r="E37" s="66"/>
      <c r="F37" s="66"/>
      <c r="G37" s="66"/>
      <c r="H37" s="67"/>
    </row>
    <row r="38" ht="15.75" customHeight="1">
      <c r="A38" s="118"/>
      <c r="H38" s="106"/>
    </row>
    <row r="39" ht="15.75" customHeight="1">
      <c r="A39" s="118"/>
      <c r="H39" s="106"/>
    </row>
    <row r="40" ht="15.75" customHeight="1">
      <c r="A40" s="68"/>
      <c r="B40" s="69"/>
      <c r="C40" s="69"/>
      <c r="D40" s="69"/>
      <c r="E40" s="69"/>
      <c r="F40" s="69"/>
      <c r="G40" s="69"/>
      <c r="H40" s="70"/>
    </row>
    <row r="41" ht="15.75" customHeight="1"/>
    <row r="42" ht="15.75" customHeight="1"/>
    <row r="43" ht="15.75" customHeight="1">
      <c r="A43" s="101" t="s">
        <v>345</v>
      </c>
      <c r="E43" s="95" t="s">
        <v>243</v>
      </c>
      <c r="F43" s="102"/>
      <c r="G43" s="95" t="s">
        <v>322</v>
      </c>
      <c r="H43" s="102"/>
    </row>
    <row r="44" ht="15.75" customHeight="1">
      <c r="A44" s="117" t="s">
        <v>335</v>
      </c>
    </row>
    <row r="45" ht="15.75" customHeight="1">
      <c r="A45" s="108" t="s">
        <v>255</v>
      </c>
      <c r="B45" s="82"/>
      <c r="C45" s="34"/>
      <c r="D45" s="34"/>
      <c r="E45" s="34"/>
      <c r="F45" s="34"/>
      <c r="G45" s="34"/>
      <c r="H45" s="35"/>
    </row>
    <row r="46" ht="15.75" customHeight="1">
      <c r="A46" s="108" t="s">
        <v>255</v>
      </c>
      <c r="B46" s="82"/>
      <c r="C46" s="34"/>
      <c r="D46" s="34"/>
      <c r="E46" s="34"/>
      <c r="F46" s="34"/>
      <c r="G46" s="34"/>
      <c r="H46" s="35"/>
    </row>
    <row r="47" ht="15.75" customHeight="1">
      <c r="A47" s="108" t="s">
        <v>255</v>
      </c>
      <c r="B47" s="82"/>
      <c r="C47" s="34"/>
      <c r="D47" s="34"/>
      <c r="E47" s="34"/>
      <c r="F47" s="34"/>
      <c r="G47" s="34"/>
      <c r="H47" s="35"/>
    </row>
    <row r="48" ht="15.75" customHeight="1">
      <c r="A48" s="108" t="s">
        <v>323</v>
      </c>
      <c r="B48" s="82"/>
      <c r="C48" s="34"/>
      <c r="D48" s="34"/>
      <c r="E48" s="34"/>
      <c r="F48" s="34"/>
      <c r="G48" s="34"/>
      <c r="H48" s="35"/>
    </row>
    <row r="49" ht="15.75" customHeight="1">
      <c r="A49" s="104" t="s">
        <v>325</v>
      </c>
      <c r="B49" s="34"/>
      <c r="C49" s="34"/>
      <c r="D49" s="34"/>
      <c r="E49" s="34"/>
      <c r="F49" s="34"/>
      <c r="G49" s="34"/>
      <c r="H49" s="35"/>
    </row>
    <row r="50" ht="15.75" customHeight="1">
      <c r="A50" s="121"/>
      <c r="B50" s="66"/>
      <c r="C50" s="66"/>
      <c r="D50" s="66"/>
      <c r="E50" s="66"/>
      <c r="F50" s="66"/>
      <c r="G50" s="66"/>
      <c r="H50" s="67"/>
    </row>
    <row r="51" ht="15.75" customHeight="1">
      <c r="A51" s="118"/>
      <c r="H51" s="106"/>
    </row>
    <row r="52" ht="15.75" customHeight="1">
      <c r="A52" s="68"/>
      <c r="B52" s="69"/>
      <c r="C52" s="69"/>
      <c r="D52" s="69"/>
      <c r="E52" s="69"/>
      <c r="F52" s="69"/>
      <c r="G52" s="69"/>
      <c r="H52" s="70"/>
    </row>
    <row r="53" ht="15.75" customHeight="1">
      <c r="A53" s="104" t="s">
        <v>327</v>
      </c>
      <c r="B53" s="34"/>
      <c r="C53" s="34"/>
      <c r="D53" s="34"/>
      <c r="E53" s="34"/>
      <c r="F53" s="34"/>
      <c r="G53" s="34"/>
      <c r="H53" s="35"/>
    </row>
    <row r="54" ht="15.75" customHeight="1">
      <c r="A54" s="121"/>
      <c r="B54" s="66"/>
      <c r="C54" s="66"/>
      <c r="D54" s="66"/>
      <c r="E54" s="66"/>
      <c r="F54" s="66"/>
      <c r="G54" s="66"/>
      <c r="H54" s="67"/>
    </row>
    <row r="55" ht="15.75" customHeight="1">
      <c r="A55" s="118"/>
      <c r="H55" s="106"/>
    </row>
    <row r="56" ht="15.75" customHeight="1">
      <c r="A56" s="118"/>
      <c r="H56" s="106"/>
    </row>
    <row r="57" ht="15.75" customHeight="1">
      <c r="A57" s="68"/>
      <c r="B57" s="69"/>
      <c r="C57" s="69"/>
      <c r="D57" s="69"/>
      <c r="E57" s="69"/>
      <c r="F57" s="69"/>
      <c r="G57" s="69"/>
      <c r="H57" s="70"/>
    </row>
    <row r="58" ht="15.75" customHeight="1"/>
    <row r="59" ht="15.75" customHeight="1"/>
    <row r="60" ht="15.75" customHeight="1">
      <c r="A60" s="101" t="s">
        <v>346</v>
      </c>
      <c r="E60" s="95" t="s">
        <v>243</v>
      </c>
      <c r="F60" s="102"/>
      <c r="G60" s="95" t="s">
        <v>322</v>
      </c>
      <c r="H60" s="102"/>
    </row>
    <row r="61" ht="15.75" customHeight="1">
      <c r="A61" s="117" t="s">
        <v>335</v>
      </c>
    </row>
    <row r="62" ht="15.75" customHeight="1">
      <c r="A62" s="108" t="s">
        <v>255</v>
      </c>
      <c r="B62" s="82"/>
      <c r="C62" s="34"/>
      <c r="D62" s="34"/>
      <c r="E62" s="34"/>
      <c r="F62" s="34"/>
      <c r="G62" s="34"/>
      <c r="H62" s="35"/>
    </row>
    <row r="63" ht="15.75" customHeight="1">
      <c r="A63" s="108" t="s">
        <v>255</v>
      </c>
      <c r="B63" s="82"/>
      <c r="C63" s="34"/>
      <c r="D63" s="34"/>
      <c r="E63" s="34"/>
      <c r="F63" s="34"/>
      <c r="G63" s="34"/>
      <c r="H63" s="35"/>
    </row>
    <row r="64" ht="15.75" customHeight="1">
      <c r="A64" s="108" t="s">
        <v>255</v>
      </c>
      <c r="B64" s="82"/>
      <c r="C64" s="34"/>
      <c r="D64" s="34"/>
      <c r="E64" s="34"/>
      <c r="F64" s="34"/>
      <c r="G64" s="34"/>
      <c r="H64" s="35"/>
    </row>
    <row r="65" ht="15.75" customHeight="1">
      <c r="A65" s="108" t="s">
        <v>323</v>
      </c>
      <c r="B65" s="82"/>
      <c r="C65" s="34"/>
      <c r="D65" s="34"/>
      <c r="E65" s="34"/>
      <c r="F65" s="34"/>
      <c r="G65" s="34"/>
      <c r="H65" s="35"/>
    </row>
    <row r="66" ht="15.75" customHeight="1">
      <c r="A66" s="104" t="s">
        <v>325</v>
      </c>
      <c r="B66" s="34"/>
      <c r="C66" s="34"/>
      <c r="D66" s="34"/>
      <c r="E66" s="34"/>
      <c r="F66" s="34"/>
      <c r="G66" s="34"/>
      <c r="H66" s="35"/>
    </row>
    <row r="67" ht="15.75" customHeight="1">
      <c r="A67" s="121"/>
      <c r="B67" s="66"/>
      <c r="C67" s="66"/>
      <c r="D67" s="66"/>
      <c r="E67" s="66"/>
      <c r="F67" s="66"/>
      <c r="G67" s="66"/>
      <c r="H67" s="67"/>
    </row>
    <row r="68" ht="15.75" customHeight="1">
      <c r="A68" s="118"/>
      <c r="H68" s="106"/>
    </row>
    <row r="69" ht="15.75" customHeight="1">
      <c r="A69" s="68"/>
      <c r="B69" s="69"/>
      <c r="C69" s="69"/>
      <c r="D69" s="69"/>
      <c r="E69" s="69"/>
      <c r="F69" s="69"/>
      <c r="G69" s="69"/>
      <c r="H69" s="70"/>
    </row>
    <row r="70" ht="15.75" customHeight="1">
      <c r="A70" s="104" t="s">
        <v>327</v>
      </c>
      <c r="B70" s="34"/>
      <c r="C70" s="34"/>
      <c r="D70" s="34"/>
      <c r="E70" s="34"/>
      <c r="F70" s="34"/>
      <c r="G70" s="34"/>
      <c r="H70" s="35"/>
    </row>
    <row r="71" ht="15.75" customHeight="1">
      <c r="A71" s="121"/>
      <c r="B71" s="66"/>
      <c r="C71" s="66"/>
      <c r="D71" s="66"/>
      <c r="E71" s="66"/>
      <c r="F71" s="66"/>
      <c r="G71" s="66"/>
      <c r="H71" s="67"/>
    </row>
    <row r="72" ht="15.75" customHeight="1">
      <c r="A72" s="118"/>
      <c r="H72" s="106"/>
    </row>
    <row r="73" ht="15.75" customHeight="1">
      <c r="A73" s="118"/>
      <c r="H73" s="106"/>
    </row>
    <row r="74" ht="15.75" customHeight="1">
      <c r="A74" s="68"/>
      <c r="B74" s="69"/>
      <c r="C74" s="69"/>
      <c r="D74" s="69"/>
      <c r="E74" s="69"/>
      <c r="F74" s="69"/>
      <c r="G74" s="69"/>
      <c r="H74" s="70"/>
    </row>
    <row r="75" ht="15.75" customHeight="1"/>
    <row r="76" ht="15.75" customHeight="1"/>
    <row r="77" ht="15.75" customHeight="1">
      <c r="A77" s="101" t="s">
        <v>347</v>
      </c>
      <c r="E77" s="95" t="s">
        <v>243</v>
      </c>
      <c r="F77" s="102"/>
      <c r="G77" s="95" t="s">
        <v>322</v>
      </c>
      <c r="H77" s="102"/>
    </row>
    <row r="78" ht="15.75" customHeight="1">
      <c r="A78" s="117" t="s">
        <v>335</v>
      </c>
    </row>
    <row r="79" ht="15.75" customHeight="1">
      <c r="A79" s="108" t="s">
        <v>255</v>
      </c>
      <c r="B79" s="82"/>
      <c r="C79" s="34"/>
      <c r="D79" s="34"/>
      <c r="E79" s="34"/>
      <c r="F79" s="34"/>
      <c r="G79" s="34"/>
      <c r="H79" s="35"/>
    </row>
    <row r="80" ht="15.75" customHeight="1">
      <c r="A80" s="108" t="s">
        <v>255</v>
      </c>
      <c r="B80" s="82"/>
      <c r="C80" s="34"/>
      <c r="D80" s="34"/>
      <c r="E80" s="34"/>
      <c r="F80" s="34"/>
      <c r="G80" s="34"/>
      <c r="H80" s="35"/>
    </row>
    <row r="81" ht="15.75" customHeight="1">
      <c r="A81" s="108" t="s">
        <v>255</v>
      </c>
      <c r="B81" s="82"/>
      <c r="C81" s="34"/>
      <c r="D81" s="34"/>
      <c r="E81" s="34"/>
      <c r="F81" s="34"/>
      <c r="G81" s="34"/>
      <c r="H81" s="35"/>
    </row>
    <row r="82" ht="15.75" customHeight="1">
      <c r="A82" s="108" t="s">
        <v>323</v>
      </c>
      <c r="B82" s="82"/>
      <c r="C82" s="34"/>
      <c r="D82" s="34"/>
      <c r="E82" s="34"/>
      <c r="F82" s="34"/>
      <c r="G82" s="34"/>
      <c r="H82" s="35"/>
    </row>
    <row r="83" ht="15.75" customHeight="1">
      <c r="A83" s="104" t="s">
        <v>325</v>
      </c>
      <c r="B83" s="34"/>
      <c r="C83" s="34"/>
      <c r="D83" s="34"/>
      <c r="E83" s="34"/>
      <c r="F83" s="34"/>
      <c r="G83" s="34"/>
      <c r="H83" s="35"/>
    </row>
    <row r="84" ht="15.75" customHeight="1">
      <c r="A84" s="121"/>
      <c r="B84" s="66"/>
      <c r="C84" s="66"/>
      <c r="D84" s="66"/>
      <c r="E84" s="66"/>
      <c r="F84" s="66"/>
      <c r="G84" s="66"/>
      <c r="H84" s="67"/>
    </row>
    <row r="85" ht="15.75" customHeight="1">
      <c r="A85" s="118"/>
      <c r="H85" s="106"/>
    </row>
    <row r="86" ht="15.75" customHeight="1">
      <c r="A86" s="68"/>
      <c r="B86" s="69"/>
      <c r="C86" s="69"/>
      <c r="D86" s="69"/>
      <c r="E86" s="69"/>
      <c r="F86" s="69"/>
      <c r="G86" s="69"/>
      <c r="H86" s="70"/>
    </row>
    <row r="87" ht="15.75" customHeight="1">
      <c r="A87" s="104" t="s">
        <v>327</v>
      </c>
      <c r="B87" s="34"/>
      <c r="C87" s="34"/>
      <c r="D87" s="34"/>
      <c r="E87" s="34"/>
      <c r="F87" s="34"/>
      <c r="G87" s="34"/>
      <c r="H87" s="35"/>
    </row>
    <row r="88" ht="15.75" customHeight="1">
      <c r="A88" s="121"/>
      <c r="B88" s="66"/>
      <c r="C88" s="66"/>
      <c r="D88" s="66"/>
      <c r="E88" s="66"/>
      <c r="F88" s="66"/>
      <c r="G88" s="66"/>
      <c r="H88" s="67"/>
    </row>
    <row r="89" ht="15.75" customHeight="1">
      <c r="A89" s="118"/>
      <c r="H89" s="106"/>
    </row>
    <row r="90" ht="15.75" customHeight="1">
      <c r="A90" s="118"/>
      <c r="H90" s="106"/>
    </row>
    <row r="91" ht="15.75" customHeight="1">
      <c r="A91" s="68"/>
      <c r="B91" s="69"/>
      <c r="C91" s="69"/>
      <c r="D91" s="69"/>
      <c r="E91" s="69"/>
      <c r="F91" s="69"/>
      <c r="G91" s="69"/>
      <c r="H91" s="70"/>
    </row>
    <row r="92" ht="15.75" customHeight="1"/>
    <row r="93" ht="15.75" customHeight="1"/>
    <row r="94" ht="15.75" customHeight="1">
      <c r="A94" s="101" t="s">
        <v>348</v>
      </c>
      <c r="E94" s="95" t="s">
        <v>243</v>
      </c>
      <c r="F94" s="102"/>
      <c r="G94" s="95" t="s">
        <v>322</v>
      </c>
      <c r="H94" s="102"/>
    </row>
    <row r="95" ht="15.75" customHeight="1">
      <c r="A95" s="117" t="s">
        <v>335</v>
      </c>
    </row>
    <row r="96" ht="15.75" customHeight="1">
      <c r="A96" s="108" t="s">
        <v>255</v>
      </c>
      <c r="B96" s="82"/>
      <c r="C96" s="34"/>
      <c r="D96" s="34"/>
      <c r="E96" s="34"/>
      <c r="F96" s="34"/>
      <c r="G96" s="34"/>
      <c r="H96" s="35"/>
    </row>
    <row r="97" ht="15.75" customHeight="1">
      <c r="A97" s="108" t="s">
        <v>255</v>
      </c>
      <c r="B97" s="82"/>
      <c r="C97" s="34"/>
      <c r="D97" s="34"/>
      <c r="E97" s="34"/>
      <c r="F97" s="34"/>
      <c r="G97" s="34"/>
      <c r="H97" s="35"/>
    </row>
    <row r="98" ht="15.75" customHeight="1">
      <c r="A98" s="108" t="s">
        <v>255</v>
      </c>
      <c r="B98" s="82"/>
      <c r="C98" s="34"/>
      <c r="D98" s="34"/>
      <c r="E98" s="34"/>
      <c r="F98" s="34"/>
      <c r="G98" s="34"/>
      <c r="H98" s="35"/>
    </row>
    <row r="99" ht="15.75" customHeight="1">
      <c r="A99" s="108" t="s">
        <v>323</v>
      </c>
      <c r="B99" s="82"/>
      <c r="C99" s="34"/>
      <c r="D99" s="34"/>
      <c r="E99" s="34"/>
      <c r="F99" s="34"/>
      <c r="G99" s="34"/>
      <c r="H99" s="35"/>
    </row>
    <row r="100" ht="15.75" customHeight="1">
      <c r="A100" s="104" t="s">
        <v>325</v>
      </c>
      <c r="B100" s="34"/>
      <c r="C100" s="34"/>
      <c r="D100" s="34"/>
      <c r="E100" s="34"/>
      <c r="F100" s="34"/>
      <c r="G100" s="34"/>
      <c r="H100" s="35"/>
    </row>
    <row r="101" ht="15.75" customHeight="1">
      <c r="A101" s="121"/>
      <c r="B101" s="66"/>
      <c r="C101" s="66"/>
      <c r="D101" s="66"/>
      <c r="E101" s="66"/>
      <c r="F101" s="66"/>
      <c r="G101" s="66"/>
      <c r="H101" s="67"/>
    </row>
    <row r="102" ht="15.75" customHeight="1">
      <c r="A102" s="118"/>
      <c r="H102" s="106"/>
    </row>
    <row r="103" ht="15.75" customHeight="1">
      <c r="A103" s="68"/>
      <c r="B103" s="69"/>
      <c r="C103" s="69"/>
      <c r="D103" s="69"/>
      <c r="E103" s="69"/>
      <c r="F103" s="69"/>
      <c r="G103" s="69"/>
      <c r="H103" s="70"/>
    </row>
    <row r="104" ht="15.75" customHeight="1">
      <c r="A104" s="104" t="s">
        <v>327</v>
      </c>
      <c r="B104" s="34"/>
      <c r="C104" s="34"/>
      <c r="D104" s="34"/>
      <c r="E104" s="34"/>
      <c r="F104" s="34"/>
      <c r="G104" s="34"/>
      <c r="H104" s="35"/>
    </row>
    <row r="105" ht="15.75" customHeight="1">
      <c r="A105" s="121"/>
      <c r="B105" s="66"/>
      <c r="C105" s="66"/>
      <c r="D105" s="66"/>
      <c r="E105" s="66"/>
      <c r="F105" s="66"/>
      <c r="G105" s="66"/>
      <c r="H105" s="67"/>
    </row>
    <row r="106" ht="15.75" customHeight="1">
      <c r="A106" s="118"/>
      <c r="H106" s="106"/>
    </row>
    <row r="107" ht="15.75" customHeight="1">
      <c r="A107" s="118"/>
      <c r="H107" s="106"/>
    </row>
    <row r="108" ht="15.75" customHeight="1">
      <c r="A108" s="68"/>
      <c r="B108" s="69"/>
      <c r="C108" s="69"/>
      <c r="D108" s="69"/>
      <c r="E108" s="69"/>
      <c r="F108" s="69"/>
      <c r="G108" s="69"/>
      <c r="H108" s="70"/>
    </row>
    <row r="109" ht="15.75" customHeight="1"/>
    <row r="110" ht="15.75" customHeight="1"/>
    <row r="111" ht="15.75" customHeight="1">
      <c r="A111" s="101" t="s">
        <v>349</v>
      </c>
      <c r="E111" s="95" t="s">
        <v>243</v>
      </c>
      <c r="F111" s="102"/>
      <c r="G111" s="95" t="s">
        <v>322</v>
      </c>
      <c r="H111" s="102"/>
    </row>
    <row r="112" ht="15.75" customHeight="1">
      <c r="A112" s="117" t="s">
        <v>335</v>
      </c>
    </row>
    <row r="113" ht="15.75" customHeight="1">
      <c r="A113" s="108" t="s">
        <v>255</v>
      </c>
      <c r="B113" s="82"/>
      <c r="C113" s="34"/>
      <c r="D113" s="34"/>
      <c r="E113" s="34"/>
      <c r="F113" s="34"/>
      <c r="G113" s="34"/>
      <c r="H113" s="35"/>
    </row>
    <row r="114" ht="15.75" customHeight="1">
      <c r="A114" s="108" t="s">
        <v>255</v>
      </c>
      <c r="B114" s="82"/>
      <c r="C114" s="34"/>
      <c r="D114" s="34"/>
      <c r="E114" s="34"/>
      <c r="F114" s="34"/>
      <c r="G114" s="34"/>
      <c r="H114" s="35"/>
    </row>
    <row r="115" ht="15.75" customHeight="1">
      <c r="A115" s="108" t="s">
        <v>255</v>
      </c>
      <c r="B115" s="82"/>
      <c r="C115" s="34"/>
      <c r="D115" s="34"/>
      <c r="E115" s="34"/>
      <c r="F115" s="34"/>
      <c r="G115" s="34"/>
      <c r="H115" s="35"/>
    </row>
    <row r="116" ht="15.75" customHeight="1">
      <c r="A116" s="108" t="s">
        <v>323</v>
      </c>
      <c r="B116" s="82"/>
      <c r="C116" s="34"/>
      <c r="D116" s="34"/>
      <c r="E116" s="34"/>
      <c r="F116" s="34"/>
      <c r="G116" s="34"/>
      <c r="H116" s="35"/>
    </row>
    <row r="117" ht="15.75" customHeight="1">
      <c r="A117" s="104" t="s">
        <v>325</v>
      </c>
      <c r="B117" s="34"/>
      <c r="C117" s="34"/>
      <c r="D117" s="34"/>
      <c r="E117" s="34"/>
      <c r="F117" s="34"/>
      <c r="G117" s="34"/>
      <c r="H117" s="35"/>
    </row>
    <row r="118" ht="15.75" customHeight="1">
      <c r="A118" s="121"/>
      <c r="B118" s="66"/>
      <c r="C118" s="66"/>
      <c r="D118" s="66"/>
      <c r="E118" s="66"/>
      <c r="F118" s="66"/>
      <c r="G118" s="66"/>
      <c r="H118" s="67"/>
    </row>
    <row r="119" ht="15.75" customHeight="1">
      <c r="A119" s="118"/>
      <c r="H119" s="106"/>
    </row>
    <row r="120" ht="15.75" customHeight="1">
      <c r="A120" s="68"/>
      <c r="B120" s="69"/>
      <c r="C120" s="69"/>
      <c r="D120" s="69"/>
      <c r="E120" s="69"/>
      <c r="F120" s="69"/>
      <c r="G120" s="69"/>
      <c r="H120" s="70"/>
    </row>
    <row r="121" ht="15.75" customHeight="1">
      <c r="A121" s="104" t="s">
        <v>327</v>
      </c>
      <c r="B121" s="34"/>
      <c r="C121" s="34"/>
      <c r="D121" s="34"/>
      <c r="E121" s="34"/>
      <c r="F121" s="34"/>
      <c r="G121" s="34"/>
      <c r="H121" s="35"/>
    </row>
    <row r="122" ht="15.75" customHeight="1">
      <c r="A122" s="121"/>
      <c r="B122" s="66"/>
      <c r="C122" s="66"/>
      <c r="D122" s="66"/>
      <c r="E122" s="66"/>
      <c r="F122" s="66"/>
      <c r="G122" s="66"/>
      <c r="H122" s="67"/>
    </row>
    <row r="123" ht="15.75" customHeight="1">
      <c r="A123" s="118"/>
      <c r="H123" s="106"/>
    </row>
    <row r="124" ht="15.75" customHeight="1">
      <c r="A124" s="118"/>
      <c r="H124" s="106"/>
    </row>
    <row r="125" ht="15.75" customHeight="1">
      <c r="A125" s="68"/>
      <c r="B125" s="69"/>
      <c r="C125" s="69"/>
      <c r="D125" s="69"/>
      <c r="E125" s="69"/>
      <c r="F125" s="69"/>
      <c r="G125" s="69"/>
      <c r="H125" s="70"/>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28:B30 B45:B47 B62:B64 B79:B81 B96:B98 B113:B115">
      <formula1>Metadata!$I$17:$I$40</formula1>
    </dataValidation>
    <dataValidation type="list" allowBlank="1" showErrorMessage="1" sqref="B11:B13">
      <formula1>Metadata!$B$2:$B$40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5" t="s">
        <v>16</v>
      </c>
    </row>
    <row r="3" ht="15.75" customHeight="1"/>
    <row r="4" ht="15.75" customHeight="1">
      <c r="B4" s="81" t="s">
        <v>1</v>
      </c>
      <c r="C4" s="82" t="str">
        <f>'Diseño'!C4</f>
        <v>773 - Manejo e Implementación de Archivos</v>
      </c>
      <c r="D4" s="34"/>
      <c r="E4" s="34"/>
      <c r="F4" s="34"/>
      <c r="G4" s="35"/>
    </row>
    <row r="5" ht="15.75" customHeight="1">
      <c r="B5" s="99" t="s">
        <v>202</v>
      </c>
      <c r="C5" s="82">
        <f>H9+H26+H43+H60+H77+H94+H111+H128</f>
        <v>35</v>
      </c>
      <c r="D5" s="34"/>
      <c r="E5" s="34"/>
      <c r="F5" s="34"/>
      <c r="G5" s="35"/>
    </row>
    <row r="6" ht="15.75" customHeight="1">
      <c r="B6" s="99" t="s">
        <v>243</v>
      </c>
      <c r="C6" s="82">
        <f>F9+F26+F43+F60+F77+F94+F111+F128</f>
        <v>14</v>
      </c>
      <c r="D6" s="34"/>
      <c r="E6" s="34"/>
      <c r="F6" s="34"/>
      <c r="G6" s="35"/>
    </row>
    <row r="7" ht="15.75" customHeight="1">
      <c r="B7" s="74" t="s">
        <v>350</v>
      </c>
    </row>
    <row r="8" ht="15.75" customHeight="1"/>
    <row r="9" ht="15.75" customHeight="1">
      <c r="A9" s="101" t="s">
        <v>351</v>
      </c>
      <c r="E9" s="95" t="s">
        <v>243</v>
      </c>
      <c r="F9" s="102"/>
      <c r="G9" s="95" t="s">
        <v>322</v>
      </c>
      <c r="H9" s="102"/>
    </row>
    <row r="10" ht="15.75" customHeight="1">
      <c r="A10" s="74" t="s">
        <v>352</v>
      </c>
    </row>
    <row r="11" ht="15.75" customHeight="1">
      <c r="A11" s="108" t="s">
        <v>255</v>
      </c>
      <c r="B11" s="91" t="s">
        <v>146</v>
      </c>
      <c r="C11" s="34"/>
      <c r="D11" s="34"/>
      <c r="E11" s="34"/>
      <c r="F11" s="34"/>
      <c r="G11" s="34"/>
      <c r="H11" s="35"/>
    </row>
    <row r="12" ht="15.75" customHeight="1">
      <c r="A12" s="108" t="s">
        <v>255</v>
      </c>
      <c r="B12" s="82" t="s">
        <v>340</v>
      </c>
      <c r="C12" s="34"/>
      <c r="D12" s="34"/>
      <c r="E12" s="34"/>
      <c r="F12" s="34"/>
      <c r="G12" s="34"/>
      <c r="H12" s="35"/>
    </row>
    <row r="13" ht="15.75" customHeight="1">
      <c r="A13" s="108" t="s">
        <v>255</v>
      </c>
      <c r="B13" s="82" t="s">
        <v>340</v>
      </c>
      <c r="C13" s="34"/>
      <c r="D13" s="34"/>
      <c r="E13" s="34"/>
      <c r="F13" s="34"/>
      <c r="G13" s="34"/>
      <c r="H13" s="35"/>
    </row>
    <row r="14" ht="15.75" customHeight="1">
      <c r="A14" s="108" t="s">
        <v>323</v>
      </c>
      <c r="B14" s="91" t="s">
        <v>353</v>
      </c>
      <c r="C14" s="34"/>
      <c r="D14" s="34"/>
      <c r="E14" s="34"/>
      <c r="F14" s="34"/>
      <c r="G14" s="34"/>
      <c r="H14" s="35"/>
    </row>
    <row r="15" ht="15.75" customHeight="1">
      <c r="A15" s="104" t="s">
        <v>325</v>
      </c>
      <c r="B15" s="34"/>
      <c r="C15" s="34"/>
      <c r="D15" s="34"/>
      <c r="E15" s="34"/>
      <c r="F15" s="34"/>
      <c r="G15" s="34"/>
      <c r="H15" s="35"/>
    </row>
    <row r="16" ht="15.75" customHeight="1">
      <c r="A16" s="126" t="s">
        <v>354</v>
      </c>
      <c r="B16" s="66"/>
      <c r="C16" s="66"/>
      <c r="D16" s="66"/>
      <c r="E16" s="66"/>
      <c r="F16" s="66"/>
      <c r="G16" s="66"/>
      <c r="H16" s="67"/>
    </row>
    <row r="17" ht="15.75" customHeight="1">
      <c r="A17" s="118"/>
      <c r="H17" s="106"/>
    </row>
    <row r="18" ht="15.75" customHeight="1">
      <c r="A18" s="68"/>
      <c r="B18" s="69"/>
      <c r="C18" s="69"/>
      <c r="D18" s="69"/>
      <c r="E18" s="69"/>
      <c r="F18" s="69"/>
      <c r="G18" s="69"/>
      <c r="H18" s="70"/>
    </row>
    <row r="19" ht="15.75" customHeight="1">
      <c r="A19" s="104" t="s">
        <v>355</v>
      </c>
      <c r="B19" s="34"/>
      <c r="C19" s="34"/>
      <c r="D19" s="34"/>
      <c r="E19" s="34"/>
      <c r="F19" s="34"/>
      <c r="G19" s="34"/>
      <c r="H19" s="35"/>
    </row>
    <row r="20" ht="69.0" customHeight="1">
      <c r="A20" s="140" t="s">
        <v>356</v>
      </c>
      <c r="B20" s="66"/>
      <c r="C20" s="66"/>
      <c r="D20" s="66"/>
      <c r="E20" s="66"/>
      <c r="F20" s="66"/>
      <c r="G20" s="66"/>
      <c r="H20" s="67"/>
    </row>
    <row r="21" ht="15.75" customHeight="1">
      <c r="A21" s="118"/>
      <c r="H21" s="106"/>
    </row>
    <row r="22" ht="15.75" customHeight="1">
      <c r="A22" s="118"/>
      <c r="H22" s="106"/>
    </row>
    <row r="23" ht="50.25" customHeight="1">
      <c r="A23" s="68"/>
      <c r="B23" s="69"/>
      <c r="C23" s="69"/>
      <c r="D23" s="69"/>
      <c r="E23" s="69"/>
      <c r="F23" s="69"/>
      <c r="G23" s="69"/>
      <c r="H23" s="70"/>
    </row>
    <row r="24" ht="15.75" customHeight="1">
      <c r="A24" s="101"/>
      <c r="B24" s="101"/>
      <c r="C24" s="101"/>
      <c r="D24" s="101"/>
      <c r="E24" s="95"/>
      <c r="F24" s="141"/>
      <c r="G24" s="95"/>
      <c r="H24" s="141"/>
    </row>
    <row r="25" ht="15.75" customHeight="1">
      <c r="A25" s="101"/>
      <c r="B25" s="101"/>
      <c r="C25" s="101"/>
      <c r="D25" s="101"/>
      <c r="E25" s="95"/>
      <c r="F25" s="141"/>
      <c r="G25" s="95"/>
      <c r="H25" s="141"/>
    </row>
    <row r="26" ht="15.75" customHeight="1">
      <c r="A26" s="101" t="s">
        <v>357</v>
      </c>
      <c r="E26" s="95" t="s">
        <v>243</v>
      </c>
      <c r="F26" s="124">
        <v>3.0</v>
      </c>
      <c r="G26" s="95" t="s">
        <v>322</v>
      </c>
      <c r="H26" s="124">
        <v>8.0</v>
      </c>
    </row>
    <row r="27" ht="15.75" customHeight="1">
      <c r="A27" s="74" t="s">
        <v>339</v>
      </c>
    </row>
    <row r="28" ht="15.75" customHeight="1">
      <c r="A28" s="108" t="s">
        <v>255</v>
      </c>
      <c r="B28" s="91" t="s">
        <v>138</v>
      </c>
      <c r="C28" s="34"/>
      <c r="D28" s="34"/>
      <c r="E28" s="34"/>
      <c r="F28" s="34"/>
      <c r="G28" s="34"/>
      <c r="H28" s="35"/>
    </row>
    <row r="29" ht="15.75" customHeight="1">
      <c r="A29" s="108" t="s">
        <v>255</v>
      </c>
      <c r="B29" s="91" t="s">
        <v>97</v>
      </c>
      <c r="C29" s="34"/>
      <c r="D29" s="34"/>
      <c r="E29" s="34"/>
      <c r="F29" s="34"/>
      <c r="G29" s="34"/>
      <c r="H29" s="35"/>
    </row>
    <row r="30" ht="15.75" customHeight="1">
      <c r="A30" s="108" t="s">
        <v>255</v>
      </c>
      <c r="B30" s="91" t="s">
        <v>129</v>
      </c>
      <c r="C30" s="34"/>
      <c r="D30" s="34"/>
      <c r="E30" s="34"/>
      <c r="F30" s="34"/>
      <c r="G30" s="34"/>
      <c r="H30" s="35"/>
    </row>
    <row r="31" ht="15.75" customHeight="1">
      <c r="A31" s="108" t="s">
        <v>323</v>
      </c>
      <c r="B31" s="91" t="s">
        <v>358</v>
      </c>
      <c r="C31" s="34"/>
      <c r="D31" s="34"/>
      <c r="E31" s="34"/>
      <c r="F31" s="34"/>
      <c r="G31" s="34"/>
      <c r="H31" s="35"/>
    </row>
    <row r="32" ht="15.75" customHeight="1">
      <c r="A32" s="104" t="s">
        <v>325</v>
      </c>
      <c r="B32" s="34"/>
      <c r="C32" s="34"/>
      <c r="D32" s="34"/>
      <c r="E32" s="34"/>
      <c r="F32" s="34"/>
      <c r="G32" s="34"/>
      <c r="H32" s="35"/>
    </row>
    <row r="33" ht="15.75" customHeight="1">
      <c r="A33" s="126" t="s">
        <v>359</v>
      </c>
      <c r="B33" s="66"/>
      <c r="C33" s="66"/>
      <c r="D33" s="66"/>
      <c r="E33" s="66"/>
      <c r="F33" s="66"/>
      <c r="G33" s="66"/>
      <c r="H33" s="67"/>
    </row>
    <row r="34" ht="15.75" customHeight="1">
      <c r="A34" s="118"/>
      <c r="H34" s="106"/>
    </row>
    <row r="35" ht="15.75" customHeight="1">
      <c r="A35" s="68"/>
      <c r="B35" s="69"/>
      <c r="C35" s="69"/>
      <c r="D35" s="69"/>
      <c r="E35" s="69"/>
      <c r="F35" s="69"/>
      <c r="G35" s="69"/>
      <c r="H35" s="70"/>
    </row>
    <row r="36" ht="15.75" customHeight="1">
      <c r="A36" s="104" t="s">
        <v>327</v>
      </c>
      <c r="B36" s="34"/>
      <c r="C36" s="34"/>
      <c r="D36" s="34"/>
      <c r="E36" s="34"/>
      <c r="F36" s="34"/>
      <c r="G36" s="34"/>
      <c r="H36" s="35"/>
    </row>
    <row r="37" ht="15.75" customHeight="1">
      <c r="A37" s="142" t="s">
        <v>360</v>
      </c>
      <c r="B37" s="66"/>
      <c r="C37" s="66"/>
      <c r="D37" s="66"/>
      <c r="E37" s="66"/>
      <c r="F37" s="66"/>
      <c r="G37" s="66"/>
      <c r="H37" s="67"/>
    </row>
    <row r="38" ht="15.75" customHeight="1">
      <c r="A38" s="118"/>
      <c r="H38" s="106"/>
    </row>
    <row r="39" ht="15.75" customHeight="1">
      <c r="A39" s="118"/>
      <c r="H39" s="106"/>
    </row>
    <row r="40" ht="15.75" customHeight="1">
      <c r="A40" s="68"/>
      <c r="B40" s="69"/>
      <c r="C40" s="69"/>
      <c r="D40" s="69"/>
      <c r="E40" s="69"/>
      <c r="F40" s="69"/>
      <c r="G40" s="69"/>
      <c r="H40" s="70"/>
    </row>
    <row r="41" ht="15.75" customHeight="1"/>
    <row r="42" ht="15.75" customHeight="1"/>
    <row r="43" ht="15.75" customHeight="1">
      <c r="A43" s="101" t="s">
        <v>361</v>
      </c>
      <c r="E43" s="95" t="s">
        <v>243</v>
      </c>
      <c r="F43" s="124">
        <v>3.0</v>
      </c>
      <c r="G43" s="95" t="s">
        <v>322</v>
      </c>
      <c r="H43" s="124">
        <v>8.0</v>
      </c>
    </row>
    <row r="44" ht="15.75" customHeight="1">
      <c r="A44" s="74" t="s">
        <v>339</v>
      </c>
    </row>
    <row r="45" ht="15.75" customHeight="1">
      <c r="A45" s="108" t="s">
        <v>255</v>
      </c>
      <c r="B45" s="91" t="s">
        <v>97</v>
      </c>
      <c r="C45" s="34"/>
      <c r="D45" s="34"/>
      <c r="E45" s="34"/>
      <c r="F45" s="34"/>
      <c r="G45" s="34"/>
      <c r="H45" s="35"/>
    </row>
    <row r="46" ht="15.75" customHeight="1">
      <c r="A46" s="108" t="s">
        <v>255</v>
      </c>
      <c r="B46" s="91" t="s">
        <v>120</v>
      </c>
      <c r="C46" s="34"/>
      <c r="D46" s="34"/>
      <c r="E46" s="34"/>
      <c r="F46" s="34"/>
      <c r="G46" s="34"/>
      <c r="H46" s="35"/>
    </row>
    <row r="47" ht="15.75" customHeight="1">
      <c r="A47" s="108" t="s">
        <v>255</v>
      </c>
      <c r="B47" s="91" t="s">
        <v>146</v>
      </c>
      <c r="C47" s="34"/>
      <c r="D47" s="34"/>
      <c r="E47" s="34"/>
      <c r="F47" s="34"/>
      <c r="G47" s="34"/>
      <c r="H47" s="35"/>
    </row>
    <row r="48" ht="15.75" customHeight="1">
      <c r="A48" s="108" t="s">
        <v>323</v>
      </c>
      <c r="B48" s="143" t="s">
        <v>362</v>
      </c>
      <c r="C48" s="34"/>
      <c r="D48" s="34"/>
      <c r="E48" s="34"/>
      <c r="F48" s="34"/>
      <c r="G48" s="34"/>
      <c r="H48" s="35"/>
    </row>
    <row r="49" ht="15.75" customHeight="1">
      <c r="A49" s="104" t="s">
        <v>325</v>
      </c>
      <c r="B49" s="34"/>
      <c r="C49" s="34"/>
      <c r="D49" s="34"/>
      <c r="E49" s="34"/>
      <c r="F49" s="34"/>
      <c r="G49" s="34"/>
      <c r="H49" s="35"/>
    </row>
    <row r="50" ht="15.75" customHeight="1">
      <c r="A50" s="144" t="s">
        <v>363</v>
      </c>
      <c r="B50" s="66"/>
      <c r="C50" s="66"/>
      <c r="D50" s="66"/>
      <c r="E50" s="66"/>
      <c r="F50" s="66"/>
      <c r="G50" s="66"/>
      <c r="H50" s="67"/>
    </row>
    <row r="51" ht="15.75" customHeight="1">
      <c r="A51" s="118"/>
      <c r="H51" s="106"/>
    </row>
    <row r="52" ht="15.75" customHeight="1">
      <c r="A52" s="68"/>
      <c r="B52" s="69"/>
      <c r="C52" s="69"/>
      <c r="D52" s="69"/>
      <c r="E52" s="69"/>
      <c r="F52" s="69"/>
      <c r="G52" s="69"/>
      <c r="H52" s="70"/>
    </row>
    <row r="53" ht="15.75" customHeight="1">
      <c r="A53" s="104" t="s">
        <v>327</v>
      </c>
      <c r="B53" s="34"/>
      <c r="C53" s="34"/>
      <c r="D53" s="34"/>
      <c r="E53" s="34"/>
      <c r="F53" s="34"/>
      <c r="G53" s="34"/>
      <c r="H53" s="35"/>
    </row>
    <row r="54" ht="15.75" customHeight="1">
      <c r="A54" s="144" t="s">
        <v>364</v>
      </c>
      <c r="B54" s="66"/>
      <c r="C54" s="66"/>
      <c r="D54" s="66"/>
      <c r="E54" s="66"/>
      <c r="F54" s="66"/>
      <c r="G54" s="66"/>
      <c r="H54" s="67"/>
    </row>
    <row r="55" ht="15.75" customHeight="1">
      <c r="A55" s="118"/>
      <c r="H55" s="106"/>
    </row>
    <row r="56" ht="15.75" customHeight="1">
      <c r="A56" s="118"/>
      <c r="H56" s="106"/>
    </row>
    <row r="57" ht="15.75" customHeight="1">
      <c r="A57" s="68"/>
      <c r="B57" s="69"/>
      <c r="C57" s="69"/>
      <c r="D57" s="69"/>
      <c r="E57" s="69"/>
      <c r="F57" s="69"/>
      <c r="G57" s="69"/>
      <c r="H57" s="70"/>
    </row>
    <row r="58" ht="15.75" customHeight="1"/>
    <row r="59" ht="15.75" customHeight="1"/>
    <row r="60" ht="15.75" customHeight="1">
      <c r="A60" s="101" t="s">
        <v>365</v>
      </c>
      <c r="E60" s="95" t="s">
        <v>243</v>
      </c>
      <c r="F60" s="124">
        <v>3.0</v>
      </c>
      <c r="G60" s="95" t="s">
        <v>322</v>
      </c>
      <c r="H60" s="124">
        <v>8.0</v>
      </c>
    </row>
    <row r="61" ht="15.75" customHeight="1">
      <c r="A61" s="117" t="s">
        <v>335</v>
      </c>
    </row>
    <row r="62" ht="15.75" customHeight="1">
      <c r="A62" s="108" t="s">
        <v>255</v>
      </c>
      <c r="B62" s="91" t="s">
        <v>120</v>
      </c>
      <c r="C62" s="34"/>
      <c r="D62" s="34"/>
      <c r="E62" s="34"/>
      <c r="F62" s="34"/>
      <c r="G62" s="34"/>
      <c r="H62" s="35"/>
    </row>
    <row r="63" ht="15.75" customHeight="1">
      <c r="A63" s="108" t="s">
        <v>255</v>
      </c>
      <c r="B63" s="91" t="s">
        <v>129</v>
      </c>
      <c r="C63" s="34"/>
      <c r="D63" s="34"/>
      <c r="E63" s="34"/>
      <c r="F63" s="34"/>
      <c r="G63" s="34"/>
      <c r="H63" s="35"/>
    </row>
    <row r="64" ht="15.75" customHeight="1">
      <c r="A64" s="108" t="s">
        <v>255</v>
      </c>
      <c r="B64" s="91" t="s">
        <v>129</v>
      </c>
      <c r="C64" s="34"/>
      <c r="D64" s="34"/>
      <c r="E64" s="34"/>
      <c r="F64" s="34"/>
      <c r="G64" s="34"/>
      <c r="H64" s="35"/>
    </row>
    <row r="65" ht="15.75" customHeight="1">
      <c r="A65" s="108" t="s">
        <v>323</v>
      </c>
      <c r="B65" s="91" t="s">
        <v>366</v>
      </c>
      <c r="C65" s="34"/>
      <c r="D65" s="34"/>
      <c r="E65" s="34"/>
      <c r="F65" s="34"/>
      <c r="G65" s="34"/>
      <c r="H65" s="35"/>
    </row>
    <row r="66" ht="15.75" customHeight="1">
      <c r="A66" s="104" t="s">
        <v>325</v>
      </c>
      <c r="B66" s="34"/>
      <c r="C66" s="34"/>
      <c r="D66" s="34"/>
      <c r="E66" s="34"/>
      <c r="F66" s="34"/>
      <c r="G66" s="34"/>
      <c r="H66" s="35"/>
    </row>
    <row r="67" ht="15.75" customHeight="1">
      <c r="A67" s="126" t="s">
        <v>367</v>
      </c>
      <c r="B67" s="66"/>
      <c r="C67" s="66"/>
      <c r="D67" s="66"/>
      <c r="E67" s="66"/>
      <c r="F67" s="66"/>
      <c r="G67" s="66"/>
      <c r="H67" s="67"/>
    </row>
    <row r="68" ht="15.75" customHeight="1">
      <c r="A68" s="118"/>
      <c r="H68" s="106"/>
    </row>
    <row r="69" ht="15.75" customHeight="1">
      <c r="A69" s="68"/>
      <c r="B69" s="69"/>
      <c r="C69" s="69"/>
      <c r="D69" s="69"/>
      <c r="E69" s="69"/>
      <c r="F69" s="69"/>
      <c r="G69" s="69"/>
      <c r="H69" s="70"/>
    </row>
    <row r="70" ht="15.75" customHeight="1">
      <c r="A70" s="104" t="s">
        <v>327</v>
      </c>
      <c r="B70" s="34"/>
      <c r="C70" s="34"/>
      <c r="D70" s="34"/>
      <c r="E70" s="34"/>
      <c r="F70" s="34"/>
      <c r="G70" s="34"/>
      <c r="H70" s="35"/>
    </row>
    <row r="71" ht="15.75" customHeight="1">
      <c r="A71" s="126" t="s">
        <v>368</v>
      </c>
      <c r="B71" s="66"/>
      <c r="C71" s="66"/>
      <c r="D71" s="66"/>
      <c r="E71" s="66"/>
      <c r="F71" s="66"/>
      <c r="G71" s="66"/>
      <c r="H71" s="67"/>
    </row>
    <row r="72" ht="15.75" customHeight="1">
      <c r="A72" s="118"/>
      <c r="H72" s="106"/>
    </row>
    <row r="73" ht="15.75" customHeight="1">
      <c r="A73" s="118"/>
      <c r="H73" s="106"/>
    </row>
    <row r="74" ht="15.75" customHeight="1">
      <c r="A74" s="68"/>
      <c r="B74" s="69"/>
      <c r="C74" s="69"/>
      <c r="D74" s="69"/>
      <c r="E74" s="69"/>
      <c r="F74" s="69"/>
      <c r="G74" s="69"/>
      <c r="H74" s="70"/>
    </row>
    <row r="75" ht="15.75" customHeight="1"/>
    <row r="76" ht="15.75" customHeight="1"/>
    <row r="77" ht="15.75" customHeight="1">
      <c r="A77" s="101" t="s">
        <v>369</v>
      </c>
      <c r="E77" s="95" t="s">
        <v>243</v>
      </c>
      <c r="F77" s="124">
        <v>3.0</v>
      </c>
      <c r="G77" s="95" t="s">
        <v>322</v>
      </c>
      <c r="H77" s="124">
        <v>3.0</v>
      </c>
    </row>
    <row r="78" ht="15.75" customHeight="1">
      <c r="A78" s="117" t="s">
        <v>335</v>
      </c>
    </row>
    <row r="79" ht="15.75" customHeight="1">
      <c r="A79" s="108" t="s">
        <v>255</v>
      </c>
      <c r="B79" s="91" t="s">
        <v>146</v>
      </c>
      <c r="C79" s="34"/>
      <c r="D79" s="34"/>
      <c r="E79" s="34"/>
      <c r="F79" s="34"/>
      <c r="G79" s="34"/>
      <c r="H79" s="35"/>
    </row>
    <row r="80" ht="15.75" customHeight="1">
      <c r="A80" s="108" t="s">
        <v>255</v>
      </c>
      <c r="B80" s="91" t="s">
        <v>85</v>
      </c>
      <c r="C80" s="34"/>
      <c r="D80" s="34"/>
      <c r="E80" s="34"/>
      <c r="F80" s="34"/>
      <c r="G80" s="34"/>
      <c r="H80" s="35"/>
    </row>
    <row r="81" ht="15.75" customHeight="1">
      <c r="A81" s="108" t="s">
        <v>255</v>
      </c>
      <c r="B81" s="91" t="s">
        <v>97</v>
      </c>
      <c r="C81" s="34"/>
      <c r="D81" s="34"/>
      <c r="E81" s="34"/>
      <c r="F81" s="34"/>
      <c r="G81" s="34"/>
      <c r="H81" s="35"/>
    </row>
    <row r="82" ht="15.75" customHeight="1">
      <c r="A82" s="108" t="s">
        <v>323</v>
      </c>
      <c r="B82" s="105" t="s">
        <v>370</v>
      </c>
      <c r="C82" s="131"/>
      <c r="D82" s="131"/>
      <c r="E82" s="131"/>
      <c r="F82" s="131"/>
      <c r="G82" s="131"/>
      <c r="H82" s="132"/>
    </row>
    <row r="83" ht="15.75" customHeight="1">
      <c r="A83" s="104" t="s">
        <v>325</v>
      </c>
      <c r="B83" s="34"/>
      <c r="C83" s="34"/>
      <c r="D83" s="34"/>
      <c r="E83" s="34"/>
      <c r="F83" s="34"/>
      <c r="G83" s="34"/>
      <c r="H83" s="35"/>
    </row>
    <row r="84" ht="15.75" customHeight="1">
      <c r="A84" s="105" t="s">
        <v>371</v>
      </c>
      <c r="H84" s="106"/>
    </row>
    <row r="85" ht="15.75" customHeight="1">
      <c r="H85" s="106"/>
    </row>
    <row r="86" ht="15.75" customHeight="1">
      <c r="A86" s="69"/>
      <c r="B86" s="69"/>
      <c r="C86" s="69"/>
      <c r="D86" s="69"/>
      <c r="E86" s="69"/>
      <c r="F86" s="69"/>
      <c r="G86" s="69"/>
      <c r="H86" s="70"/>
    </row>
    <row r="87" ht="15.75" customHeight="1">
      <c r="A87" s="104" t="s">
        <v>327</v>
      </c>
      <c r="B87" s="34"/>
      <c r="C87" s="34"/>
      <c r="D87" s="34"/>
      <c r="E87" s="34"/>
      <c r="F87" s="34"/>
      <c r="G87" s="34"/>
      <c r="H87" s="35"/>
    </row>
    <row r="88" ht="15.75" customHeight="1">
      <c r="A88" s="126" t="s">
        <v>372</v>
      </c>
      <c r="B88" s="66"/>
      <c r="C88" s="66"/>
      <c r="D88" s="66"/>
      <c r="E88" s="66"/>
      <c r="F88" s="66"/>
      <c r="G88" s="66"/>
      <c r="H88" s="67"/>
    </row>
    <row r="89" ht="15.75" customHeight="1">
      <c r="A89" s="118"/>
      <c r="H89" s="106"/>
    </row>
    <row r="90" ht="15.75" customHeight="1">
      <c r="A90" s="118"/>
      <c r="H90" s="106"/>
    </row>
    <row r="91" ht="15.75" customHeight="1">
      <c r="A91" s="68"/>
      <c r="B91" s="69"/>
      <c r="C91" s="69"/>
      <c r="D91" s="69"/>
      <c r="E91" s="69"/>
      <c r="F91" s="69"/>
      <c r="G91" s="69"/>
      <c r="H91" s="70"/>
    </row>
    <row r="92" ht="15.75" customHeight="1"/>
    <row r="93" ht="15.75" customHeight="1"/>
    <row r="94" ht="15.75" customHeight="1">
      <c r="A94" s="101" t="s">
        <v>373</v>
      </c>
      <c r="E94" s="95" t="s">
        <v>243</v>
      </c>
      <c r="F94" s="124">
        <v>2.0</v>
      </c>
      <c r="G94" s="95" t="s">
        <v>322</v>
      </c>
      <c r="H94" s="124">
        <v>8.0</v>
      </c>
    </row>
    <row r="95" ht="15.75" customHeight="1">
      <c r="A95" s="117" t="s">
        <v>335</v>
      </c>
    </row>
    <row r="96" ht="15.75" customHeight="1">
      <c r="A96" s="108" t="s">
        <v>255</v>
      </c>
      <c r="B96" s="91" t="s">
        <v>146</v>
      </c>
      <c r="C96" s="34"/>
      <c r="D96" s="34"/>
      <c r="E96" s="34"/>
      <c r="F96" s="34"/>
      <c r="G96" s="34"/>
      <c r="H96" s="35"/>
    </row>
    <row r="97" ht="15.75" customHeight="1">
      <c r="A97" s="108" t="s">
        <v>255</v>
      </c>
      <c r="B97" s="91" t="s">
        <v>129</v>
      </c>
      <c r="C97" s="34"/>
      <c r="D97" s="34"/>
      <c r="E97" s="34"/>
      <c r="F97" s="34"/>
      <c r="G97" s="34"/>
      <c r="H97" s="35"/>
    </row>
    <row r="98" ht="15.75" customHeight="1">
      <c r="A98" s="108" t="s">
        <v>255</v>
      </c>
      <c r="B98" s="91" t="s">
        <v>85</v>
      </c>
      <c r="C98" s="34"/>
      <c r="D98" s="34"/>
      <c r="E98" s="34"/>
      <c r="F98" s="34"/>
      <c r="G98" s="34"/>
      <c r="H98" s="35"/>
    </row>
    <row r="99" ht="15.75" customHeight="1">
      <c r="A99" s="108" t="s">
        <v>323</v>
      </c>
      <c r="B99" s="91" t="s">
        <v>374</v>
      </c>
      <c r="C99" s="34"/>
      <c r="D99" s="34"/>
      <c r="E99" s="34"/>
      <c r="F99" s="34"/>
      <c r="G99" s="34"/>
      <c r="H99" s="35"/>
    </row>
    <row r="100" ht="15.75" customHeight="1">
      <c r="A100" s="104" t="s">
        <v>325</v>
      </c>
      <c r="B100" s="34"/>
      <c r="C100" s="34"/>
      <c r="D100" s="34"/>
      <c r="E100" s="34"/>
      <c r="F100" s="34"/>
      <c r="G100" s="34"/>
      <c r="H100" s="35"/>
    </row>
    <row r="101" ht="15.75" customHeight="1">
      <c r="A101" s="126" t="s">
        <v>375</v>
      </c>
      <c r="B101" s="66"/>
      <c r="C101" s="66"/>
      <c r="D101" s="66"/>
      <c r="E101" s="66"/>
      <c r="F101" s="66"/>
      <c r="G101" s="66"/>
      <c r="H101" s="67"/>
    </row>
    <row r="102" ht="15.75" customHeight="1">
      <c r="A102" s="118"/>
      <c r="H102" s="106"/>
    </row>
    <row r="103" ht="15.75" customHeight="1">
      <c r="A103" s="68"/>
      <c r="B103" s="69"/>
      <c r="C103" s="69"/>
      <c r="D103" s="69"/>
      <c r="E103" s="69"/>
      <c r="F103" s="69"/>
      <c r="G103" s="69"/>
      <c r="H103" s="70"/>
    </row>
    <row r="104" ht="15.75" customHeight="1">
      <c r="A104" s="104" t="s">
        <v>327</v>
      </c>
      <c r="B104" s="34"/>
      <c r="C104" s="34"/>
      <c r="D104" s="34"/>
      <c r="E104" s="34"/>
      <c r="F104" s="34"/>
      <c r="G104" s="34"/>
      <c r="H104" s="35"/>
    </row>
    <row r="105" ht="15.75" customHeight="1">
      <c r="A105" s="145" t="s">
        <v>376</v>
      </c>
      <c r="B105" s="66"/>
      <c r="C105" s="66"/>
      <c r="D105" s="66"/>
      <c r="E105" s="66"/>
      <c r="F105" s="66"/>
      <c r="G105" s="66"/>
      <c r="H105" s="67"/>
    </row>
    <row r="106" ht="15.75" customHeight="1">
      <c r="A106" s="118"/>
      <c r="H106" s="106"/>
    </row>
    <row r="107" ht="15.75" customHeight="1">
      <c r="A107" s="118"/>
      <c r="H107" s="106"/>
    </row>
    <row r="108" ht="15.75" customHeight="1">
      <c r="A108" s="68"/>
      <c r="B108" s="69"/>
      <c r="C108" s="69"/>
      <c r="D108" s="69"/>
      <c r="E108" s="69"/>
      <c r="F108" s="69"/>
      <c r="G108" s="69"/>
      <c r="H108" s="70"/>
    </row>
    <row r="109" ht="15.75" customHeight="1"/>
    <row r="110" ht="15.75" customHeight="1"/>
    <row r="111" ht="15.75" customHeight="1">
      <c r="A111" s="101" t="s">
        <v>377</v>
      </c>
      <c r="E111" s="95" t="s">
        <v>243</v>
      </c>
      <c r="F111" s="102"/>
      <c r="G111" s="95" t="s">
        <v>322</v>
      </c>
      <c r="H111" s="102"/>
    </row>
    <row r="112" ht="15.75" customHeight="1">
      <c r="A112" s="117" t="s">
        <v>335</v>
      </c>
    </row>
    <row r="113" ht="15.75" customHeight="1">
      <c r="A113" s="108" t="s">
        <v>255</v>
      </c>
      <c r="B113" s="82" t="s">
        <v>340</v>
      </c>
      <c r="C113" s="34"/>
      <c r="D113" s="34"/>
      <c r="E113" s="34"/>
      <c r="F113" s="34"/>
      <c r="G113" s="34"/>
      <c r="H113" s="35"/>
    </row>
    <row r="114" ht="15.75" customHeight="1">
      <c r="A114" s="108" t="s">
        <v>255</v>
      </c>
      <c r="B114" s="82" t="s">
        <v>340</v>
      </c>
      <c r="C114" s="34"/>
      <c r="D114" s="34"/>
      <c r="E114" s="34"/>
      <c r="F114" s="34"/>
      <c r="G114" s="34"/>
      <c r="H114" s="35"/>
    </row>
    <row r="115" ht="15.75" customHeight="1">
      <c r="A115" s="108" t="s">
        <v>255</v>
      </c>
      <c r="B115" s="82" t="s">
        <v>340</v>
      </c>
      <c r="C115" s="34"/>
      <c r="D115" s="34"/>
      <c r="E115" s="34"/>
      <c r="F115" s="34"/>
      <c r="G115" s="34"/>
      <c r="H115" s="35"/>
    </row>
    <row r="116" ht="15.75" customHeight="1">
      <c r="A116" s="108" t="s">
        <v>323</v>
      </c>
      <c r="B116" s="82"/>
      <c r="C116" s="34"/>
      <c r="D116" s="34"/>
      <c r="E116" s="34"/>
      <c r="F116" s="34"/>
      <c r="G116" s="34"/>
      <c r="H116" s="35"/>
    </row>
    <row r="117" ht="15.75" customHeight="1">
      <c r="A117" s="104" t="s">
        <v>325</v>
      </c>
      <c r="B117" s="34"/>
      <c r="C117" s="34"/>
      <c r="D117" s="34"/>
      <c r="E117" s="34"/>
      <c r="F117" s="34"/>
      <c r="G117" s="34"/>
      <c r="H117" s="35"/>
    </row>
    <row r="118" ht="15.75" customHeight="1">
      <c r="A118" s="121"/>
      <c r="B118" s="66"/>
      <c r="C118" s="66"/>
      <c r="D118" s="66"/>
      <c r="E118" s="66"/>
      <c r="F118" s="66"/>
      <c r="G118" s="66"/>
      <c r="H118" s="67"/>
    </row>
    <row r="119" ht="15.75" customHeight="1">
      <c r="A119" s="118"/>
      <c r="H119" s="106"/>
    </row>
    <row r="120" ht="15.75" customHeight="1">
      <c r="A120" s="68"/>
      <c r="B120" s="69"/>
      <c r="C120" s="69"/>
      <c r="D120" s="69"/>
      <c r="E120" s="69"/>
      <c r="F120" s="69"/>
      <c r="G120" s="69"/>
      <c r="H120" s="70"/>
    </row>
    <row r="121" ht="15.75" customHeight="1">
      <c r="A121" s="104" t="s">
        <v>327</v>
      </c>
      <c r="B121" s="34"/>
      <c r="C121" s="34"/>
      <c r="D121" s="34"/>
      <c r="E121" s="34"/>
      <c r="F121" s="34"/>
      <c r="G121" s="34"/>
      <c r="H121" s="35"/>
    </row>
    <row r="122" ht="15.75" customHeight="1">
      <c r="A122" s="121"/>
      <c r="B122" s="66"/>
      <c r="C122" s="66"/>
      <c r="D122" s="66"/>
      <c r="E122" s="66"/>
      <c r="F122" s="66"/>
      <c r="G122" s="66"/>
      <c r="H122" s="67"/>
    </row>
    <row r="123" ht="15.75" customHeight="1">
      <c r="A123" s="118"/>
      <c r="H123" s="106"/>
    </row>
    <row r="124" ht="15.75" customHeight="1">
      <c r="A124" s="118"/>
      <c r="H124" s="106"/>
    </row>
    <row r="125" ht="15.75" customHeight="1">
      <c r="A125" s="68"/>
      <c r="B125" s="69"/>
      <c r="C125" s="69"/>
      <c r="D125" s="69"/>
      <c r="E125" s="69"/>
      <c r="F125" s="69"/>
      <c r="G125" s="69"/>
      <c r="H125" s="70"/>
    </row>
    <row r="126" ht="15.75" customHeight="1"/>
    <row r="127" ht="15.75" customHeight="1"/>
    <row r="128" ht="15.75" customHeight="1">
      <c r="A128" s="101" t="s">
        <v>378</v>
      </c>
      <c r="E128" s="95" t="s">
        <v>243</v>
      </c>
      <c r="F128" s="102"/>
      <c r="G128" s="95" t="s">
        <v>322</v>
      </c>
      <c r="H128" s="102"/>
    </row>
    <row r="129" ht="15.75" customHeight="1">
      <c r="A129" s="117" t="s">
        <v>335</v>
      </c>
    </row>
    <row r="130" ht="15.75" customHeight="1">
      <c r="A130" s="108" t="s">
        <v>255</v>
      </c>
      <c r="B130" s="82"/>
      <c r="C130" s="34"/>
      <c r="D130" s="34"/>
      <c r="E130" s="34"/>
      <c r="F130" s="34"/>
      <c r="G130" s="34"/>
      <c r="H130" s="35"/>
    </row>
    <row r="131" ht="15.75" customHeight="1">
      <c r="A131" s="108" t="s">
        <v>255</v>
      </c>
      <c r="B131" s="82"/>
      <c r="C131" s="34"/>
      <c r="D131" s="34"/>
      <c r="E131" s="34"/>
      <c r="F131" s="34"/>
      <c r="G131" s="34"/>
      <c r="H131" s="35"/>
    </row>
    <row r="132" ht="15.75" customHeight="1">
      <c r="A132" s="108" t="s">
        <v>255</v>
      </c>
      <c r="B132" s="82"/>
      <c r="C132" s="34"/>
      <c r="D132" s="34"/>
      <c r="E132" s="34"/>
      <c r="F132" s="34"/>
      <c r="G132" s="34"/>
      <c r="H132" s="35"/>
    </row>
    <row r="133" ht="15.75" customHeight="1">
      <c r="A133" s="108" t="s">
        <v>323</v>
      </c>
      <c r="B133" s="82"/>
      <c r="C133" s="34"/>
      <c r="D133" s="34"/>
      <c r="E133" s="34"/>
      <c r="F133" s="34"/>
      <c r="G133" s="34"/>
      <c r="H133" s="35"/>
    </row>
    <row r="134" ht="15.75" customHeight="1">
      <c r="A134" s="104" t="s">
        <v>325</v>
      </c>
      <c r="B134" s="34"/>
      <c r="C134" s="34"/>
      <c r="D134" s="34"/>
      <c r="E134" s="34"/>
      <c r="F134" s="34"/>
      <c r="G134" s="34"/>
      <c r="H134" s="35"/>
    </row>
    <row r="135" ht="15.75" customHeight="1">
      <c r="A135" s="121"/>
      <c r="B135" s="66"/>
      <c r="C135" s="66"/>
      <c r="D135" s="66"/>
      <c r="E135" s="66"/>
      <c r="F135" s="66"/>
      <c r="G135" s="66"/>
      <c r="H135" s="67"/>
    </row>
    <row r="136" ht="15.75" customHeight="1">
      <c r="A136" s="118"/>
      <c r="H136" s="106"/>
    </row>
    <row r="137" ht="15.75" customHeight="1">
      <c r="A137" s="68"/>
      <c r="B137" s="69"/>
      <c r="C137" s="69"/>
      <c r="D137" s="69"/>
      <c r="E137" s="69"/>
      <c r="F137" s="69"/>
      <c r="G137" s="69"/>
      <c r="H137" s="70"/>
    </row>
    <row r="138" ht="15.75" customHeight="1">
      <c r="A138" s="104" t="s">
        <v>327</v>
      </c>
      <c r="B138" s="34"/>
      <c r="C138" s="34"/>
      <c r="D138" s="34"/>
      <c r="E138" s="34"/>
      <c r="F138" s="34"/>
      <c r="G138" s="34"/>
      <c r="H138" s="35"/>
    </row>
    <row r="139" ht="15.75" customHeight="1">
      <c r="A139" s="121"/>
      <c r="B139" s="66"/>
      <c r="C139" s="66"/>
      <c r="D139" s="66"/>
      <c r="E139" s="66"/>
      <c r="F139" s="66"/>
      <c r="G139" s="66"/>
      <c r="H139" s="67"/>
    </row>
    <row r="140" ht="15.75" customHeight="1">
      <c r="A140" s="118"/>
      <c r="H140" s="106"/>
    </row>
    <row r="141" ht="15.75" customHeight="1">
      <c r="A141" s="118"/>
      <c r="H141" s="106"/>
    </row>
    <row r="142" ht="15.75" customHeight="1">
      <c r="A142" s="68"/>
      <c r="B142" s="69"/>
      <c r="C142" s="69"/>
      <c r="D142" s="69"/>
      <c r="E142" s="69"/>
      <c r="F142" s="69"/>
      <c r="G142" s="69"/>
      <c r="H142" s="70"/>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5">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A117:H117"/>
    <mergeCell ref="B133:H133"/>
    <mergeCell ref="A134:H134"/>
    <mergeCell ref="A135:H137"/>
    <mergeCell ref="A138:H138"/>
    <mergeCell ref="A139:H142"/>
    <mergeCell ref="A118:H120"/>
    <mergeCell ref="A121:H121"/>
    <mergeCell ref="A122:H125"/>
    <mergeCell ref="A128:D128"/>
    <mergeCell ref="B130:H130"/>
    <mergeCell ref="B131:H131"/>
    <mergeCell ref="B132:H132"/>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A83:H83"/>
    <mergeCell ref="A84:H86"/>
    <mergeCell ref="A87:H87"/>
    <mergeCell ref="A88:H91"/>
    <mergeCell ref="A94:D94"/>
  </mergeCells>
  <dataValidations>
    <dataValidation type="list" allowBlank="1" showErrorMessage="1" sqref="B130:B132">
      <formula1>Metadata!$I$17:$I$40</formula1>
    </dataValidation>
    <dataValidation type="list" allowBlank="1" showErrorMessage="1" sqref="B11:B13 B28:B30 B45:B47 B62:B64 B79:B81 B96:B98 B113:B115">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6" t="s">
        <v>379</v>
      </c>
      <c r="B1" s="6" t="s">
        <v>380</v>
      </c>
      <c r="C1" s="6" t="s">
        <v>20</v>
      </c>
      <c r="D1" s="6" t="s">
        <v>21</v>
      </c>
    </row>
    <row r="2">
      <c r="A2" s="6" t="s">
        <v>381</v>
      </c>
      <c r="B2" s="6" t="str">
        <f>Competencias!C13</f>
        <v>El estudiante comprende el modelo de seguridad integral para almacenamiento de datos mediante la selección y combinación de tecnologías de almacenamiento físico y virtualizado para diseñar infraestructuras eficientes, seguras y escalables </v>
      </c>
      <c r="C2" s="31" t="s">
        <v>382</v>
      </c>
      <c r="D2" s="31" t="s">
        <v>25</v>
      </c>
    </row>
    <row r="3">
      <c r="A3" s="6" t="s">
        <v>383</v>
      </c>
      <c r="B3" s="6" t="str">
        <f>Competencias!C15</f>
        <v>El estudiante comprende el modelo de seguridad integral para almacenamiento de datos mediante el análisis de amenazas, controles de acceso y técnicas de respaldo para garantizar la confidencialidad, integridad y disponibilidad de la información </v>
      </c>
      <c r="C3" s="31" t="s">
        <v>22</v>
      </c>
      <c r="D3" s="31" t="s">
        <v>27</v>
      </c>
    </row>
    <row r="4">
      <c r="A4" s="6" t="s">
        <v>384</v>
      </c>
      <c r="B4" s="6" t="str">
        <f>Competencias!C17</f>
        <v>El estudiante Analiza arquitecturas de virtualización de almacenamiento mediante la comparación de modelos y evaluación de retos operativos para optimizar la administración de recursos en entornos virtualizados </v>
      </c>
      <c r="C4" s="31" t="s">
        <v>26</v>
      </c>
      <c r="D4" s="31" t="s">
        <v>385</v>
      </c>
    </row>
    <row r="5">
      <c r="A5" s="6" t="s">
        <v>386</v>
      </c>
      <c r="B5" s="6" t="str">
        <f>Competencias!C19</f>
        <v>El estudiante Analiza soluciones de almacenamiento en entornos híbridos mediante la comparación de sus características operativas y criterios de implementación para seleccionar alternativas que respondan a necesidades de eficiencia, escalabilidad y disponibilidad </v>
      </c>
      <c r="C5" s="31" t="s">
        <v>387</v>
      </c>
      <c r="D5" s="31" t="s">
        <v>23</v>
      </c>
    </row>
    <row r="6">
      <c r="A6" s="6" t="s">
        <v>388</v>
      </c>
      <c r="B6" s="6" t="str">
        <f>Competencias!C21</f>
        <v>El estudiante Implementa un sistema de archivos con estructuras ext2/ext3 expuesto mediante una API e interfaz grafica mediante la integración de funciones del backend y visualización de resultados en el frontend para gestionar operaciones relacionadas a la construcción y manejo de un sistema de archivos </v>
      </c>
      <c r="C6" s="31" t="s">
        <v>389</v>
      </c>
      <c r="D6" s="31" t="s">
        <v>390</v>
      </c>
    </row>
    <row r="7">
      <c r="A7" s="6" t="s">
        <v>391</v>
      </c>
      <c r="B7" s="6" t="str">
        <f>Competencias!C23</f>
        <v>El estudiante Explica los fundamentos de conectividad, administración y evolución de tecnologías de red y almacenamiento mediante la identificación de componentes clave y su interacción funcional para comprender su rol en infraestructuras tecnológicas actuales </v>
      </c>
      <c r="C7" s="31" t="s">
        <v>392</v>
      </c>
      <c r="D7" s="31" t="s">
        <v>393</v>
      </c>
    </row>
    <row r="8">
      <c r="A8" s="6" t="s">
        <v>394</v>
      </c>
      <c r="B8" s="6" t="str">
        <f>Competencias!C25</f>
        <v>El estudiante Supervisa el desempeño de sistemas de almacenamiento masivo mediante el uso de herramientas de monitoreo y análisis de métricas para identificar oportunidades de mejora en la disponibilidad, eficiencia y seguridad de los datos </v>
      </c>
      <c r="C8" s="31" t="s">
        <v>24</v>
      </c>
      <c r="D8" s="31" t="s">
        <v>395</v>
      </c>
    </row>
    <row r="9">
      <c r="A9" s="6" t="s">
        <v>396</v>
      </c>
      <c r="C9" s="31" t="s">
        <v>397</v>
      </c>
    </row>
    <row r="10">
      <c r="A10" s="6" t="s">
        <v>398</v>
      </c>
      <c r="C10" s="31" t="s">
        <v>399</v>
      </c>
    </row>
    <row r="11">
      <c r="A11" s="6" t="s">
        <v>400</v>
      </c>
    </row>
    <row r="12">
      <c r="A12" s="6" t="s">
        <v>401</v>
      </c>
    </row>
    <row r="13">
      <c r="A13" s="6" t="s">
        <v>402</v>
      </c>
    </row>
    <row r="14">
      <c r="A14" s="6" t="s">
        <v>403</v>
      </c>
    </row>
    <row r="15">
      <c r="A15" s="6" t="s">
        <v>404</v>
      </c>
    </row>
    <row r="16">
      <c r="A16" s="6" t="s">
        <v>405</v>
      </c>
    </row>
    <row r="17">
      <c r="A17" s="6" t="s">
        <v>406</v>
      </c>
    </row>
    <row r="18">
      <c r="A18" s="6" t="s">
        <v>407</v>
      </c>
    </row>
    <row r="19">
      <c r="A19" s="6" t="s">
        <v>408</v>
      </c>
    </row>
    <row r="20">
      <c r="A20" s="6" t="s">
        <v>409</v>
      </c>
    </row>
    <row r="21">
      <c r="A21" s="6" t="s">
        <v>410</v>
      </c>
    </row>
    <row r="22">
      <c r="A22" s="6" t="s">
        <v>411</v>
      </c>
    </row>
    <row r="23">
      <c r="A23" s="6" t="s">
        <v>412</v>
      </c>
    </row>
    <row r="24">
      <c r="A24" s="6" t="s">
        <v>413</v>
      </c>
    </row>
    <row r="25">
      <c r="A25" s="6" t="s">
        <v>414</v>
      </c>
    </row>
    <row r="26">
      <c r="A26" s="6" t="s">
        <v>415</v>
      </c>
    </row>
    <row r="27">
      <c r="A27" s="6" t="s">
        <v>416</v>
      </c>
    </row>
    <row r="28">
      <c r="A28" s="6" t="s">
        <v>417</v>
      </c>
    </row>
    <row r="29">
      <c r="A29" s="6" t="s">
        <v>418</v>
      </c>
    </row>
    <row r="30">
      <c r="A30" s="6" t="s">
        <v>419</v>
      </c>
    </row>
    <row r="31">
      <c r="A31" s="6" t="s">
        <v>420</v>
      </c>
    </row>
    <row r="32">
      <c r="A32" s="6" t="s">
        <v>421</v>
      </c>
    </row>
    <row r="33">
      <c r="A33" s="6" t="s">
        <v>422</v>
      </c>
    </row>
    <row r="34">
      <c r="A34" s="6" t="s">
        <v>423</v>
      </c>
    </row>
    <row r="35">
      <c r="A35" s="6" t="s">
        <v>424</v>
      </c>
    </row>
    <row r="36">
      <c r="A36" s="6" t="s">
        <v>425</v>
      </c>
    </row>
    <row r="37">
      <c r="A37" s="6" t="s">
        <v>426</v>
      </c>
    </row>
    <row r="38">
      <c r="A38" s="6" t="s">
        <v>427</v>
      </c>
    </row>
    <row r="39">
      <c r="A39" s="6" t="s">
        <v>428</v>
      </c>
    </row>
    <row r="40">
      <c r="A40" s="6" t="s">
        <v>2</v>
      </c>
    </row>
    <row r="41">
      <c r="A41" s="6" t="s">
        <v>429</v>
      </c>
    </row>
    <row r="42">
      <c r="A42" s="6" t="s">
        <v>430</v>
      </c>
    </row>
    <row r="43">
      <c r="A43" s="6" t="s">
        <v>431</v>
      </c>
    </row>
    <row r="44">
      <c r="A44" s="6" t="s">
        <v>432</v>
      </c>
    </row>
    <row r="45">
      <c r="A45" s="6" t="s">
        <v>433</v>
      </c>
    </row>
    <row r="46">
      <c r="A46" s="6" t="s">
        <v>434</v>
      </c>
    </row>
    <row r="47">
      <c r="A47" s="6" t="s">
        <v>435</v>
      </c>
    </row>
    <row r="48">
      <c r="A48" s="6" t="s">
        <v>436</v>
      </c>
    </row>
    <row r="49">
      <c r="A49" s="6" t="s">
        <v>437</v>
      </c>
    </row>
    <row r="50">
      <c r="A50" s="6" t="s">
        <v>438</v>
      </c>
    </row>
    <row r="51">
      <c r="A51" s="6" t="s">
        <v>439</v>
      </c>
    </row>
    <row r="52">
      <c r="A52" s="6" t="s">
        <v>440</v>
      </c>
    </row>
    <row r="53">
      <c r="A53" s="6" t="s">
        <v>441</v>
      </c>
    </row>
    <row r="54">
      <c r="A54" s="6" t="s">
        <v>442</v>
      </c>
    </row>
    <row r="55">
      <c r="A55" s="6" t="s">
        <v>443</v>
      </c>
    </row>
    <row r="56">
      <c r="A56" s="6" t="s">
        <v>444</v>
      </c>
    </row>
    <row r="57">
      <c r="A57" s="6" t="s">
        <v>445</v>
      </c>
    </row>
    <row r="58">
      <c r="A58" s="6" t="s">
        <v>446</v>
      </c>
    </row>
    <row r="59">
      <c r="A59" s="6" t="s">
        <v>447</v>
      </c>
    </row>
    <row r="60">
      <c r="A60" s="6" t="s">
        <v>448</v>
      </c>
    </row>
    <row r="61">
      <c r="A61" s="6" t="s">
        <v>449</v>
      </c>
    </row>
    <row r="62">
      <c r="A62" s="6" t="s">
        <v>450</v>
      </c>
    </row>
    <row r="63">
      <c r="A63" s="6" t="s">
        <v>451</v>
      </c>
    </row>
    <row r="64">
      <c r="A64" s="6" t="s">
        <v>452</v>
      </c>
    </row>
    <row r="65">
      <c r="A65" s="6" t="s">
        <v>453</v>
      </c>
    </row>
    <row r="66">
      <c r="A66" s="6" t="s">
        <v>454</v>
      </c>
    </row>
    <row r="67">
      <c r="A67" s="6" t="s">
        <v>455</v>
      </c>
    </row>
    <row r="68">
      <c r="A68" s="6" t="s">
        <v>456</v>
      </c>
    </row>
    <row r="69">
      <c r="A69" s="6" t="s">
        <v>457</v>
      </c>
    </row>
    <row r="70">
      <c r="A70" s="6" t="s">
        <v>458</v>
      </c>
    </row>
    <row r="71">
      <c r="A71" s="6" t="s">
        <v>459</v>
      </c>
    </row>
    <row r="72">
      <c r="A72" s="6" t="s">
        <v>460</v>
      </c>
    </row>
    <row r="73">
      <c r="A73" s="6" t="s">
        <v>461</v>
      </c>
    </row>
    <row r="74">
      <c r="A74" s="6" t="s">
        <v>462</v>
      </c>
    </row>
    <row r="75">
      <c r="A75" s="6" t="s">
        <v>463</v>
      </c>
    </row>
    <row r="76">
      <c r="A76" s="6" t="s">
        <v>464</v>
      </c>
    </row>
    <row r="77">
      <c r="A77" s="6" t="s">
        <v>465</v>
      </c>
    </row>
    <row r="78">
      <c r="A78" s="6" t="s">
        <v>466</v>
      </c>
    </row>
    <row r="79">
      <c r="A79" s="6" t="s">
        <v>467</v>
      </c>
    </row>
    <row r="80">
      <c r="A80" s="6" t="s">
        <v>468</v>
      </c>
    </row>
    <row r="81">
      <c r="A81" s="6" t="s">
        <v>469</v>
      </c>
    </row>
  </sheetData>
  <drawing r:id="rId1"/>
</worksheet>
</file>