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HACSS7LeMJRyvRZfvMvsl5+fu8ukmKl4nFRIYr78Um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<sst xmlns="http://schemas.openxmlformats.org/spreadsheetml/2006/main" count="1563" uniqueCount="485">
  <si>
    <t xml:space="preserve">Resumen de Ponderacion y Horas </t>
  </si>
  <si>
    <t>Curso</t>
  </si>
  <si>
    <t>780 - Software Avanzado</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</si>
  <si>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</si>
  <si>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</si>
  <si>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</si>
  <si>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</si>
  <si>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</si>
  <si>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</si>
  <si>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</si>
  <si>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</si>
  <si>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</si>
  <si>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</si>
  <si>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</si>
  <si>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Conocimientos adquiridos en clase</t>
  </si>
  <si>
    <t>Proyectos</t>
  </si>
  <si>
    <t>Desarrollo, CI/CD, DevOps, DevSecOps y Monitorización</t>
  </si>
  <si>
    <t>Prácticas</t>
  </si>
  <si>
    <t>Tareas</t>
  </si>
  <si>
    <t>Investigaciones sobre temas concretos de desarrollo y el ciclo de vida DevOps</t>
  </si>
  <si>
    <t>Total</t>
  </si>
  <si>
    <t>Validacion</t>
  </si>
  <si>
    <t>Competencias que se formaran en el Segundo Semestre 2026</t>
  </si>
  <si>
    <t>Competencias relacionadas al perfil del egresado (Especifica)</t>
  </si>
  <si>
    <t>Competencias relacionadas al perfil del egresado (General)</t>
  </si>
  <si>
    <t>Demuestra pensamiento crítico, actitud investigativa y rigor analítico en el
 planteamiento y la resolución de problemas complejos.</t>
  </si>
  <si>
    <t>Construye soluciones integrales trabajando en forma colaborativa y
 propositiva en equipos interdisciplinarios, en forma presencial o utilizando
 plataformas virtuales.</t>
  </si>
  <si>
    <t>Identifica sus necesidades de actualización, capacitación y formación,
 durante su proceso formativo y en el ejercicio profesional, y busca los medios
 para cubrirlas por medios formales e informales, nacionales e
 internacionales, presenciales y en línea.</t>
  </si>
  <si>
    <t>Aplica estándares de calidad, eficiencia y seguridad en la implementación
 adecuada de soluciones de software, hardware y TIC en general.</t>
  </si>
  <si>
    <t>Lidera y colabora proactivamente en equipos de trabajo y en comunidades
 profesionales para el logro de objetivos y mejoramiento de la calidad de vida.</t>
  </si>
  <si>
    <t>Aplica principios básicos de ingeniería, ciencias de computación y sistemas
 de información y comunicación, en la formulación y resolución adecuada de
 problemas complejos.</t>
  </si>
  <si>
    <t>No</t>
  </si>
  <si>
    <t>Tipo</t>
  </si>
  <si>
    <t>Verbo en Presente</t>
  </si>
  <si>
    <t>Objeto de la acción</t>
  </si>
  <si>
    <t>[Palabras conectoreas] Herramientas o metodología</t>
  </si>
  <si>
    <t>[Palabras conectoreas] Condiciones específicas</t>
  </si>
  <si>
    <t>Nivel</t>
  </si>
  <si>
    <t>Especifica</t>
  </si>
  <si>
    <t>Analiza ..</t>
  </si>
  <si>
    <t>arquitecturas de software basadas en microservicios</t>
  </si>
  <si>
    <t>utilizando diagramas y patrones arquitectónicos</t>
  </si>
  <si>
    <t>en estudios de caso reales</t>
  </si>
  <si>
    <t>Analizar</t>
  </si>
  <si>
    <t>Crea ..</t>
  </si>
  <si>
    <t>soluciones de software basadas en microservicios poniendo en practica los principios SOLID</t>
  </si>
  <si>
    <t>usando herramientas de desarrollo y contenedores</t>
  </si>
  <si>
    <t>en entornos prácticos de laboratorio</t>
  </si>
  <si>
    <t>Crear</t>
  </si>
  <si>
    <t>Implementa ...</t>
  </si>
  <si>
    <t>servicios y APIs en arquitectura de microservicios</t>
  </si>
  <si>
    <t>mediante Docker y frameworks de desarrollo</t>
  </si>
  <si>
    <t>en proyectos prácticos</t>
  </si>
  <si>
    <t>Aplicar</t>
  </si>
  <si>
    <t>Explica</t>
  </si>
  <si>
    <t>el funcionamiento de pipelines CI/CD</t>
  </si>
  <si>
    <t>utilizando herramientas de integración continua</t>
  </si>
  <si>
    <t>mediante ejemplos prácticos</t>
  </si>
  <si>
    <t>Comprender</t>
  </si>
  <si>
    <t>Evalúa</t>
  </si>
  <si>
    <t>estrategias de despliegue y monitoreo</t>
  </si>
  <si>
    <t>utilizando Kubernetes y herramientas de observabilidad</t>
  </si>
  <si>
    <t>en distintos escenarios de implementación</t>
  </si>
  <si>
    <t>Evaluar</t>
  </si>
  <si>
    <t>Aplica</t>
  </si>
  <si>
    <t>prácticas de DevOps y DevSecOps</t>
  </si>
  <si>
    <t>mediante pipelines automatizados</t>
  </si>
  <si>
    <t>en proyectos de software</t>
  </si>
  <si>
    <t>Identifica</t>
  </si>
  <si>
    <t>conceptos clave de arquitecturas modernas y herramientas DevOps</t>
  </si>
  <si>
    <t>a partir de documentación técnica</t>
  </si>
  <si>
    <t>en actividades teóricas</t>
  </si>
  <si>
    <t>Recordar</t>
  </si>
  <si>
    <r>
      <rPr>
        <rFont val="Arial"/>
        <b/>
        <color rgb="FF1155CC"/>
        <u/>
      </rPr>
      <t>Manual de competencias:</t>
    </r>
    <r>
      <rPr>
        <rFont val="Arial"/>
        <color rgb="FF1155CC"/>
        <u/>
      </rPr>
      <t xml:space="preserve"> </t>
    </r>
    <r>
      <rPr>
        <rFont val="Arial"/>
        <color rgb="FF1155CC"/>
        <u/>
      </rPr>
      <t>https://drive.google.com/file/d/1n5es0M20vXxa7i4eLN7pbgTXc2C1dmCQ/view?usp=sharing</t>
    </r>
  </si>
  <si>
    <r>
      <rPr>
        <rFont val="Arial"/>
        <b/>
        <color rgb="FF1155CC"/>
        <u/>
      </rPr>
      <t>Video de como hacer competencias:</t>
    </r>
    <r>
      <rPr>
        <rFont val="Arial"/>
        <color rgb="FF1155CC"/>
        <u/>
      </rPr>
      <t xml:space="preserve"> </t>
    </r>
    <r>
      <rPr>
        <rFont val="Arial"/>
        <color rgb="FF1155CC"/>
        <u/>
      </rPr>
      <t>https://youtu.be/C8Q9dKo4t-w?si=yErgF_ihe1tsaHM0</t>
    </r>
  </si>
  <si>
    <t>Si las competencias son las misma que el semetre anterior compartenos tu opinion de porque no se cambiaron</t>
  </si>
  <si>
    <t>Diseño de Contenido Curricular</t>
  </si>
  <si>
    <t>semestre que aplica</t>
  </si>
  <si>
    <t>No.</t>
  </si>
  <si>
    <t>Competencia</t>
  </si>
  <si>
    <t>Nombre de la Unidad</t>
  </si>
  <si>
    <t>Tema</t>
  </si>
  <si>
    <t>Subtema</t>
  </si>
  <si>
    <t>Mes</t>
  </si>
  <si>
    <t>Semana</t>
  </si>
  <si>
    <t xml:space="preserve">El estudiante Crea .. soluciones de software basadas en microservicios poniendo en practica los principios SOLID usando herramientas de desarrollo y contenedores en entornos prácticos de laboratorio </t>
  </si>
  <si>
    <t>Buenas practicas en el desarrollo de Software</t>
  </si>
  <si>
    <t>Clean CODE</t>
  </si>
  <si>
    <t>SOLID</t>
  </si>
  <si>
    <t>Julio</t>
  </si>
  <si>
    <t>KISS</t>
  </si>
  <si>
    <t>STUPID</t>
  </si>
  <si>
    <t>Deuda Tecnica</t>
  </si>
  <si>
    <t>Refactorizacion basada en SOLID</t>
  </si>
  <si>
    <t>Backend y Frontend</t>
  </si>
  <si>
    <t>Frameworks: Frontend</t>
  </si>
  <si>
    <t>Angular, Vuejs, Vite</t>
  </si>
  <si>
    <t>Frameworks: Backend</t>
  </si>
  <si>
    <t>NestJs, Springboot, FastAPI</t>
  </si>
  <si>
    <t>Bases de datos</t>
  </si>
  <si>
    <t>Redis, Postsql,mysql</t>
  </si>
  <si>
    <t>Metodos de autenticacion</t>
  </si>
  <si>
    <t>JWT,OAuth</t>
  </si>
  <si>
    <t xml:space="preserve">El estudiante Analiza .. arquitecturas de software basadas en microservicios utilizando diagramas y patrones arquitectónicos en estudios de caso reales </t>
  </si>
  <si>
    <t>Arquitectura de Software</t>
  </si>
  <si>
    <t>Clean Architecture</t>
  </si>
  <si>
    <t>Monolito</t>
  </si>
  <si>
    <t>Microservicios</t>
  </si>
  <si>
    <t>SOA</t>
  </si>
  <si>
    <t>DDD</t>
  </si>
  <si>
    <t xml:space="preserve">El estudiante Identifica conceptos clave de arquitecturas modernas y herramientas DevOps a partir de documentación técnica en actividades teóricas </t>
  </si>
  <si>
    <t>Contenedores</t>
  </si>
  <si>
    <t>Docker image</t>
  </si>
  <si>
    <t>Agosto</t>
  </si>
  <si>
    <t>Dockerfile</t>
  </si>
  <si>
    <t>Ciclo de vida de un Contenedor</t>
  </si>
  <si>
    <t>Despliegue multiple de contenedores</t>
  </si>
  <si>
    <t>Docker Compose</t>
  </si>
  <si>
    <t>Docker vs Docker compose</t>
  </si>
  <si>
    <t>Modelo y Calidad de Software</t>
  </si>
  <si>
    <t>ISO/IEC 25010</t>
  </si>
  <si>
    <t>Calidad de Software</t>
  </si>
  <si>
    <t>Modelo de Seguridad de la Informacion</t>
  </si>
  <si>
    <t xml:space="preserve">ISO/IEC 27001 </t>
  </si>
  <si>
    <t>Control de accesos organizacionales/Políticas de contraseñas</t>
  </si>
  <si>
    <t>Orquestacion</t>
  </si>
  <si>
    <t>K8s</t>
  </si>
  <si>
    <t>Tipos de nodos</t>
  </si>
  <si>
    <t xml:space="preserve">El estudiante Implementa ... servicios y APIs en arquitectura de microservicios mediante Docker y frameworks de desarrollo en proyectos prácticos </t>
  </si>
  <si>
    <t>Deployments</t>
  </si>
  <si>
    <t>Services</t>
  </si>
  <si>
    <t>Ingress</t>
  </si>
  <si>
    <t>Helm</t>
  </si>
  <si>
    <t xml:space="preserve">El estudiante Evalúa estrategias de despliegue y monitoreo utilizando Kubernetes y herramientas de observabilidad en distintos escenarios de implementación </t>
  </si>
  <si>
    <t>Modelos de servicio de Nube</t>
  </si>
  <si>
    <t>SaaS</t>
  </si>
  <si>
    <t>PaaS</t>
  </si>
  <si>
    <t>IaaS</t>
  </si>
  <si>
    <t>Casos de uso</t>
  </si>
  <si>
    <t>Herramientas para Orquestas Infraestructura</t>
  </si>
  <si>
    <t>Ansible</t>
  </si>
  <si>
    <t>Terraform</t>
  </si>
  <si>
    <t>Introduccion a DevOps</t>
  </si>
  <si>
    <t>Desarrollo Tradicional Vs DevOps</t>
  </si>
  <si>
    <t>DevOps</t>
  </si>
  <si>
    <t>Fases del Cliclo de vida DevOps</t>
  </si>
  <si>
    <t>Plan</t>
  </si>
  <si>
    <t>Code</t>
  </si>
  <si>
    <t>Build</t>
  </si>
  <si>
    <t>Test</t>
  </si>
  <si>
    <t xml:space="preserve">El estudiante Aplica prácticas de DevOps y DevSecOps mediante pipelines automatizados en proyectos de software </t>
  </si>
  <si>
    <t>Tipos de Test</t>
  </si>
  <si>
    <t>Integracion,E2E,Unitarios</t>
  </si>
  <si>
    <t xml:space="preserve">El estudiante Explica el funcionamiento de pipelines CI/CD utilizando herramientas de integración continua mediante ejemplos prácticos </t>
  </si>
  <si>
    <t>Herramientas DevOps</t>
  </si>
  <si>
    <t>Github action, Gitlab CI, Jenkings</t>
  </si>
  <si>
    <t>Septiembre</t>
  </si>
  <si>
    <t>DevSecOps</t>
  </si>
  <si>
    <t>Cultura DevSecOps</t>
  </si>
  <si>
    <t>Origin DevSecOps</t>
  </si>
  <si>
    <t>Automatización</t>
  </si>
  <si>
    <t>Pipelines</t>
  </si>
  <si>
    <t>Harramientas</t>
  </si>
  <si>
    <t>Analisis de codigo Estatico</t>
  </si>
  <si>
    <t>Analisis de Codigo Estatico</t>
  </si>
  <si>
    <t>Herramientas</t>
  </si>
  <si>
    <t>Herramientas Analisis de Codigo Estatico</t>
  </si>
  <si>
    <t>Qodana</t>
  </si>
  <si>
    <t>SonarKube</t>
  </si>
  <si>
    <t>Testing en DevOps</t>
  </si>
  <si>
    <t>Continuous Testing</t>
  </si>
  <si>
    <t>Pruebas Unitarias</t>
  </si>
  <si>
    <t>Pruebas de Integración</t>
  </si>
  <si>
    <t>Pruebas de Regresión</t>
  </si>
  <si>
    <t>Pruebas Funcionales y de UI</t>
  </si>
  <si>
    <t>Pruebas de Seguridad (DevSecOps)</t>
  </si>
  <si>
    <t>Pruebas de Rendimiento</t>
  </si>
  <si>
    <t>Deployment en DevOps</t>
  </si>
  <si>
    <t>Sistemas de Control de VersionesS</t>
  </si>
  <si>
    <t>Pipeline de CI/CD</t>
  </si>
  <si>
    <t>Infraestructura como Código (IaC)</t>
  </si>
  <si>
    <t>Pruebas Automatizadas</t>
  </si>
  <si>
    <t>Continuous Delivery</t>
  </si>
  <si>
    <t>Continuous Delivery Vs Continuous Deployment</t>
  </si>
  <si>
    <t>DesOps</t>
  </si>
  <si>
    <t>CI/CD Automatizado</t>
  </si>
  <si>
    <t>Herramientas de CI/CD</t>
  </si>
  <si>
    <t>vertical slice architecture</t>
  </si>
  <si>
    <t>screaming architecture</t>
  </si>
  <si>
    <t>MVC</t>
  </si>
  <si>
    <t>Patrones de diseño</t>
  </si>
  <si>
    <t>Ventajas</t>
  </si>
  <si>
    <t>Clasificacion</t>
  </si>
  <si>
    <t>Difrencias entre Arquitectura y Patrones de diseño</t>
  </si>
  <si>
    <t>Podman</t>
  </si>
  <si>
    <t>Containerd</t>
  </si>
  <si>
    <t>Monitorizacion</t>
  </si>
  <si>
    <t>Monitoreo de Infraestructura</t>
  </si>
  <si>
    <t>Supervisión de servidores, redes, bases de datos y contenedores (ej. Kubernetes, Docker) para asegurar la disponibilidad de recursos como CPU, memoria y espacio en disco.</t>
  </si>
  <si>
    <t>Octubre</t>
  </si>
  <si>
    <t>Monitoreo del Rendimiento de Aplicaciones (APM)</t>
  </si>
  <si>
    <t>Análisis detallado de la experiencia del usuario, tiempos de respuesta, tasa de errores y comportamiento del código en producción.</t>
  </si>
  <si>
    <t>Monitoreo Sintético</t>
  </si>
  <si>
    <t>Supervisión de servidores, redes, bases de datos y contenedores</t>
  </si>
  <si>
    <t>Recolección y Visualización de Logs</t>
  </si>
  <si>
    <t>Simulación de interacciones de usuarios (transacciones) para evaluar el rendimiento y disponibilidad de la aplicación desde el punto de vista del cliente, incluso sin tráfico real.</t>
  </si>
  <si>
    <t>Alertas y Gestión de Incidentes</t>
  </si>
  <si>
    <t>Retroalimentación Continua</t>
  </si>
  <si>
    <t>Centralización de registros y métricas en tiempo real a través de dashboards personalizables para una rápida identificación de causas raíz.</t>
  </si>
  <si>
    <t>Grafana, ELK Stack (Elasticsearch, Logstash, Kibana)</t>
  </si>
  <si>
    <t>Single Responsibility Principle</t>
  </si>
  <si>
    <t>Open-Closed Principle</t>
  </si>
  <si>
    <t>Liskov Substitution Principle</t>
  </si>
  <si>
    <t>Servicios Cloud</t>
  </si>
  <si>
    <t>GCP,AWS, Digital Ocean, Azure</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</si>
  <si>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</si>
  <si>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</si>
  <si>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</si>
  <si>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</si>
  <si>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</si>
  <si>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</si>
  <si>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Nombre del auxiliar y formación academica</t>
  </si>
  <si>
    <t xml:space="preserve">Experiencia docente y profecional </t>
  </si>
  <si>
    <t>Información sobre la experiencia durante la carrera, formación profecional extra (Ej; Certificaciones) y experiencia laboral en el área (Si es que hay)</t>
  </si>
  <si>
    <t>Rol del auxiliar dentro del curso (funciones, actividades y apoyo a los estudiantes).</t>
  </si>
  <si>
    <t>Información de contacto, metodo de resolución de dudas</t>
  </si>
  <si>
    <t>Expectativas sobre la dinámica del curso</t>
  </si>
  <si>
    <t>Información breve de lo que trata el curso</t>
  </si>
  <si>
    <t xml:space="preserve">Tiempo que emplearas </t>
  </si>
  <si>
    <t xml:space="preserve">2. Evaluación de Conocimientos Previos                             </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</si>
  <si>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</si>
  <si>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</si>
  <si>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</si>
  <si>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¿Qué metodología exige escribir las pruebas antes que el código fuente?
Respuesta: TDD
¿Qué tipo de prueba evalúa una sola función o método de forma aislada?
Respuesta: Unitaria
¿Qué nombre recibe un objeto simulado que imita a una base de datos en una prueba?
Respuesta: Mock
¿Qué métrica indica el porcentaje de código que es ejecutado por las pruebas?
Respuesta: Cobertura (o Coverage)
¿Qué proceso busca mejorar la estructura del código sin cambiar su comportamiento externo?
Respuesta: Refactorización
Menciona una herramienta estándar para realizar análisis estático de código.
Respuesta: SonarQube
¿Qué pruebas verifican que dos o más módulos funcionen correctamente juntos?
Respuesta: Integración
¿Qué siglas definen la práctica de unir código frecuentemente en un repositorio central?
Respuesta: CI (o Integración Continua)
¿Qué pruebas evalúan el flujo completo del sistema como si lo usara el cliente final?
Respuesta: E2E (o End-to-End)
Menciona una herramienta popular de Apache para automatizar pruebas de rendimiento.
Respuesta: JMeter
¿Qué proceso confirma que el software construido resuelve el problema real del cliente?
Respuesta: Validación
¿Qué patrón de arquitectura divide el sistema en Modelo, Vista y Controlador?
Respuesta: MVC
¿Cuál de los principios SOLID exige que una clase tenga una sola razón para cambiar?
Respuesta: SRP (o Responsabilidad Única)
¿Qué herramienta estándar se utiliza para el control de versiones de código fuente?
Respuesta: Git
¿Qué framework de pruebas unitarias es el más utilizado en Java?
Respuesta: JUnit</t>
  </si>
  <si>
    <t>Redactaras una parte practica para realizar la evaluacion de conocimientos previos</t>
  </si>
  <si>
    <t>Caso Práctico Corto
Contexto: Una cafetería universitaria necesita un mini-sistema web para gestionar pedidos en línea y evitar filas.
Instrucciones para el estudiante:
Con base en los requerimientos básicos de una cafetería:
Identifica al menos dos actores principales del sistema.
Lista tres casos de uso fundamentales.
Indica qué patrón arquitectónico utilizarías para estructurar el proyecto (ej. MVC, Cliente-Servidor) y justifica tu elección en una sola oración.</t>
  </si>
  <si>
    <t xml:space="preserve">3. Presentación de los Estudiantes                                </t>
  </si>
  <si>
    <t xml:space="preserve">No puedes excederte mas de 30 minutos </t>
  </si>
  <si>
    <t>Seleccion al Azar de 5 Estudiantes</t>
  </si>
  <si>
    <t>Se buscará un estudiante en la sala de meet para que se presente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</si>
  <si>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</si>
  <si>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</si>
  <si>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1, ¿Cual es su nombre?
2. ¿Cules son las expectativas del curso?
3. ¿Trabaja?
4. ¿Es primera vez llevando el curso?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</si>
  <si>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</si>
  <si>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</si>
  <si>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</si>
  <si>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</si>
  <si>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https://docs.google.com/forms/d/e/1FAIpQLSdOywQHJ5K66bdM7YP6RPQGLGuSX0RyhTj40jQ2_Smw8N7Mhg/viewform?usp=publish-editor</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</si>
  <si>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</si>
  <si>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</si>
  <si>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Jueves, Viernes 7:00 - 19:00, Sábado 10:00-14:00 (Solo para estudiantes que trabajan)</t>
  </si>
  <si>
    <t xml:space="preserve">5.  Mostrar Programa del Curso                 </t>
  </si>
  <si>
    <t>No puedes excederte mas de 30 minutos</t>
  </si>
  <si>
    <t xml:space="preserve">6. Evaluación de Conocimientos del Curso Actual                                  </t>
  </si>
  <si>
    <t xml:space="preserve">Redactaras 20 preguntas con sus respectivas respuestas </t>
  </si>
  <si>
    <t>¿Qué tecnología es el estándar actual de la industria para la creación y ejecución de contenedores? ¿Qué tipo de arquitectura basa la comunicación entre sus componentes en la producción, detección y consumo de sucesos o mensajes?
Respuesta: Eventos (u Orientada a Eventos)
¿Cuál es el gestor de paquetes por defecto utilizado en entornos de desarrollo con Node.js?
Respuesta: npm
¿Qué siglas identifican a la plataforma principal de servicios en la nube pública de Google?
Respuesta: GCP (Google Cloud Platform)
Menciona un servidor de automatización de código abierto muy popular y veterano en la industria, escrito en Java y utilizado para montar pipelines de CI/CD.
Respuesta: Jenkins
¿Qué lenguaje de programación y superconjunto de JavaScript, que añade tipado estático, es la base del framework Angular?
Respuesta: TypeScript
Respuesta: Docker
¿Qué plataforma de código abierto se utiliza para la orquestación de contenedores?
Respuesta: Kubernetes
¿Qué siglas definen la práctica de gestionar y aprovisionar servidores mediante archivos de configuración en lugar de procesos manuales?
Respuesta: IaC (Infraestructura como Código)
Menciona una herramienta popular de HashiCorp utilizada para aprovisionar infraestructura en la nube.
Respuesta: Terraform
¿Qué práctica automatiza la construcción y pruebas del código cada vez que un desarrollador hace un commit?
Respuesta: CI (Integración Continua)
¿Qué plataforma integrada directamente en repositorios de código permite crear pipelines de automatización?
Respuesta: GitHub Actions (o GitLab CI)
¿Qué estilo de arquitectura divide una aplicación en servicios pequeños, independientes y débilmente acoplados?
Respuesta: Microservicios
¿Qué framework de comunicación de alto rendimiento desarrollado por Google se utiliza frecuentemente entre microservicios?
Respuesta: gRPC
¿Qué concepto define la capacidad de entender el estado interno de un sistema analizando sus logs, métricas y trazas?
Respuesta: Observabilidad
Menciona una herramienta estándar para la recolección de métricas y monitoreo en entornos Cloud Native.
Respuesta: Prometheus
¿Qué plataforma se utiliza comúnmente junto a Prometheus para la visualización de datos en dashboards?
Respuesta: Grafana
¿Qué siglas representan el conjunto de cinco principios de diseño que buscan hacer el software más mantenible y escalable?
Respuesta: SOLID
¿Qué proveedor de nube pública incluye servicios como EC2, S3 y RDS?
Respuesta: AWS
¿Qué herramienta de automatización de TI utiliza "Playbooks" escritos en YAML para configurar servidores?
Respuesta: Ansible
¿Qué tipo de base de datos orientada a documentos es MongoDB?
Respuesta: NoSQL (o No Relacional)</t>
  </si>
  <si>
    <t>Diseño de la Sesión de Laboratorio</t>
  </si>
  <si>
    <t>Ponderación</t>
  </si>
  <si>
    <t>Validación de Tiempo</t>
  </si>
  <si>
    <t>1. Área Actitudinal (Saber Ser)</t>
  </si>
  <si>
    <t>Tiene que estar en un rango de 3 a 5 minutos</t>
  </si>
  <si>
    <t>Nombre del Valor</t>
  </si>
  <si>
    <t>Legibilidad y mantenibilidad del software</t>
  </si>
  <si>
    <t>Descripcion</t>
  </si>
  <si>
    <t>Es una forma de programar en la que el código se escribe para que sea claro, entendible y fácil de mantener, no solo para que funcione.</t>
  </si>
  <si>
    <t>Como se relaciona con los conocimientos de la sesion y se aplicaria</t>
  </si>
  <si>
    <t>Se relaciona directamente porque el Clean Code no es algo aislado, sino la forma en que aplicas los conocimientos técnicos</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</si>
  <si>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</si>
  <si>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</si>
  <si>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</si>
  <si>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</si>
  <si>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</si>
  <si>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</si>
  <si>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</si>
  <si>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</si>
  <si>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</si>
  <si>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</si>
  <si>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</si>
  <si>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</si>
  <si>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</si>
  <si>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</si>
  <si>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</si>
  <si>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</si>
  <si>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</si>
  <si>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</si>
  <si>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</si>
  <si>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</si>
  <si>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</si>
  <si>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</si>
  <si>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</si>
  <si>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</si>
  <si>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Actividad 2 (Optativa puedes hacerla si lo consideras apropiado)</t>
  </si>
  <si>
    <t>Coloca el tiempo que usar en la actividad, un tiempo sugerido 20 minutos</t>
  </si>
  <si>
    <t>3. Cierre</t>
  </si>
  <si>
    <t>Tiene que estar en un rango de 10 a 15 minutos</t>
  </si>
  <si>
    <t>Asignacion de Actividades</t>
  </si>
  <si>
    <t>Lectura de la practica numero 1 y resolucion de dudas de la misma.</t>
  </si>
  <si>
    <t>Resuelve alguna duda, asigna las actividades que deben realizar, dudas de proyectos, etc</t>
  </si>
  <si>
    <t>Planificación y estrategias de entrega de software</t>
  </si>
  <si>
    <t>Planifica de forma técnica , profunda y estratégica el desarrollo de software utilizando herramientas especializadas para el diseño y modelado de arquitecturas escalables y robustas.</t>
  </si>
  <si>
    <t>Aplica metodologías ágiles como Scrum o Kanban, combinadas con prácticas DevOps y diseño orientado a servicios (SOA o microservicios), para asegurar una implementación óptima, continua y de alta calidad de los sistemas informáticos.</t>
  </si>
  <si>
    <t>actividades</t>
  </si>
  <si>
    <t>Asignacion de la practica 2 y su respectiva lectura. Resolucion de dudas de la misma y publicación de horarios de calificacion de la practica 1</t>
  </si>
  <si>
    <t>Mantenibilidad y escalabilidad del software</t>
  </si>
  <si>
    <t>Todas esas arquitecturas (Monolito, Microservicios, SOA, DDD, etc.) buscan lo mismo:
Que el sistema sea fácil de entender
Que se pueda modificar sin romper todo
Que pueda crecer de forma ordenada
Que el código esté bien estructurado y desacoplado</t>
  </si>
  <si>
    <t>todas esas arquitecturas son la forma de llevar a nivel estructural el mismo valor que promueve el Clean Code: claridad, mantenibilidad y orden.</t>
  </si>
  <si>
    <t>Analisis</t>
  </si>
  <si>
    <t>Se analiza un caso de estudio y se busca la solucion mas viable arquitectonicamente hablando. Esta actividad es clave para que comprendan las diferencias entre las direrentes arquitecturas.</t>
  </si>
  <si>
    <t>Asignacion de la practica 3 y su respectiva lectura. Resolucion de dudas de la misma y publicación de horarios de calificacion de la practica 2</t>
  </si>
  <si>
    <t>Integración y Cohesión</t>
  </si>
  <si>
    <t>Integra componentes, servicios y tecnologías de software mediante el uso de APIs, servicios web y herramientas de integración continua</t>
  </si>
  <si>
    <t>Asegura la interoperabilidad, cohesión funcional y eficiencia en la entrega de soluciones informáticas.</t>
  </si>
  <si>
    <t>Asignacion de la practica 4 y su respectiva lectura. Resolucion de dudas de la misma y publicación de horarios de calificacion de la practica 3</t>
  </si>
  <si>
    <t>Confiabilidad y seguridad del sistema</t>
  </si>
  <si>
    <t>Define características como:
Fiabilidad
Usabilidad
Mantenibilidad</t>
  </si>
  <si>
    <t>Porque todos esos elementos buscan que el software:
Funcione correctamente (calidad)
Sea seguro (protección de información)
Sea estable y disponible (infraestructura y despliegue)</t>
  </si>
  <si>
    <t>Ejercicio practico de despliegue de una arquitectura de microservicios utilizando Helm y K8S</t>
  </si>
  <si>
    <t>Asignacion de practica numero 5 y lectura de la misma. Resolucion de dudas de la practica. Publicacion de horarios de calificación de la practica numero 4</t>
  </si>
  <si>
    <t>Modelos de servicios</t>
  </si>
  <si>
    <t>Diseña arquitecturas de software modulares y escalables, seleccionando tecnologías, patrones de diseño y estilos arquitectónicos adecuados (como microservicios, clienteservidor o arquitectura en capas), utilizando herramientas de modelado como UML, ArchiMate o Draw.io, para asegurar la sostenibilidad, mantenibilidad y evolución del sistema.</t>
  </si>
  <si>
    <t>Mejora continuamente el rendimiento, la seguridad y la mantenibilidad de sistemas de software existentes, mediante el análisis de métricas, refactorización de código, aplicación de principios SOLID y adopción de herramientas de monitoreo y automatización, asegurando soluciones más eficientes y alineadas con los estándares de calidad del sector.</t>
  </si>
  <si>
    <t>Asignacion de la practica 6 y su respectiva lectura. Resolucion de dudas de la misma y publicación de horarios de calificacion de la practica 5</t>
  </si>
  <si>
    <t>Automatización y entrega continua de valor</t>
  </si>
  <si>
    <t>Porque todos los temas de DevOps están enfocados en:
Entregar software más rápido
Reducir errores mediante automatización
Mejorar la colaboración entre desarrollo y operaciones</t>
  </si>
  <si>
    <t>Desarrollo Tradicional vs DevOps
Tradicional → procesos lentos y manuales
DevOps → procesos automatizados y continuos</t>
  </si>
  <si>
    <t>Ejercicio practico implementando un ciclo de build y test utlizando Jenkins.</t>
  </si>
  <si>
    <t>Asignacion de la practica numero 7 y su respectiva lectura. Resolucion de dudas de la practica 7 y publicación de horarios de califación de la practica numero 6.</t>
  </si>
  <si>
    <t>Gestión de control y versionamiento</t>
  </si>
  <si>
    <t>Utiliza herramientas de control de versiones, entornos de desarrollo integrados (IDE) y sistemas de gestión de incidencias para gestionar eficientemente el código fuente, automatizar tareas del ciclo de vida del software y colaborar de forma efectiva en equipos de desarrollo ágil.</t>
  </si>
  <si>
    <t>Integra componentes, servicios y tecnologías de software mediante el uso de APIs, servicios web y herramientas de integración continua, asegurando la interoperabilidad, cohesión funcional y eficiencia en la entrega de soluciones informáticas.</t>
  </si>
  <si>
    <t>Asignacion de la practica numero 8 y respectiva lectura. Resolucion de dudas de la practica numero 8 y publicacion de horarios de calificacion de la practica numero 7</t>
  </si>
  <si>
    <t>Calidad continua del software</t>
  </si>
  <si>
    <t>Continuous Testing en DevOps busca que la calidad no sea una fase final, sino algo que se valida constantemente en todo el ciclo de desarrollo.</t>
  </si>
  <si>
    <t>Continuous Testing
Integración de pruebas en todo el pipeline</t>
  </si>
  <si>
    <t>Diseño de un pipeline integrando fase de build, test, analisis de codigo estatico y despliegue en la nube</t>
  </si>
  <si>
    <t>Asignacion de la practica numero 9 y respectiva lectura. Resolucion de dudas de la practica numero 9 y publicacion de horarios de calificacion de la practica numero 8</t>
  </si>
  <si>
    <t>Automatización del software</t>
  </si>
  <si>
    <t>Asignacion de la practica numero 10 y respectiva lectura. Resolucion de dudas de la practica numero 10 y publicacion de horarios de calificacion de la practica numero 9</t>
  </si>
  <si>
    <t>La sumatoria de los puntos de los proyectos debe superar el  60% del total de la nota, no puede ser un 100%</t>
  </si>
  <si>
    <t>1. Primer Proyecto</t>
  </si>
  <si>
    <t>Horas para realizarlo</t>
  </si>
  <si>
    <t>Titulo</t>
  </si>
  <si>
    <t>BANK USAC. SA Fase I</t>
  </si>
  <si>
    <t>Qué tecnologías, lenguajes de programación, plataformas, hardware o software se utilizaran</t>
  </si>
  <si>
    <t xml:space="preserve">
Lenguajes: TypeScript, JavaScript, Java, Golang.
Frameworks: NestJS, Java Springboot 4, Fiber, GIN
Orquestación: Docker y Kubernetes
Bases de datos: Libre</t>
  </si>
  <si>
    <t>Descripción de lo que se realizara</t>
  </si>
  <si>
    <t>Es el estudiante deberá de desarrollar una arquitectura de microservicios de una plataforma bancaria. 
Llevando cada una de las areas de negocio del mismo. Separando la lógica de negocio en los respectivos microservicios según criterio del estudiante.
Además deberá diseñar la documentación respectiva.
Debera realizar como mínimo 4 microservicios, API gateway y la comunicación debe ser asíncrona utilizando el transport de su preferencia (RabbitMQ, NATS, KAFFKA, ect...)
El despliegue de la arquitectura se realizara de manera local en K8S.
Además debe de existir una base de datos por microservicios para no caer en anti patrones de microservicios.
Debe de trabajar con diferentes bases de datos (Mongo, MySQL, Oracle db, PostgreSQL, ect..)</t>
  </si>
  <si>
    <t>2. Segundo Proyecto</t>
  </si>
  <si>
    <t>BANK USAC. SA Fase II</t>
  </si>
  <si>
    <t>Orquestación: Docker y Kubernetes
Nubes: AWS o GCP
CI/CD: Jenkings, GitHub Actions, Gitlab CI.
TEST SUIT: Jasmine, Mocka, JUnit, Mockito, Selenium, handStage, Jest</t>
  </si>
  <si>
    <t>El estudiante deberá realizar nuevas funcionabilidades para el sistema bancario de BANK USAC. SA.
Debera diseñar un flujo de CI/CD con las siguientes características:
- Stages: Build, test, análisis de código estático.
- Solicitud de merge Request para pasar de una feature a la rama de desarrollo.
- Repetir las respectivas Stages de en el ambiente de desarrollo y realizar un nuevo merge request
- Publicar las imágenes actualizadas de docker y realizar un tag.
- Desplegar cambios en el cluster de k8s
Nota: Todo debe de realizarse de manera automática y debe de estar en un entorno clound.
Pruebas a realizar por microservicio: Unitarias, E2E, Integración y test de aceptacion</t>
  </si>
  <si>
    <t>3. Tercer Proyecto</t>
  </si>
  <si>
    <t>Optativa</t>
  </si>
  <si>
    <t>BANK USAC. SA Fase III</t>
  </si>
  <si>
    <t xml:space="preserve">Orquestación: Docker y Kubernetes
Nubes: AWS o GCP
CI/CD: Jenkings, GitHub Actions, Gitlab CI.
TEST SUIT: Jasmine, Mocka, JUnit, Mockito, Selenium, handStage, Jest
Monitorización: Grafana, ELK Stack (Elasticsearch, Logstash, Kibana) </t>
  </si>
  <si>
    <t xml:space="preserve">Como fase final del ciclo devops el estudiante deberá realizar la fase de monitorización del sistema bancario BANK USAC. SA.
Implementación de Monitoreo con Prometheus
Se deberá desplegar Prometheus dentro del clúster de Kubernetes con el objetivo de recolectar
métricas de:
• CPU y memoria por Pod
• Latencia de respuestas de microservicios
• Número de requests
• Errores HTTP
• Reinicios de Pods
• Uso de recursos del clúster
• ServiceMonitor o PodMonitor
• Scraping automático de endpoints /metrics
• Configuración de targets dinámicos
Visualización de Métricas con Grafana
Se deberá implementar Grafana conectado a Prometheus para crear dashboards personalizados.
Se deberán construir al menos:
Dashboard por microservicio
• Requests por segundo
• Tiempo de respuesta
• Errores
• Uso de CPU y RAM
Dashboard del clúster Kubernetes
• Uso total de nodos
• Pods activos
• Uso de memoria del cluster
• HPA scaling events
 Implementación de Gestión de Logs con ELK Stack
Se deberá desplegar una arquitectura de logging centralizada basada en:
• Elasticsearch → almacenamiento e indexación
• Logstash → procesamiento de logs
• Kibana → visualización
Software Avanzado Laboratorio Sección B
Se deberá implementar:
• Envío automático de logs desde los microservicios
• Parsing estructurado de logs
• Indexación por microservicio
• Búsqueda avanzada
Generación de Logs en Microservicios
Cada microservicio deberá implementar logging estructurado usando librerías según el lenguaje:
• Java → Log4j / Logback
• NodeJS → Winston
• Python → logging
Los logs deberán incluir:
• timestamp
• nivel
• servicio
• mensaje
• traceId
Alertas Proactivas
Se deberá configurar Prometheus AlertManager o Grafana Alerts para:
• CPU &gt; 80%
• Pods reiniciándose constantemente
• Latencia elevada
• Errores HTTP críticos 
</t>
  </si>
  <si>
    <t>Practicas</t>
  </si>
  <si>
    <t>La sumatoria de los puntos de los practicas debe no debe super el  20%</t>
  </si>
  <si>
    <t>1. Primera Practica</t>
  </si>
  <si>
    <t>Obligatoria</t>
  </si>
  <si>
    <t>Practica 1</t>
  </si>
  <si>
    <t>Lenguajes: Libre
Framework: Libre</t>
  </si>
  <si>
    <t xml:space="preserve">El estudiante debe crear un programa backend que implemente una API REST para gestionar misiones asignadas a dentro de una academia ficticia.
Cada solicitud operativa tendrá los siguientes atributos:
•	id (entero o UUID)
•	titulo (string)
•	area_solicitante (string)
•	prioridad (entero del 1 al 5)
•	costo_estimado (decimal)
•	estado (string: registrada, en_proceso, finalizada)
Toda la información debe manejarse de forma persistente en base de datos PostgreSQL de prueba.
Como recomendación de bases de datos de prueba supabase, neonDB o en un entorno local. 
Las operaciones mínimas que el sistema debe soportar son:
•	Obtener la información de las solicitudes operativas.
•	Registrar una nueva solicitud operativa.
•	Actualizar la información de una solicitud existente (Toda la información).
•	Eliminar una solicitud operativa.
•	Actualizar exclusivamente el estado de una solicitud operativa, sin modificar el resto de sus atributos.
Cada endpoint debe cumplir con los principios SOLID y con las buenas prácticas de diseño REST.
</t>
  </si>
  <si>
    <t>2. Segunda Practica</t>
  </si>
  <si>
    <t>Practica 2</t>
  </si>
  <si>
    <t>Tecnologia: Libre</t>
  </si>
  <si>
    <t xml:space="preserve">Se debe crear un módulo de registro y login como parte del sprint de desarrollo del proyecto en el que se encuentra involucrado. Para esto, el líder de proyecto le da la facultad de elegir la herramienta de backend y frontend que mejor domine, así como una base de datos de tipo relacional que prefiera. Sin embargo, impone unas restricciones específicas para que este código pueda reutilizarse a futuro: 
1.	La comunicación entre el frontend y backend se realizará usando una API REST.
2.	La autenticación debe de hacerse utilizando el método de JWT
3.	Este token, por razones de seguridad, no puede estar almacenado en ningún lugar visible por el usuario. (Se le recomienda el uso de cookies, especialmente del tipo HTTPS)
4.	El JWT debe de tener un tiempo de vida que será definido en una variable de entorno. 
5.	Se debe de considerar la renovación automática del JWT cuando el tiempo de vida de este expire y hayan pasado menos de X cantidad de tiempo desde su vencimiento. (Esta cantidad de tiempo también debe de ser declarada en una variable de entorno)
6.	Al tratarse de información delicada, toda información como lo son nombres, correos, contraseñas, etc. deben de ser almacenadas de forma encriptada (para no complicarse, se recomienda utilizar el algoritmo AES).
Recuerde que debe de existir una página para comprobar que el login fue exitoso. 
Al mismo tiempo, se le recuerda el uso de buenas prácticas de programación para que el código sea reutilizable a futuro. 
Autorización
Se manejarán dos tipos de roles en la aplicación, los cuales serán Admin y Cliente, debe de realizar dos endpoints validando que el admin tenga acceso a los dos endpoints y que el cliente solo tenga acceso a una de las rutas.
•	Ruta 1: admin
•	Ruta 2: Cliente y admin.
</t>
  </si>
  <si>
    <t>3. Tercera Practica</t>
  </si>
  <si>
    <t>Practica 3</t>
  </si>
  <si>
    <t xml:space="preserve">En la empresa donde labora actualmente, el sistema de planillas funciona bajo un esquema monolítico, lo que provoca un lento
funcionamiento en épocas de alta demanda como quincenas, fin de mes, pago de aguinaldo, etc. Por ende, se acude a su equipo
de trabajo para poder realizar el diseño inicial de una nueva solución para darle fin a este problema.
Software Avanzado Sección B
El sistema depende de un servicio de autenticación OAuth de la empresa, cuyo tiempo de vida del token es de 12 horas, sin
embargo, es necesario llevar un sistema de autenticación complementario para administrar los permisos y accesos de los
usuarios. Así mismo, existe un sistema externo que es el que se encarga del proceso financiero, y es al que el sistema actual
termina enviando las planillas.
Se debe tomar en consideración que las planillas son cargadas en un archivo del tipo CSV, y que las mismas deben de ser
validadas por los reglajes internos, así como seguir un sistema de aprobación de 3 pasos por distintos usuarios. Considere que
estos archivos CSV deben de ser almacenados en algún servidor (puede considerar el uso de servicios de nube asi como la
implementación de un servidor FTP, por ejemplo). También se debe ser capaz de consultar el historial de todas las planillas que
fueron procesadas, así como el contenido de las mismas y descarga.
Cuando una planilla está en el paso final (paso 3) y cambia al estado final de aprobado, se debe enviar un correo a todos los
empleados de esa planilla donde se detalle que su pago está en proceso de depósito.
Es de vital importancia que se tenga un log de todo lo que ocurre en el sistema para llevar un control de seguridad y que este
log pueda ser consultado.
2.1 Descripción del problema a resolver
• Diseñarse bajo arquitectura de microservicios.
• Integrarse con un sistema OAuth corporativo (token 12h).
• Implementar control de permisos complementario.
• Procesar archivos CSV de planillas.
• Gestionar flujo de aprobación en 3 pasos.
• Integrarse con sistema financiero externo.
• Enviar correos al aprobar planilla.
• Mantener historial consultable.
• Implementar sistema de logging auditable.
2.2 Alcance de la práctica
• Diagrama de Arquitectura General
• Uso del servicio de autenticación de la practica 2
• Diseño de microservicios (mínimo 3 servicios)
• Diagrama ER por servicio
• Definición de flujo de aprobación
• Diseño de almacenamiento de archivos CSV
• Diseño de estrategia de logging
• Explicación de comunicación entre servicios
Propuesta de API Gateway
2.3 Requerimientos técnicos
Arquitectura de Microservicios
API Gateway
P2 Integración
Base de datos por servicio
Almacenamiento de archivos (Cloud Storage o FTP)
Logging centralizado
 Comunicación REST y/o Mensajería
</t>
  </si>
  <si>
    <t>4. Cuarta Practica</t>
  </si>
  <si>
    <t xml:space="preserve">Se requiere que el estudiante diseñe un sistema basado en arquitectura de microservicios con temática libre.
El sistema deberá:
•	Estar compuesto por mínimo 4 microservicios.
•	Cada microservicio debe tener al menos un endpoint funcional.
•	Implementar Docker para cada servicio.
•	Implementar un API Gateway que consuma todos los microservicios.
•	Al menos 2 microservicios deben usar GraphQL.
•	Deben utilizarse al menos 2 lenguajes de programación distintos.
El objetivo es simular un entorno empresarial moderno basado en contenedores y arquitectura distribuida.
2.2 Alcance de la práctica
Obligatorio:
•	4 microservicios mínimo.
•	1 endpoint funcional por microservicio.
•	Dockerfile por servicio.
•	Archivo docker-compose.yml.
•	API Gateway funcional.
•	2 microservicios con GraphQL.
•	2 lenguajes distintos.
•	Diagrama de arquitectura.
•	Diagrama ER completo de las bases de datos.
•	Manual básico de uso de GraphQL.
•	Documentación técnica completa.
•	Repositorio en la nube.
No requerido (pero recomendado):
•	Autenticación JWT.
•	Comunicación entre microservicios.
•	Implementación de base de datos separada por servicio.
•	Pruebas unitarias.
2.3 Requerimientos técnicos
El estudiante deberá utilizar:
•	Docker
•	Docker Compose
•	Repositorio en la nube (GitHub, GitLab, Bitbucket)
•	Mínimo 2 lenguajes de programación
•	Implementación de GraphQL en al menos 2 servicios
•	Diseño adecuado de microservicios (principios de desacoplamiento)
</t>
  </si>
  <si>
    <t>5. Quinta Practica</t>
  </si>
  <si>
    <t>Practica 5</t>
  </si>
  <si>
    <t>Orquestacion: K8s Lenguaje: Libre FrameWork: Libre</t>
  </si>
  <si>
    <t>Utilizando los microservicios desarrollados en la práctica 4, se le pide que realice la
implementación de un entorno local de kubernetes. Para esto deberán hacer uso de un
namespace llamado “sa-p5”. Cada uno de los servicios detallados deberá de ser
implementado como despliegue de tipo deployment. Además de esto, cada deployment
deberá tener definido un mínimo y un máximo uso de recursos (ram y cpu), una
configuración de autoescalado de mínimo 1 pod y un máximo de 2 pods cuando el pod
inicial alcance el 80% de carga.
Recuerde buscar optimizar el uso de recursos, por lo que la optimización de la imagen
de docker generada para cada microservicio será tomada en cuenta.
Ninguno de estos deployments podrá ser accedidos de forma externa al cluster, el único
al que se puede hacer referencia de las llamadas del API será el simulador del API
gateway. Recuerde de hacer uso del despliegue de tipo service para esto.
Por último, deberá de crear un nuevo trabajo del tipo cronjob, el cual contendrá en él un
despliegue de un script de python, el cual deberá ejecutarse cada 2 minutos, e insertará
en una base de datos únicamente un registro en el cual detalle la fecha y hora de la
ejecución del script en base de la zona horaria GMT-6 y el número de carné del
estudiante (es libre de elegir si utiliza una base de datos de tipo relacional o no
relacional). Recuerde la utilización de las expresiones de tipo cron para setear su
cronjob
Laboratorio Software Avanzado S</t>
  </si>
  <si>
    <t>6. Sexta Practica</t>
  </si>
  <si>
    <t>Lenguaje y Framework; Libre, Herramienta de analis de codigo estatico: Qodana</t>
  </si>
  <si>
    <t>En proyectos de software modernos, es necesario garantizar que el código mantenga estándares de calidad y seguridad antes de
ser desplegado.
Para esto se utilizan herramientas de análisis estático de código, las cuales permiten detectar problemas potenciales sin necesidad
de ejecutar el programa.
En esta práctica, el estudiante deberá realizar un primer acercamiento al análisis estático utilizando Qodana, una herramienta
desarrollada por JetBrains para analizar proyectos de software.
El análisis se realizará sobre el repositorio desarrollado en las prácticas anteriores, el cual contiene los microservicios del
sistema.
2.2 Alcance de la práctica
1. Instalar y ejecutar Qodana utilizando Docker.
2. Analizar al menos dos microservicios del repositorio.
3. Generar el reporte de análisis.
4. Revisar los problemas detectados.
5. Documentar los hallazgos encontrados.</t>
  </si>
  <si>
    <t>7. Septima Practica</t>
  </si>
  <si>
    <t>practica 7</t>
  </si>
  <si>
    <t>Lenguajes: TypeScript, JavaScript, Java, Golang.
Frameworks: NestJS, Java Springboot 4, Fiber, GIN</t>
  </si>
  <si>
    <t>Luego de haber desarrollado una arquitectura basada en microservicios, se requiere
automatizar el proceso de integración, pruebas y despliegue del sistema.
Las empresas modernas requieren pipelines CI/CD que permitan:
• Validar cambios automáticamente
• Construir imágenes Docker
• Ejecutar pruebas
• Desplegar servicios
El estudiante deberá implementar un pipeline que permita simular este flujo empresarial.
2.2 Alcance de la práctica
• Pipeline CI configurado en GitHub Actions
• Automatización de build del proyecto
• Ejecución de pruebas automáticas
• Construcción automática de imágenes Docker
• Push de imágenes a DockerHub o GitHub Container Registry
• Despliegue automático usando k8s
• Uso del sistema de microservicios de la práctica anterior</t>
  </si>
  <si>
    <t>La sumatoria de los puntos de los practicas debe no debe super el  10% de la nota</t>
  </si>
  <si>
    <t>Tarea de fortalecimiento académico</t>
  </si>
  <si>
    <t>Obligatoria se debe dejar en la sesion de diagnistico</t>
  </si>
  <si>
    <t>Que conocimientos base y competencias esenciales se deben reforzar que permitan al estudiante afrontar con mayor solidez los contenidos del curso</t>
  </si>
  <si>
    <t>1. Primera Tarea</t>
  </si>
  <si>
    <t>2. Segunda Tarea</t>
  </si>
  <si>
    <t>3. Tercera Tarea</t>
  </si>
  <si>
    <t>4. Cuarta Tarea</t>
  </si>
  <si>
    <t>5. Quinta Tarea</t>
  </si>
  <si>
    <t>6. Sexta Tarea</t>
  </si>
  <si>
    <t>7. Septima Tarea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</si>
  <si>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</si>
  <si>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</si>
  <si>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</si>
  <si>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</si>
  <si>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101 - Área Matemática Básica 1</t>
  </si>
  <si>
    <t>Identifica oportunidades y riesgos para la innovación y adaptación de
 conocimientos y tecnologías para resolver problemas.</t>
  </si>
  <si>
    <t>5 - Técnicas de Estudio e Investigación</t>
  </si>
  <si>
    <t>Aplica conocimientos tecnológicos con ética profesional y respetando y
 cuidando los recursos naturales, humanos y financieros.</t>
  </si>
  <si>
    <t>39 - Deportes 1</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</si>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</sst>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color theme="1"/>
      <name val="Arial"/>
    </font>
    <font>
      <b/>
      <sz val="12.0"/>
      <color rgb="FFFF6D01"/>
      <name val="Arial"/>
    </font>
    <font>
      <b/>
      <color theme="1"/>
      <name val="Arial"/>
    </font>
    <font>
      <color theme="1"/>
      <name val="Arial"/>
      <scheme val="minor"/>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u/>
      <color rgb="FF1155CC"/>
      <name val="Arial"/>
    </font>
    <font>
      <color rgb="FFFFFFFF"/>
      <name val="Arial"/>
    </font>
    <font>
      <b/>
      <sz val="12.0"/>
      <color theme="8"/>
      <name val="Arial"/>
    </font>
    <font>
      <color rgb="FFB7B7B7"/>
      <name val="Arial"/>
    </font>
    <font>
      <sz val="11.0"/>
      <color rgb="FF000000"/>
      <name val="Calibri"/>
    </font>
    <font>
      <b/>
      <sz val="13.0"/>
      <color theme="4"/>
      <name val="Arial"/>
    </font>
    <font>
      <b/>
      <sz val="12.0"/>
      <color theme="4"/>
      <name val="Arial"/>
    </font>
    <font>
      <color rgb="FF999999"/>
      <name val="Arial"/>
    </font>
    <font>
      <b/>
      <sz val="13.0"/>
      <color rgb="FF4285F4"/>
      <name val="Arial"/>
    </font>
    <font>
      <b/>
      <sz val="12.0"/>
      <color rgb="FF4285F4"/>
      <name val="Arial"/>
    </font>
    <font>
      <u/>
      <color theme="1"/>
      <name val="Arial"/>
    </font>
    <font>
      <b/>
      <sz val="12.0"/>
      <color rgb="FFFFFFFF"/>
      <name val="Arial"/>
    </font>
    <font>
      <color rgb="FFCCCCCC"/>
      <name val="Arial"/>
    </font>
    <font>
      <color rgb="FFD9D9D9"/>
      <name val="Arial"/>
    </font>
    <font>
      <color rgb="FFEFEFEF"/>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FF00FF"/>
        <bgColor rgb="FFFF00FF"/>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right style="thin">
        <color rgb="FF000000"/>
      </right>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readingOrder="0"/>
    </xf>
    <xf borderId="0" fillId="0" fontId="5" numFmtId="0" xfId="0" applyAlignment="1" applyFont="1">
      <alignment shrinkToFit="0" wrapText="1"/>
    </xf>
    <xf borderId="1" fillId="2" fontId="6" numFmtId="0" xfId="0" applyAlignment="1" applyBorder="1" applyFill="1" applyFont="1">
      <alignment shrinkToFit="0" vertical="bottom" wrapText="1"/>
    </xf>
    <xf borderId="2" fillId="2" fontId="6" numFmtId="0" xfId="0" applyAlignment="1" applyBorder="1" applyFont="1">
      <alignment shrinkToFit="0" vertical="bottom" wrapText="1"/>
    </xf>
    <xf borderId="3" fillId="0" fontId="7" numFmtId="0" xfId="0" applyBorder="1" applyFont="1"/>
    <xf borderId="4" fillId="0" fontId="7" numFmtId="0" xfId="0" applyBorder="1" applyFont="1"/>
    <xf borderId="0" fillId="3" fontId="1" numFmtId="0" xfId="0" applyAlignment="1" applyFill="1" applyFont="1">
      <alignment shrinkToFit="0" vertical="bottom" wrapText="1"/>
    </xf>
    <xf borderId="1" fillId="0" fontId="8" numFmtId="0" xfId="0" applyAlignment="1" applyBorder="1" applyFont="1">
      <alignment shrinkToFit="0" vertical="bottom" wrapText="1"/>
    </xf>
    <xf borderId="1" fillId="0" fontId="1" numFmtId="0" xfId="0" applyAlignment="1" applyBorder="1" applyFont="1">
      <alignment horizontal="right" readingOrder="0" vertical="bottom"/>
    </xf>
    <xf borderId="1" fillId="0" fontId="1" numFmtId="0" xfId="0" applyAlignment="1" applyBorder="1" applyFont="1">
      <alignment readingOrder="0" vertical="bottom"/>
    </xf>
    <xf borderId="2" fillId="0" fontId="1" numFmtId="0" xfId="0" applyAlignment="1" applyBorder="1" applyFont="1">
      <alignment readingOrder="0" vertical="bottom"/>
    </xf>
    <xf borderId="0" fillId="3" fontId="1" numFmtId="0" xfId="0" applyAlignment="1" applyFont="1">
      <alignment horizontal="right" vertical="bottom"/>
    </xf>
    <xf borderId="1" fillId="0" fontId="8" numFmtId="0" xfId="0" applyAlignment="1" applyBorder="1" applyFont="1">
      <alignment vertical="bottom"/>
    </xf>
    <xf borderId="5" fillId="0" fontId="8" numFmtId="0" xfId="0" applyAlignment="1" applyBorder="1" applyFont="1">
      <alignment vertical="bottom"/>
    </xf>
    <xf borderId="5" fillId="0" fontId="1" numFmtId="0" xfId="0" applyAlignment="1" applyBorder="1" applyFont="1">
      <alignment horizontal="right" readingOrder="0" vertical="bottom"/>
    </xf>
    <xf borderId="6" fillId="0" fontId="1" numFmtId="0" xfId="0" applyAlignment="1" applyBorder="1" applyFont="1">
      <alignment readingOrder="0" vertical="bottom"/>
    </xf>
    <xf borderId="7" fillId="0" fontId="7" numFmtId="0" xfId="0" applyBorder="1" applyFont="1"/>
    <xf borderId="8" fillId="0" fontId="7" numFmtId="0" xfId="0" applyBorder="1" applyFont="1"/>
    <xf borderId="9" fillId="4" fontId="6" numFmtId="0" xfId="0" applyAlignment="1" applyBorder="1" applyFill="1" applyFont="1">
      <alignment shrinkToFit="0" vertical="bottom" wrapText="1"/>
    </xf>
    <xf borderId="9" fillId="4" fontId="1" numFmtId="0" xfId="0" applyAlignment="1" applyBorder="1" applyFont="1">
      <alignment horizontal="right" vertical="bottom"/>
    </xf>
    <xf borderId="10" fillId="5" fontId="6"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7" numFmtId="0" xfId="0" applyBorder="1" applyFont="1"/>
    <xf borderId="13" fillId="0" fontId="7" numFmtId="0" xfId="0" applyBorder="1" applyFont="1"/>
    <xf borderId="0" fillId="0" fontId="1" numFmtId="0" xfId="0" applyAlignment="1" applyFont="1">
      <alignment vertical="bottom"/>
    </xf>
    <xf borderId="0" fillId="0" fontId="9" numFmtId="0" xfId="0" applyAlignment="1" applyFont="1">
      <alignment horizontal="center" vertical="bottom"/>
    </xf>
    <xf borderId="14" fillId="6" fontId="10" numFmtId="0" xfId="0" applyAlignment="1" applyBorder="1" applyFill="1" applyFont="1">
      <alignment horizontal="center" shrinkToFit="0" vertical="bottom" wrapText="1"/>
    </xf>
    <xf borderId="15" fillId="0" fontId="7" numFmtId="0" xfId="0" applyBorder="1" applyFont="1"/>
    <xf borderId="16" fillId="0" fontId="7" numFmtId="0" xfId="0" applyBorder="1" applyFont="1"/>
    <xf borderId="9" fillId="7" fontId="10"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10" numFmtId="0" xfId="0" applyAlignment="1" applyBorder="1" applyFont="1">
      <alignment horizontal="center" vertical="bottom"/>
    </xf>
    <xf borderId="9" fillId="0" fontId="8" numFmtId="0" xfId="0" applyAlignment="1" applyBorder="1" applyFont="1">
      <alignment horizontal="center" vertical="bottom"/>
    </xf>
    <xf borderId="9" fillId="8" fontId="11" numFmtId="0" xfId="0" applyAlignment="1" applyBorder="1" applyFill="1" applyFont="1">
      <alignment horizontal="center" vertical="bottom"/>
    </xf>
    <xf borderId="14" fillId="8" fontId="11" numFmtId="0" xfId="0" applyAlignment="1" applyBorder="1" applyFont="1">
      <alignment horizontal="center" vertical="bottom"/>
    </xf>
    <xf borderId="9" fillId="8" fontId="11" numFmtId="0" xfId="0" applyAlignment="1" applyBorder="1" applyFont="1">
      <alignment horizontal="center" shrinkToFit="0" vertical="bottom" wrapText="1"/>
    </xf>
    <xf borderId="14" fillId="8" fontId="11"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1" numFmtId="0" xfId="0" applyAlignment="1" applyBorder="1" applyFont="1">
      <alignment vertical="bottom"/>
    </xf>
    <xf borderId="9" fillId="9" fontId="1" numFmtId="0" xfId="0" applyAlignment="1" applyBorder="1" applyFill="1" applyFont="1">
      <alignment vertical="bottom"/>
    </xf>
    <xf borderId="17" fillId="10" fontId="4" numFmtId="0" xfId="0" applyAlignment="1" applyBorder="1" applyFill="1" applyFont="1">
      <alignment readingOrder="0"/>
    </xf>
    <xf borderId="18" fillId="0" fontId="7" numFmtId="0" xfId="0" applyBorder="1" applyFont="1"/>
    <xf borderId="16" fillId="11" fontId="1" numFmtId="0" xfId="0" applyAlignment="1" applyBorder="1" applyFill="1" applyFont="1">
      <alignment vertical="bottom"/>
    </xf>
    <xf borderId="9" fillId="12" fontId="1" numFmtId="0" xfId="0" applyAlignment="1" applyBorder="1" applyFill="1" applyFont="1">
      <alignment readingOrder="0" vertical="bottom"/>
    </xf>
    <xf borderId="9" fillId="7" fontId="1" numFmtId="0" xfId="0" applyAlignment="1" applyBorder="1" applyFont="1">
      <alignment vertical="bottom"/>
    </xf>
    <xf borderId="14" fillId="13" fontId="12" numFmtId="0" xfId="0" applyAlignment="1" applyBorder="1" applyFill="1" applyFont="1">
      <alignment horizontal="center" shrinkToFit="0" vertical="bottom" wrapText="1"/>
    </xf>
    <xf borderId="14" fillId="10" fontId="1" numFmtId="0" xfId="0" applyAlignment="1" applyBorder="1" applyFont="1">
      <alignment readingOrder="0" vertical="bottom"/>
    </xf>
    <xf borderId="9" fillId="14" fontId="1" numFmtId="0" xfId="0" applyAlignment="1" applyBorder="1" applyFill="1" applyFont="1">
      <alignment readingOrder="0" vertical="bottom"/>
    </xf>
    <xf borderId="14" fillId="11" fontId="1" numFmtId="0" xfId="0" applyAlignment="1" applyBorder="1" applyFont="1">
      <alignment readingOrder="0" vertical="bottom"/>
    </xf>
    <xf borderId="9" fillId="9" fontId="1" numFmtId="0" xfId="0" applyAlignment="1" applyBorder="1" applyFont="1">
      <alignment readingOrder="0" vertical="bottom"/>
    </xf>
    <xf borderId="16" fillId="10" fontId="1" numFmtId="0" xfId="0" applyAlignment="1" applyBorder="1" applyFont="1">
      <alignment vertical="bottom"/>
    </xf>
    <xf borderId="0" fillId="0" fontId="13" numFmtId="0" xfId="0" applyAlignment="1" applyFont="1">
      <alignment vertical="bottom"/>
    </xf>
    <xf borderId="14" fillId="3" fontId="1" numFmtId="0" xfId="0" applyAlignment="1" applyBorder="1" applyFont="1">
      <alignment vertical="bottom"/>
    </xf>
    <xf borderId="19" fillId="0" fontId="1" numFmtId="0" xfId="0" applyAlignment="1" applyBorder="1" applyFont="1">
      <alignment vertical="bottom"/>
    </xf>
    <xf borderId="20" fillId="0" fontId="7" numFmtId="0" xfId="0" applyBorder="1" applyFont="1"/>
    <xf borderId="21" fillId="0" fontId="7" numFmtId="0" xfId="0" applyBorder="1" applyFont="1"/>
    <xf borderId="22" fillId="0" fontId="7" numFmtId="0" xfId="0" applyBorder="1" applyFont="1"/>
    <xf borderId="17" fillId="0" fontId="7" numFmtId="0" xfId="0" applyBorder="1" applyFont="1"/>
    <xf borderId="0" fillId="0" fontId="14" numFmtId="0" xfId="0" applyFont="1"/>
    <xf borderId="0" fillId="0" fontId="15" numFmtId="0" xfId="0" applyFont="1"/>
    <xf borderId="0" fillId="0" fontId="16" numFmtId="0" xfId="0" applyFont="1"/>
    <xf borderId="0" fillId="0" fontId="11" numFmtId="0" xfId="0" applyAlignment="1" applyFont="1">
      <alignment vertical="bottom"/>
    </xf>
    <xf borderId="9" fillId="0" fontId="11" numFmtId="0" xfId="0" applyAlignment="1" applyBorder="1" applyFont="1">
      <alignment shrinkToFit="0" vertical="bottom" wrapText="1"/>
    </xf>
    <xf borderId="0" fillId="0" fontId="1" numFmtId="0" xfId="0" applyAlignment="1" applyFont="1">
      <alignment readingOrder="0" shrinkToFit="0" wrapText="1"/>
    </xf>
    <xf borderId="0" fillId="0" fontId="17" numFmtId="0" xfId="0" applyAlignment="1" applyFont="1">
      <alignment readingOrder="0" shrinkToFit="0" vertical="bottom" wrapText="0"/>
    </xf>
    <xf borderId="0" fillId="0" fontId="17" numFmtId="0" xfId="0" applyAlignment="1" applyFont="1">
      <alignment horizontal="right" readingOrder="0" shrinkToFit="0" vertical="bottom" wrapText="0"/>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8" numFmtId="0" xfId="0" applyFont="1"/>
    <xf borderId="0" fillId="0" fontId="19" numFmtId="0" xfId="0" applyAlignment="1" applyFont="1">
      <alignment shrinkToFit="0" wrapText="1"/>
    </xf>
    <xf borderId="0" fillId="15" fontId="14" numFmtId="0" xfId="0" applyAlignment="1" applyFill="1" applyFont="1">
      <alignment readingOrder="0"/>
    </xf>
    <xf borderId="0" fillId="0" fontId="20" numFmtId="0" xfId="0" applyFont="1"/>
    <xf borderId="9" fillId="4" fontId="1" numFmtId="0" xfId="0" applyAlignment="1" applyBorder="1" applyFont="1">
      <alignment shrinkToFit="0" vertical="bottom" wrapText="1"/>
    </xf>
    <xf borderId="14" fillId="0" fontId="1" numFmtId="0" xfId="0" applyAlignment="1" applyBorder="1" applyFont="1">
      <alignment readingOrder="0" shrinkToFit="0" vertical="bottom" wrapText="1"/>
    </xf>
    <xf borderId="9" fillId="4" fontId="1" numFmtId="0" xfId="0" applyAlignment="1" applyBorder="1" applyFont="1">
      <alignment shrinkToFit="0" wrapText="1"/>
    </xf>
    <xf borderId="14" fillId="0" fontId="1" numFmtId="0" xfId="0" applyAlignment="1" applyBorder="1" applyFont="1">
      <alignment readingOrder="0"/>
    </xf>
    <xf borderId="9" fillId="4" fontId="1" numFmtId="0" xfId="0" applyBorder="1" applyFont="1"/>
    <xf borderId="0" fillId="0" fontId="21" numFmtId="0" xfId="0" applyFont="1"/>
    <xf borderId="0" fillId="0" fontId="22" numFmtId="0" xfId="0" applyAlignment="1" applyFont="1">
      <alignment shrinkToFit="0" wrapText="1"/>
    </xf>
    <xf borderId="14" fillId="0" fontId="23" numFmtId="0" xfId="0" applyAlignment="1" applyBorder="1" applyFont="1">
      <alignment readingOrder="0" shrinkToFit="0" vertical="bottom" wrapText="1"/>
    </xf>
    <xf borderId="14" fillId="13"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2" numFmtId="0" xfId="0" applyFont="1"/>
    <xf borderId="0" fillId="16" fontId="24" numFmtId="0" xfId="0" applyAlignment="1" applyFill="1" applyFont="1">
      <alignment readingOrder="0"/>
    </xf>
    <xf borderId="14" fillId="4" fontId="1" numFmtId="0" xfId="0" applyBorder="1" applyFont="1"/>
    <xf borderId="19" fillId="0" fontId="1" numFmtId="0" xfId="0" applyAlignment="1" applyBorder="1" applyFont="1">
      <alignment readingOrder="0"/>
    </xf>
    <xf borderId="20" fillId="0" fontId="1" numFmtId="0" xfId="0" applyBorder="1" applyFont="1"/>
    <xf borderId="21" fillId="0" fontId="1" numFmtId="0" xfId="0" applyBorder="1" applyFont="1"/>
    <xf borderId="22" fillId="0" fontId="1" numFmtId="0" xfId="0" applyBorder="1" applyFont="1"/>
    <xf borderId="17" fillId="0" fontId="1" numFmtId="0" xfId="0" applyBorder="1" applyFont="1"/>
    <xf borderId="18" fillId="0" fontId="1" numFmtId="0" xfId="0" applyBorder="1" applyFont="1"/>
    <xf borderId="0" fillId="0" fontId="19" numFmtId="0" xfId="0" applyFont="1"/>
    <xf borderId="9" fillId="17" fontId="1" numFmtId="0" xfId="0" applyBorder="1" applyFill="1" applyFont="1"/>
    <xf borderId="14" fillId="17" fontId="1" numFmtId="0" xfId="0" applyBorder="1" applyFont="1"/>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5" numFmtId="0" xfId="0" applyBorder="1" applyFont="1"/>
    <xf borderId="0" fillId="0" fontId="25" numFmtId="0" xfId="0" applyFont="1"/>
    <xf borderId="19" fillId="0" fontId="1" numFmtId="0" xfId="0" applyBorder="1" applyFont="1"/>
    <xf borderId="23" fillId="0" fontId="7" numFmtId="0" xfId="0" applyBorder="1" applyFont="1"/>
    <xf borderId="24" fillId="0" fontId="7" numFmtId="0" xfId="0" applyBorder="1" applyFont="1"/>
    <xf borderId="0" fillId="0" fontId="26" numFmtId="0" xfId="0" applyFont="1"/>
    <xf borderId="14" fillId="0" fontId="25" numFmtId="0" xfId="0" applyAlignment="1" applyBorder="1" applyFont="1">
      <alignment readingOrder="0"/>
    </xf>
    <xf borderId="0" fillId="0" fontId="4" numFmtId="0" xfId="0" applyAlignment="1" applyFont="1">
      <alignment readingOrder="0" shrinkToFit="0" wrapText="1"/>
    </xf>
    <xf borderId="0" fillId="0" fontId="4" numFmtId="0" xfId="0" applyAlignment="1" applyFont="1">
      <alignment readingOrder="0" vertical="center"/>
    </xf>
    <xf borderId="19" fillId="0" fontId="1" numFmtId="0" xfId="0" applyAlignment="1" applyBorder="1" applyFont="1">
      <alignment readingOrder="0" shrinkToFit="0" wrapText="1"/>
    </xf>
    <xf borderId="19" fillId="0" fontId="1" numFmtId="0" xfId="0" applyAlignment="1" applyBorder="1" applyFont="1">
      <alignment readingOrder="0" shrinkToFit="0" vertical="top" wrapText="1"/>
    </xf>
    <xf borderId="0" fillId="0" fontId="2" numFmtId="0" xfId="0" applyAlignment="1" applyFont="1">
      <alignment horizontal="center"/>
    </xf>
    <xf borderId="14" fillId="0" fontId="1" numFmtId="0" xfId="0" applyAlignment="1" applyBorder="1" applyFont="1">
      <alignment readingOrder="0"/>
    </xf>
    <xf borderId="0" fillId="16" fontId="24" numFmtId="0" xfId="0" applyFont="1"/>
    <xf borderId="19" fillId="0" fontId="27" numFmtId="0" xfId="0" applyBorder="1" applyFont="1"/>
    <xf borderId="0" fillId="0" fontId="24"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xdr:colOff>
      <xdr:row>10</xdr:row>
      <xdr:rowOff>28575</xdr:rowOff>
    </xdr:from>
    <xdr:ext cx="6915150" cy="33242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e/1FAIpQLSdOywQHJ5K66bdM7YP6RPQGLGuSX0RyhTj40jQ2_Smw8N7Mhg/viewform?usp=publish-editor"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 customWidth="1" min="6" max="6" width="15.0"/>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c r="C6" s="7">
        <v>30.0</v>
      </c>
    </row>
    <row r="7" ht="15.75" customHeight="1">
      <c r="A7" s="1"/>
    </row>
    <row r="8" ht="15.75" customHeight="1">
      <c r="A8" s="8" t="s">
        <v>6</v>
      </c>
    </row>
    <row r="9" ht="15.75" customHeight="1">
      <c r="A9" s="8" t="s">
        <v>7</v>
      </c>
    </row>
    <row r="10">
      <c r="A10" s="9" t="s">
        <v>8</v>
      </c>
      <c r="B10" s="9" t="s">
        <v>9</v>
      </c>
      <c r="C10" s="9" t="s">
        <v>10</v>
      </c>
      <c r="D10" s="10" t="s">
        <v>11</v>
      </c>
      <c r="E10" s="11"/>
      <c r="F10" s="12"/>
      <c r="G10" s="13" t="s">
        <v>12</v>
      </c>
    </row>
    <row r="11">
      <c r="A11" s="14" t="s">
        <v>13</v>
      </c>
      <c r="B11" s="15">
        <v>10.0</v>
      </c>
      <c r="C11" s="16">
        <v>0.3</v>
      </c>
      <c r="D11" s="17" t="s">
        <v>14</v>
      </c>
      <c r="E11" s="11"/>
      <c r="F11" s="12"/>
      <c r="G11" s="18">
        <v>10.0</v>
      </c>
    </row>
    <row r="12" ht="15.75" customHeight="1">
      <c r="A12" s="19" t="s">
        <v>15</v>
      </c>
      <c r="B12" s="15">
        <v>60.0</v>
      </c>
      <c r="C12" s="16">
        <v>240.0</v>
      </c>
      <c r="D12" s="17" t="s">
        <v>16</v>
      </c>
      <c r="E12" s="11"/>
      <c r="F12" s="12"/>
      <c r="G12" s="18">
        <v>60.0</v>
      </c>
    </row>
    <row r="13" ht="15.75" customHeight="1">
      <c r="A13" s="19" t="s">
        <v>17</v>
      </c>
      <c r="B13" s="15">
        <v>20.0</v>
      </c>
      <c r="C13" s="16">
        <v>56.0</v>
      </c>
      <c r="D13" s="17" t="s">
        <v>16</v>
      </c>
      <c r="E13" s="11"/>
      <c r="F13" s="12"/>
      <c r="G13" s="18">
        <v>20.0</v>
      </c>
    </row>
    <row r="14" ht="15.75" customHeight="1">
      <c r="A14" s="20" t="s">
        <v>18</v>
      </c>
      <c r="B14" s="21">
        <v>10.0</v>
      </c>
      <c r="C14" s="16">
        <v>0.0</v>
      </c>
      <c r="D14" s="22" t="s">
        <v>19</v>
      </c>
      <c r="E14" s="23"/>
      <c r="F14" s="24"/>
      <c r="G14" s="18">
        <v>10.0</v>
      </c>
    </row>
    <row r="15" ht="14.25" customHeight="1">
      <c r="A15" s="25" t="s">
        <v>20</v>
      </c>
      <c r="B15" s="26">
        <f t="shared" ref="B15:C15" si="1">SUM(B11:B14)</f>
        <v>100</v>
      </c>
      <c r="C15" s="26">
        <f t="shared" si="1"/>
        <v>296.3</v>
      </c>
      <c r="D15" s="27" t="s">
        <v>21</v>
      </c>
      <c r="E15" s="28"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29"/>
      <c r="G15" s="30"/>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1"/>
      <c r="B1" s="32" t="s">
        <v>22</v>
      </c>
      <c r="Q1" s="31"/>
      <c r="R1" s="31"/>
      <c r="S1" s="31"/>
      <c r="T1" s="31"/>
      <c r="U1" s="31"/>
      <c r="V1" s="31"/>
      <c r="W1" s="31"/>
      <c r="X1" s="31"/>
      <c r="Y1" s="31"/>
      <c r="Z1" s="31"/>
    </row>
    <row r="2">
      <c r="A2" s="31"/>
      <c r="B2" s="3" t="s">
        <v>1</v>
      </c>
      <c r="C2" s="4" t="s">
        <v>2</v>
      </c>
      <c r="I2" s="31"/>
      <c r="J2" s="31"/>
      <c r="K2" s="31"/>
      <c r="L2" s="31"/>
      <c r="M2" s="31"/>
      <c r="N2" s="31"/>
      <c r="O2" s="31"/>
      <c r="P2" s="31"/>
      <c r="Q2" s="31"/>
      <c r="R2" s="31"/>
      <c r="S2" s="31"/>
      <c r="T2" s="31"/>
      <c r="U2" s="31"/>
      <c r="V2" s="31"/>
      <c r="W2" s="31"/>
      <c r="X2" s="31"/>
      <c r="Y2" s="31"/>
      <c r="Z2" s="31"/>
    </row>
    <row r="3">
      <c r="A3" s="31"/>
      <c r="B3" s="3" t="s">
        <v>3</v>
      </c>
      <c r="C3" s="6" t="s">
        <v>4</v>
      </c>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3" t="s">
        <v>23</v>
      </c>
      <c r="C5" s="34"/>
      <c r="D5" s="34"/>
      <c r="E5" s="34"/>
      <c r="F5" s="34"/>
      <c r="G5" s="35"/>
      <c r="H5" s="31"/>
      <c r="I5" s="33" t="s">
        <v>24</v>
      </c>
      <c r="J5" s="34"/>
      <c r="K5" s="34"/>
      <c r="L5" s="34"/>
      <c r="M5" s="34"/>
      <c r="N5" s="34"/>
      <c r="O5" s="34"/>
      <c r="P5" s="35"/>
      <c r="Q5" s="31"/>
      <c r="R5" s="31"/>
      <c r="S5" s="31"/>
      <c r="T5" s="31"/>
      <c r="U5" s="31"/>
      <c r="V5" s="31"/>
      <c r="W5" s="31"/>
      <c r="X5" s="31"/>
      <c r="Y5" s="31"/>
      <c r="Z5" s="31"/>
    </row>
    <row r="6">
      <c r="A6" s="31"/>
      <c r="B6" s="36">
        <v>1.0</v>
      </c>
      <c r="C6" s="37" t="s">
        <v>25</v>
      </c>
      <c r="D6" s="34"/>
      <c r="E6" s="34"/>
      <c r="F6" s="34"/>
      <c r="G6" s="35"/>
      <c r="H6" s="38"/>
      <c r="I6" s="36">
        <v>1.0</v>
      </c>
      <c r="J6" s="37" t="s">
        <v>26</v>
      </c>
      <c r="K6" s="34"/>
      <c r="L6" s="34"/>
      <c r="M6" s="34"/>
      <c r="N6" s="34"/>
      <c r="O6" s="34"/>
      <c r="P6" s="35"/>
      <c r="Q6" s="31"/>
      <c r="R6" s="31"/>
      <c r="S6" s="31"/>
      <c r="T6" s="31"/>
      <c r="U6" s="31"/>
      <c r="V6" s="31"/>
      <c r="W6" s="31"/>
      <c r="X6" s="31"/>
      <c r="Y6" s="31"/>
      <c r="Z6" s="31"/>
    </row>
    <row r="7">
      <c r="A7" s="31"/>
      <c r="B7" s="39">
        <v>2.0</v>
      </c>
      <c r="C7" s="37" t="s">
        <v>27</v>
      </c>
      <c r="D7" s="34"/>
      <c r="E7" s="34"/>
      <c r="F7" s="34"/>
      <c r="G7" s="35"/>
      <c r="H7" s="31"/>
      <c r="I7" s="40">
        <v>2.0</v>
      </c>
      <c r="J7" s="37" t="s">
        <v>28</v>
      </c>
      <c r="K7" s="34"/>
      <c r="L7" s="34"/>
      <c r="M7" s="34"/>
      <c r="N7" s="34"/>
      <c r="O7" s="34"/>
      <c r="P7" s="35"/>
      <c r="Q7" s="31"/>
      <c r="R7" s="31"/>
      <c r="S7" s="31"/>
      <c r="T7" s="31"/>
      <c r="U7" s="31"/>
      <c r="V7" s="31"/>
      <c r="W7" s="31"/>
      <c r="X7" s="31"/>
      <c r="Y7" s="31"/>
      <c r="Z7" s="31"/>
    </row>
    <row r="8">
      <c r="A8" s="31"/>
      <c r="B8" s="39">
        <v>3.0</v>
      </c>
      <c r="C8" s="37" t="s">
        <v>29</v>
      </c>
      <c r="D8" s="34"/>
      <c r="E8" s="34"/>
      <c r="F8" s="34"/>
      <c r="G8" s="35"/>
      <c r="H8" s="31"/>
      <c r="I8" s="40">
        <v>3.0</v>
      </c>
      <c r="J8" s="37" t="s">
        <v>30</v>
      </c>
      <c r="K8" s="34"/>
      <c r="L8" s="34"/>
      <c r="M8" s="34"/>
      <c r="N8" s="34"/>
      <c r="O8" s="34"/>
      <c r="P8" s="35"/>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41" t="s">
        <v>31</v>
      </c>
      <c r="C11" s="41" t="s">
        <v>32</v>
      </c>
      <c r="D11" s="41" t="s">
        <v>33</v>
      </c>
      <c r="E11" s="42" t="s">
        <v>34</v>
      </c>
      <c r="F11" s="35"/>
      <c r="G11" s="43" t="s">
        <v>35</v>
      </c>
      <c r="H11" s="44" t="s">
        <v>36</v>
      </c>
      <c r="I11" s="35"/>
      <c r="J11" s="41" t="s">
        <v>37</v>
      </c>
      <c r="K11" s="31"/>
      <c r="L11" s="31"/>
      <c r="M11" s="31"/>
      <c r="N11" s="31"/>
      <c r="O11" s="31"/>
      <c r="P11" s="31"/>
      <c r="Q11" s="31"/>
      <c r="R11" s="31"/>
      <c r="S11" s="31"/>
      <c r="T11" s="31"/>
      <c r="U11" s="31"/>
      <c r="V11" s="31"/>
      <c r="W11" s="31"/>
      <c r="X11" s="31"/>
      <c r="Y11" s="31"/>
      <c r="Z11" s="31"/>
    </row>
    <row r="12">
      <c r="A12" s="31"/>
      <c r="B12" s="45">
        <v>1.0</v>
      </c>
      <c r="C12" s="46" t="s">
        <v>38</v>
      </c>
      <c r="D12" s="47" t="s">
        <v>39</v>
      </c>
      <c r="E12" s="48" t="s">
        <v>40</v>
      </c>
      <c r="F12" s="49"/>
      <c r="G12" s="7" t="s">
        <v>41</v>
      </c>
      <c r="H12" s="7" t="s">
        <v>42</v>
      </c>
      <c r="I12" s="50"/>
      <c r="J12" s="51" t="s">
        <v>43</v>
      </c>
      <c r="K12" s="31"/>
      <c r="L12" s="31"/>
      <c r="M12" s="31"/>
      <c r="N12" s="31"/>
      <c r="O12" s="31"/>
      <c r="P12" s="31"/>
      <c r="Q12" s="31"/>
      <c r="R12" s="31"/>
      <c r="S12" s="31"/>
      <c r="T12" s="31"/>
      <c r="U12" s="31"/>
      <c r="V12" s="31"/>
      <c r="W12" s="31"/>
      <c r="X12" s="31"/>
      <c r="Y12" s="31"/>
      <c r="Z12" s="31"/>
    </row>
    <row r="13">
      <c r="A13" s="31"/>
      <c r="B13" s="52"/>
      <c r="C13" s="53" t="str">
        <f>"El estudiante " &amp; D12 &amp; " " &amp; E12 &amp; " " &amp;G12&amp; " " &amp;H12&amp; " "  </f>
        <v>El estudiante Analiza .. arquitecturas de software basadas en microservicios utilizando diagramas y patrones arquitectónicos en estudios de caso reales </v>
      </c>
      <c r="D13" s="34"/>
      <c r="E13" s="34"/>
      <c r="F13" s="34"/>
      <c r="G13" s="34"/>
      <c r="H13" s="34"/>
      <c r="I13" s="34"/>
      <c r="J13" s="35"/>
      <c r="K13" s="31"/>
      <c r="L13" s="31"/>
      <c r="M13" s="31"/>
      <c r="N13" s="31"/>
      <c r="O13" s="31"/>
      <c r="P13" s="31"/>
      <c r="Q13" s="31"/>
      <c r="R13" s="31"/>
      <c r="S13" s="31"/>
      <c r="T13" s="31"/>
      <c r="U13" s="31"/>
      <c r="V13" s="31"/>
      <c r="W13" s="31"/>
      <c r="X13" s="31"/>
      <c r="Y13" s="31"/>
      <c r="Z13" s="31"/>
    </row>
    <row r="14">
      <c r="A14" s="31"/>
      <c r="B14" s="45">
        <v>2.0</v>
      </c>
      <c r="C14" s="46" t="s">
        <v>38</v>
      </c>
      <c r="D14" s="47" t="s">
        <v>44</v>
      </c>
      <c r="E14" s="54" t="s">
        <v>45</v>
      </c>
      <c r="F14" s="35"/>
      <c r="G14" s="55" t="s">
        <v>46</v>
      </c>
      <c r="H14" s="56" t="s">
        <v>47</v>
      </c>
      <c r="I14" s="35"/>
      <c r="J14" s="51" t="s">
        <v>48</v>
      </c>
      <c r="K14" s="31"/>
      <c r="L14" s="31"/>
      <c r="M14" s="31"/>
      <c r="N14" s="31"/>
      <c r="O14" s="31"/>
      <c r="P14" s="31"/>
      <c r="Q14" s="31"/>
      <c r="R14" s="31"/>
      <c r="S14" s="31"/>
      <c r="T14" s="31"/>
      <c r="U14" s="31"/>
      <c r="V14" s="31"/>
      <c r="W14" s="31"/>
      <c r="X14" s="31"/>
      <c r="Y14" s="31"/>
      <c r="Z14" s="31"/>
    </row>
    <row r="15">
      <c r="A15" s="31"/>
      <c r="B15" s="52"/>
      <c r="C15" s="53" t="str">
        <f>"El estudiante " &amp; D14 &amp; " " &amp; E14 &amp; " " &amp;G14&amp; " " &amp;H14&amp; " "  </f>
        <v>El estudiante Crea .. soluciones de software basadas en microservicios poniendo en practica los principios SOLID usando herramientas de desarrollo y contenedores en entornos prácticos de laboratorio </v>
      </c>
      <c r="D15" s="34"/>
      <c r="E15" s="34"/>
      <c r="F15" s="34"/>
      <c r="G15" s="34"/>
      <c r="H15" s="34"/>
      <c r="I15" s="34"/>
      <c r="J15" s="35"/>
      <c r="K15" s="31"/>
      <c r="L15" s="31"/>
      <c r="M15" s="31"/>
      <c r="N15" s="31"/>
      <c r="O15" s="31"/>
      <c r="P15" s="31"/>
      <c r="Q15" s="31"/>
      <c r="R15" s="31"/>
      <c r="S15" s="31"/>
      <c r="T15" s="31"/>
      <c r="U15" s="31"/>
      <c r="V15" s="31"/>
      <c r="W15" s="31"/>
      <c r="X15" s="31"/>
      <c r="Y15" s="31"/>
      <c r="Z15" s="31"/>
    </row>
    <row r="16">
      <c r="A16" s="31"/>
      <c r="B16" s="45">
        <v>3.0</v>
      </c>
      <c r="C16" s="46" t="s">
        <v>38</v>
      </c>
      <c r="D16" s="47" t="s">
        <v>49</v>
      </c>
      <c r="E16" s="54" t="s">
        <v>50</v>
      </c>
      <c r="F16" s="35"/>
      <c r="G16" s="55" t="s">
        <v>51</v>
      </c>
      <c r="H16" s="7" t="s">
        <v>52</v>
      </c>
      <c r="I16" s="50"/>
      <c r="J16" s="51" t="s">
        <v>53</v>
      </c>
      <c r="K16" s="31"/>
      <c r="L16" s="31"/>
      <c r="M16" s="31"/>
      <c r="N16" s="31"/>
      <c r="O16" s="31"/>
      <c r="P16" s="31"/>
      <c r="Q16" s="31"/>
      <c r="R16" s="31"/>
      <c r="S16" s="31"/>
      <c r="T16" s="31"/>
      <c r="U16" s="31"/>
      <c r="V16" s="31"/>
      <c r="W16" s="31"/>
      <c r="X16" s="31"/>
      <c r="Y16" s="31"/>
      <c r="Z16" s="31"/>
    </row>
    <row r="17">
      <c r="A17" s="31"/>
      <c r="B17" s="52"/>
      <c r="C17" s="53" t="str">
        <f>"El estudiante " &amp; D16 &amp; " " &amp; E16 &amp; " " &amp;G16&amp; " " &amp;H16&amp; " "  </f>
        <v>El estudiante Implementa ... servicios y APIs en arquitectura de microservicios mediante Docker y frameworks de desarrollo en proyectos prácticos </v>
      </c>
      <c r="D17" s="34"/>
      <c r="E17" s="34"/>
      <c r="F17" s="34"/>
      <c r="G17" s="34"/>
      <c r="H17" s="34"/>
      <c r="I17" s="34"/>
      <c r="J17" s="35"/>
      <c r="K17" s="31"/>
      <c r="L17" s="31"/>
      <c r="M17" s="31"/>
      <c r="N17" s="31"/>
      <c r="O17" s="31"/>
      <c r="P17" s="31"/>
      <c r="Q17" s="31"/>
      <c r="R17" s="31"/>
      <c r="S17" s="31"/>
      <c r="T17" s="31"/>
      <c r="U17" s="31"/>
      <c r="V17" s="31"/>
      <c r="W17" s="31"/>
      <c r="X17" s="31"/>
      <c r="Y17" s="31"/>
      <c r="Z17" s="31"/>
    </row>
    <row r="18">
      <c r="A18" s="31"/>
      <c r="B18" s="45">
        <v>4.0</v>
      </c>
      <c r="C18" s="46" t="s">
        <v>38</v>
      </c>
      <c r="D18" s="57" t="s">
        <v>54</v>
      </c>
      <c r="E18" s="54" t="s">
        <v>55</v>
      </c>
      <c r="F18" s="35"/>
      <c r="G18" s="55" t="s">
        <v>56</v>
      </c>
      <c r="H18" s="56" t="s">
        <v>57</v>
      </c>
      <c r="I18" s="35"/>
      <c r="J18" s="51" t="s">
        <v>58</v>
      </c>
      <c r="K18" s="31"/>
      <c r="L18" s="31"/>
      <c r="M18" s="31"/>
      <c r="N18" s="31"/>
      <c r="O18" s="31"/>
      <c r="P18" s="31"/>
      <c r="Q18" s="31"/>
      <c r="R18" s="31"/>
      <c r="S18" s="31"/>
      <c r="T18" s="31"/>
      <c r="U18" s="31"/>
      <c r="V18" s="31"/>
      <c r="W18" s="31"/>
      <c r="X18" s="31"/>
      <c r="Y18" s="31"/>
      <c r="Z18" s="31"/>
    </row>
    <row r="19">
      <c r="A19" s="31"/>
      <c r="B19" s="52"/>
      <c r="C19" s="53" t="str">
        <f>"El estudiante " &amp; D18 &amp; " " &amp; E18 &amp; " " &amp;G18&amp; " " &amp;H18&amp; " "  </f>
        <v>El estudiante Explica el funcionamiento de pipelines CI/CD utilizando herramientas de integración continua mediante ejemplos prácticos </v>
      </c>
      <c r="D19" s="34"/>
      <c r="E19" s="34"/>
      <c r="F19" s="34"/>
      <c r="G19" s="34"/>
      <c r="H19" s="34"/>
      <c r="I19" s="34"/>
      <c r="J19" s="35"/>
      <c r="K19" s="31"/>
      <c r="L19" s="31"/>
      <c r="M19" s="31"/>
      <c r="N19" s="31"/>
      <c r="O19" s="31"/>
      <c r="P19" s="31"/>
      <c r="Q19" s="31"/>
      <c r="R19" s="31"/>
      <c r="S19" s="31"/>
      <c r="T19" s="31"/>
      <c r="U19" s="31"/>
      <c r="V19" s="31"/>
      <c r="W19" s="31"/>
      <c r="X19" s="31"/>
      <c r="Y19" s="31"/>
      <c r="Z19" s="31"/>
    </row>
    <row r="20">
      <c r="A20" s="31"/>
      <c r="B20" s="45">
        <v>5.0</v>
      </c>
      <c r="C20" s="46" t="s">
        <v>38</v>
      </c>
      <c r="D20" s="57" t="s">
        <v>59</v>
      </c>
      <c r="E20" s="54" t="s">
        <v>60</v>
      </c>
      <c r="F20" s="35"/>
      <c r="G20" s="55" t="s">
        <v>61</v>
      </c>
      <c r="H20" s="56" t="s">
        <v>62</v>
      </c>
      <c r="I20" s="35"/>
      <c r="J20" s="51" t="s">
        <v>63</v>
      </c>
      <c r="K20" s="31"/>
      <c r="L20" s="31"/>
      <c r="M20" s="31"/>
      <c r="N20" s="31"/>
      <c r="O20" s="31"/>
      <c r="P20" s="31"/>
      <c r="Q20" s="31"/>
      <c r="R20" s="31"/>
      <c r="S20" s="31"/>
      <c r="T20" s="31"/>
      <c r="U20" s="31"/>
      <c r="V20" s="31"/>
      <c r="W20" s="31"/>
      <c r="X20" s="31"/>
      <c r="Y20" s="31"/>
      <c r="Z20" s="31"/>
    </row>
    <row r="21">
      <c r="A21" s="31"/>
      <c r="B21" s="52"/>
      <c r="C21" s="53" t="str">
        <f>"El estudiante " &amp; D20 &amp; " " &amp; E20 &amp; " " &amp;G20&amp; " " &amp;H20&amp; " "  </f>
        <v>El estudiante Evalúa estrategias de despliegue y monitoreo utilizando Kubernetes y herramientas de observabilidad en distintos escenarios de implementación </v>
      </c>
      <c r="D21" s="34"/>
      <c r="E21" s="34"/>
      <c r="F21" s="34"/>
      <c r="G21" s="34"/>
      <c r="H21" s="34"/>
      <c r="I21" s="34"/>
      <c r="J21" s="35"/>
      <c r="K21" s="31"/>
      <c r="L21" s="31"/>
      <c r="M21" s="31"/>
      <c r="N21" s="31"/>
      <c r="O21" s="31"/>
      <c r="P21" s="31"/>
      <c r="Q21" s="31"/>
      <c r="R21" s="31"/>
      <c r="S21" s="31"/>
      <c r="T21" s="31"/>
      <c r="U21" s="31"/>
      <c r="V21" s="31"/>
      <c r="W21" s="31"/>
      <c r="X21" s="31"/>
      <c r="Y21" s="31"/>
      <c r="Z21" s="31"/>
    </row>
    <row r="22">
      <c r="A22" s="31"/>
      <c r="B22" s="45">
        <v>6.0</v>
      </c>
      <c r="C22" s="46" t="s">
        <v>38</v>
      </c>
      <c r="D22" s="57" t="s">
        <v>64</v>
      </c>
      <c r="E22" s="7" t="s">
        <v>65</v>
      </c>
      <c r="F22" s="58"/>
      <c r="G22" s="55" t="s">
        <v>66</v>
      </c>
      <c r="H22" s="7" t="s">
        <v>67</v>
      </c>
      <c r="I22" s="50"/>
      <c r="J22" s="51" t="s">
        <v>53</v>
      </c>
      <c r="K22" s="31"/>
      <c r="L22" s="31"/>
      <c r="M22" s="31"/>
      <c r="N22" s="31"/>
      <c r="O22" s="31"/>
      <c r="P22" s="31"/>
      <c r="Q22" s="31"/>
      <c r="R22" s="31"/>
      <c r="S22" s="31"/>
      <c r="T22" s="31"/>
      <c r="U22" s="31"/>
      <c r="V22" s="31"/>
      <c r="W22" s="31"/>
      <c r="X22" s="31"/>
      <c r="Y22" s="31"/>
      <c r="Z22" s="31"/>
    </row>
    <row r="23">
      <c r="A23" s="31"/>
      <c r="B23" s="52"/>
      <c r="C23" s="53" t="str">
        <f>"El estudiante " &amp; D22 &amp; " " &amp; E22 &amp; " " &amp;G22&amp; " " &amp;H22&amp; " "  </f>
        <v>El estudiante Aplica prácticas de DevOps y DevSecOps mediante pipelines automatizados en proyectos de software </v>
      </c>
      <c r="D23" s="34"/>
      <c r="E23" s="34"/>
      <c r="F23" s="34"/>
      <c r="G23" s="34"/>
      <c r="H23" s="34"/>
      <c r="I23" s="34"/>
      <c r="J23" s="35"/>
      <c r="K23" s="31"/>
      <c r="L23" s="31"/>
      <c r="M23" s="31"/>
      <c r="N23" s="31"/>
      <c r="O23" s="31"/>
      <c r="P23" s="31"/>
      <c r="Q23" s="31"/>
      <c r="R23" s="31"/>
      <c r="S23" s="31"/>
      <c r="T23" s="31"/>
      <c r="U23" s="31"/>
      <c r="V23" s="31"/>
      <c r="W23" s="31"/>
      <c r="X23" s="31"/>
      <c r="Y23" s="31"/>
      <c r="Z23" s="31"/>
    </row>
    <row r="24">
      <c r="A24" s="31"/>
      <c r="B24" s="45">
        <v>7.0</v>
      </c>
      <c r="C24" s="46" t="s">
        <v>38</v>
      </c>
      <c r="D24" s="57" t="s">
        <v>68</v>
      </c>
      <c r="E24" s="54" t="s">
        <v>69</v>
      </c>
      <c r="F24" s="35"/>
      <c r="G24" s="55" t="s">
        <v>70</v>
      </c>
      <c r="H24" s="56" t="s">
        <v>71</v>
      </c>
      <c r="I24" s="35"/>
      <c r="J24" s="51" t="s">
        <v>72</v>
      </c>
      <c r="K24" s="31"/>
      <c r="L24" s="31"/>
      <c r="M24" s="31"/>
      <c r="N24" s="31"/>
      <c r="O24" s="31"/>
      <c r="P24" s="31"/>
      <c r="Q24" s="31"/>
      <c r="R24" s="31"/>
      <c r="S24" s="31"/>
      <c r="T24" s="31"/>
      <c r="U24" s="31"/>
      <c r="V24" s="31"/>
      <c r="W24" s="31"/>
      <c r="X24" s="31"/>
      <c r="Y24" s="31"/>
      <c r="Z24" s="31"/>
    </row>
    <row r="25">
      <c r="A25" s="31"/>
      <c r="B25" s="52"/>
      <c r="C25" s="53" t="str">
        <f>"El estudiante " &amp; D24 &amp; " " &amp; E24 &amp; " " &amp;G24&amp; " " &amp;H24&amp; " "  </f>
        <v>El estudiante Identifica conceptos clave de arquitecturas modernas y herramientas DevOps a partir de documentación técnica en actividades teóricas </v>
      </c>
      <c r="D25" s="34"/>
      <c r="E25" s="34"/>
      <c r="F25" s="34"/>
      <c r="G25" s="34"/>
      <c r="H25" s="34"/>
      <c r="I25" s="34"/>
      <c r="J25" s="35"/>
      <c r="K25" s="31"/>
      <c r="L25" s="59" t="s">
        <v>73</v>
      </c>
      <c r="T25" s="31"/>
      <c r="U25" s="31"/>
      <c r="V25" s="31"/>
      <c r="W25" s="31"/>
      <c r="X25" s="31"/>
      <c r="Y25" s="31"/>
      <c r="Z25" s="31"/>
    </row>
    <row r="26">
      <c r="A26" s="31"/>
      <c r="B26" s="31"/>
      <c r="C26" s="31"/>
      <c r="D26" s="31"/>
      <c r="E26" s="31"/>
      <c r="F26" s="31"/>
      <c r="G26" s="31"/>
      <c r="H26" s="31"/>
      <c r="I26" s="31"/>
      <c r="J26" s="31"/>
      <c r="K26" s="31"/>
      <c r="L26" s="59" t="s">
        <v>74</v>
      </c>
      <c r="T26" s="31"/>
      <c r="U26" s="31"/>
      <c r="V26" s="31"/>
      <c r="W26" s="31"/>
      <c r="X26" s="31"/>
      <c r="Y26" s="31"/>
      <c r="Z26" s="31"/>
    </row>
    <row r="27">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c r="A28" s="31"/>
      <c r="B28" s="60" t="s">
        <v>75</v>
      </c>
      <c r="C28" s="34"/>
      <c r="D28" s="34"/>
      <c r="E28" s="34"/>
      <c r="F28" s="34"/>
      <c r="G28" s="34"/>
      <c r="H28" s="34"/>
      <c r="I28" s="34"/>
      <c r="J28" s="35"/>
      <c r="K28" s="31"/>
      <c r="L28" s="31"/>
      <c r="M28" s="31"/>
      <c r="N28" s="31"/>
      <c r="O28" s="31"/>
      <c r="P28" s="31"/>
      <c r="Q28" s="31"/>
      <c r="R28" s="31"/>
      <c r="S28" s="31"/>
      <c r="T28" s="31"/>
      <c r="U28" s="31"/>
      <c r="V28" s="31"/>
      <c r="W28" s="31"/>
      <c r="X28" s="31"/>
      <c r="Y28" s="31"/>
      <c r="Z28" s="31"/>
    </row>
    <row r="29">
      <c r="A29" s="31"/>
      <c r="B29" s="61"/>
      <c r="C29" s="62"/>
      <c r="D29" s="62"/>
      <c r="E29" s="62"/>
      <c r="F29" s="62"/>
      <c r="G29" s="62"/>
      <c r="H29" s="62"/>
      <c r="I29" s="62"/>
      <c r="J29" s="63"/>
      <c r="K29" s="31"/>
      <c r="L29" s="31"/>
      <c r="M29" s="31"/>
      <c r="N29" s="31"/>
      <c r="O29" s="31"/>
      <c r="P29" s="31"/>
      <c r="Q29" s="31"/>
      <c r="R29" s="31"/>
      <c r="S29" s="31"/>
      <c r="T29" s="31"/>
      <c r="U29" s="31"/>
      <c r="V29" s="31"/>
      <c r="W29" s="31"/>
      <c r="X29" s="31"/>
      <c r="Y29" s="31"/>
      <c r="Z29" s="31"/>
    </row>
    <row r="30">
      <c r="A30" s="31"/>
      <c r="B30" s="64"/>
      <c r="C30" s="65"/>
      <c r="D30" s="65"/>
      <c r="E30" s="65"/>
      <c r="F30" s="65"/>
      <c r="G30" s="65"/>
      <c r="H30" s="65"/>
      <c r="I30" s="65"/>
      <c r="J30" s="49"/>
      <c r="K30" s="31"/>
      <c r="L30" s="31"/>
      <c r="M30" s="31"/>
      <c r="N30" s="31"/>
      <c r="O30" s="31"/>
      <c r="P30" s="31"/>
      <c r="Q30" s="31"/>
      <c r="R30" s="31"/>
      <c r="S30" s="31"/>
      <c r="T30" s="31"/>
      <c r="U30" s="31"/>
      <c r="V30" s="31"/>
      <c r="W30" s="31"/>
      <c r="X30" s="31"/>
      <c r="Y30" s="31"/>
      <c r="Z30" s="31"/>
    </row>
    <row r="3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sheetData>
  <mergeCells count="34">
    <mergeCell ref="J6:P6"/>
    <mergeCell ref="J7:P7"/>
    <mergeCell ref="B1:P1"/>
    <mergeCell ref="C2:H2"/>
    <mergeCell ref="C3:H3"/>
    <mergeCell ref="B5:G5"/>
    <mergeCell ref="I5:P5"/>
    <mergeCell ref="C6:G6"/>
    <mergeCell ref="C7:G7"/>
    <mergeCell ref="C8:G8"/>
    <mergeCell ref="J8:P8"/>
    <mergeCell ref="E11:F11"/>
    <mergeCell ref="H11:I11"/>
    <mergeCell ref="E12:F12"/>
    <mergeCell ref="C13:J13"/>
    <mergeCell ref="E14:F14"/>
    <mergeCell ref="H14:I14"/>
    <mergeCell ref="C15:J15"/>
    <mergeCell ref="E16:F16"/>
    <mergeCell ref="C17:J17"/>
    <mergeCell ref="E18:F18"/>
    <mergeCell ref="H18:I18"/>
    <mergeCell ref="C19:J19"/>
    <mergeCell ref="L25:S25"/>
    <mergeCell ref="L26:S26"/>
    <mergeCell ref="B28:J28"/>
    <mergeCell ref="B29:J30"/>
    <mergeCell ref="E20:F20"/>
    <mergeCell ref="H20:I20"/>
    <mergeCell ref="C21:J21"/>
    <mergeCell ref="C23:J23"/>
    <mergeCell ref="E24:F24"/>
    <mergeCell ref="H24:I24"/>
    <mergeCell ref="C25:J25"/>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73.63"/>
    <col customWidth="1" min="4" max="4" width="34.75"/>
    <col customWidth="1" min="5" max="5" width="38.63"/>
    <col customWidth="1" min="6" max="6" width="130.5"/>
    <col customWidth="1" min="7" max="7" width="9.63"/>
    <col customWidth="1" min="8" max="8" width="5.75"/>
  </cols>
  <sheetData>
    <row r="1" ht="15.75" customHeight="1"/>
    <row r="2" ht="15.75" customHeight="1">
      <c r="A2" s="66"/>
      <c r="B2" s="67" t="s">
        <v>76</v>
      </c>
    </row>
    <row r="3" ht="15.75" customHeight="1"/>
    <row r="4" ht="15.75" customHeight="1">
      <c r="B4" s="3" t="s">
        <v>1</v>
      </c>
      <c r="C4" s="4" t="s">
        <v>2</v>
      </c>
    </row>
    <row r="5" ht="15.75" customHeight="1">
      <c r="B5" s="3" t="s">
        <v>77</v>
      </c>
      <c r="C5" s="6" t="s">
        <v>4</v>
      </c>
    </row>
    <row r="6" ht="15.75" customHeight="1">
      <c r="H6" s="68"/>
    </row>
    <row r="7" ht="15.75" customHeight="1">
      <c r="H7" s="68"/>
    </row>
    <row r="8" ht="15.75" customHeight="1">
      <c r="A8" s="69"/>
      <c r="B8" s="46" t="s">
        <v>78</v>
      </c>
      <c r="C8" s="70" t="s">
        <v>79</v>
      </c>
      <c r="D8" s="46" t="s">
        <v>80</v>
      </c>
      <c r="E8" s="46" t="s">
        <v>81</v>
      </c>
      <c r="F8" s="46" t="s">
        <v>82</v>
      </c>
      <c r="G8" s="46" t="s">
        <v>83</v>
      </c>
      <c r="H8" s="46" t="s">
        <v>84</v>
      </c>
    </row>
    <row r="9" ht="15.75" customHeight="1">
      <c r="B9" s="6">
        <v>1.0</v>
      </c>
      <c r="C9" s="71" t="s">
        <v>85</v>
      </c>
      <c r="D9" s="72" t="s">
        <v>86</v>
      </c>
      <c r="E9" s="72" t="s">
        <v>87</v>
      </c>
      <c r="F9" s="72" t="s">
        <v>88</v>
      </c>
      <c r="G9" s="72" t="s">
        <v>89</v>
      </c>
      <c r="H9" s="73">
        <v>2.0</v>
      </c>
    </row>
    <row r="10" ht="15.75" customHeight="1">
      <c r="B10" s="6">
        <v>2.0</v>
      </c>
      <c r="C10" s="71" t="s">
        <v>85</v>
      </c>
      <c r="D10" s="72" t="s">
        <v>86</v>
      </c>
      <c r="E10" s="72" t="s">
        <v>87</v>
      </c>
      <c r="F10" s="72" t="s">
        <v>90</v>
      </c>
      <c r="G10" s="72" t="s">
        <v>89</v>
      </c>
      <c r="H10" s="73">
        <v>2.0</v>
      </c>
    </row>
    <row r="11" ht="15.75" customHeight="1">
      <c r="B11" s="6">
        <v>3.0</v>
      </c>
      <c r="C11" s="71" t="s">
        <v>85</v>
      </c>
      <c r="D11" s="72" t="s">
        <v>86</v>
      </c>
      <c r="E11" s="72" t="s">
        <v>87</v>
      </c>
      <c r="F11" s="72" t="s">
        <v>91</v>
      </c>
      <c r="G11" s="72" t="s">
        <v>89</v>
      </c>
      <c r="H11" s="73">
        <v>2.0</v>
      </c>
    </row>
    <row r="12" ht="15.75" customHeight="1">
      <c r="B12" s="6">
        <v>4.0</v>
      </c>
      <c r="C12" s="71" t="s">
        <v>85</v>
      </c>
      <c r="D12" s="72" t="s">
        <v>86</v>
      </c>
      <c r="E12" s="72" t="s">
        <v>92</v>
      </c>
      <c r="F12" s="72" t="s">
        <v>93</v>
      </c>
      <c r="G12" s="72" t="s">
        <v>89</v>
      </c>
      <c r="H12" s="73">
        <v>2.0</v>
      </c>
    </row>
    <row r="13" ht="15.75" customHeight="1">
      <c r="B13" s="6">
        <v>5.0</v>
      </c>
      <c r="C13" s="71" t="s">
        <v>85</v>
      </c>
      <c r="D13" s="72" t="s">
        <v>94</v>
      </c>
      <c r="E13" s="72" t="s">
        <v>95</v>
      </c>
      <c r="F13" s="72" t="s">
        <v>96</v>
      </c>
      <c r="G13" s="72" t="s">
        <v>89</v>
      </c>
      <c r="H13" s="73">
        <v>3.0</v>
      </c>
    </row>
    <row r="14" ht="15.75" customHeight="1">
      <c r="B14" s="6">
        <v>6.0</v>
      </c>
      <c r="C14" s="71" t="s">
        <v>85</v>
      </c>
      <c r="D14" s="72" t="s">
        <v>94</v>
      </c>
      <c r="E14" s="72" t="s">
        <v>97</v>
      </c>
      <c r="F14" s="72" t="s">
        <v>98</v>
      </c>
      <c r="G14" s="72" t="s">
        <v>89</v>
      </c>
      <c r="H14" s="73">
        <v>3.0</v>
      </c>
    </row>
    <row r="15" ht="15.75" customHeight="1">
      <c r="B15" s="6">
        <v>7.0</v>
      </c>
      <c r="C15" s="71" t="s">
        <v>85</v>
      </c>
      <c r="D15" s="72" t="s">
        <v>94</v>
      </c>
      <c r="E15" s="72" t="s">
        <v>99</v>
      </c>
      <c r="F15" s="72" t="s">
        <v>100</v>
      </c>
      <c r="G15" s="72" t="s">
        <v>89</v>
      </c>
      <c r="H15" s="73">
        <v>3.0</v>
      </c>
    </row>
    <row r="16" ht="15.75" customHeight="1">
      <c r="B16" s="6">
        <v>8.0</v>
      </c>
      <c r="C16" s="71" t="s">
        <v>85</v>
      </c>
      <c r="D16" s="72" t="s">
        <v>94</v>
      </c>
      <c r="E16" s="72" t="s">
        <v>101</v>
      </c>
      <c r="F16" s="72" t="s">
        <v>102</v>
      </c>
      <c r="G16" s="72" t="s">
        <v>89</v>
      </c>
      <c r="H16" s="73">
        <v>3.0</v>
      </c>
    </row>
    <row r="17" ht="15.75" customHeight="1">
      <c r="B17" s="6">
        <v>9.0</v>
      </c>
      <c r="C17" s="71" t="s">
        <v>103</v>
      </c>
      <c r="D17" s="72" t="s">
        <v>104</v>
      </c>
      <c r="E17" s="72" t="s">
        <v>105</v>
      </c>
      <c r="F17" s="72" t="s">
        <v>106</v>
      </c>
      <c r="G17" s="72" t="s">
        <v>89</v>
      </c>
      <c r="H17" s="73">
        <v>4.0</v>
      </c>
    </row>
    <row r="18" ht="15.75" customHeight="1">
      <c r="B18" s="6">
        <v>10.0</v>
      </c>
      <c r="C18" s="71" t="s">
        <v>103</v>
      </c>
      <c r="D18" s="72" t="s">
        <v>104</v>
      </c>
      <c r="E18" s="72" t="s">
        <v>105</v>
      </c>
      <c r="F18" s="72" t="s">
        <v>107</v>
      </c>
      <c r="G18" s="72" t="s">
        <v>89</v>
      </c>
      <c r="H18" s="73">
        <v>4.0</v>
      </c>
    </row>
    <row r="19" ht="15.75" customHeight="1">
      <c r="B19" s="6">
        <v>11.0</v>
      </c>
      <c r="C19" s="71" t="s">
        <v>103</v>
      </c>
      <c r="D19" s="72" t="s">
        <v>104</v>
      </c>
      <c r="E19" s="72" t="s">
        <v>105</v>
      </c>
      <c r="F19" s="72" t="s">
        <v>108</v>
      </c>
      <c r="G19" s="72" t="s">
        <v>89</v>
      </c>
      <c r="H19" s="73">
        <v>4.0</v>
      </c>
    </row>
    <row r="20" ht="15.75" customHeight="1">
      <c r="B20" s="6">
        <v>12.0</v>
      </c>
      <c r="C20" s="71" t="s">
        <v>103</v>
      </c>
      <c r="D20" s="72" t="s">
        <v>104</v>
      </c>
      <c r="E20" s="72" t="s">
        <v>105</v>
      </c>
      <c r="F20" s="72" t="s">
        <v>109</v>
      </c>
      <c r="G20" s="72" t="s">
        <v>89</v>
      </c>
      <c r="H20" s="73">
        <v>4.0</v>
      </c>
    </row>
    <row r="21" ht="15.75" customHeight="1">
      <c r="B21" s="6">
        <v>13.0</v>
      </c>
      <c r="C21" s="71" t="s">
        <v>110</v>
      </c>
      <c r="D21" s="72" t="s">
        <v>104</v>
      </c>
      <c r="E21" s="72" t="s">
        <v>111</v>
      </c>
      <c r="F21" s="72" t="s">
        <v>112</v>
      </c>
      <c r="G21" s="72" t="s">
        <v>113</v>
      </c>
      <c r="H21" s="73">
        <v>5.0</v>
      </c>
    </row>
    <row r="22" ht="15.75" customHeight="1">
      <c r="B22" s="6">
        <v>14.0</v>
      </c>
      <c r="C22" s="71" t="s">
        <v>110</v>
      </c>
      <c r="D22" s="72" t="s">
        <v>104</v>
      </c>
      <c r="E22" s="72" t="s">
        <v>111</v>
      </c>
      <c r="F22" s="72" t="s">
        <v>114</v>
      </c>
      <c r="G22" s="72" t="s">
        <v>113</v>
      </c>
      <c r="H22" s="73">
        <v>5.0</v>
      </c>
    </row>
    <row r="23" ht="15.75" customHeight="1">
      <c r="B23" s="6">
        <v>15.0</v>
      </c>
      <c r="C23" s="71" t="s">
        <v>110</v>
      </c>
      <c r="D23" s="72" t="s">
        <v>104</v>
      </c>
      <c r="E23" s="72" t="s">
        <v>111</v>
      </c>
      <c r="F23" s="72" t="s">
        <v>115</v>
      </c>
      <c r="G23" s="72" t="s">
        <v>113</v>
      </c>
      <c r="H23" s="73">
        <v>5.0</v>
      </c>
    </row>
    <row r="24" ht="15.75" customHeight="1">
      <c r="B24" s="6">
        <v>16.0</v>
      </c>
      <c r="C24" s="71" t="s">
        <v>110</v>
      </c>
      <c r="D24" s="72" t="s">
        <v>104</v>
      </c>
      <c r="E24" s="72" t="s">
        <v>116</v>
      </c>
      <c r="F24" s="72" t="s">
        <v>117</v>
      </c>
      <c r="G24" s="72" t="s">
        <v>113</v>
      </c>
      <c r="H24" s="73">
        <v>5.0</v>
      </c>
    </row>
    <row r="25" ht="15.75" customHeight="1">
      <c r="B25" s="6">
        <v>17.0</v>
      </c>
      <c r="C25" s="71" t="s">
        <v>110</v>
      </c>
      <c r="D25" s="72" t="s">
        <v>104</v>
      </c>
      <c r="E25" s="72" t="s">
        <v>116</v>
      </c>
      <c r="F25" s="72" t="s">
        <v>118</v>
      </c>
      <c r="G25" s="72" t="s">
        <v>113</v>
      </c>
      <c r="H25" s="73">
        <v>5.0</v>
      </c>
    </row>
    <row r="26" ht="15.75" customHeight="1">
      <c r="B26" s="6">
        <v>18.0</v>
      </c>
      <c r="C26" s="71" t="s">
        <v>110</v>
      </c>
      <c r="D26" s="72" t="s">
        <v>119</v>
      </c>
      <c r="E26" s="72" t="s">
        <v>120</v>
      </c>
      <c r="F26" s="72" t="s">
        <v>121</v>
      </c>
      <c r="G26" s="72" t="s">
        <v>113</v>
      </c>
      <c r="H26" s="73">
        <v>6.0</v>
      </c>
    </row>
    <row r="27" ht="15.75" customHeight="1">
      <c r="B27" s="6">
        <v>19.0</v>
      </c>
      <c r="C27" s="71" t="s">
        <v>110</v>
      </c>
      <c r="D27" s="72" t="s">
        <v>122</v>
      </c>
      <c r="E27" s="72" t="s">
        <v>123</v>
      </c>
      <c r="F27" s="72" t="s">
        <v>124</v>
      </c>
      <c r="G27" s="72" t="s">
        <v>113</v>
      </c>
      <c r="H27" s="73">
        <v>6.0</v>
      </c>
    </row>
    <row r="28" ht="15.75" customHeight="1">
      <c r="B28" s="6">
        <v>20.0</v>
      </c>
      <c r="C28" s="71" t="s">
        <v>110</v>
      </c>
      <c r="D28" s="72" t="s">
        <v>125</v>
      </c>
      <c r="E28" s="72" t="s">
        <v>126</v>
      </c>
      <c r="F28" s="72" t="s">
        <v>127</v>
      </c>
      <c r="G28" s="72" t="s">
        <v>113</v>
      </c>
      <c r="H28" s="73">
        <v>6.0</v>
      </c>
    </row>
    <row r="29" ht="15.75" customHeight="1">
      <c r="B29" s="6">
        <v>21.0</v>
      </c>
      <c r="C29" s="71" t="s">
        <v>128</v>
      </c>
      <c r="D29" s="72" t="s">
        <v>125</v>
      </c>
      <c r="E29" s="72" t="s">
        <v>126</v>
      </c>
      <c r="F29" s="72" t="s">
        <v>129</v>
      </c>
      <c r="G29" s="72" t="s">
        <v>113</v>
      </c>
      <c r="H29" s="73">
        <v>6.0</v>
      </c>
    </row>
    <row r="30" ht="15.75" customHeight="1">
      <c r="B30" s="6">
        <v>22.0</v>
      </c>
      <c r="C30" s="71" t="s">
        <v>110</v>
      </c>
      <c r="D30" s="72" t="s">
        <v>125</v>
      </c>
      <c r="E30" s="72" t="s">
        <v>126</v>
      </c>
      <c r="F30" s="72" t="s">
        <v>130</v>
      </c>
      <c r="G30" s="72" t="s">
        <v>113</v>
      </c>
      <c r="H30" s="73">
        <v>6.0</v>
      </c>
    </row>
    <row r="31" ht="15.75" customHeight="1">
      <c r="B31" s="6">
        <v>23.0</v>
      </c>
      <c r="C31" s="71" t="s">
        <v>110</v>
      </c>
      <c r="D31" s="72" t="s">
        <v>125</v>
      </c>
      <c r="E31" s="72" t="s">
        <v>126</v>
      </c>
      <c r="F31" s="72" t="s">
        <v>131</v>
      </c>
      <c r="G31" s="72" t="s">
        <v>113</v>
      </c>
      <c r="H31" s="73">
        <v>6.0</v>
      </c>
    </row>
    <row r="32" ht="15.75" customHeight="1">
      <c r="B32" s="6">
        <v>24.0</v>
      </c>
      <c r="C32" s="71" t="s">
        <v>110</v>
      </c>
      <c r="D32" s="72" t="s">
        <v>125</v>
      </c>
      <c r="E32" s="72" t="s">
        <v>126</v>
      </c>
      <c r="F32" s="72" t="s">
        <v>132</v>
      </c>
      <c r="G32" s="72" t="s">
        <v>113</v>
      </c>
      <c r="H32" s="73">
        <v>6.0</v>
      </c>
    </row>
    <row r="33" ht="15.75" customHeight="1">
      <c r="B33" s="6">
        <v>25.0</v>
      </c>
      <c r="C33" s="71" t="s">
        <v>133</v>
      </c>
      <c r="D33" s="72" t="s">
        <v>125</v>
      </c>
      <c r="E33" s="72" t="s">
        <v>134</v>
      </c>
      <c r="F33" s="72" t="s">
        <v>135</v>
      </c>
      <c r="G33" s="72" t="s">
        <v>113</v>
      </c>
      <c r="H33" s="73">
        <v>7.0</v>
      </c>
    </row>
    <row r="34" ht="15.75" customHeight="1">
      <c r="B34" s="6">
        <v>26.0</v>
      </c>
      <c r="C34" s="71" t="s">
        <v>133</v>
      </c>
      <c r="D34" s="72" t="s">
        <v>125</v>
      </c>
      <c r="E34" s="72" t="s">
        <v>134</v>
      </c>
      <c r="F34" s="72" t="s">
        <v>136</v>
      </c>
      <c r="G34" s="72" t="s">
        <v>113</v>
      </c>
      <c r="H34" s="73">
        <v>7.0</v>
      </c>
    </row>
    <row r="35" ht="15.75" customHeight="1">
      <c r="B35" s="6">
        <v>27.0</v>
      </c>
      <c r="C35" s="71" t="s">
        <v>133</v>
      </c>
      <c r="D35" s="72" t="s">
        <v>125</v>
      </c>
      <c r="E35" s="72" t="s">
        <v>134</v>
      </c>
      <c r="F35" s="72" t="s">
        <v>137</v>
      </c>
      <c r="G35" s="72" t="s">
        <v>113</v>
      </c>
      <c r="H35" s="73">
        <v>7.0</v>
      </c>
    </row>
    <row r="36" ht="15.75" customHeight="1">
      <c r="B36" s="6">
        <v>28.0</v>
      </c>
      <c r="C36" s="71" t="s">
        <v>133</v>
      </c>
      <c r="D36" s="72" t="s">
        <v>125</v>
      </c>
      <c r="E36" s="72" t="s">
        <v>137</v>
      </c>
      <c r="F36" s="72" t="s">
        <v>138</v>
      </c>
      <c r="G36" s="72" t="s">
        <v>113</v>
      </c>
      <c r="H36" s="73">
        <v>7.0</v>
      </c>
    </row>
    <row r="37" ht="15.75" customHeight="1">
      <c r="B37" s="6">
        <v>29.0</v>
      </c>
      <c r="C37" s="71" t="s">
        <v>133</v>
      </c>
      <c r="D37" s="72" t="s">
        <v>125</v>
      </c>
      <c r="E37" s="72" t="s">
        <v>139</v>
      </c>
      <c r="F37" s="72" t="s">
        <v>140</v>
      </c>
      <c r="G37" s="72" t="s">
        <v>113</v>
      </c>
      <c r="H37" s="73">
        <v>7.0</v>
      </c>
    </row>
    <row r="38" ht="15.75" customHeight="1">
      <c r="B38" s="6">
        <v>30.0</v>
      </c>
      <c r="C38" s="71" t="s">
        <v>133</v>
      </c>
      <c r="D38" s="72" t="s">
        <v>125</v>
      </c>
      <c r="E38" s="72" t="s">
        <v>139</v>
      </c>
      <c r="F38" s="72" t="s">
        <v>141</v>
      </c>
      <c r="G38" s="72" t="s">
        <v>113</v>
      </c>
      <c r="H38" s="73">
        <v>7.0</v>
      </c>
    </row>
    <row r="39" ht="15.75" customHeight="1">
      <c r="B39" s="6">
        <v>31.0</v>
      </c>
      <c r="C39" s="71" t="s">
        <v>110</v>
      </c>
      <c r="D39" s="72" t="s">
        <v>142</v>
      </c>
      <c r="E39" s="72" t="s">
        <v>143</v>
      </c>
      <c r="F39" s="72" t="s">
        <v>143</v>
      </c>
      <c r="G39" s="72" t="s">
        <v>113</v>
      </c>
      <c r="H39" s="73">
        <v>8.0</v>
      </c>
    </row>
    <row r="40" ht="15.75" customHeight="1">
      <c r="B40" s="6">
        <v>32.0</v>
      </c>
      <c r="C40" s="71" t="s">
        <v>110</v>
      </c>
      <c r="D40" s="72" t="s">
        <v>144</v>
      </c>
      <c r="E40" s="72" t="s">
        <v>145</v>
      </c>
      <c r="F40" s="72" t="s">
        <v>146</v>
      </c>
      <c r="G40" s="72" t="s">
        <v>113</v>
      </c>
      <c r="H40" s="73">
        <v>8.0</v>
      </c>
    </row>
    <row r="41" ht="15.75" customHeight="1">
      <c r="B41" s="6">
        <v>33.0</v>
      </c>
      <c r="C41" s="71" t="s">
        <v>110</v>
      </c>
      <c r="D41" s="72" t="s">
        <v>144</v>
      </c>
      <c r="E41" s="72" t="s">
        <v>145</v>
      </c>
      <c r="F41" s="72" t="s">
        <v>147</v>
      </c>
      <c r="G41" s="72" t="s">
        <v>113</v>
      </c>
      <c r="H41" s="73">
        <v>8.0</v>
      </c>
    </row>
    <row r="42" ht="15.75" customHeight="1">
      <c r="B42" s="6">
        <v>34.0</v>
      </c>
      <c r="C42" s="71" t="s">
        <v>110</v>
      </c>
      <c r="D42" s="72" t="s">
        <v>144</v>
      </c>
      <c r="E42" s="72" t="s">
        <v>145</v>
      </c>
      <c r="F42" s="72" t="s">
        <v>148</v>
      </c>
      <c r="G42" s="72" t="s">
        <v>113</v>
      </c>
      <c r="H42" s="73">
        <v>8.0</v>
      </c>
    </row>
    <row r="43" ht="15.75" customHeight="1">
      <c r="B43" s="6">
        <v>35.0</v>
      </c>
      <c r="C43" s="71" t="s">
        <v>110</v>
      </c>
      <c r="D43" s="72" t="s">
        <v>144</v>
      </c>
      <c r="E43" s="72" t="s">
        <v>145</v>
      </c>
      <c r="F43" s="72" t="s">
        <v>149</v>
      </c>
      <c r="G43" s="72" t="s">
        <v>113</v>
      </c>
      <c r="H43" s="73">
        <v>8.0</v>
      </c>
    </row>
    <row r="44" ht="15.75" customHeight="1">
      <c r="B44" s="6">
        <v>36.0</v>
      </c>
      <c r="C44" s="71" t="s">
        <v>150</v>
      </c>
      <c r="D44" s="72" t="s">
        <v>144</v>
      </c>
      <c r="E44" s="72" t="s">
        <v>149</v>
      </c>
      <c r="F44" s="72" t="s">
        <v>151</v>
      </c>
      <c r="G44" s="72" t="s">
        <v>113</v>
      </c>
      <c r="H44" s="73">
        <v>8.0</v>
      </c>
    </row>
    <row r="45" ht="15.75" customHeight="1">
      <c r="B45" s="6">
        <v>37.0</v>
      </c>
      <c r="C45" s="71" t="s">
        <v>150</v>
      </c>
      <c r="D45" s="72" t="s">
        <v>144</v>
      </c>
      <c r="E45" s="72" t="s">
        <v>151</v>
      </c>
      <c r="F45" s="72" t="s">
        <v>152</v>
      </c>
      <c r="G45" s="72" t="s">
        <v>113</v>
      </c>
      <c r="H45" s="73">
        <v>8.0</v>
      </c>
    </row>
    <row r="46" ht="15.75" customHeight="1">
      <c r="B46" s="6">
        <v>38.0</v>
      </c>
      <c r="C46" s="71" t="s">
        <v>153</v>
      </c>
      <c r="D46" s="72" t="s">
        <v>144</v>
      </c>
      <c r="E46" s="72" t="s">
        <v>154</v>
      </c>
      <c r="F46" s="72" t="s">
        <v>155</v>
      </c>
      <c r="G46" s="72" t="s">
        <v>156</v>
      </c>
      <c r="H46" s="73">
        <v>9.0</v>
      </c>
    </row>
    <row r="47" ht="15.75" customHeight="1">
      <c r="B47" s="6">
        <v>39.0</v>
      </c>
      <c r="C47" s="71" t="s">
        <v>150</v>
      </c>
      <c r="D47" s="72" t="s">
        <v>157</v>
      </c>
      <c r="E47" s="72" t="s">
        <v>158</v>
      </c>
      <c r="F47" s="72" t="s">
        <v>159</v>
      </c>
      <c r="G47" s="72" t="s">
        <v>156</v>
      </c>
      <c r="H47" s="73">
        <v>9.0</v>
      </c>
    </row>
    <row r="48" ht="15.75" customHeight="1">
      <c r="B48" s="6">
        <v>40.0</v>
      </c>
      <c r="C48" s="71" t="s">
        <v>150</v>
      </c>
      <c r="D48" s="72" t="s">
        <v>157</v>
      </c>
      <c r="E48" s="72" t="s">
        <v>160</v>
      </c>
      <c r="F48" s="72" t="s">
        <v>161</v>
      </c>
      <c r="G48" s="72" t="s">
        <v>156</v>
      </c>
      <c r="H48" s="73">
        <v>9.0</v>
      </c>
    </row>
    <row r="49" ht="15.75" customHeight="1">
      <c r="B49" s="6">
        <v>41.0</v>
      </c>
      <c r="C49" s="71" t="s">
        <v>150</v>
      </c>
      <c r="D49" s="72" t="s">
        <v>157</v>
      </c>
      <c r="E49" s="72" t="s">
        <v>162</v>
      </c>
      <c r="F49" s="72" t="s">
        <v>163</v>
      </c>
      <c r="G49" s="72" t="s">
        <v>156</v>
      </c>
      <c r="H49" s="73">
        <v>9.0</v>
      </c>
    </row>
    <row r="50" ht="15.75" customHeight="1">
      <c r="B50" s="6">
        <v>42.0</v>
      </c>
      <c r="C50" s="71" t="s">
        <v>150</v>
      </c>
      <c r="D50" s="72" t="s">
        <v>157</v>
      </c>
      <c r="E50" s="72" t="s">
        <v>164</v>
      </c>
      <c r="F50" s="72" t="s">
        <v>165</v>
      </c>
      <c r="G50" s="72" t="s">
        <v>156</v>
      </c>
      <c r="H50" s="73">
        <v>9.0</v>
      </c>
    </row>
    <row r="51" ht="15.75" customHeight="1">
      <c r="B51" s="6">
        <v>43.0</v>
      </c>
      <c r="C51" s="71" t="s">
        <v>150</v>
      </c>
      <c r="D51" s="72" t="s">
        <v>157</v>
      </c>
      <c r="E51" s="72" t="s">
        <v>166</v>
      </c>
      <c r="F51" s="72" t="s">
        <v>167</v>
      </c>
      <c r="G51" s="72" t="s">
        <v>156</v>
      </c>
      <c r="H51" s="73">
        <v>9.0</v>
      </c>
    </row>
    <row r="52" ht="15.75" customHeight="1">
      <c r="B52" s="6">
        <v>44.0</v>
      </c>
      <c r="C52" s="71" t="s">
        <v>150</v>
      </c>
      <c r="D52" s="72" t="s">
        <v>157</v>
      </c>
      <c r="E52" s="72" t="s">
        <v>166</v>
      </c>
      <c r="F52" s="72" t="s">
        <v>168</v>
      </c>
      <c r="G52" s="72" t="s">
        <v>156</v>
      </c>
      <c r="H52" s="73">
        <v>9.0</v>
      </c>
    </row>
    <row r="53" ht="15.75" customHeight="1">
      <c r="B53" s="6">
        <v>45.0</v>
      </c>
      <c r="C53" s="71" t="s">
        <v>153</v>
      </c>
      <c r="D53" s="72" t="s">
        <v>144</v>
      </c>
      <c r="E53" s="72" t="s">
        <v>169</v>
      </c>
      <c r="F53" s="72" t="s">
        <v>170</v>
      </c>
      <c r="G53" s="72" t="s">
        <v>156</v>
      </c>
      <c r="H53" s="73">
        <v>10.0</v>
      </c>
    </row>
    <row r="54" ht="15.75" customHeight="1">
      <c r="B54" s="6">
        <v>46.0</v>
      </c>
      <c r="C54" s="71" t="s">
        <v>153</v>
      </c>
      <c r="D54" s="72" t="s">
        <v>144</v>
      </c>
      <c r="E54" s="72" t="s">
        <v>170</v>
      </c>
      <c r="F54" s="72" t="s">
        <v>171</v>
      </c>
      <c r="G54" s="72" t="s">
        <v>156</v>
      </c>
      <c r="H54" s="73">
        <v>10.0</v>
      </c>
    </row>
    <row r="55" ht="15.75" customHeight="1">
      <c r="B55" s="6">
        <v>47.0</v>
      </c>
      <c r="C55" s="71" t="s">
        <v>153</v>
      </c>
      <c r="D55" s="72" t="s">
        <v>144</v>
      </c>
      <c r="E55" s="72" t="s">
        <v>170</v>
      </c>
      <c r="F55" s="72" t="s">
        <v>172</v>
      </c>
      <c r="G55" s="72" t="s">
        <v>156</v>
      </c>
      <c r="H55" s="73">
        <v>10.0</v>
      </c>
    </row>
    <row r="56" ht="15.75" customHeight="1">
      <c r="B56" s="6">
        <v>48.0</v>
      </c>
      <c r="C56" s="71" t="s">
        <v>153</v>
      </c>
      <c r="D56" s="72" t="s">
        <v>144</v>
      </c>
      <c r="E56" s="72" t="s">
        <v>170</v>
      </c>
      <c r="F56" s="72" t="s">
        <v>173</v>
      </c>
      <c r="G56" s="72" t="s">
        <v>156</v>
      </c>
      <c r="H56" s="73">
        <v>10.0</v>
      </c>
    </row>
    <row r="57" ht="15.75" customHeight="1">
      <c r="B57" s="6">
        <v>49.0</v>
      </c>
      <c r="C57" s="71" t="s">
        <v>153</v>
      </c>
      <c r="D57" s="72" t="s">
        <v>144</v>
      </c>
      <c r="E57" s="72" t="s">
        <v>170</v>
      </c>
      <c r="F57" s="72" t="s">
        <v>174</v>
      </c>
      <c r="G57" s="72" t="s">
        <v>156</v>
      </c>
      <c r="H57" s="73">
        <v>10.0</v>
      </c>
    </row>
    <row r="58" ht="15.75" customHeight="1">
      <c r="B58" s="6">
        <v>50.0</v>
      </c>
      <c r="C58" s="71" t="s">
        <v>150</v>
      </c>
      <c r="D58" s="72" t="s">
        <v>144</v>
      </c>
      <c r="E58" s="72" t="s">
        <v>170</v>
      </c>
      <c r="F58" s="72" t="s">
        <v>175</v>
      </c>
      <c r="G58" s="72" t="s">
        <v>156</v>
      </c>
      <c r="H58" s="73">
        <v>10.0</v>
      </c>
    </row>
    <row r="59" ht="15.75" customHeight="1">
      <c r="B59" s="6">
        <v>51.0</v>
      </c>
      <c r="C59" s="71" t="s">
        <v>153</v>
      </c>
      <c r="D59" s="72" t="s">
        <v>144</v>
      </c>
      <c r="E59" s="72" t="s">
        <v>170</v>
      </c>
      <c r="F59" s="72" t="s">
        <v>176</v>
      </c>
      <c r="G59" s="72" t="s">
        <v>156</v>
      </c>
      <c r="H59" s="73">
        <v>10.0</v>
      </c>
    </row>
    <row r="60" ht="15.75" customHeight="1">
      <c r="B60" s="6">
        <v>52.0</v>
      </c>
      <c r="C60" s="71" t="s">
        <v>153</v>
      </c>
      <c r="D60" s="72" t="s">
        <v>144</v>
      </c>
      <c r="E60" s="72" t="s">
        <v>177</v>
      </c>
      <c r="F60" s="72" t="s">
        <v>178</v>
      </c>
      <c r="G60" s="72" t="s">
        <v>156</v>
      </c>
      <c r="H60" s="73">
        <v>11.0</v>
      </c>
    </row>
    <row r="61" ht="15.75" customHeight="1">
      <c r="B61" s="6">
        <v>53.0</v>
      </c>
      <c r="C61" s="71" t="s">
        <v>153</v>
      </c>
      <c r="D61" s="72" t="s">
        <v>144</v>
      </c>
      <c r="E61" s="72" t="s">
        <v>177</v>
      </c>
      <c r="F61" s="72" t="s">
        <v>179</v>
      </c>
      <c r="G61" s="72" t="s">
        <v>156</v>
      </c>
      <c r="H61" s="73">
        <v>11.0</v>
      </c>
    </row>
    <row r="62" ht="15.75" customHeight="1">
      <c r="B62" s="6">
        <v>54.0</v>
      </c>
      <c r="C62" s="71" t="s">
        <v>153</v>
      </c>
      <c r="D62" s="72" t="s">
        <v>144</v>
      </c>
      <c r="E62" s="72" t="s">
        <v>177</v>
      </c>
      <c r="F62" s="72" t="s">
        <v>180</v>
      </c>
      <c r="G62" s="72" t="s">
        <v>156</v>
      </c>
      <c r="H62" s="73">
        <v>11.0</v>
      </c>
    </row>
    <row r="63" ht="15.75" customHeight="1">
      <c r="B63" s="6">
        <v>55.0</v>
      </c>
      <c r="C63" s="71" t="s">
        <v>153</v>
      </c>
      <c r="D63" s="72" t="s">
        <v>144</v>
      </c>
      <c r="E63" s="72" t="s">
        <v>177</v>
      </c>
      <c r="F63" s="72" t="s">
        <v>181</v>
      </c>
      <c r="G63" s="72" t="s">
        <v>156</v>
      </c>
      <c r="H63" s="73">
        <v>11.0</v>
      </c>
    </row>
    <row r="64" ht="15.75" customHeight="1">
      <c r="B64" s="6">
        <v>56.0</v>
      </c>
      <c r="C64" s="71" t="s">
        <v>153</v>
      </c>
      <c r="D64" s="72" t="s">
        <v>144</v>
      </c>
      <c r="E64" s="72" t="s">
        <v>177</v>
      </c>
      <c r="F64" s="72" t="s">
        <v>182</v>
      </c>
      <c r="G64" s="72" t="s">
        <v>156</v>
      </c>
      <c r="H64" s="73">
        <v>11.0</v>
      </c>
    </row>
    <row r="65" ht="15.75" customHeight="1">
      <c r="B65" s="6">
        <v>57.0</v>
      </c>
      <c r="C65" s="71" t="s">
        <v>153</v>
      </c>
      <c r="D65" s="72" t="s">
        <v>144</v>
      </c>
      <c r="E65" s="72" t="s">
        <v>177</v>
      </c>
      <c r="F65" s="72" t="s">
        <v>183</v>
      </c>
      <c r="G65" s="72" t="s">
        <v>156</v>
      </c>
      <c r="H65" s="73">
        <v>11.0</v>
      </c>
    </row>
    <row r="66" ht="15.75" customHeight="1">
      <c r="B66" s="6">
        <v>58.0</v>
      </c>
      <c r="C66" s="71" t="s">
        <v>150</v>
      </c>
      <c r="D66" s="72" t="s">
        <v>184</v>
      </c>
      <c r="E66" s="72" t="s">
        <v>185</v>
      </c>
      <c r="F66" s="72" t="s">
        <v>186</v>
      </c>
      <c r="G66" s="72" t="s">
        <v>156</v>
      </c>
      <c r="H66" s="73">
        <v>11.0</v>
      </c>
    </row>
    <row r="67" ht="15.75" customHeight="1">
      <c r="B67" s="6">
        <v>59.0</v>
      </c>
      <c r="C67" s="71" t="s">
        <v>103</v>
      </c>
      <c r="D67" s="72" t="s">
        <v>104</v>
      </c>
      <c r="E67" s="72" t="s">
        <v>105</v>
      </c>
      <c r="F67" s="72" t="s">
        <v>187</v>
      </c>
      <c r="G67" s="72" t="s">
        <v>89</v>
      </c>
      <c r="H67" s="73">
        <v>4.0</v>
      </c>
    </row>
    <row r="68" ht="15.75" customHeight="1">
      <c r="B68" s="6">
        <v>60.0</v>
      </c>
      <c r="C68" s="71" t="s">
        <v>103</v>
      </c>
      <c r="D68" s="72" t="s">
        <v>104</v>
      </c>
      <c r="E68" s="72" t="s">
        <v>105</v>
      </c>
      <c r="F68" s="72" t="s">
        <v>188</v>
      </c>
      <c r="G68" s="72" t="s">
        <v>89</v>
      </c>
      <c r="H68" s="73">
        <v>4.0</v>
      </c>
    </row>
    <row r="69" ht="15.75" customHeight="1">
      <c r="B69" s="6">
        <v>61.0</v>
      </c>
      <c r="C69" s="71" t="s">
        <v>103</v>
      </c>
      <c r="D69" s="72" t="s">
        <v>104</v>
      </c>
      <c r="E69" s="72" t="s">
        <v>105</v>
      </c>
      <c r="F69" s="72" t="s">
        <v>189</v>
      </c>
      <c r="G69" s="72" t="s">
        <v>89</v>
      </c>
      <c r="H69" s="73">
        <v>4.0</v>
      </c>
    </row>
    <row r="70" ht="15.75" customHeight="1">
      <c r="B70" s="6">
        <v>62.0</v>
      </c>
      <c r="C70" s="71" t="s">
        <v>85</v>
      </c>
      <c r="D70" s="72" t="s">
        <v>94</v>
      </c>
      <c r="E70" s="72" t="s">
        <v>190</v>
      </c>
      <c r="F70" s="72" t="s">
        <v>191</v>
      </c>
      <c r="G70" s="72" t="s">
        <v>89</v>
      </c>
      <c r="H70" s="73">
        <v>3.0</v>
      </c>
    </row>
    <row r="71" ht="15.75" customHeight="1">
      <c r="B71" s="6">
        <v>63.0</v>
      </c>
      <c r="C71" s="71" t="s">
        <v>85</v>
      </c>
      <c r="D71" s="72" t="s">
        <v>94</v>
      </c>
      <c r="E71" s="72" t="s">
        <v>190</v>
      </c>
      <c r="F71" s="72" t="s">
        <v>192</v>
      </c>
      <c r="G71" s="72" t="s">
        <v>89</v>
      </c>
      <c r="H71" s="73">
        <v>3.0</v>
      </c>
    </row>
    <row r="72" ht="15.75" customHeight="1">
      <c r="B72" s="6">
        <v>64.0</v>
      </c>
      <c r="C72" s="71" t="s">
        <v>85</v>
      </c>
      <c r="D72" s="72" t="s">
        <v>94</v>
      </c>
      <c r="E72" s="72" t="s">
        <v>190</v>
      </c>
      <c r="F72" s="72" t="s">
        <v>193</v>
      </c>
      <c r="G72" s="72" t="s">
        <v>89</v>
      </c>
      <c r="H72" s="73">
        <v>3.0</v>
      </c>
    </row>
    <row r="73" ht="15.75" customHeight="1">
      <c r="B73" s="6">
        <v>65.0</v>
      </c>
      <c r="C73" s="71" t="s">
        <v>110</v>
      </c>
      <c r="D73" s="72" t="s">
        <v>104</v>
      </c>
      <c r="E73" s="72" t="s">
        <v>111</v>
      </c>
      <c r="F73" s="72" t="s">
        <v>194</v>
      </c>
      <c r="G73" s="72" t="s">
        <v>113</v>
      </c>
      <c r="H73" s="73">
        <v>5.0</v>
      </c>
    </row>
    <row r="74" ht="15.75" customHeight="1">
      <c r="B74" s="6">
        <v>66.0</v>
      </c>
      <c r="C74" s="71" t="s">
        <v>110</v>
      </c>
      <c r="D74" s="72" t="s">
        <v>104</v>
      </c>
      <c r="E74" s="72" t="s">
        <v>111</v>
      </c>
      <c r="F74" s="72" t="s">
        <v>195</v>
      </c>
      <c r="G74" s="72" t="s">
        <v>113</v>
      </c>
      <c r="H74" s="73">
        <v>5.0</v>
      </c>
    </row>
    <row r="75" ht="15.75" customHeight="1">
      <c r="B75" s="6">
        <v>67.0</v>
      </c>
      <c r="C75" s="71" t="s">
        <v>133</v>
      </c>
      <c r="D75" s="72" t="s">
        <v>196</v>
      </c>
      <c r="E75" s="72" t="s">
        <v>197</v>
      </c>
      <c r="F75" s="72" t="s">
        <v>198</v>
      </c>
      <c r="G75" s="72" t="s">
        <v>199</v>
      </c>
      <c r="H75" s="73">
        <v>12.0</v>
      </c>
    </row>
    <row r="76" ht="15.75" customHeight="1">
      <c r="B76" s="6">
        <v>68.0</v>
      </c>
      <c r="C76" s="71" t="s">
        <v>133</v>
      </c>
      <c r="D76" s="72" t="s">
        <v>196</v>
      </c>
      <c r="E76" s="72" t="s">
        <v>200</v>
      </c>
      <c r="F76" s="72" t="s">
        <v>201</v>
      </c>
      <c r="G76" s="72" t="s">
        <v>199</v>
      </c>
      <c r="H76" s="73">
        <v>12.0</v>
      </c>
    </row>
    <row r="77" ht="15.75" customHeight="1">
      <c r="B77" s="6">
        <v>69.0</v>
      </c>
      <c r="C77" s="71" t="s">
        <v>133</v>
      </c>
      <c r="D77" s="72" t="s">
        <v>196</v>
      </c>
      <c r="E77" s="72" t="s">
        <v>202</v>
      </c>
      <c r="F77" s="72" t="s">
        <v>203</v>
      </c>
      <c r="G77" s="72" t="s">
        <v>199</v>
      </c>
      <c r="H77" s="73">
        <v>12.0</v>
      </c>
    </row>
    <row r="78" ht="15.75" customHeight="1">
      <c r="B78" s="6">
        <v>70.0</v>
      </c>
      <c r="C78" s="71" t="s">
        <v>133</v>
      </c>
      <c r="D78" s="72" t="s">
        <v>196</v>
      </c>
      <c r="E78" s="72" t="s">
        <v>204</v>
      </c>
      <c r="F78" s="72" t="s">
        <v>205</v>
      </c>
      <c r="G78" s="72" t="s">
        <v>199</v>
      </c>
      <c r="H78" s="73">
        <v>12.0</v>
      </c>
    </row>
    <row r="79" ht="15.75" customHeight="1">
      <c r="B79" s="6">
        <v>71.0</v>
      </c>
      <c r="C79" s="71" t="s">
        <v>110</v>
      </c>
      <c r="D79" s="72" t="s">
        <v>196</v>
      </c>
      <c r="E79" s="72" t="s">
        <v>206</v>
      </c>
      <c r="F79" s="72" t="s">
        <v>203</v>
      </c>
      <c r="G79" s="72" t="s">
        <v>199</v>
      </c>
      <c r="H79" s="73">
        <v>12.0</v>
      </c>
    </row>
    <row r="80" ht="15.75" customHeight="1">
      <c r="B80" s="6">
        <v>72.0</v>
      </c>
      <c r="C80" s="71" t="s">
        <v>133</v>
      </c>
      <c r="D80" s="72" t="s">
        <v>196</v>
      </c>
      <c r="E80" s="72" t="s">
        <v>207</v>
      </c>
      <c r="F80" s="72" t="s">
        <v>208</v>
      </c>
      <c r="G80" s="72" t="s">
        <v>199</v>
      </c>
      <c r="H80" s="73">
        <v>12.0</v>
      </c>
    </row>
    <row r="81" ht="15.75" customHeight="1">
      <c r="B81" s="6">
        <v>73.0</v>
      </c>
      <c r="C81" s="71" t="s">
        <v>133</v>
      </c>
      <c r="D81" s="72" t="s">
        <v>196</v>
      </c>
      <c r="E81" s="72" t="s">
        <v>165</v>
      </c>
      <c r="F81" s="72" t="s">
        <v>209</v>
      </c>
      <c r="G81" s="72" t="s">
        <v>199</v>
      </c>
      <c r="H81" s="73">
        <v>12.0</v>
      </c>
    </row>
    <row r="82" ht="15.75" customHeight="1">
      <c r="B82" s="6">
        <v>74.0</v>
      </c>
      <c r="C82" s="71" t="s">
        <v>85</v>
      </c>
      <c r="D82" s="72" t="s">
        <v>86</v>
      </c>
      <c r="E82" s="72" t="s">
        <v>88</v>
      </c>
      <c r="F82" s="72" t="s">
        <v>210</v>
      </c>
      <c r="G82" s="72" t="s">
        <v>89</v>
      </c>
      <c r="H82" s="73">
        <v>2.0</v>
      </c>
    </row>
    <row r="83" ht="15.75" customHeight="1">
      <c r="B83" s="6">
        <v>75.0</v>
      </c>
      <c r="C83" s="71" t="s">
        <v>85</v>
      </c>
      <c r="D83" s="72" t="s">
        <v>86</v>
      </c>
      <c r="E83" s="72" t="s">
        <v>88</v>
      </c>
      <c r="F83" s="72" t="s">
        <v>211</v>
      </c>
      <c r="G83" s="72" t="s">
        <v>89</v>
      </c>
      <c r="H83" s="73">
        <v>2.0</v>
      </c>
    </row>
    <row r="84" ht="15.75" customHeight="1">
      <c r="B84" s="6">
        <v>76.0</v>
      </c>
      <c r="C84" s="71" t="s">
        <v>85</v>
      </c>
      <c r="D84" s="72" t="s">
        <v>86</v>
      </c>
      <c r="E84" s="72" t="s">
        <v>88</v>
      </c>
      <c r="F84" s="72" t="s">
        <v>212</v>
      </c>
      <c r="G84" s="72" t="s">
        <v>89</v>
      </c>
      <c r="H84" s="73">
        <v>2.0</v>
      </c>
    </row>
    <row r="85" ht="15.75" customHeight="1">
      <c r="B85" s="6">
        <v>77.0</v>
      </c>
      <c r="C85" s="71" t="s">
        <v>133</v>
      </c>
      <c r="D85" s="72" t="s">
        <v>125</v>
      </c>
      <c r="E85" s="72" t="s">
        <v>213</v>
      </c>
      <c r="F85" s="72" t="s">
        <v>214</v>
      </c>
      <c r="G85" s="72" t="s">
        <v>113</v>
      </c>
      <c r="H85" s="73">
        <v>7.0</v>
      </c>
    </row>
    <row r="86" ht="15.75" customHeight="1">
      <c r="B86" s="6">
        <v>78.0</v>
      </c>
      <c r="C86" s="71"/>
      <c r="D86" s="72"/>
      <c r="E86" s="72"/>
      <c r="F86" s="72"/>
      <c r="G86" s="72"/>
      <c r="H86" s="73"/>
    </row>
    <row r="87" ht="15.75" customHeight="1">
      <c r="B87" s="6">
        <v>79.0</v>
      </c>
      <c r="C87" s="71"/>
      <c r="D87" s="72"/>
      <c r="E87" s="72"/>
      <c r="F87" s="72"/>
      <c r="G87" s="72"/>
      <c r="H87" s="73"/>
    </row>
    <row r="88" ht="15.75" customHeight="1">
      <c r="B88" s="6">
        <v>80.0</v>
      </c>
      <c r="C88" s="71"/>
      <c r="D88" s="72"/>
      <c r="E88" s="72"/>
      <c r="F88" s="72"/>
      <c r="G88" s="72"/>
      <c r="H88" s="73"/>
    </row>
    <row r="89" ht="15.75" customHeight="1">
      <c r="B89" s="6">
        <v>81.0</v>
      </c>
      <c r="C89" s="71"/>
      <c r="D89" s="72"/>
      <c r="E89" s="72"/>
      <c r="F89" s="72"/>
      <c r="G89" s="72"/>
      <c r="H89" s="73"/>
    </row>
    <row r="90" ht="15.75" customHeight="1">
      <c r="B90" s="6">
        <v>82.0</v>
      </c>
      <c r="C90" s="71"/>
      <c r="D90" s="72"/>
      <c r="E90" s="72"/>
      <c r="F90" s="72"/>
      <c r="G90" s="72"/>
      <c r="H90" s="73"/>
    </row>
    <row r="91" ht="15.75" customHeight="1">
      <c r="B91" s="6">
        <v>83.0</v>
      </c>
      <c r="C91" s="71"/>
      <c r="D91" s="72"/>
      <c r="E91" s="72"/>
      <c r="F91" s="72"/>
      <c r="G91" s="72"/>
      <c r="H91" s="73"/>
    </row>
    <row r="92" ht="15.75" customHeight="1">
      <c r="B92" s="6">
        <v>84.0</v>
      </c>
      <c r="C92" s="71"/>
      <c r="D92" s="72"/>
      <c r="E92" s="72"/>
      <c r="F92" s="72"/>
      <c r="G92" s="72"/>
      <c r="H92" s="73"/>
    </row>
    <row r="93" ht="15.75" customHeight="1">
      <c r="B93" s="6">
        <v>85.0</v>
      </c>
      <c r="C93" s="71"/>
      <c r="D93" s="72"/>
      <c r="E93" s="72"/>
      <c r="F93" s="72"/>
      <c r="G93" s="72"/>
      <c r="H93" s="73"/>
    </row>
    <row r="94" ht="15.75" customHeight="1">
      <c r="B94" s="6">
        <v>86.0</v>
      </c>
      <c r="C94" s="71"/>
      <c r="D94" s="72"/>
      <c r="E94" s="72"/>
      <c r="F94" s="72"/>
      <c r="G94" s="72"/>
      <c r="H94" s="73"/>
    </row>
    <row r="95" ht="15.75" customHeight="1">
      <c r="B95" s="6">
        <v>87.0</v>
      </c>
      <c r="C95" s="71"/>
      <c r="D95" s="72"/>
      <c r="E95" s="72"/>
      <c r="F95" s="72"/>
      <c r="G95" s="72"/>
      <c r="H95" s="73"/>
    </row>
    <row r="96" ht="15.75" customHeight="1">
      <c r="B96" s="6">
        <v>88.0</v>
      </c>
      <c r="C96" s="71"/>
      <c r="D96" s="72"/>
      <c r="E96" s="72"/>
      <c r="F96" s="72"/>
      <c r="G96" s="72"/>
      <c r="H96" s="73"/>
    </row>
    <row r="97" ht="15.75" customHeight="1">
      <c r="B97" s="6">
        <v>89.0</v>
      </c>
      <c r="C97" s="71"/>
      <c r="D97" s="72"/>
      <c r="E97" s="72"/>
      <c r="F97" s="72"/>
      <c r="G97" s="72"/>
      <c r="H97" s="73"/>
    </row>
    <row r="98" ht="15.75" customHeight="1">
      <c r="B98" s="6">
        <v>90.0</v>
      </c>
      <c r="C98" s="71"/>
      <c r="D98" s="72"/>
      <c r="E98" s="72"/>
      <c r="F98" s="72"/>
      <c r="G98" s="72"/>
      <c r="H98" s="73"/>
    </row>
    <row r="99" ht="15.75" customHeight="1">
      <c r="B99" s="6">
        <v>91.0</v>
      </c>
      <c r="C99" s="71"/>
      <c r="D99" s="72"/>
      <c r="E99" s="72"/>
      <c r="F99" s="72"/>
      <c r="G99" s="72"/>
      <c r="H99" s="73"/>
    </row>
    <row r="100" ht="15.75" customHeight="1">
      <c r="B100" s="6">
        <v>92.0</v>
      </c>
      <c r="C100" s="71"/>
      <c r="D100" s="72"/>
      <c r="E100" s="72"/>
      <c r="F100" s="72"/>
      <c r="G100" s="72"/>
      <c r="H100" s="73"/>
    </row>
    <row r="101" ht="15.75" customHeight="1">
      <c r="B101" s="6">
        <v>93.0</v>
      </c>
      <c r="C101" s="71"/>
      <c r="D101" s="72"/>
      <c r="E101" s="72"/>
      <c r="F101" s="72"/>
      <c r="G101" s="72"/>
      <c r="H101" s="73"/>
    </row>
    <row r="102" ht="15.75" customHeight="1">
      <c r="B102" s="6">
        <v>94.0</v>
      </c>
      <c r="C102" s="71"/>
      <c r="D102" s="72"/>
      <c r="E102" s="72"/>
      <c r="F102" s="72"/>
      <c r="G102" s="72"/>
      <c r="H102" s="73"/>
    </row>
    <row r="103" ht="15.75" customHeight="1">
      <c r="B103" s="6">
        <v>95.0</v>
      </c>
      <c r="C103" s="71"/>
      <c r="D103" s="72"/>
      <c r="E103" s="72"/>
      <c r="F103" s="72"/>
      <c r="G103" s="72"/>
      <c r="H103" s="73"/>
    </row>
    <row r="104" ht="15.75" customHeight="1">
      <c r="B104" s="6">
        <v>96.0</v>
      </c>
      <c r="C104" s="71"/>
      <c r="D104" s="72"/>
      <c r="E104" s="72"/>
      <c r="F104" s="72"/>
      <c r="G104" s="72"/>
      <c r="H104" s="73"/>
    </row>
    <row r="105" ht="15.75" customHeight="1">
      <c r="B105" s="6">
        <v>97.0</v>
      </c>
      <c r="C105" s="71"/>
      <c r="D105" s="72"/>
      <c r="E105" s="72"/>
      <c r="F105" s="72"/>
      <c r="G105" s="72"/>
      <c r="H105" s="73"/>
    </row>
    <row r="106" ht="15.75" customHeight="1">
      <c r="B106" s="6">
        <v>98.0</v>
      </c>
      <c r="C106" s="71"/>
      <c r="D106" s="72"/>
      <c r="E106" s="72"/>
      <c r="F106" s="72"/>
      <c r="G106" s="72"/>
      <c r="H106" s="73"/>
    </row>
    <row r="107" ht="15.75" customHeight="1">
      <c r="B107" s="6">
        <v>99.0</v>
      </c>
      <c r="C107" s="71"/>
      <c r="D107" s="72"/>
      <c r="E107" s="72"/>
      <c r="F107" s="72"/>
      <c r="G107" s="72"/>
      <c r="H107" s="73"/>
    </row>
    <row r="108" ht="15.75" customHeight="1">
      <c r="B108" s="6">
        <v>100.0</v>
      </c>
      <c r="C108" s="71"/>
      <c r="D108" s="72"/>
      <c r="E108" s="72"/>
      <c r="F108" s="72"/>
      <c r="G108" s="72"/>
      <c r="H108" s="73"/>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08">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67" t="s">
        <v>76</v>
      </c>
    </row>
    <row r="3" ht="15.75" customHeight="1"/>
    <row r="4" ht="15.75" customHeight="1">
      <c r="B4" s="74" t="s">
        <v>1</v>
      </c>
      <c r="C4" s="75" t="str">
        <f>'Diseño'!C4</f>
        <v>780 - Software Avanzado</v>
      </c>
      <c r="D4" s="34"/>
      <c r="E4" s="34"/>
      <c r="F4" s="34"/>
      <c r="G4" s="35"/>
    </row>
    <row r="5" ht="15.75" customHeight="1">
      <c r="B5" s="76" t="s">
        <v>84</v>
      </c>
      <c r="C5" s="75">
        <v>1.0</v>
      </c>
      <c r="D5" s="34"/>
      <c r="E5" s="34"/>
      <c r="F5" s="34"/>
      <c r="G5" s="35"/>
    </row>
    <row r="6" ht="15.75" customHeight="1">
      <c r="B6" s="76" t="s">
        <v>215</v>
      </c>
      <c r="C6" s="75">
        <f>B15+B22+B29+B41+B47+C48</f>
        <v>115</v>
      </c>
      <c r="D6" s="34"/>
      <c r="E6" s="34"/>
      <c r="F6" s="34"/>
      <c r="G6" s="35"/>
    </row>
    <row r="7" ht="15.75" customHeight="1"/>
    <row r="8" ht="15.75" customHeight="1">
      <c r="K8" s="77" t="s">
        <v>216</v>
      </c>
    </row>
    <row r="9" ht="15.75" customHeight="1">
      <c r="A9" s="78" t="s">
        <v>217</v>
      </c>
      <c r="G9" s="79" t="s">
        <v>218</v>
      </c>
      <c r="H9" s="80">
        <v>15.0</v>
      </c>
    </row>
    <row r="10" ht="15.75" customHeight="1">
      <c r="G10" s="81" t="s">
        <v>219</v>
      </c>
    </row>
    <row r="11" ht="24.75" customHeight="1">
      <c r="A11" s="82" t="s">
        <v>220</v>
      </c>
      <c r="B11" s="37" t="s">
        <v>221</v>
      </c>
      <c r="C11" s="34"/>
      <c r="D11" s="34"/>
      <c r="E11" s="34"/>
      <c r="F11" s="34"/>
      <c r="G11" s="34"/>
      <c r="H11" s="35"/>
    </row>
    <row r="12">
      <c r="A12" s="82" t="s">
        <v>222</v>
      </c>
      <c r="B12" s="83" t="s">
        <v>223</v>
      </c>
      <c r="C12" s="34"/>
      <c r="D12" s="34"/>
      <c r="E12" s="34"/>
      <c r="F12" s="34"/>
      <c r="G12" s="34"/>
      <c r="H12" s="35"/>
    </row>
    <row r="13">
      <c r="A13" s="84" t="s">
        <v>224</v>
      </c>
      <c r="B13" s="85" t="s">
        <v>225</v>
      </c>
      <c r="C13" s="34"/>
      <c r="D13" s="34"/>
      <c r="E13" s="34"/>
      <c r="F13" s="34"/>
      <c r="G13" s="34"/>
      <c r="H13" s="35"/>
    </row>
    <row r="14">
      <c r="A14" s="84" t="s">
        <v>226</v>
      </c>
      <c r="B14" s="85" t="s">
        <v>227</v>
      </c>
      <c r="C14" s="34"/>
      <c r="D14" s="34"/>
      <c r="E14" s="34"/>
      <c r="F14" s="34"/>
      <c r="G14" s="34"/>
      <c r="H14" s="35"/>
    </row>
    <row r="15" ht="15.75" customHeight="1">
      <c r="A15" s="86" t="s">
        <v>228</v>
      </c>
      <c r="B15" s="85">
        <v>15.0</v>
      </c>
      <c r="C15" s="34"/>
      <c r="D15" s="34"/>
      <c r="E15" s="34"/>
      <c r="F15" s="34"/>
      <c r="G15" s="34"/>
      <c r="H15" s="35"/>
    </row>
    <row r="16" ht="15.75" customHeight="1"/>
    <row r="17" ht="15.75" customHeight="1"/>
    <row r="18" ht="15.75" customHeight="1">
      <c r="A18" s="87" t="s">
        <v>229</v>
      </c>
      <c r="G18" s="79" t="s">
        <v>218</v>
      </c>
      <c r="H18" s="80">
        <v>45.0</v>
      </c>
    </row>
    <row r="19" ht="15.75" customHeight="1">
      <c r="G19" s="81" t="s">
        <v>230</v>
      </c>
      <c r="K19" s="77" t="s">
        <v>231</v>
      </c>
    </row>
    <row r="20">
      <c r="A20" s="82" t="s">
        <v>232</v>
      </c>
      <c r="B20" s="37" t="s">
        <v>233</v>
      </c>
      <c r="C20" s="34"/>
      <c r="D20" s="34"/>
      <c r="E20" s="34"/>
      <c r="F20" s="34"/>
      <c r="G20" s="34"/>
      <c r="H20" s="35"/>
    </row>
    <row r="21">
      <c r="A21" s="82" t="s">
        <v>234</v>
      </c>
      <c r="B21" s="83" t="s">
        <v>235</v>
      </c>
      <c r="C21" s="34"/>
      <c r="D21" s="34"/>
      <c r="E21" s="34"/>
      <c r="F21" s="34"/>
      <c r="G21" s="34"/>
      <c r="H21" s="35"/>
    </row>
    <row r="22">
      <c r="A22" s="86" t="s">
        <v>228</v>
      </c>
      <c r="B22" s="85">
        <v>45.0</v>
      </c>
      <c r="C22" s="34"/>
      <c r="D22" s="34"/>
      <c r="E22" s="34"/>
      <c r="F22" s="34"/>
      <c r="G22" s="34"/>
      <c r="H22" s="35"/>
    </row>
    <row r="23" ht="15.75" customHeight="1"/>
    <row r="24" ht="15.75" customHeight="1"/>
    <row r="25" ht="15.75" customHeight="1">
      <c r="A25" s="87" t="s">
        <v>236</v>
      </c>
      <c r="G25" s="88" t="s">
        <v>218</v>
      </c>
      <c r="H25" s="80">
        <v>10.0</v>
      </c>
    </row>
    <row r="26" ht="15.75" customHeight="1">
      <c r="G26" s="81" t="s">
        <v>237</v>
      </c>
      <c r="H26" s="81"/>
      <c r="I26" s="81"/>
      <c r="J26" s="81"/>
    </row>
    <row r="27" ht="39.75" customHeight="1">
      <c r="A27" s="82" t="s">
        <v>238</v>
      </c>
      <c r="B27" s="37" t="s">
        <v>239</v>
      </c>
      <c r="C27" s="34"/>
      <c r="D27" s="34"/>
      <c r="E27" s="34"/>
      <c r="F27" s="34"/>
      <c r="G27" s="34"/>
      <c r="H27" s="35"/>
      <c r="K27" s="77" t="s">
        <v>240</v>
      </c>
    </row>
    <row r="28" ht="89.25" customHeight="1">
      <c r="A28" s="82" t="s">
        <v>241</v>
      </c>
      <c r="B28" s="37" t="s">
        <v>242</v>
      </c>
      <c r="C28" s="34"/>
      <c r="D28" s="34"/>
      <c r="E28" s="34"/>
      <c r="F28" s="34"/>
      <c r="G28" s="34"/>
      <c r="H28" s="35"/>
    </row>
    <row r="29" ht="15.75" customHeight="1">
      <c r="A29" s="86" t="s">
        <v>228</v>
      </c>
      <c r="B29" s="85">
        <v>10.0</v>
      </c>
      <c r="C29" s="34"/>
      <c r="D29" s="34"/>
      <c r="E29" s="34"/>
      <c r="F29" s="34"/>
      <c r="G29" s="34"/>
      <c r="H29" s="35"/>
    </row>
    <row r="30" ht="15.75" customHeight="1"/>
    <row r="31" ht="15.75" customHeight="1"/>
    <row r="32" ht="15.75" customHeight="1">
      <c r="A32" s="87" t="s">
        <v>243</v>
      </c>
      <c r="G32" s="88" t="s">
        <v>218</v>
      </c>
      <c r="H32" s="80">
        <v>5.0</v>
      </c>
    </row>
    <row r="33" ht="15.75" customHeight="1">
      <c r="A33" s="68" t="s">
        <v>244</v>
      </c>
      <c r="G33" s="68" t="s">
        <v>245</v>
      </c>
    </row>
    <row r="34">
      <c r="A34" s="82" t="s">
        <v>246</v>
      </c>
      <c r="B34" s="89" t="s">
        <v>247</v>
      </c>
      <c r="C34" s="34"/>
      <c r="D34" s="34"/>
      <c r="E34" s="34"/>
      <c r="F34" s="34"/>
      <c r="G34" s="34"/>
      <c r="H34" s="35"/>
      <c r="K34" s="77" t="s">
        <v>248</v>
      </c>
    </row>
    <row r="35">
      <c r="A35" s="82" t="s">
        <v>249</v>
      </c>
      <c r="B35" s="37" t="s">
        <v>250</v>
      </c>
      <c r="C35" s="34"/>
      <c r="D35" s="34"/>
      <c r="E35" s="34"/>
      <c r="F35" s="34"/>
      <c r="G35" s="34"/>
      <c r="H35" s="35"/>
    </row>
    <row r="36" ht="15.75" customHeight="1">
      <c r="A36" s="86" t="s">
        <v>228</v>
      </c>
      <c r="B36" s="85">
        <v>5.0</v>
      </c>
      <c r="C36" s="34"/>
      <c r="D36" s="34"/>
      <c r="E36" s="34"/>
      <c r="F36" s="34"/>
      <c r="G36" s="34"/>
      <c r="H36" s="35"/>
    </row>
    <row r="37" ht="15.75" customHeight="1"/>
    <row r="38" ht="15.75" customHeight="1"/>
    <row r="39" ht="15.75" customHeight="1">
      <c r="A39" s="87" t="s">
        <v>251</v>
      </c>
      <c r="G39" s="88" t="s">
        <v>218</v>
      </c>
      <c r="H39" s="80">
        <v>30.0</v>
      </c>
    </row>
    <row r="40" ht="15.75" customHeight="1">
      <c r="G40" s="81" t="s">
        <v>252</v>
      </c>
    </row>
    <row r="41" ht="15.75" customHeight="1">
      <c r="A41" s="86" t="s">
        <v>228</v>
      </c>
      <c r="B41" s="85">
        <v>30.0</v>
      </c>
      <c r="C41" s="34"/>
      <c r="D41" s="34"/>
      <c r="E41" s="34"/>
      <c r="F41" s="34"/>
      <c r="G41" s="34"/>
      <c r="H41" s="35"/>
    </row>
    <row r="42" ht="15.75" customHeight="1"/>
    <row r="43" ht="15.75" customHeight="1"/>
    <row r="44" ht="15.75" customHeight="1">
      <c r="A44" s="87" t="s">
        <v>253</v>
      </c>
      <c r="G44" s="88" t="s">
        <v>218</v>
      </c>
      <c r="H44" s="80">
        <v>15.0</v>
      </c>
    </row>
    <row r="45" ht="15.75" customHeight="1">
      <c r="G45" s="81" t="s">
        <v>219</v>
      </c>
    </row>
    <row r="46">
      <c r="A46" s="82" t="s">
        <v>254</v>
      </c>
      <c r="B46" s="37" t="s">
        <v>255</v>
      </c>
      <c r="C46" s="34"/>
      <c r="D46" s="34"/>
      <c r="E46" s="34"/>
      <c r="F46" s="34"/>
      <c r="G46" s="34"/>
      <c r="H46" s="35"/>
    </row>
    <row r="47" ht="15.75" customHeight="1">
      <c r="A47" s="86" t="s">
        <v>228</v>
      </c>
      <c r="B47" s="85">
        <v>15.0</v>
      </c>
      <c r="C47" s="34"/>
      <c r="D47" s="34"/>
      <c r="E47" s="34"/>
      <c r="F47" s="34"/>
      <c r="G47" s="34"/>
      <c r="H47" s="3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printOptions gridLines="1" horizontalCentered="1"/>
  <pageMargins bottom="0.75" footer="0.0" header="0.0" left="0.7" right="0.7" top="0.75"/>
  <pageSetup fitToHeight="0" paperSize="9" cellComments="atEnd" orientation="landscape" pageOrder="overThenDown"/>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23.38"/>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2.0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262</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96" t="s">
        <v>264</v>
      </c>
      <c r="B15" s="62"/>
      <c r="C15" s="62"/>
      <c r="D15" s="62"/>
      <c r="E15" s="62"/>
      <c r="F15" s="62"/>
      <c r="G15" s="62"/>
      <c r="H15" s="63"/>
    </row>
    <row r="16" ht="15.75" customHeight="1">
      <c r="A16" s="64"/>
      <c r="B16" s="65"/>
      <c r="C16" s="65"/>
      <c r="D16" s="65"/>
      <c r="E16" s="65"/>
      <c r="F16" s="65"/>
      <c r="G16" s="65"/>
      <c r="H16" s="49"/>
    </row>
    <row r="17" ht="15.75" customHeight="1">
      <c r="A17" s="95" t="s">
        <v>265</v>
      </c>
      <c r="B17" s="34"/>
      <c r="C17" s="34"/>
      <c r="D17" s="34"/>
      <c r="E17" s="34"/>
      <c r="F17" s="34"/>
      <c r="G17" s="34"/>
      <c r="H17" s="35"/>
    </row>
    <row r="18" ht="15.75" customHeight="1">
      <c r="A18" s="7" t="s">
        <v>266</v>
      </c>
      <c r="B18" s="97"/>
      <c r="C18" s="97"/>
      <c r="D18" s="97"/>
      <c r="E18" s="97"/>
      <c r="F18" s="97"/>
      <c r="G18" s="97"/>
      <c r="H18" s="98"/>
    </row>
    <row r="19" ht="15.75" customHeight="1">
      <c r="A19" s="99"/>
      <c r="B19" s="100"/>
      <c r="C19" s="100"/>
      <c r="D19" s="100"/>
      <c r="E19" s="100"/>
      <c r="F19" s="100"/>
      <c r="G19" s="100"/>
      <c r="H19" s="101"/>
    </row>
    <row r="20" ht="15.75" customHeight="1"/>
    <row r="21" ht="15.75" customHeight="1">
      <c r="A21" s="93" t="s">
        <v>267</v>
      </c>
      <c r="G21" s="88" t="s">
        <v>218</v>
      </c>
      <c r="H21" s="94">
        <v>60.0</v>
      </c>
      <c r="I21" s="6"/>
    </row>
    <row r="22" ht="15.75" customHeight="1">
      <c r="G22" s="81" t="s">
        <v>268</v>
      </c>
    </row>
    <row r="23" ht="15.75" customHeight="1">
      <c r="A23" s="84" t="s">
        <v>269</v>
      </c>
      <c r="B23" s="85" t="s">
        <v>85</v>
      </c>
      <c r="C23" s="34"/>
      <c r="D23" s="34"/>
      <c r="E23" s="34"/>
      <c r="F23" s="34"/>
      <c r="G23" s="34"/>
      <c r="H23" s="35"/>
    </row>
    <row r="24" ht="15.75" customHeight="1">
      <c r="A24" s="84" t="s">
        <v>269</v>
      </c>
      <c r="B24" s="85" t="s">
        <v>85</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IFERROR(__xludf.DUMMYFUNCTION("FILTER('Diseño'!D:D,'Diseño'!H:H=$C$5)"),"Buenas practicas en el desarrollo de Software")</f>
        <v>Buenas practicas en el desarrollo de Software</v>
      </c>
      <c r="C28" s="35"/>
      <c r="D28" s="75" t="str">
        <f>IFERROR(__xludf.DUMMYFUNCTION("FILTER('Diseño'!E:E,'Diseño'!H:H=$C$5)"),"Clean CODE")</f>
        <v>Clean CODE</v>
      </c>
      <c r="E28" s="35"/>
      <c r="F28" s="75" t="str">
        <f>IFERROR(__xludf.DUMMYFUNCTION("FILTER('Diseño'!F:F,'Diseño'!H:H=$C$5)"),"SOLID")</f>
        <v>SOLID</v>
      </c>
      <c r="G28" s="34"/>
      <c r="H28" s="35"/>
    </row>
    <row r="29" ht="15.75" customHeight="1">
      <c r="A29" s="76">
        <v>2.0</v>
      </c>
      <c r="B29" s="75" t="str">
        <f>IFERROR(__xludf.DUMMYFUNCTION("""COMPUTED_VALUE"""),"Buenas practicas en el desarrollo de Software")</f>
        <v>Buenas practicas en el desarrollo de Software</v>
      </c>
      <c r="C29" s="35"/>
      <c r="D29" s="75" t="str">
        <f>IFERROR(__xludf.DUMMYFUNCTION("""COMPUTED_VALUE"""),"Clean CODE")</f>
        <v>Clean CODE</v>
      </c>
      <c r="E29" s="35"/>
      <c r="F29" s="75" t="str">
        <f>IFERROR(__xludf.DUMMYFUNCTION("""COMPUTED_VALUE"""),"KISS")</f>
        <v>KISS</v>
      </c>
      <c r="G29" s="34"/>
      <c r="H29" s="35"/>
    </row>
    <row r="30" ht="15.75" customHeight="1">
      <c r="A30" s="76">
        <v>3.0</v>
      </c>
      <c r="B30" s="75" t="str">
        <f>IFERROR(__xludf.DUMMYFUNCTION("""COMPUTED_VALUE"""),"Buenas practicas en el desarrollo de Software")</f>
        <v>Buenas practicas en el desarrollo de Software</v>
      </c>
      <c r="C30" s="35"/>
      <c r="D30" s="75" t="str">
        <f>IFERROR(__xludf.DUMMYFUNCTION("""COMPUTED_VALUE"""),"Clean CODE")</f>
        <v>Clean CODE</v>
      </c>
      <c r="E30" s="35"/>
      <c r="F30" s="75" t="str">
        <f>IFERROR(__xludf.DUMMYFUNCTION("""COMPUTED_VALUE"""),"STUPID")</f>
        <v>STUPID</v>
      </c>
      <c r="G30" s="34"/>
      <c r="H30" s="35"/>
    </row>
    <row r="31" ht="15.75" customHeight="1">
      <c r="A31" s="76">
        <v>4.0</v>
      </c>
      <c r="B31" s="75" t="str">
        <f>IFERROR(__xludf.DUMMYFUNCTION("""COMPUTED_VALUE"""),"Buenas practicas en el desarrollo de Software")</f>
        <v>Buenas practicas en el desarrollo de Software</v>
      </c>
      <c r="C31" s="35"/>
      <c r="D31" s="75" t="str">
        <f>IFERROR(__xludf.DUMMYFUNCTION("""COMPUTED_VALUE"""),"Deuda Tecnica")</f>
        <v>Deuda Tecnica</v>
      </c>
      <c r="E31" s="35"/>
      <c r="F31" s="75" t="str">
        <f>IFERROR(__xludf.DUMMYFUNCTION("""COMPUTED_VALUE"""),"Refactorizacion basada en SOLID")</f>
        <v>Refactorizacion basada en SOLID</v>
      </c>
      <c r="G31" s="34"/>
      <c r="H31" s="35"/>
    </row>
    <row r="32" ht="15.75" customHeight="1">
      <c r="A32" s="76">
        <v>5.0</v>
      </c>
      <c r="B32" s="75" t="str">
        <f>IFERROR(__xludf.DUMMYFUNCTION("""COMPUTED_VALUE"""),"Buenas practicas en el desarrollo de Software")</f>
        <v>Buenas practicas en el desarrollo de Software</v>
      </c>
      <c r="C32" s="35"/>
      <c r="D32" s="75" t="str">
        <f>IFERROR(__xludf.DUMMYFUNCTION("""COMPUTED_VALUE"""),"SOLID")</f>
        <v>SOLID</v>
      </c>
      <c r="E32" s="35"/>
      <c r="F32" s="75" t="str">
        <f>IFERROR(__xludf.DUMMYFUNCTION("""COMPUTED_VALUE"""),"Single Responsibility Principle")</f>
        <v>Single Responsibility Principle</v>
      </c>
      <c r="G32" s="34"/>
      <c r="H32" s="35"/>
    </row>
    <row r="33" ht="15.75" customHeight="1">
      <c r="A33" s="76">
        <v>6.0</v>
      </c>
      <c r="B33" s="75" t="str">
        <f>IFERROR(__xludf.DUMMYFUNCTION("""COMPUTED_VALUE"""),"Buenas practicas en el desarrollo de Software")</f>
        <v>Buenas practicas en el desarrollo de Software</v>
      </c>
      <c r="C33" s="35"/>
      <c r="D33" s="75" t="str">
        <f>IFERROR(__xludf.DUMMYFUNCTION("""COMPUTED_VALUE"""),"SOLID")</f>
        <v>SOLID</v>
      </c>
      <c r="E33" s="35"/>
      <c r="F33" s="75" t="str">
        <f>IFERROR(__xludf.DUMMYFUNCTION("""COMPUTED_VALUE"""),"Open-Closed Principle")</f>
        <v>Open-Closed Principle</v>
      </c>
      <c r="G33" s="34"/>
      <c r="H33" s="35"/>
    </row>
    <row r="34" ht="15.75" customHeight="1">
      <c r="A34" s="76">
        <v>7.0</v>
      </c>
      <c r="B34" s="75" t="str">
        <f>IFERROR(__xludf.DUMMYFUNCTION("""COMPUTED_VALUE"""),"Buenas practicas en el desarrollo de Software")</f>
        <v>Buenas practicas en el desarrollo de Software</v>
      </c>
      <c r="C34" s="35"/>
      <c r="D34" s="75" t="str">
        <f>IFERROR(__xludf.DUMMYFUNCTION("""COMPUTED_VALUE"""),"SOLID")</f>
        <v>SOLID</v>
      </c>
      <c r="E34" s="35"/>
      <c r="F34" s="75" t="str">
        <f>IFERROR(__xludf.DUMMYFUNCTION("""COMPUTED_VALUE"""),"Liskov Substitution Principle")</f>
        <v>Liskov Substitution Principle</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85">
        <v>30.0</v>
      </c>
      <c r="E39" s="34"/>
      <c r="F39" s="34"/>
      <c r="G39" s="34"/>
      <c r="H39" s="35"/>
      <c r="I39" s="76" t="str">
        <f t="shared" ref="I39:I42" si="1">IF(D39&lt;=C39,"Correcto", "Corregir")</f>
        <v>Correcto</v>
      </c>
    </row>
    <row r="40" ht="15.75" customHeight="1">
      <c r="A40" s="76" t="s">
        <v>280</v>
      </c>
      <c r="B40" s="76" t="s">
        <v>279</v>
      </c>
      <c r="C40" s="76">
        <v>6.0</v>
      </c>
      <c r="D40" s="85">
        <v>0.0</v>
      </c>
      <c r="E40" s="34"/>
      <c r="F40" s="34"/>
      <c r="G40" s="34"/>
      <c r="H40" s="35"/>
      <c r="I40" s="76" t="str">
        <f t="shared" si="1"/>
        <v>Correcto</v>
      </c>
    </row>
    <row r="41" ht="15.75" customHeight="1">
      <c r="A41" s="76" t="s">
        <v>281</v>
      </c>
      <c r="B41" s="76" t="s">
        <v>282</v>
      </c>
      <c r="C41" s="76">
        <v>10.0</v>
      </c>
      <c r="D41" s="85">
        <v>10.0</v>
      </c>
      <c r="E41" s="34"/>
      <c r="F41" s="34"/>
      <c r="G41" s="34"/>
      <c r="H41" s="35"/>
      <c r="I41" s="76" t="str">
        <f t="shared" si="1"/>
        <v>Correcto</v>
      </c>
    </row>
    <row r="42" ht="15.75" customHeight="1">
      <c r="A42" s="76" t="s">
        <v>283</v>
      </c>
      <c r="B42" s="76" t="s">
        <v>279</v>
      </c>
      <c r="C42" s="76">
        <v>30.0</v>
      </c>
      <c r="D42" s="85">
        <v>30.0</v>
      </c>
      <c r="E42" s="34"/>
      <c r="F42" s="34"/>
      <c r="G42" s="34"/>
      <c r="H42" s="35"/>
      <c r="I42" s="76" t="str">
        <f t="shared" si="1"/>
        <v>Correcto</v>
      </c>
    </row>
    <row r="43" ht="15.75" customHeight="1"/>
    <row r="44" ht="15.75" customHeight="1">
      <c r="A44" s="93" t="s">
        <v>284</v>
      </c>
      <c r="G44" s="88" t="s">
        <v>218</v>
      </c>
      <c r="H44" s="94">
        <v>40.0</v>
      </c>
    </row>
    <row r="45" ht="15.75" customHeight="1">
      <c r="G45" s="81" t="s">
        <v>285</v>
      </c>
    </row>
    <row r="46" ht="15.75" customHeight="1">
      <c r="A46" s="81" t="s">
        <v>286</v>
      </c>
    </row>
    <row r="47">
      <c r="A47" s="84" t="s">
        <v>287</v>
      </c>
      <c r="B47" s="85" t="s">
        <v>85</v>
      </c>
      <c r="C47" s="34"/>
      <c r="D47" s="34"/>
      <c r="E47" s="34"/>
      <c r="F47" s="34"/>
      <c r="G47" s="34"/>
      <c r="H47" s="35"/>
    </row>
    <row r="48" ht="15.75" customHeight="1">
      <c r="A48" s="84" t="s">
        <v>8</v>
      </c>
      <c r="B48" s="85" t="s">
        <v>288</v>
      </c>
      <c r="C48" s="34"/>
      <c r="D48" s="34"/>
      <c r="E48" s="34"/>
      <c r="F48" s="34"/>
      <c r="G48" s="34"/>
      <c r="H48" s="35"/>
    </row>
    <row r="49" ht="15.75" customHeight="1">
      <c r="A49" s="84" t="s">
        <v>257</v>
      </c>
      <c r="B49" s="108">
        <v>0.0</v>
      </c>
      <c r="C49" s="34"/>
      <c r="D49" s="34"/>
      <c r="E49" s="34"/>
      <c r="F49" s="34"/>
      <c r="G49" s="34"/>
      <c r="H49" s="35"/>
    </row>
    <row r="50" ht="15.75" customHeight="1">
      <c r="A50" s="84" t="s">
        <v>218</v>
      </c>
      <c r="B50" s="85">
        <v>10.0</v>
      </c>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110"/>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96" t="s">
        <v>296</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2:H12"/>
    <mergeCell ref="B13:H13"/>
    <mergeCell ref="A14:H14"/>
    <mergeCell ref="A15:H16"/>
    <mergeCell ref="A17:H17"/>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3.0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ht="15.75" customHeight="1">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298</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7" t="s">
        <v>299</v>
      </c>
      <c r="H15" s="112"/>
    </row>
    <row r="16" ht="15.75" customHeight="1">
      <c r="A16" s="65"/>
      <c r="B16" s="65"/>
      <c r="C16" s="65"/>
      <c r="D16" s="65"/>
      <c r="E16" s="65"/>
      <c r="F16" s="65"/>
      <c r="G16" s="65"/>
      <c r="H16" s="49"/>
    </row>
    <row r="17" ht="15.75" customHeight="1">
      <c r="A17" s="95" t="s">
        <v>265</v>
      </c>
      <c r="B17" s="34"/>
      <c r="C17" s="34"/>
      <c r="D17" s="34"/>
      <c r="E17" s="34"/>
      <c r="F17" s="34"/>
      <c r="G17" s="34"/>
      <c r="H17" s="35"/>
    </row>
    <row r="18" ht="15.75" customHeight="1">
      <c r="A18" s="115" t="s">
        <v>300</v>
      </c>
      <c r="H18" s="112"/>
    </row>
    <row r="19" ht="15.75" customHeight="1">
      <c r="A19" s="65"/>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128</v>
      </c>
      <c r="C23" s="34"/>
      <c r="D23" s="34"/>
      <c r="E23" s="34"/>
      <c r="F23" s="34"/>
      <c r="G23" s="34"/>
      <c r="H23" s="35"/>
    </row>
    <row r="24" ht="15.75" customHeight="1">
      <c r="A24" s="84" t="s">
        <v>269</v>
      </c>
      <c r="B24" s="85" t="s">
        <v>85</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IFERROR(__xludf.DUMMYFUNCTION("FILTER('Diseño'!D:D,'Diseño'!H:H=$C$5)"),"Backend y Frontend")</f>
        <v>Backend y Frontend</v>
      </c>
      <c r="C28" s="35"/>
      <c r="D28" s="75" t="str">
        <f>IFERROR(__xludf.DUMMYFUNCTION("FILTER('Diseño'!E:E,'Diseño'!H:H=$C$5)"),"Frameworks: Frontend")</f>
        <v>Frameworks: Frontend</v>
      </c>
      <c r="E28" s="35"/>
      <c r="F28" s="75" t="str">
        <f>IFERROR(__xludf.DUMMYFUNCTION("FILTER('Diseño'!F:F,'Diseño'!H:H=$C$5)"),"Angular, Vuejs, Vite")</f>
        <v>Angular, Vuejs, Vite</v>
      </c>
      <c r="G28" s="34"/>
      <c r="H28" s="35"/>
    </row>
    <row r="29" ht="15.75" customHeight="1">
      <c r="A29" s="76">
        <v>2.0</v>
      </c>
      <c r="B29" s="75" t="str">
        <f>IFERROR(__xludf.DUMMYFUNCTION("""COMPUTED_VALUE"""),"Backend y Frontend")</f>
        <v>Backend y Frontend</v>
      </c>
      <c r="C29" s="35"/>
      <c r="D29" s="75" t="str">
        <f>IFERROR(__xludf.DUMMYFUNCTION("""COMPUTED_VALUE"""),"Frameworks: Backend")</f>
        <v>Frameworks: Backend</v>
      </c>
      <c r="E29" s="35"/>
      <c r="F29" s="75" t="str">
        <f>IFERROR(__xludf.DUMMYFUNCTION("""COMPUTED_VALUE"""),"NestJs, Springboot, FastAPI")</f>
        <v>NestJs, Springboot, FastAPI</v>
      </c>
      <c r="G29" s="34"/>
      <c r="H29" s="35"/>
    </row>
    <row r="30" ht="15.75" customHeight="1">
      <c r="A30" s="76">
        <v>3.0</v>
      </c>
      <c r="B30" s="75" t="str">
        <f>IFERROR(__xludf.DUMMYFUNCTION("""COMPUTED_VALUE"""),"Backend y Frontend")</f>
        <v>Backend y Frontend</v>
      </c>
      <c r="C30" s="35"/>
      <c r="D30" s="75" t="str">
        <f>IFERROR(__xludf.DUMMYFUNCTION("""COMPUTED_VALUE"""),"Bases de datos")</f>
        <v>Bases de datos</v>
      </c>
      <c r="E30" s="35"/>
      <c r="F30" s="75" t="str">
        <f>IFERROR(__xludf.DUMMYFUNCTION("""COMPUTED_VALUE"""),"Redis, Postsql,mysql")</f>
        <v>Redis, Postsql,mysql</v>
      </c>
      <c r="G30" s="34"/>
      <c r="H30" s="35"/>
    </row>
    <row r="31" ht="15.75" customHeight="1">
      <c r="A31" s="76">
        <v>4.0</v>
      </c>
      <c r="B31" s="75" t="str">
        <f>IFERROR(__xludf.DUMMYFUNCTION("""COMPUTED_VALUE"""),"Backend y Frontend")</f>
        <v>Backend y Frontend</v>
      </c>
      <c r="C31" s="35"/>
      <c r="D31" s="75" t="str">
        <f>IFERROR(__xludf.DUMMYFUNCTION("""COMPUTED_VALUE"""),"Metodos de autenticacion")</f>
        <v>Metodos de autenticacion</v>
      </c>
      <c r="E31" s="35"/>
      <c r="F31" s="75" t="str">
        <f>IFERROR(__xludf.DUMMYFUNCTION("""COMPUTED_VALUE"""),"JWT,OAuth")</f>
        <v>JWT,OAuth</v>
      </c>
      <c r="G31" s="34"/>
      <c r="H31" s="35"/>
    </row>
    <row r="32" ht="15.75" customHeight="1">
      <c r="A32" s="76">
        <v>5.0</v>
      </c>
      <c r="B32" s="75" t="str">
        <f>IFERROR(__xludf.DUMMYFUNCTION("""COMPUTED_VALUE"""),"Backend y Frontend")</f>
        <v>Backend y Frontend</v>
      </c>
      <c r="C32" s="35"/>
      <c r="D32" s="75" t="str">
        <f>IFERROR(__xludf.DUMMYFUNCTION("""COMPUTED_VALUE"""),"Patrones de diseño")</f>
        <v>Patrones de diseño</v>
      </c>
      <c r="E32" s="35"/>
      <c r="F32" s="75" t="str">
        <f>IFERROR(__xludf.DUMMYFUNCTION("""COMPUTED_VALUE"""),"Ventajas")</f>
        <v>Ventajas</v>
      </c>
      <c r="G32" s="34"/>
      <c r="H32" s="35"/>
    </row>
    <row r="33" ht="15.75" customHeight="1">
      <c r="A33" s="76">
        <v>6.0</v>
      </c>
      <c r="B33" s="75" t="str">
        <f>IFERROR(__xludf.DUMMYFUNCTION("""COMPUTED_VALUE"""),"Backend y Frontend")</f>
        <v>Backend y Frontend</v>
      </c>
      <c r="C33" s="35"/>
      <c r="D33" s="75" t="str">
        <f>IFERROR(__xludf.DUMMYFUNCTION("""COMPUTED_VALUE"""),"Patrones de diseño")</f>
        <v>Patrones de diseño</v>
      </c>
      <c r="E33" s="35"/>
      <c r="F33" s="75" t="str">
        <f>IFERROR(__xludf.DUMMYFUNCTION("""COMPUTED_VALUE"""),"Clasificacion")</f>
        <v>Clasificacion</v>
      </c>
      <c r="G33" s="34"/>
      <c r="H33" s="35"/>
    </row>
    <row r="34" ht="15.75" customHeight="1">
      <c r="A34" s="76">
        <v>7.0</v>
      </c>
      <c r="B34" s="75" t="str">
        <f>IFERROR(__xludf.DUMMYFUNCTION("""COMPUTED_VALUE"""),"Backend y Frontend")</f>
        <v>Backend y Frontend</v>
      </c>
      <c r="C34" s="35"/>
      <c r="D34" s="75" t="str">
        <f>IFERROR(__xludf.DUMMYFUNCTION("""COMPUTED_VALUE"""),"Patrones de diseño")</f>
        <v>Patrones de diseño</v>
      </c>
      <c r="E34" s="35"/>
      <c r="F34" s="75" t="str">
        <f>IFERROR(__xludf.DUMMYFUNCTION("""COMPUTED_VALUE"""),"Difrencias entre Arquitectura y Patrones de diseño")</f>
        <v>Difrencias entre Arquitectura y Patrones de diseño</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75"/>
      <c r="E39" s="34"/>
      <c r="F39" s="34"/>
      <c r="G39" s="34"/>
      <c r="H39" s="35"/>
      <c r="I39" s="76" t="str">
        <f t="shared" ref="I39:I42" si="1">IF(D39&lt;=C39,"Correcto", "Corregir")</f>
        <v>Correcto</v>
      </c>
    </row>
    <row r="40" ht="15.75" customHeight="1">
      <c r="A40" s="76" t="s">
        <v>280</v>
      </c>
      <c r="B40" s="76" t="s">
        <v>279</v>
      </c>
      <c r="C40" s="76">
        <v>6.0</v>
      </c>
      <c r="D40" s="75"/>
      <c r="E40" s="34"/>
      <c r="F40" s="34"/>
      <c r="G40" s="34"/>
      <c r="H40" s="35"/>
      <c r="I40" s="76" t="str">
        <f t="shared" si="1"/>
        <v>Correcto</v>
      </c>
    </row>
    <row r="41" ht="15.75" customHeight="1">
      <c r="A41" s="76" t="s">
        <v>281</v>
      </c>
      <c r="B41" s="76" t="s">
        <v>282</v>
      </c>
      <c r="C41" s="76">
        <v>10.0</v>
      </c>
      <c r="D41" s="75"/>
      <c r="E41" s="34"/>
      <c r="F41" s="34"/>
      <c r="G41" s="34"/>
      <c r="H41" s="35"/>
      <c r="I41" s="76" t="str">
        <f t="shared" si="1"/>
        <v>Correcto</v>
      </c>
    </row>
    <row r="42" ht="15.75" customHeight="1">
      <c r="A42" s="76" t="s">
        <v>283</v>
      </c>
      <c r="B42" s="76" t="s">
        <v>279</v>
      </c>
      <c r="C42" s="76">
        <v>30.0</v>
      </c>
      <c r="D42" s="75"/>
      <c r="E42" s="34"/>
      <c r="F42" s="34"/>
      <c r="G42" s="34"/>
      <c r="H42" s="35"/>
      <c r="I42" s="76" t="str">
        <f t="shared" si="1"/>
        <v>Correcto</v>
      </c>
    </row>
    <row r="43" ht="15.75" customHeight="1"/>
    <row r="44" ht="15.75" customHeight="1">
      <c r="A44" s="93" t="s">
        <v>284</v>
      </c>
      <c r="G44" s="88" t="s">
        <v>218</v>
      </c>
      <c r="H44" s="94">
        <v>40.0</v>
      </c>
    </row>
    <row r="45" ht="15.75" customHeight="1">
      <c r="G45" s="81" t="s">
        <v>285</v>
      </c>
    </row>
    <row r="46" ht="15.75" customHeight="1">
      <c r="A46" s="81" t="s">
        <v>286</v>
      </c>
    </row>
    <row r="47">
      <c r="A47" s="84" t="s">
        <v>287</v>
      </c>
      <c r="B47" s="85" t="s">
        <v>85</v>
      </c>
      <c r="C47" s="34"/>
      <c r="D47" s="34"/>
      <c r="E47" s="34"/>
      <c r="F47" s="34"/>
      <c r="G47" s="34"/>
      <c r="H47" s="35"/>
    </row>
    <row r="48" ht="15.75" customHeight="1">
      <c r="A48" s="84" t="s">
        <v>8</v>
      </c>
      <c r="B48" s="75" t="s">
        <v>301</v>
      </c>
      <c r="C48" s="34"/>
      <c r="D48" s="34"/>
      <c r="E48" s="34"/>
      <c r="F48" s="34"/>
      <c r="G48" s="34"/>
      <c r="H48" s="35"/>
    </row>
    <row r="49" ht="15.75" customHeight="1">
      <c r="A49" s="84" t="s">
        <v>257</v>
      </c>
      <c r="B49" s="108">
        <v>0.0</v>
      </c>
      <c r="C49" s="34"/>
      <c r="D49" s="34"/>
      <c r="E49" s="34"/>
      <c r="F49" s="34"/>
      <c r="G49" s="34"/>
      <c r="H49" s="35"/>
    </row>
    <row r="50" ht="15.75" customHeight="1">
      <c r="A50" s="84" t="s">
        <v>218</v>
      </c>
      <c r="B50" s="75"/>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110"/>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96" t="s">
        <v>302</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4.0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ht="15.75" customHeight="1">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303</v>
      </c>
      <c r="C12" s="34"/>
      <c r="D12" s="34"/>
      <c r="E12" s="34"/>
      <c r="F12" s="34"/>
      <c r="G12" s="34"/>
      <c r="H12" s="35"/>
    </row>
    <row r="13" ht="15.75" customHeight="1">
      <c r="A13" s="86" t="s">
        <v>218</v>
      </c>
      <c r="B13" s="85">
        <v>5.0</v>
      </c>
      <c r="C13" s="34"/>
      <c r="D13" s="34"/>
      <c r="E13" s="34"/>
      <c r="F13" s="34"/>
      <c r="G13" s="34"/>
      <c r="H13" s="35"/>
    </row>
    <row r="14">
      <c r="A14" s="95" t="s">
        <v>263</v>
      </c>
      <c r="B14" s="34"/>
      <c r="C14" s="34"/>
      <c r="D14" s="34"/>
      <c r="E14" s="34"/>
      <c r="F14" s="34"/>
      <c r="G14" s="34"/>
      <c r="H14" s="35"/>
    </row>
    <row r="15" ht="15.75" customHeight="1">
      <c r="A15" s="96" t="s">
        <v>304</v>
      </c>
      <c r="B15" s="62"/>
      <c r="C15" s="62"/>
      <c r="D15" s="62"/>
      <c r="E15" s="62"/>
      <c r="F15" s="62"/>
      <c r="G15" s="62"/>
      <c r="H15" s="63"/>
    </row>
    <row r="16" ht="67.5" customHeight="1">
      <c r="A16" s="64"/>
      <c r="B16" s="65"/>
      <c r="C16" s="65"/>
      <c r="D16" s="65"/>
      <c r="E16" s="65"/>
      <c r="F16" s="65"/>
      <c r="G16" s="65"/>
      <c r="H16" s="49"/>
    </row>
    <row r="17" ht="15.75" customHeight="1">
      <c r="A17" s="95" t="s">
        <v>265</v>
      </c>
      <c r="B17" s="34"/>
      <c r="C17" s="34"/>
      <c r="D17" s="34"/>
      <c r="E17" s="34"/>
      <c r="F17" s="34"/>
      <c r="G17" s="34"/>
      <c r="H17" s="35"/>
    </row>
    <row r="18" ht="15.75" customHeight="1">
      <c r="A18" s="96" t="s">
        <v>305</v>
      </c>
      <c r="B18" s="62"/>
      <c r="C18" s="62"/>
      <c r="D18" s="62"/>
      <c r="E18" s="62"/>
      <c r="F18" s="62"/>
      <c r="G18" s="62"/>
      <c r="H18" s="63"/>
    </row>
    <row r="19" ht="15.75" customHeight="1">
      <c r="A19" s="64"/>
      <c r="B19" s="65"/>
      <c r="C19" s="65"/>
      <c r="D19" s="65"/>
      <c r="E19" s="65"/>
      <c r="F19" s="65"/>
      <c r="G19" s="65"/>
      <c r="H19" s="49"/>
    </row>
    <row r="20" ht="15.75" customHeight="1"/>
    <row r="21" ht="15.75" customHeight="1">
      <c r="A21" s="93" t="s">
        <v>267</v>
      </c>
      <c r="G21" s="88" t="s">
        <v>218</v>
      </c>
      <c r="H21" s="94">
        <v>50.0</v>
      </c>
      <c r="I21" s="6"/>
    </row>
    <row r="22" ht="15.75" customHeight="1">
      <c r="G22" s="81" t="s">
        <v>268</v>
      </c>
    </row>
    <row r="23" ht="15.75" customHeight="1">
      <c r="A23" s="84" t="s">
        <v>269</v>
      </c>
      <c r="B23" s="85" t="s">
        <v>103</v>
      </c>
      <c r="C23" s="34"/>
      <c r="D23" s="34"/>
      <c r="E23" s="34"/>
      <c r="F23" s="34"/>
      <c r="G23" s="34"/>
      <c r="H23" s="35"/>
    </row>
    <row r="24" ht="15.75" customHeight="1">
      <c r="A24" s="84" t="s">
        <v>269</v>
      </c>
      <c r="B24" s="85" t="s">
        <v>103</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IFERROR(__xludf.DUMMYFUNCTION("FILTER('Diseño'!D:D,'Diseño'!H:H=$C$5)"),"Arquitectura de Software")</f>
        <v>Arquitectura de Software</v>
      </c>
      <c r="C28" s="35"/>
      <c r="D28" s="75" t="str">
        <f>IFERROR(__xludf.DUMMYFUNCTION("FILTER('Diseño'!E:E,'Diseño'!H:H=$C$5)"),"Clean Architecture")</f>
        <v>Clean Architecture</v>
      </c>
      <c r="E28" s="35"/>
      <c r="F28" s="75" t="str">
        <f>IFERROR(__xludf.DUMMYFUNCTION("FILTER('Diseño'!F:F,'Diseño'!H:H=$C$5)"),"Monolito")</f>
        <v>Monolito</v>
      </c>
      <c r="G28" s="34"/>
      <c r="H28" s="35"/>
    </row>
    <row r="29" ht="15.75" customHeight="1">
      <c r="A29" s="76">
        <v>2.0</v>
      </c>
      <c r="B29" s="75" t="str">
        <f>IFERROR(__xludf.DUMMYFUNCTION("""COMPUTED_VALUE"""),"Arquitectura de Software")</f>
        <v>Arquitectura de Software</v>
      </c>
      <c r="C29" s="35"/>
      <c r="D29" s="75" t="str">
        <f>IFERROR(__xludf.DUMMYFUNCTION("""COMPUTED_VALUE"""),"Clean Architecture")</f>
        <v>Clean Architecture</v>
      </c>
      <c r="E29" s="35"/>
      <c r="F29" s="75" t="str">
        <f>IFERROR(__xludf.DUMMYFUNCTION("""COMPUTED_VALUE"""),"Microservicios")</f>
        <v>Microservicios</v>
      </c>
      <c r="G29" s="34"/>
      <c r="H29" s="35"/>
    </row>
    <row r="30" ht="15.75" customHeight="1">
      <c r="A30" s="76">
        <v>3.0</v>
      </c>
      <c r="B30" s="75" t="str">
        <f>IFERROR(__xludf.DUMMYFUNCTION("""COMPUTED_VALUE"""),"Arquitectura de Software")</f>
        <v>Arquitectura de Software</v>
      </c>
      <c r="C30" s="35"/>
      <c r="D30" s="75" t="str">
        <f>IFERROR(__xludf.DUMMYFUNCTION("""COMPUTED_VALUE"""),"Clean Architecture")</f>
        <v>Clean Architecture</v>
      </c>
      <c r="E30" s="35"/>
      <c r="F30" s="75" t="str">
        <f>IFERROR(__xludf.DUMMYFUNCTION("""COMPUTED_VALUE"""),"SOA")</f>
        <v>SOA</v>
      </c>
      <c r="G30" s="34"/>
      <c r="H30" s="35"/>
    </row>
    <row r="31" ht="15.75" customHeight="1">
      <c r="A31" s="76">
        <v>4.0</v>
      </c>
      <c r="B31" s="75" t="str">
        <f>IFERROR(__xludf.DUMMYFUNCTION("""COMPUTED_VALUE"""),"Arquitectura de Software")</f>
        <v>Arquitectura de Software</v>
      </c>
      <c r="C31" s="35"/>
      <c r="D31" s="75" t="str">
        <f>IFERROR(__xludf.DUMMYFUNCTION("""COMPUTED_VALUE"""),"Clean Architecture")</f>
        <v>Clean Architecture</v>
      </c>
      <c r="E31" s="35"/>
      <c r="F31" s="75" t="str">
        <f>IFERROR(__xludf.DUMMYFUNCTION("""COMPUTED_VALUE"""),"DDD")</f>
        <v>DDD</v>
      </c>
      <c r="G31" s="34"/>
      <c r="H31" s="35"/>
    </row>
    <row r="32" ht="15.75" customHeight="1">
      <c r="A32" s="76">
        <v>5.0</v>
      </c>
      <c r="B32" s="75" t="str">
        <f>IFERROR(__xludf.DUMMYFUNCTION("""COMPUTED_VALUE"""),"Arquitectura de Software")</f>
        <v>Arquitectura de Software</v>
      </c>
      <c r="C32" s="35"/>
      <c r="D32" s="75" t="str">
        <f>IFERROR(__xludf.DUMMYFUNCTION("""COMPUTED_VALUE"""),"Clean Architecture")</f>
        <v>Clean Architecture</v>
      </c>
      <c r="E32" s="35"/>
      <c r="F32" s="75" t="str">
        <f>IFERROR(__xludf.DUMMYFUNCTION("""COMPUTED_VALUE"""),"vertical slice architecture")</f>
        <v>vertical slice architecture</v>
      </c>
      <c r="G32" s="34"/>
      <c r="H32" s="35"/>
    </row>
    <row r="33" ht="15.75" customHeight="1">
      <c r="A33" s="76">
        <v>6.0</v>
      </c>
      <c r="B33" s="75" t="str">
        <f>IFERROR(__xludf.DUMMYFUNCTION("""COMPUTED_VALUE"""),"Arquitectura de Software")</f>
        <v>Arquitectura de Software</v>
      </c>
      <c r="C33" s="35"/>
      <c r="D33" s="75" t="str">
        <f>IFERROR(__xludf.DUMMYFUNCTION("""COMPUTED_VALUE"""),"Clean Architecture")</f>
        <v>Clean Architecture</v>
      </c>
      <c r="E33" s="35"/>
      <c r="F33" s="75" t="str">
        <f>IFERROR(__xludf.DUMMYFUNCTION("""COMPUTED_VALUE"""),"screaming architecture")</f>
        <v>screaming architecture</v>
      </c>
      <c r="G33" s="34"/>
      <c r="H33" s="35"/>
    </row>
    <row r="34" ht="15.75" customHeight="1">
      <c r="A34" s="76">
        <v>7.0</v>
      </c>
      <c r="B34" s="75" t="str">
        <f>IFERROR(__xludf.DUMMYFUNCTION("""COMPUTED_VALUE"""),"Arquitectura de Software")</f>
        <v>Arquitectura de Software</v>
      </c>
      <c r="C34" s="35"/>
      <c r="D34" s="75" t="str">
        <f>IFERROR(__xludf.DUMMYFUNCTION("""COMPUTED_VALUE"""),"Clean Architecture")</f>
        <v>Clean Architecture</v>
      </c>
      <c r="E34" s="35"/>
      <c r="F34" s="75" t="str">
        <f>IFERROR(__xludf.DUMMYFUNCTION("""COMPUTED_VALUE"""),"MVC")</f>
        <v>MVC</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85">
        <v>30.0</v>
      </c>
      <c r="E39" s="34"/>
      <c r="F39" s="34"/>
      <c r="G39" s="34"/>
      <c r="H39" s="35"/>
      <c r="I39" s="76" t="str">
        <f t="shared" ref="I39:I42" si="1">IF(D39&lt;=C39,"Correcto", "Corregir")</f>
        <v>Correcto</v>
      </c>
    </row>
    <row r="40" ht="15.75" customHeight="1">
      <c r="A40" s="76" t="s">
        <v>280</v>
      </c>
      <c r="B40" s="76" t="s">
        <v>279</v>
      </c>
      <c r="C40" s="76">
        <v>6.0</v>
      </c>
      <c r="D40" s="85">
        <v>5.0</v>
      </c>
      <c r="E40" s="34"/>
      <c r="F40" s="34"/>
      <c r="G40" s="34"/>
      <c r="H40" s="35"/>
      <c r="I40" s="76" t="str">
        <f t="shared" si="1"/>
        <v>Correcto</v>
      </c>
    </row>
    <row r="41" ht="15.75" customHeight="1">
      <c r="A41" s="76" t="s">
        <v>281</v>
      </c>
      <c r="B41" s="76" t="s">
        <v>282</v>
      </c>
      <c r="C41" s="76">
        <v>10.0</v>
      </c>
      <c r="D41" s="85">
        <v>0.0</v>
      </c>
      <c r="E41" s="34"/>
      <c r="F41" s="34"/>
      <c r="G41" s="34"/>
      <c r="H41" s="35"/>
      <c r="I41" s="76" t="str">
        <f t="shared" si="1"/>
        <v>Correcto</v>
      </c>
    </row>
    <row r="42" ht="15.75" customHeight="1">
      <c r="A42" s="76" t="s">
        <v>283</v>
      </c>
      <c r="B42" s="76" t="s">
        <v>279</v>
      </c>
      <c r="C42" s="76">
        <v>30.0</v>
      </c>
      <c r="D42" s="85">
        <v>30.0</v>
      </c>
      <c r="E42" s="34"/>
      <c r="F42" s="34"/>
      <c r="G42" s="34"/>
      <c r="H42" s="35"/>
      <c r="I42" s="76" t="str">
        <f t="shared" si="1"/>
        <v>Correcto</v>
      </c>
    </row>
    <row r="43" ht="15.75" customHeight="1"/>
    <row r="44" ht="15.75" customHeight="1">
      <c r="A44" s="93" t="s">
        <v>284</v>
      </c>
      <c r="G44" s="88" t="s">
        <v>218</v>
      </c>
      <c r="H44" s="94">
        <v>50.0</v>
      </c>
    </row>
    <row r="45" ht="15.75" customHeight="1">
      <c r="G45" s="81" t="s">
        <v>285</v>
      </c>
    </row>
    <row r="46" ht="15.75" customHeight="1">
      <c r="A46" s="81" t="s">
        <v>286</v>
      </c>
    </row>
    <row r="47">
      <c r="A47" s="84" t="s">
        <v>287</v>
      </c>
      <c r="B47" s="85" t="s">
        <v>103</v>
      </c>
      <c r="C47" s="34"/>
      <c r="D47" s="34"/>
      <c r="E47" s="34"/>
      <c r="F47" s="34"/>
      <c r="G47" s="34"/>
      <c r="H47" s="35"/>
    </row>
    <row r="48" ht="15.75" customHeight="1">
      <c r="A48" s="84" t="s">
        <v>8</v>
      </c>
      <c r="B48" s="85" t="s">
        <v>306</v>
      </c>
      <c r="C48" s="34"/>
      <c r="D48" s="34"/>
      <c r="E48" s="34"/>
      <c r="F48" s="34"/>
      <c r="G48" s="34"/>
      <c r="H48" s="35"/>
    </row>
    <row r="49" ht="15.75" customHeight="1">
      <c r="A49" s="84" t="s">
        <v>257</v>
      </c>
      <c r="B49" s="108">
        <v>0.0</v>
      </c>
      <c r="C49" s="34"/>
      <c r="D49" s="34"/>
      <c r="E49" s="34"/>
      <c r="F49" s="34"/>
      <c r="G49" s="34"/>
      <c r="H49" s="35"/>
    </row>
    <row r="50" ht="15.75" customHeight="1">
      <c r="A50" s="84" t="s">
        <v>218</v>
      </c>
      <c r="B50" s="85">
        <v>50.0</v>
      </c>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96" t="s">
        <v>307</v>
      </c>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96" t="s">
        <v>308</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5.0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ht="15.75" customHeight="1">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309</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116" t="s">
        <v>310</v>
      </c>
      <c r="H15" s="112"/>
    </row>
    <row r="16" ht="15.75" customHeight="1">
      <c r="A16" s="65"/>
      <c r="B16" s="65"/>
      <c r="C16" s="65"/>
      <c r="D16" s="65"/>
      <c r="E16" s="65"/>
      <c r="F16" s="65"/>
      <c r="G16" s="65"/>
      <c r="H16" s="49"/>
    </row>
    <row r="17" ht="15.75" customHeight="1">
      <c r="A17" s="95" t="s">
        <v>265</v>
      </c>
      <c r="B17" s="34"/>
      <c r="C17" s="34"/>
      <c r="D17" s="34"/>
      <c r="E17" s="34"/>
      <c r="F17" s="34"/>
      <c r="G17" s="34"/>
      <c r="H17" s="35"/>
    </row>
    <row r="18" ht="15.75" customHeight="1">
      <c r="A18" s="116" t="s">
        <v>311</v>
      </c>
      <c r="H18" s="112"/>
    </row>
    <row r="19" ht="15.75" customHeight="1">
      <c r="A19" s="65"/>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128</v>
      </c>
      <c r="C23" s="34"/>
      <c r="D23" s="34"/>
      <c r="E23" s="34"/>
      <c r="F23" s="34"/>
      <c r="G23" s="34"/>
      <c r="H23" s="35"/>
    </row>
    <row r="24" ht="15.75" customHeight="1">
      <c r="A24" s="84" t="s">
        <v>269</v>
      </c>
      <c r="B24" s="85" t="s">
        <v>128</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IFERROR(__xludf.DUMMYFUNCTION("FILTER('Diseño'!D:D,'Diseño'!H:H=$C$5)"),"Arquitectura de Software")</f>
        <v>Arquitectura de Software</v>
      </c>
      <c r="C28" s="35"/>
      <c r="D28" s="75" t="str">
        <f>IFERROR(__xludf.DUMMYFUNCTION("FILTER('Diseño'!E:E,'Diseño'!H:H=$C$5)"),"Contenedores")</f>
        <v>Contenedores</v>
      </c>
      <c r="E28" s="35"/>
      <c r="F28" s="75" t="str">
        <f>IFERROR(__xludf.DUMMYFUNCTION("FILTER('Diseño'!F:F,'Diseño'!H:H=$C$5)"),"Docker image")</f>
        <v>Docker image</v>
      </c>
      <c r="G28" s="34"/>
      <c r="H28" s="35"/>
    </row>
    <row r="29" ht="15.75" customHeight="1">
      <c r="A29" s="76">
        <v>2.0</v>
      </c>
      <c r="B29" s="75" t="str">
        <f>IFERROR(__xludf.DUMMYFUNCTION("""COMPUTED_VALUE"""),"Arquitectura de Software")</f>
        <v>Arquitectura de Software</v>
      </c>
      <c r="C29" s="35"/>
      <c r="D29" s="75" t="str">
        <f>IFERROR(__xludf.DUMMYFUNCTION("""COMPUTED_VALUE"""),"Contenedores")</f>
        <v>Contenedores</v>
      </c>
      <c r="E29" s="35"/>
      <c r="F29" s="75" t="str">
        <f>IFERROR(__xludf.DUMMYFUNCTION("""COMPUTED_VALUE"""),"Dockerfile")</f>
        <v>Dockerfile</v>
      </c>
      <c r="G29" s="34"/>
      <c r="H29" s="35"/>
    </row>
    <row r="30" ht="15.75" customHeight="1">
      <c r="A30" s="76">
        <v>3.0</v>
      </c>
      <c r="B30" s="75" t="str">
        <f>IFERROR(__xludf.DUMMYFUNCTION("""COMPUTED_VALUE"""),"Arquitectura de Software")</f>
        <v>Arquitectura de Software</v>
      </c>
      <c r="C30" s="35"/>
      <c r="D30" s="75" t="str">
        <f>IFERROR(__xludf.DUMMYFUNCTION("""COMPUTED_VALUE"""),"Contenedores")</f>
        <v>Contenedores</v>
      </c>
      <c r="E30" s="35"/>
      <c r="F30" s="75" t="str">
        <f>IFERROR(__xludf.DUMMYFUNCTION("""COMPUTED_VALUE"""),"Ciclo de vida de un Contenedor")</f>
        <v>Ciclo de vida de un Contenedor</v>
      </c>
      <c r="G30" s="34"/>
      <c r="H30" s="35"/>
    </row>
    <row r="31" ht="15.75" customHeight="1">
      <c r="A31" s="76">
        <v>4.0</v>
      </c>
      <c r="B31" s="75" t="str">
        <f>IFERROR(__xludf.DUMMYFUNCTION("""COMPUTED_VALUE"""),"Arquitectura de Software")</f>
        <v>Arquitectura de Software</v>
      </c>
      <c r="C31" s="35"/>
      <c r="D31" s="75" t="str">
        <f>IFERROR(__xludf.DUMMYFUNCTION("""COMPUTED_VALUE"""),"Despliegue multiple de contenedores")</f>
        <v>Despliegue multiple de contenedores</v>
      </c>
      <c r="E31" s="35"/>
      <c r="F31" s="75" t="str">
        <f>IFERROR(__xludf.DUMMYFUNCTION("""COMPUTED_VALUE"""),"Docker Compose")</f>
        <v>Docker Compose</v>
      </c>
      <c r="G31" s="34"/>
      <c r="H31" s="35"/>
    </row>
    <row r="32" ht="15.75" customHeight="1">
      <c r="A32" s="76">
        <v>5.0</v>
      </c>
      <c r="B32" s="75" t="str">
        <f>IFERROR(__xludf.DUMMYFUNCTION("""COMPUTED_VALUE"""),"Arquitectura de Software")</f>
        <v>Arquitectura de Software</v>
      </c>
      <c r="C32" s="35"/>
      <c r="D32" s="75" t="str">
        <f>IFERROR(__xludf.DUMMYFUNCTION("""COMPUTED_VALUE"""),"Despliegue multiple de contenedores")</f>
        <v>Despliegue multiple de contenedores</v>
      </c>
      <c r="E32" s="35"/>
      <c r="F32" s="75" t="str">
        <f>IFERROR(__xludf.DUMMYFUNCTION("""COMPUTED_VALUE"""),"Docker vs Docker compose")</f>
        <v>Docker vs Docker compose</v>
      </c>
      <c r="G32" s="34"/>
      <c r="H32" s="35"/>
    </row>
    <row r="33" ht="15.75" customHeight="1">
      <c r="A33" s="76">
        <v>6.0</v>
      </c>
      <c r="B33" s="75" t="str">
        <f>IFERROR(__xludf.DUMMYFUNCTION("""COMPUTED_VALUE"""),"Arquitectura de Software")</f>
        <v>Arquitectura de Software</v>
      </c>
      <c r="C33" s="35"/>
      <c r="D33" s="75" t="str">
        <f>IFERROR(__xludf.DUMMYFUNCTION("""COMPUTED_VALUE"""),"Contenedores")</f>
        <v>Contenedores</v>
      </c>
      <c r="E33" s="35"/>
      <c r="F33" s="75" t="str">
        <f>IFERROR(__xludf.DUMMYFUNCTION("""COMPUTED_VALUE"""),"Podman")</f>
        <v>Podman</v>
      </c>
      <c r="G33" s="34"/>
      <c r="H33" s="35"/>
    </row>
    <row r="34" ht="15.75" customHeight="1">
      <c r="A34" s="76">
        <v>7.0</v>
      </c>
      <c r="B34" s="75" t="str">
        <f>IFERROR(__xludf.DUMMYFUNCTION("""COMPUTED_VALUE"""),"Arquitectura de Software")</f>
        <v>Arquitectura de Software</v>
      </c>
      <c r="C34" s="35"/>
      <c r="D34" s="75" t="str">
        <f>IFERROR(__xludf.DUMMYFUNCTION("""COMPUTED_VALUE"""),"Contenedores")</f>
        <v>Contenedores</v>
      </c>
      <c r="E34" s="35"/>
      <c r="F34" s="75" t="str">
        <f>IFERROR(__xludf.DUMMYFUNCTION("""COMPUTED_VALUE"""),"Containerd")</f>
        <v>Containerd</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75"/>
      <c r="E39" s="34"/>
      <c r="F39" s="34"/>
      <c r="G39" s="34"/>
      <c r="H39" s="35"/>
      <c r="I39" s="76" t="str">
        <f t="shared" ref="I39:I42" si="1">IF(D39&lt;=C39,"Correcto", "Corregir")</f>
        <v>Correcto</v>
      </c>
    </row>
    <row r="40" ht="15.75" customHeight="1">
      <c r="A40" s="76" t="s">
        <v>280</v>
      </c>
      <c r="B40" s="76" t="s">
        <v>279</v>
      </c>
      <c r="C40" s="76">
        <v>6.0</v>
      </c>
      <c r="D40" s="75"/>
      <c r="E40" s="34"/>
      <c r="F40" s="34"/>
      <c r="G40" s="34"/>
      <c r="H40" s="35"/>
      <c r="I40" s="76" t="str">
        <f t="shared" si="1"/>
        <v>Correcto</v>
      </c>
    </row>
    <row r="41" ht="15.75" customHeight="1">
      <c r="A41" s="76" t="s">
        <v>281</v>
      </c>
      <c r="B41" s="76" t="s">
        <v>282</v>
      </c>
      <c r="C41" s="76">
        <v>10.0</v>
      </c>
      <c r="D41" s="75"/>
      <c r="E41" s="34"/>
      <c r="F41" s="34"/>
      <c r="G41" s="34"/>
      <c r="H41" s="35"/>
      <c r="I41" s="76" t="str">
        <f t="shared" si="1"/>
        <v>Correcto</v>
      </c>
    </row>
    <row r="42" ht="15.75" customHeight="1">
      <c r="A42" s="76" t="s">
        <v>283</v>
      </c>
      <c r="B42" s="76" t="s">
        <v>279</v>
      </c>
      <c r="C42" s="76">
        <v>30.0</v>
      </c>
      <c r="D42" s="75"/>
      <c r="E42" s="34"/>
      <c r="F42" s="34"/>
      <c r="G42" s="34"/>
      <c r="H42" s="35"/>
      <c r="I42" s="76" t="str">
        <f t="shared" si="1"/>
        <v>Correcto</v>
      </c>
    </row>
    <row r="43" ht="15.75" customHeight="1"/>
    <row r="44" ht="15.75" customHeight="1">
      <c r="A44" s="93" t="s">
        <v>284</v>
      </c>
      <c r="G44" s="88" t="s">
        <v>218</v>
      </c>
      <c r="H44" s="94">
        <v>40.0</v>
      </c>
    </row>
    <row r="45" ht="15.75" customHeight="1">
      <c r="G45" s="81" t="s">
        <v>285</v>
      </c>
    </row>
    <row r="46" ht="15.75" customHeight="1">
      <c r="A46" s="81" t="s">
        <v>286</v>
      </c>
    </row>
    <row r="47">
      <c r="A47" s="84" t="s">
        <v>287</v>
      </c>
      <c r="B47" s="85" t="s">
        <v>128</v>
      </c>
      <c r="C47" s="34"/>
      <c r="D47" s="34"/>
      <c r="E47" s="34"/>
      <c r="F47" s="34"/>
      <c r="G47" s="34"/>
      <c r="H47" s="35"/>
    </row>
    <row r="48" ht="15.75" customHeight="1">
      <c r="A48" s="84" t="s">
        <v>8</v>
      </c>
      <c r="B48" s="75" t="s">
        <v>301</v>
      </c>
      <c r="C48" s="34"/>
      <c r="D48" s="34"/>
      <c r="E48" s="34"/>
      <c r="F48" s="34"/>
      <c r="G48" s="34"/>
      <c r="H48" s="35"/>
    </row>
    <row r="49" ht="15.75" customHeight="1">
      <c r="A49" s="84" t="s">
        <v>257</v>
      </c>
      <c r="B49" s="108">
        <v>0.0</v>
      </c>
      <c r="C49" s="34"/>
      <c r="D49" s="34"/>
      <c r="E49" s="34"/>
      <c r="F49" s="34"/>
      <c r="G49" s="34"/>
      <c r="H49" s="35"/>
    </row>
    <row r="50" ht="15.75" customHeight="1">
      <c r="A50" s="84" t="s">
        <v>218</v>
      </c>
      <c r="B50" s="75"/>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110"/>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96" t="s">
        <v>312</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6.0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313</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96" t="s">
        <v>314</v>
      </c>
      <c r="B15" s="62"/>
      <c r="C15" s="62"/>
      <c r="D15" s="62"/>
      <c r="E15" s="62"/>
      <c r="F15" s="62"/>
      <c r="G15" s="62"/>
      <c r="H15" s="63"/>
    </row>
    <row r="16" ht="41.25" customHeight="1">
      <c r="A16" s="64"/>
      <c r="B16" s="65"/>
      <c r="C16" s="65"/>
      <c r="D16" s="65"/>
      <c r="E16" s="65"/>
      <c r="F16" s="65"/>
      <c r="G16" s="65"/>
      <c r="H16" s="49"/>
    </row>
    <row r="17" ht="15.75" customHeight="1">
      <c r="A17" s="95" t="s">
        <v>265</v>
      </c>
      <c r="B17" s="34"/>
      <c r="C17" s="34"/>
      <c r="D17" s="34"/>
      <c r="E17" s="34"/>
      <c r="F17" s="34"/>
      <c r="G17" s="34"/>
      <c r="H17" s="35"/>
    </row>
    <row r="18" ht="15.75" customHeight="1">
      <c r="A18" s="96" t="s">
        <v>315</v>
      </c>
      <c r="B18" s="62"/>
      <c r="C18" s="62"/>
      <c r="D18" s="62"/>
      <c r="E18" s="62"/>
      <c r="F18" s="62"/>
      <c r="G18" s="62"/>
      <c r="H18" s="63"/>
    </row>
    <row r="19" ht="54.75" customHeight="1">
      <c r="A19" s="64"/>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150</v>
      </c>
      <c r="C23" s="34"/>
      <c r="D23" s="34"/>
      <c r="E23" s="34"/>
      <c r="F23" s="34"/>
      <c r="G23" s="34"/>
      <c r="H23" s="35"/>
    </row>
    <row r="24" ht="15.75" customHeight="1">
      <c r="A24" s="84" t="s">
        <v>269</v>
      </c>
      <c r="B24" s="85" t="s">
        <v>103</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IFERROR(__xludf.DUMMYFUNCTION("FILTER('Diseño'!D:D,'Diseño'!H:H=$C$5)"),"Modelo y Calidad de Software")</f>
        <v>Modelo y Calidad de Software</v>
      </c>
      <c r="C28" s="35"/>
      <c r="D28" s="75" t="str">
        <f>IFERROR(__xludf.DUMMYFUNCTION("FILTER('Diseño'!E:E,'Diseño'!H:H=$C$5)"),"ISO/IEC 25010")</f>
        <v>ISO/IEC 25010</v>
      </c>
      <c r="E28" s="35"/>
      <c r="F28" s="75" t="str">
        <f>IFERROR(__xludf.DUMMYFUNCTION("FILTER('Diseño'!F:F,'Diseño'!H:H=$C$5)"),"Calidad de Software")</f>
        <v>Calidad de Software</v>
      </c>
      <c r="G28" s="34"/>
      <c r="H28" s="35"/>
    </row>
    <row r="29" ht="15.75" customHeight="1">
      <c r="A29" s="76">
        <v>2.0</v>
      </c>
      <c r="B29" s="75" t="str">
        <f>IFERROR(__xludf.DUMMYFUNCTION("""COMPUTED_VALUE"""),"Modelo de Seguridad de la Informacion")</f>
        <v>Modelo de Seguridad de la Informacion</v>
      </c>
      <c r="C29" s="35"/>
      <c r="D29" s="75" t="str">
        <f>IFERROR(__xludf.DUMMYFUNCTION("""COMPUTED_VALUE"""),"ISO/IEC 27001 ")</f>
        <v>ISO/IEC 27001 </v>
      </c>
      <c r="E29" s="35"/>
      <c r="F29" s="75" t="str">
        <f>IFERROR(__xludf.DUMMYFUNCTION("""COMPUTED_VALUE"""),"Control de accesos organizacionales/Políticas de contraseñas")</f>
        <v>Control de accesos organizacionales/Políticas de contraseñas</v>
      </c>
      <c r="G29" s="34"/>
      <c r="H29" s="35"/>
    </row>
    <row r="30" ht="15.75" customHeight="1">
      <c r="A30" s="76">
        <v>3.0</v>
      </c>
      <c r="B30" s="75" t="str">
        <f>IFERROR(__xludf.DUMMYFUNCTION("""COMPUTED_VALUE"""),"Orquestacion")</f>
        <v>Orquestacion</v>
      </c>
      <c r="C30" s="35"/>
      <c r="D30" s="75" t="str">
        <f>IFERROR(__xludf.DUMMYFUNCTION("""COMPUTED_VALUE"""),"K8s")</f>
        <v>K8s</v>
      </c>
      <c r="E30" s="35"/>
      <c r="F30" s="75" t="str">
        <f>IFERROR(__xludf.DUMMYFUNCTION("""COMPUTED_VALUE"""),"Tipos de nodos")</f>
        <v>Tipos de nodos</v>
      </c>
      <c r="G30" s="34"/>
      <c r="H30" s="35"/>
    </row>
    <row r="31" ht="15.75" customHeight="1">
      <c r="A31" s="76">
        <v>4.0</v>
      </c>
      <c r="B31" s="75" t="str">
        <f>IFERROR(__xludf.DUMMYFUNCTION("""COMPUTED_VALUE"""),"Orquestacion")</f>
        <v>Orquestacion</v>
      </c>
      <c r="C31" s="35"/>
      <c r="D31" s="75" t="str">
        <f>IFERROR(__xludf.DUMMYFUNCTION("""COMPUTED_VALUE"""),"K8s")</f>
        <v>K8s</v>
      </c>
      <c r="E31" s="35"/>
      <c r="F31" s="75" t="str">
        <f>IFERROR(__xludf.DUMMYFUNCTION("""COMPUTED_VALUE"""),"Deployments")</f>
        <v>Deployments</v>
      </c>
      <c r="G31" s="34"/>
      <c r="H31" s="35"/>
    </row>
    <row r="32" ht="15.75" customHeight="1">
      <c r="A32" s="76">
        <v>5.0</v>
      </c>
      <c r="B32" s="75" t="str">
        <f>IFERROR(__xludf.DUMMYFUNCTION("""COMPUTED_VALUE"""),"Orquestacion")</f>
        <v>Orquestacion</v>
      </c>
      <c r="C32" s="35"/>
      <c r="D32" s="75" t="str">
        <f>IFERROR(__xludf.DUMMYFUNCTION("""COMPUTED_VALUE"""),"K8s")</f>
        <v>K8s</v>
      </c>
      <c r="E32" s="35"/>
      <c r="F32" s="75" t="str">
        <f>IFERROR(__xludf.DUMMYFUNCTION("""COMPUTED_VALUE"""),"Services")</f>
        <v>Services</v>
      </c>
      <c r="G32" s="34"/>
      <c r="H32" s="35"/>
    </row>
    <row r="33" ht="15.75" customHeight="1">
      <c r="A33" s="76">
        <v>6.0</v>
      </c>
      <c r="B33" s="75" t="str">
        <f>IFERROR(__xludf.DUMMYFUNCTION("""COMPUTED_VALUE"""),"Orquestacion")</f>
        <v>Orquestacion</v>
      </c>
      <c r="C33" s="35"/>
      <c r="D33" s="75" t="str">
        <f>IFERROR(__xludf.DUMMYFUNCTION("""COMPUTED_VALUE"""),"K8s")</f>
        <v>K8s</v>
      </c>
      <c r="E33" s="35"/>
      <c r="F33" s="75" t="str">
        <f>IFERROR(__xludf.DUMMYFUNCTION("""COMPUTED_VALUE"""),"Ingress")</f>
        <v>Ingress</v>
      </c>
      <c r="G33" s="34"/>
      <c r="H33" s="35"/>
    </row>
    <row r="34" ht="15.75" customHeight="1">
      <c r="A34" s="76">
        <v>7.0</v>
      </c>
      <c r="B34" s="75" t="str">
        <f>IFERROR(__xludf.DUMMYFUNCTION("""COMPUTED_VALUE"""),"Orquestacion")</f>
        <v>Orquestacion</v>
      </c>
      <c r="C34" s="35"/>
      <c r="D34" s="75" t="str">
        <f>IFERROR(__xludf.DUMMYFUNCTION("""COMPUTED_VALUE"""),"K8s")</f>
        <v>K8s</v>
      </c>
      <c r="E34" s="35"/>
      <c r="F34" s="75" t="str">
        <f>IFERROR(__xludf.DUMMYFUNCTION("""COMPUTED_VALUE"""),"Helm")</f>
        <v>Helm</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85">
        <v>30.0</v>
      </c>
      <c r="E39" s="34"/>
      <c r="F39" s="34"/>
      <c r="G39" s="34"/>
      <c r="H39" s="35"/>
      <c r="I39" s="76" t="str">
        <f t="shared" ref="I39:I42" si="1">IF(D39&lt;=C39,"Correcto", "Corregir")</f>
        <v>Correcto</v>
      </c>
    </row>
    <row r="40" ht="15.75" customHeight="1">
      <c r="A40" s="76" t="s">
        <v>280</v>
      </c>
      <c r="B40" s="76" t="s">
        <v>279</v>
      </c>
      <c r="C40" s="76">
        <v>6.0</v>
      </c>
      <c r="D40" s="85">
        <v>5.0</v>
      </c>
      <c r="E40" s="34"/>
      <c r="F40" s="34"/>
      <c r="G40" s="34"/>
      <c r="H40" s="35"/>
      <c r="I40" s="76" t="str">
        <f t="shared" si="1"/>
        <v>Correcto</v>
      </c>
    </row>
    <row r="41" ht="15.75" customHeight="1">
      <c r="A41" s="76" t="s">
        <v>281</v>
      </c>
      <c r="B41" s="76" t="s">
        <v>282</v>
      </c>
      <c r="C41" s="76">
        <v>10.0</v>
      </c>
      <c r="D41" s="85">
        <v>0.0</v>
      </c>
      <c r="E41" s="34"/>
      <c r="F41" s="34"/>
      <c r="G41" s="34"/>
      <c r="H41" s="35"/>
      <c r="I41" s="76" t="str">
        <f t="shared" si="1"/>
        <v>Correcto</v>
      </c>
    </row>
    <row r="42" ht="15.75" customHeight="1">
      <c r="A42" s="76" t="s">
        <v>283</v>
      </c>
      <c r="B42" s="76" t="s">
        <v>279</v>
      </c>
      <c r="C42" s="76">
        <v>30.0</v>
      </c>
      <c r="D42" s="85">
        <v>30.0</v>
      </c>
      <c r="E42" s="34"/>
      <c r="F42" s="34"/>
      <c r="G42" s="34"/>
      <c r="H42" s="35"/>
      <c r="I42" s="76" t="str">
        <f t="shared" si="1"/>
        <v>Correcto</v>
      </c>
    </row>
    <row r="43" ht="15.75" customHeight="1"/>
    <row r="44" ht="15.75" customHeight="1">
      <c r="A44" s="93" t="s">
        <v>284</v>
      </c>
      <c r="G44" s="88" t="s">
        <v>218</v>
      </c>
      <c r="H44" s="94">
        <v>40.0</v>
      </c>
    </row>
    <row r="45" ht="15.75" customHeight="1">
      <c r="G45" s="81" t="s">
        <v>285</v>
      </c>
    </row>
    <row r="46" ht="15.75" customHeight="1">
      <c r="A46" s="81" t="s">
        <v>286</v>
      </c>
    </row>
    <row r="47">
      <c r="A47" s="84" t="s">
        <v>287</v>
      </c>
      <c r="B47" s="85" t="s">
        <v>85</v>
      </c>
      <c r="C47" s="34"/>
      <c r="D47" s="34"/>
      <c r="E47" s="34"/>
      <c r="F47" s="34"/>
      <c r="G47" s="34"/>
      <c r="H47" s="35"/>
    </row>
    <row r="48" ht="15.75" customHeight="1">
      <c r="A48" s="84" t="s">
        <v>8</v>
      </c>
      <c r="B48" s="85" t="s">
        <v>288</v>
      </c>
      <c r="C48" s="34"/>
      <c r="D48" s="34"/>
      <c r="E48" s="34"/>
      <c r="F48" s="34"/>
      <c r="G48" s="34"/>
      <c r="H48" s="35"/>
    </row>
    <row r="49" ht="15.75" customHeight="1">
      <c r="A49" s="84" t="s">
        <v>257</v>
      </c>
      <c r="B49" s="108">
        <v>0.0</v>
      </c>
      <c r="C49" s="34"/>
      <c r="D49" s="34"/>
      <c r="E49" s="34"/>
      <c r="F49" s="34"/>
      <c r="G49" s="34"/>
      <c r="H49" s="35"/>
    </row>
    <row r="50" ht="15.75" customHeight="1">
      <c r="A50" s="84" t="s">
        <v>218</v>
      </c>
      <c r="B50" s="85">
        <v>30.0</v>
      </c>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96" t="s">
        <v>316</v>
      </c>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117" t="s">
        <v>317</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7.0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ht="15.75" customHeight="1">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318</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115" t="s">
        <v>319</v>
      </c>
      <c r="H15" s="112"/>
    </row>
    <row r="16" ht="15.75" customHeight="1">
      <c r="A16" s="65"/>
      <c r="B16" s="65"/>
      <c r="C16" s="65"/>
      <c r="D16" s="65"/>
      <c r="E16" s="65"/>
      <c r="F16" s="65"/>
      <c r="G16" s="65"/>
      <c r="H16" s="49"/>
    </row>
    <row r="17" ht="15.75" customHeight="1">
      <c r="A17" s="95" t="s">
        <v>265</v>
      </c>
      <c r="B17" s="34"/>
      <c r="C17" s="34"/>
      <c r="D17" s="34"/>
      <c r="E17" s="34"/>
      <c r="F17" s="34"/>
      <c r="G17" s="34"/>
      <c r="H17" s="35"/>
    </row>
    <row r="18" ht="15.75" customHeight="1">
      <c r="A18" s="115" t="s">
        <v>320</v>
      </c>
      <c r="H18" s="112"/>
    </row>
    <row r="19" ht="15.75" customHeight="1">
      <c r="A19" s="65"/>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110</v>
      </c>
      <c r="C23" s="34"/>
      <c r="D23" s="34"/>
      <c r="E23" s="34"/>
      <c r="F23" s="34"/>
      <c r="G23" s="34"/>
      <c r="H23" s="35"/>
    </row>
    <row r="24" ht="15.75" customHeight="1">
      <c r="A24" s="84" t="s">
        <v>269</v>
      </c>
      <c r="B24" s="85" t="s">
        <v>110</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IFERROR(__xludf.DUMMYFUNCTION("FILTER('Diseño'!D:D,'Diseño'!H:H=$C$5)"),"Orquestacion")</f>
        <v>Orquestacion</v>
      </c>
      <c r="C28" s="35"/>
      <c r="D28" s="75" t="str">
        <f>IFERROR(__xludf.DUMMYFUNCTION("FILTER('Diseño'!E:E,'Diseño'!H:H=$C$5)"),"Modelos de servicio de Nube")</f>
        <v>Modelos de servicio de Nube</v>
      </c>
      <c r="E28" s="35"/>
      <c r="F28" s="75" t="str">
        <f>IFERROR(__xludf.DUMMYFUNCTION("FILTER('Diseño'!F:F,'Diseño'!H:H=$C$5)"),"SaaS")</f>
        <v>SaaS</v>
      </c>
      <c r="G28" s="34"/>
      <c r="H28" s="35"/>
    </row>
    <row r="29" ht="15.75" customHeight="1">
      <c r="A29" s="76">
        <v>2.0</v>
      </c>
      <c r="B29" s="75" t="str">
        <f>IFERROR(__xludf.DUMMYFUNCTION("""COMPUTED_VALUE"""),"Orquestacion")</f>
        <v>Orquestacion</v>
      </c>
      <c r="C29" s="35"/>
      <c r="D29" s="75" t="str">
        <f>IFERROR(__xludf.DUMMYFUNCTION("""COMPUTED_VALUE"""),"Modelos de servicio de Nube")</f>
        <v>Modelos de servicio de Nube</v>
      </c>
      <c r="E29" s="35"/>
      <c r="F29" s="75" t="str">
        <f>IFERROR(__xludf.DUMMYFUNCTION("""COMPUTED_VALUE"""),"PaaS")</f>
        <v>PaaS</v>
      </c>
      <c r="G29" s="34"/>
      <c r="H29" s="35"/>
    </row>
    <row r="30" ht="15.75" customHeight="1">
      <c r="A30" s="76">
        <v>3.0</v>
      </c>
      <c r="B30" s="75" t="str">
        <f>IFERROR(__xludf.DUMMYFUNCTION("""COMPUTED_VALUE"""),"Orquestacion")</f>
        <v>Orquestacion</v>
      </c>
      <c r="C30" s="35"/>
      <c r="D30" s="75" t="str">
        <f>IFERROR(__xludf.DUMMYFUNCTION("""COMPUTED_VALUE"""),"Modelos de servicio de Nube")</f>
        <v>Modelos de servicio de Nube</v>
      </c>
      <c r="E30" s="35"/>
      <c r="F30" s="75" t="str">
        <f>IFERROR(__xludf.DUMMYFUNCTION("""COMPUTED_VALUE"""),"IaaS")</f>
        <v>IaaS</v>
      </c>
      <c r="G30" s="34"/>
      <c r="H30" s="35"/>
    </row>
    <row r="31" ht="15.75" customHeight="1">
      <c r="A31" s="76">
        <v>4.0</v>
      </c>
      <c r="B31" s="75" t="str">
        <f>IFERROR(__xludf.DUMMYFUNCTION("""COMPUTED_VALUE"""),"Orquestacion")</f>
        <v>Orquestacion</v>
      </c>
      <c r="C31" s="35"/>
      <c r="D31" s="75" t="str">
        <f>IFERROR(__xludf.DUMMYFUNCTION("""COMPUTED_VALUE"""),"IaaS")</f>
        <v>IaaS</v>
      </c>
      <c r="E31" s="35"/>
      <c r="F31" s="75" t="str">
        <f>IFERROR(__xludf.DUMMYFUNCTION("""COMPUTED_VALUE"""),"Casos de uso")</f>
        <v>Casos de uso</v>
      </c>
      <c r="G31" s="34"/>
      <c r="H31" s="35"/>
    </row>
    <row r="32" ht="15.75" customHeight="1">
      <c r="A32" s="76">
        <v>5.0</v>
      </c>
      <c r="B32" s="75" t="str">
        <f>IFERROR(__xludf.DUMMYFUNCTION("""COMPUTED_VALUE"""),"Orquestacion")</f>
        <v>Orquestacion</v>
      </c>
      <c r="C32" s="35"/>
      <c r="D32" s="75" t="str">
        <f>IFERROR(__xludf.DUMMYFUNCTION("""COMPUTED_VALUE"""),"Herramientas para Orquestas Infraestructura")</f>
        <v>Herramientas para Orquestas Infraestructura</v>
      </c>
      <c r="E32" s="35"/>
      <c r="F32" s="75" t="str">
        <f>IFERROR(__xludf.DUMMYFUNCTION("""COMPUTED_VALUE"""),"Ansible")</f>
        <v>Ansible</v>
      </c>
      <c r="G32" s="34"/>
      <c r="H32" s="35"/>
    </row>
    <row r="33" ht="15.75" customHeight="1">
      <c r="A33" s="76">
        <v>6.0</v>
      </c>
      <c r="B33" s="75" t="str">
        <f>IFERROR(__xludf.DUMMYFUNCTION("""COMPUTED_VALUE"""),"Orquestacion")</f>
        <v>Orquestacion</v>
      </c>
      <c r="C33" s="35"/>
      <c r="D33" s="75" t="str">
        <f>IFERROR(__xludf.DUMMYFUNCTION("""COMPUTED_VALUE"""),"Herramientas para Orquestas Infraestructura")</f>
        <v>Herramientas para Orquestas Infraestructura</v>
      </c>
      <c r="E33" s="35"/>
      <c r="F33" s="75" t="str">
        <f>IFERROR(__xludf.DUMMYFUNCTION("""COMPUTED_VALUE"""),"Terraform")</f>
        <v>Terraform</v>
      </c>
      <c r="G33" s="34"/>
      <c r="H33" s="35"/>
    </row>
    <row r="34" ht="15.75" customHeight="1">
      <c r="A34" s="76">
        <v>7.0</v>
      </c>
      <c r="B34" s="75" t="str">
        <f>IFERROR(__xludf.DUMMYFUNCTION("""COMPUTED_VALUE"""),"Orquestacion")</f>
        <v>Orquestacion</v>
      </c>
      <c r="C34" s="35"/>
      <c r="D34" s="75" t="str">
        <f>IFERROR(__xludf.DUMMYFUNCTION("""COMPUTED_VALUE"""),"Servicios Cloud")</f>
        <v>Servicios Cloud</v>
      </c>
      <c r="E34" s="35"/>
      <c r="F34" s="75" t="str">
        <f>IFERROR(__xludf.DUMMYFUNCTION("""COMPUTED_VALUE"""),"GCP,AWS, Digital Ocean, Azure")</f>
        <v>GCP,AWS, Digital Ocean, Azure</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75"/>
      <c r="E39" s="34"/>
      <c r="F39" s="34"/>
      <c r="G39" s="34"/>
      <c r="H39" s="35"/>
      <c r="I39" s="76" t="str">
        <f t="shared" ref="I39:I42" si="1">IF(D39&lt;=C39,"Correcto", "Corregir")</f>
        <v>Correcto</v>
      </c>
    </row>
    <row r="40" ht="15.75" customHeight="1">
      <c r="A40" s="76" t="s">
        <v>280</v>
      </c>
      <c r="B40" s="76" t="s">
        <v>279</v>
      </c>
      <c r="C40" s="76">
        <v>6.0</v>
      </c>
      <c r="D40" s="75"/>
      <c r="E40" s="34"/>
      <c r="F40" s="34"/>
      <c r="G40" s="34"/>
      <c r="H40" s="35"/>
      <c r="I40" s="76" t="str">
        <f t="shared" si="1"/>
        <v>Correcto</v>
      </c>
    </row>
    <row r="41" ht="15.75" customHeight="1">
      <c r="A41" s="76" t="s">
        <v>281</v>
      </c>
      <c r="B41" s="76" t="s">
        <v>282</v>
      </c>
      <c r="C41" s="76">
        <v>10.0</v>
      </c>
      <c r="D41" s="75"/>
      <c r="E41" s="34"/>
      <c r="F41" s="34"/>
      <c r="G41" s="34"/>
      <c r="H41" s="35"/>
      <c r="I41" s="76" t="str">
        <f t="shared" si="1"/>
        <v>Correcto</v>
      </c>
    </row>
    <row r="42" ht="15.75" customHeight="1">
      <c r="A42" s="76" t="s">
        <v>283</v>
      </c>
      <c r="B42" s="76" t="s">
        <v>279</v>
      </c>
      <c r="C42" s="76">
        <v>30.0</v>
      </c>
      <c r="D42" s="75"/>
      <c r="E42" s="34"/>
      <c r="F42" s="34"/>
      <c r="G42" s="34"/>
      <c r="H42" s="35"/>
      <c r="I42" s="76" t="str">
        <f t="shared" si="1"/>
        <v>Correcto</v>
      </c>
    </row>
    <row r="43" ht="15.75" customHeight="1"/>
    <row r="44" ht="15.75" customHeight="1">
      <c r="A44" s="93" t="s">
        <v>284</v>
      </c>
      <c r="G44" s="88" t="s">
        <v>218</v>
      </c>
      <c r="H44" s="94">
        <v>40.0</v>
      </c>
    </row>
    <row r="45" ht="15.75" customHeight="1">
      <c r="G45" s="81" t="s">
        <v>285</v>
      </c>
    </row>
    <row r="46" ht="15.75" customHeight="1">
      <c r="A46" s="81" t="s">
        <v>286</v>
      </c>
    </row>
    <row r="47">
      <c r="A47" s="84" t="s">
        <v>287</v>
      </c>
      <c r="B47" s="85" t="s">
        <v>110</v>
      </c>
      <c r="C47" s="34"/>
      <c r="D47" s="34"/>
      <c r="E47" s="34"/>
      <c r="F47" s="34"/>
      <c r="G47" s="34"/>
      <c r="H47" s="35"/>
    </row>
    <row r="48" ht="15.75" customHeight="1">
      <c r="A48" s="84" t="s">
        <v>8</v>
      </c>
      <c r="B48" s="75" t="s">
        <v>301</v>
      </c>
      <c r="C48" s="34"/>
      <c r="D48" s="34"/>
      <c r="E48" s="34"/>
      <c r="F48" s="34"/>
      <c r="G48" s="34"/>
      <c r="H48" s="35"/>
    </row>
    <row r="49" ht="15.75" customHeight="1">
      <c r="A49" s="84" t="s">
        <v>257</v>
      </c>
      <c r="B49" s="108">
        <v>0.0</v>
      </c>
      <c r="C49" s="34"/>
      <c r="D49" s="34"/>
      <c r="E49" s="34"/>
      <c r="F49" s="34"/>
      <c r="G49" s="34"/>
      <c r="H49" s="35"/>
    </row>
    <row r="50" ht="15.75" customHeight="1">
      <c r="A50" s="84" t="s">
        <v>218</v>
      </c>
      <c r="B50" s="75"/>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110"/>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117" t="s">
        <v>321</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8.0</v>
      </c>
      <c r="D5" s="34"/>
      <c r="E5" s="34"/>
      <c r="F5" s="34"/>
      <c r="G5" s="35"/>
    </row>
    <row r="6" ht="15.75" customHeight="1">
      <c r="B6" s="91" t="s">
        <v>215</v>
      </c>
      <c r="C6" s="75">
        <f>H10+H21+H44+H68</f>
        <v>110</v>
      </c>
      <c r="D6" s="34"/>
      <c r="E6" s="34"/>
      <c r="F6" s="34"/>
      <c r="G6" s="35"/>
      <c r="I6" s="6"/>
    </row>
    <row r="7" ht="15.75" customHeight="1">
      <c r="B7" s="91" t="s">
        <v>257</v>
      </c>
      <c r="C7" s="75">
        <f>B49+B60</f>
        <v>0</v>
      </c>
      <c r="D7" s="34"/>
      <c r="E7" s="34"/>
      <c r="F7" s="34"/>
      <c r="G7" s="35"/>
    </row>
    <row r="8" ht="15.75" customHeight="1">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322</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118" t="s">
        <v>323</v>
      </c>
      <c r="B15" s="62"/>
      <c r="C15" s="62"/>
      <c r="D15" s="62"/>
      <c r="E15" s="62"/>
      <c r="F15" s="62"/>
      <c r="G15" s="62"/>
      <c r="H15" s="63"/>
    </row>
    <row r="16" ht="53.25" customHeight="1">
      <c r="A16" s="64"/>
      <c r="B16" s="65"/>
      <c r="C16" s="65"/>
      <c r="D16" s="65"/>
      <c r="E16" s="65"/>
      <c r="F16" s="65"/>
      <c r="G16" s="65"/>
      <c r="H16" s="49"/>
    </row>
    <row r="17" ht="15.75" customHeight="1">
      <c r="A17" s="95" t="s">
        <v>265</v>
      </c>
      <c r="B17" s="34"/>
      <c r="C17" s="34"/>
      <c r="D17" s="34"/>
      <c r="E17" s="34"/>
      <c r="F17" s="34"/>
      <c r="G17" s="34"/>
      <c r="H17" s="35"/>
    </row>
    <row r="18" ht="15.75" customHeight="1">
      <c r="A18" s="96" t="s">
        <v>324</v>
      </c>
      <c r="B18" s="62"/>
      <c r="C18" s="62"/>
      <c r="D18" s="62"/>
      <c r="E18" s="62"/>
      <c r="F18" s="62"/>
      <c r="G18" s="62"/>
      <c r="H18" s="63"/>
    </row>
    <row r="19" ht="49.5" customHeight="1">
      <c r="A19" s="64"/>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150</v>
      </c>
      <c r="C23" s="34"/>
      <c r="D23" s="34"/>
      <c r="E23" s="34"/>
      <c r="F23" s="34"/>
      <c r="G23" s="34"/>
      <c r="H23" s="35"/>
    </row>
    <row r="24" ht="15.75" customHeight="1">
      <c r="A24" s="84" t="s">
        <v>269</v>
      </c>
      <c r="B24" s="85" t="s">
        <v>153</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IFERROR(__xludf.DUMMYFUNCTION("FILTER('Diseño'!D:D,'Diseño'!H:H=$C$5)"),"Introduccion a DevOps")</f>
        <v>Introduccion a DevOps</v>
      </c>
      <c r="C28" s="35"/>
      <c r="D28" s="75" t="str">
        <f>IFERROR(__xludf.DUMMYFUNCTION("FILTER('Diseño'!E:E,'Diseño'!H:H=$C$5)"),"Desarrollo Tradicional Vs DevOps")</f>
        <v>Desarrollo Tradicional Vs DevOps</v>
      </c>
      <c r="E28" s="35"/>
      <c r="F28" s="75" t="str">
        <f>IFERROR(__xludf.DUMMYFUNCTION("FILTER('Diseño'!F:F,'Diseño'!H:H=$C$5)"),"Desarrollo Tradicional Vs DevOps")</f>
        <v>Desarrollo Tradicional Vs DevOps</v>
      </c>
      <c r="G28" s="34"/>
      <c r="H28" s="35"/>
    </row>
    <row r="29" ht="15.75" customHeight="1">
      <c r="A29" s="76">
        <v>2.0</v>
      </c>
      <c r="B29" s="75" t="str">
        <f>IFERROR(__xludf.DUMMYFUNCTION("""COMPUTED_VALUE"""),"DevOps")</f>
        <v>DevOps</v>
      </c>
      <c r="C29" s="35"/>
      <c r="D29" s="75" t="str">
        <f>IFERROR(__xludf.DUMMYFUNCTION("""COMPUTED_VALUE"""),"Fases del Cliclo de vida DevOps")</f>
        <v>Fases del Cliclo de vida DevOps</v>
      </c>
      <c r="E29" s="35"/>
      <c r="F29" s="75" t="str">
        <f>IFERROR(__xludf.DUMMYFUNCTION("""COMPUTED_VALUE"""),"Plan")</f>
        <v>Plan</v>
      </c>
      <c r="G29" s="34"/>
      <c r="H29" s="35"/>
    </row>
    <row r="30" ht="15.75" customHeight="1">
      <c r="A30" s="76">
        <v>3.0</v>
      </c>
      <c r="B30" s="75" t="str">
        <f>IFERROR(__xludf.DUMMYFUNCTION("""COMPUTED_VALUE"""),"DevOps")</f>
        <v>DevOps</v>
      </c>
      <c r="C30" s="35"/>
      <c r="D30" s="75" t="str">
        <f>IFERROR(__xludf.DUMMYFUNCTION("""COMPUTED_VALUE"""),"Fases del Cliclo de vida DevOps")</f>
        <v>Fases del Cliclo de vida DevOps</v>
      </c>
      <c r="E30" s="35"/>
      <c r="F30" s="75" t="str">
        <f>IFERROR(__xludf.DUMMYFUNCTION("""COMPUTED_VALUE"""),"Code")</f>
        <v>Code</v>
      </c>
      <c r="G30" s="34"/>
      <c r="H30" s="35"/>
    </row>
    <row r="31" ht="15.75" customHeight="1">
      <c r="A31" s="76">
        <v>4.0</v>
      </c>
      <c r="B31" s="75" t="str">
        <f>IFERROR(__xludf.DUMMYFUNCTION("""COMPUTED_VALUE"""),"DevOps")</f>
        <v>DevOps</v>
      </c>
      <c r="C31" s="35"/>
      <c r="D31" s="75" t="str">
        <f>IFERROR(__xludf.DUMMYFUNCTION("""COMPUTED_VALUE"""),"Fases del Cliclo de vida DevOps")</f>
        <v>Fases del Cliclo de vida DevOps</v>
      </c>
      <c r="E31" s="35"/>
      <c r="F31" s="75" t="str">
        <f>IFERROR(__xludf.DUMMYFUNCTION("""COMPUTED_VALUE"""),"Build")</f>
        <v>Build</v>
      </c>
      <c r="G31" s="34"/>
      <c r="H31" s="35"/>
    </row>
    <row r="32" ht="15.75" customHeight="1">
      <c r="A32" s="76">
        <v>5.0</v>
      </c>
      <c r="B32" s="75" t="str">
        <f>IFERROR(__xludf.DUMMYFUNCTION("""COMPUTED_VALUE"""),"DevOps")</f>
        <v>DevOps</v>
      </c>
      <c r="C32" s="35"/>
      <c r="D32" s="75" t="str">
        <f>IFERROR(__xludf.DUMMYFUNCTION("""COMPUTED_VALUE"""),"Fases del Cliclo de vida DevOps")</f>
        <v>Fases del Cliclo de vida DevOps</v>
      </c>
      <c r="E32" s="35"/>
      <c r="F32" s="75" t="str">
        <f>IFERROR(__xludf.DUMMYFUNCTION("""COMPUTED_VALUE"""),"Test")</f>
        <v>Test</v>
      </c>
      <c r="G32" s="34"/>
      <c r="H32" s="35"/>
    </row>
    <row r="33" ht="15.75" customHeight="1">
      <c r="A33" s="76">
        <v>6.0</v>
      </c>
      <c r="B33" s="75" t="str">
        <f>IFERROR(__xludf.DUMMYFUNCTION("""COMPUTED_VALUE"""),"DevOps")</f>
        <v>DevOps</v>
      </c>
      <c r="C33" s="35"/>
      <c r="D33" s="75" t="str">
        <f>IFERROR(__xludf.DUMMYFUNCTION("""COMPUTED_VALUE"""),"Test")</f>
        <v>Test</v>
      </c>
      <c r="E33" s="35"/>
      <c r="F33" s="75" t="str">
        <f>IFERROR(__xludf.DUMMYFUNCTION("""COMPUTED_VALUE"""),"Tipos de Test")</f>
        <v>Tipos de Test</v>
      </c>
      <c r="G33" s="34"/>
      <c r="H33" s="35"/>
    </row>
    <row r="34" ht="15.75" customHeight="1">
      <c r="A34" s="76">
        <v>7.0</v>
      </c>
      <c r="B34" s="75" t="str">
        <f>IFERROR(__xludf.DUMMYFUNCTION("""COMPUTED_VALUE"""),"DevOps")</f>
        <v>DevOps</v>
      </c>
      <c r="C34" s="35"/>
      <c r="D34" s="75" t="str">
        <f>IFERROR(__xludf.DUMMYFUNCTION("""COMPUTED_VALUE"""),"Tipos de Test")</f>
        <v>Tipos de Test</v>
      </c>
      <c r="E34" s="35"/>
      <c r="F34" s="75" t="str">
        <f>IFERROR(__xludf.DUMMYFUNCTION("""COMPUTED_VALUE"""),"Integracion,E2E,Unitarios")</f>
        <v>Integracion,E2E,Unitarios</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85">
        <v>30.0</v>
      </c>
      <c r="E39" s="34"/>
      <c r="F39" s="34"/>
      <c r="G39" s="34"/>
      <c r="H39" s="35"/>
      <c r="I39" s="76" t="str">
        <f t="shared" ref="I39:I42" si="1">IF(D39&lt;=C39,"Correcto", "Corregir")</f>
        <v>Correcto</v>
      </c>
    </row>
    <row r="40" ht="15.75" customHeight="1">
      <c r="A40" s="76" t="s">
        <v>280</v>
      </c>
      <c r="B40" s="76" t="s">
        <v>279</v>
      </c>
      <c r="C40" s="76">
        <v>6.0</v>
      </c>
      <c r="D40" s="85">
        <v>5.0</v>
      </c>
      <c r="E40" s="34"/>
      <c r="F40" s="34"/>
      <c r="G40" s="34"/>
      <c r="H40" s="35"/>
      <c r="I40" s="76" t="str">
        <f t="shared" si="1"/>
        <v>Correcto</v>
      </c>
    </row>
    <row r="41" ht="15.75" customHeight="1">
      <c r="A41" s="76" t="s">
        <v>281</v>
      </c>
      <c r="B41" s="76" t="s">
        <v>282</v>
      </c>
      <c r="C41" s="76">
        <v>10.0</v>
      </c>
      <c r="D41" s="85">
        <v>0.0</v>
      </c>
      <c r="E41" s="34"/>
      <c r="F41" s="34"/>
      <c r="G41" s="34"/>
      <c r="H41" s="35"/>
      <c r="I41" s="76" t="str">
        <f t="shared" si="1"/>
        <v>Correcto</v>
      </c>
    </row>
    <row r="42" ht="15.75" customHeight="1">
      <c r="A42" s="76" t="s">
        <v>283</v>
      </c>
      <c r="B42" s="76" t="s">
        <v>279</v>
      </c>
      <c r="C42" s="76">
        <v>30.0</v>
      </c>
      <c r="D42" s="85">
        <v>30.0</v>
      </c>
      <c r="E42" s="34"/>
      <c r="F42" s="34"/>
      <c r="G42" s="34"/>
      <c r="H42" s="35"/>
      <c r="I42" s="76" t="str">
        <f t="shared" si="1"/>
        <v>Correcto</v>
      </c>
    </row>
    <row r="43" ht="15.75" customHeight="1"/>
    <row r="44" ht="15.75" customHeight="1">
      <c r="A44" s="93" t="s">
        <v>284</v>
      </c>
      <c r="G44" s="88" t="s">
        <v>218</v>
      </c>
      <c r="H44" s="94">
        <v>35.0</v>
      </c>
    </row>
    <row r="45" ht="15.75" customHeight="1">
      <c r="G45" s="81" t="s">
        <v>285</v>
      </c>
    </row>
    <row r="46" ht="15.75" customHeight="1">
      <c r="A46" s="81" t="s">
        <v>286</v>
      </c>
    </row>
    <row r="47">
      <c r="A47" s="84" t="s">
        <v>287</v>
      </c>
      <c r="B47" s="85" t="s">
        <v>150</v>
      </c>
      <c r="C47" s="34"/>
      <c r="D47" s="34"/>
      <c r="E47" s="34"/>
      <c r="F47" s="34"/>
      <c r="G47" s="34"/>
      <c r="H47" s="35"/>
    </row>
    <row r="48" ht="15.75" customHeight="1">
      <c r="A48" s="84" t="s">
        <v>8</v>
      </c>
      <c r="B48" s="75" t="s">
        <v>301</v>
      </c>
      <c r="C48" s="34"/>
      <c r="D48" s="34"/>
      <c r="E48" s="34"/>
      <c r="F48" s="34"/>
      <c r="G48" s="34"/>
      <c r="H48" s="35"/>
    </row>
    <row r="49" ht="15.75" customHeight="1">
      <c r="A49" s="84" t="s">
        <v>257</v>
      </c>
      <c r="B49" s="108">
        <v>0.0</v>
      </c>
      <c r="C49" s="34"/>
      <c r="D49" s="34"/>
      <c r="E49" s="34"/>
      <c r="F49" s="34"/>
      <c r="G49" s="34"/>
      <c r="H49" s="35"/>
    </row>
    <row r="50" ht="15.75" customHeight="1">
      <c r="A50" s="84" t="s">
        <v>218</v>
      </c>
      <c r="B50" s="85">
        <v>35.0</v>
      </c>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96" t="s">
        <v>325</v>
      </c>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117" t="s">
        <v>326</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9.0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ht="15.75" customHeight="1">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327</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115" t="s">
        <v>328</v>
      </c>
      <c r="H15" s="112"/>
    </row>
    <row r="16" ht="15.75" customHeight="1">
      <c r="A16" s="65"/>
      <c r="B16" s="65"/>
      <c r="C16" s="65"/>
      <c r="D16" s="65"/>
      <c r="E16" s="65"/>
      <c r="F16" s="65"/>
      <c r="G16" s="65"/>
      <c r="H16" s="49"/>
    </row>
    <row r="17" ht="15.75" customHeight="1">
      <c r="A17" s="95" t="s">
        <v>265</v>
      </c>
      <c r="B17" s="34"/>
      <c r="C17" s="34"/>
      <c r="D17" s="34"/>
      <c r="E17" s="34"/>
      <c r="F17" s="34"/>
      <c r="G17" s="34"/>
      <c r="H17" s="35"/>
    </row>
    <row r="18" ht="15.75" customHeight="1">
      <c r="A18" s="115" t="s">
        <v>329</v>
      </c>
      <c r="H18" s="112"/>
    </row>
    <row r="19" ht="15.75" customHeight="1">
      <c r="A19" s="65"/>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150</v>
      </c>
      <c r="C23" s="34"/>
      <c r="D23" s="34"/>
      <c r="E23" s="34"/>
      <c r="F23" s="34"/>
      <c r="G23" s="34"/>
      <c r="H23" s="35"/>
    </row>
    <row r="24" ht="15.75" customHeight="1">
      <c r="A24" s="84" t="s">
        <v>269</v>
      </c>
      <c r="B24" s="85" t="s">
        <v>150</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IFERROR(__xludf.DUMMYFUNCTION("FILTER('Diseño'!D:D,'Diseño'!H:H=$C$5)"),"DevOps")</f>
        <v>DevOps</v>
      </c>
      <c r="C28" s="35"/>
      <c r="D28" s="75" t="str">
        <f>IFERROR(__xludf.DUMMYFUNCTION("FILTER('Diseño'!E:E,'Diseño'!H:H=$C$5)"),"Herramientas DevOps")</f>
        <v>Herramientas DevOps</v>
      </c>
      <c r="E28" s="35"/>
      <c r="F28" s="75" t="str">
        <f>IFERROR(__xludf.DUMMYFUNCTION("FILTER('Diseño'!F:F,'Diseño'!H:H=$C$5)"),"Github action, Gitlab CI, Jenkings")</f>
        <v>Github action, Gitlab CI, Jenkings</v>
      </c>
      <c r="G28" s="34"/>
      <c r="H28" s="35"/>
    </row>
    <row r="29" ht="15.75" customHeight="1">
      <c r="A29" s="76">
        <v>2.0</v>
      </c>
      <c r="B29" s="75" t="str">
        <f>IFERROR(__xludf.DUMMYFUNCTION("""COMPUTED_VALUE"""),"DevSecOps")</f>
        <v>DevSecOps</v>
      </c>
      <c r="C29" s="35"/>
      <c r="D29" s="75" t="str">
        <f>IFERROR(__xludf.DUMMYFUNCTION("""COMPUTED_VALUE"""),"Cultura DevSecOps")</f>
        <v>Cultura DevSecOps</v>
      </c>
      <c r="E29" s="35"/>
      <c r="F29" s="75" t="str">
        <f>IFERROR(__xludf.DUMMYFUNCTION("""COMPUTED_VALUE"""),"Origin DevSecOps")</f>
        <v>Origin DevSecOps</v>
      </c>
      <c r="G29" s="34"/>
      <c r="H29" s="35"/>
    </row>
    <row r="30" ht="15.75" customHeight="1">
      <c r="A30" s="76">
        <v>3.0</v>
      </c>
      <c r="B30" s="75" t="str">
        <f>IFERROR(__xludf.DUMMYFUNCTION("""COMPUTED_VALUE"""),"DevSecOps")</f>
        <v>DevSecOps</v>
      </c>
      <c r="C30" s="35"/>
      <c r="D30" s="75" t="str">
        <f>IFERROR(__xludf.DUMMYFUNCTION("""COMPUTED_VALUE"""),"Automatización")</f>
        <v>Automatización</v>
      </c>
      <c r="E30" s="35"/>
      <c r="F30" s="75" t="str">
        <f>IFERROR(__xludf.DUMMYFUNCTION("""COMPUTED_VALUE"""),"Pipelines")</f>
        <v>Pipelines</v>
      </c>
      <c r="G30" s="34"/>
      <c r="H30" s="35"/>
    </row>
    <row r="31" ht="15.75" customHeight="1">
      <c r="A31" s="76">
        <v>4.0</v>
      </c>
      <c r="B31" s="75" t="str">
        <f>IFERROR(__xludf.DUMMYFUNCTION("""COMPUTED_VALUE"""),"DevSecOps")</f>
        <v>DevSecOps</v>
      </c>
      <c r="C31" s="35"/>
      <c r="D31" s="75" t="str">
        <f>IFERROR(__xludf.DUMMYFUNCTION("""COMPUTED_VALUE"""),"Harramientas")</f>
        <v>Harramientas</v>
      </c>
      <c r="E31" s="35"/>
      <c r="F31" s="75" t="str">
        <f>IFERROR(__xludf.DUMMYFUNCTION("""COMPUTED_VALUE"""),"Analisis de codigo Estatico")</f>
        <v>Analisis de codigo Estatico</v>
      </c>
      <c r="G31" s="34"/>
      <c r="H31" s="35"/>
    </row>
    <row r="32" ht="15.75" customHeight="1">
      <c r="A32" s="76">
        <v>5.0</v>
      </c>
      <c r="B32" s="75" t="str">
        <f>IFERROR(__xludf.DUMMYFUNCTION("""COMPUTED_VALUE"""),"DevSecOps")</f>
        <v>DevSecOps</v>
      </c>
      <c r="C32" s="35"/>
      <c r="D32" s="75" t="str">
        <f>IFERROR(__xludf.DUMMYFUNCTION("""COMPUTED_VALUE"""),"Analisis de Codigo Estatico")</f>
        <v>Analisis de Codigo Estatico</v>
      </c>
      <c r="E32" s="35"/>
      <c r="F32" s="75" t="str">
        <f>IFERROR(__xludf.DUMMYFUNCTION("""COMPUTED_VALUE"""),"Herramientas")</f>
        <v>Herramientas</v>
      </c>
      <c r="G32" s="34"/>
      <c r="H32" s="35"/>
    </row>
    <row r="33" ht="15.75" customHeight="1">
      <c r="A33" s="76">
        <v>6.0</v>
      </c>
      <c r="B33" s="75" t="str">
        <f>IFERROR(__xludf.DUMMYFUNCTION("""COMPUTED_VALUE"""),"DevSecOps")</f>
        <v>DevSecOps</v>
      </c>
      <c r="C33" s="35"/>
      <c r="D33" s="75" t="str">
        <f>IFERROR(__xludf.DUMMYFUNCTION("""COMPUTED_VALUE"""),"Herramientas Analisis de Codigo Estatico")</f>
        <v>Herramientas Analisis de Codigo Estatico</v>
      </c>
      <c r="E33" s="35"/>
      <c r="F33" s="75" t="str">
        <f>IFERROR(__xludf.DUMMYFUNCTION("""COMPUTED_VALUE"""),"Qodana")</f>
        <v>Qodana</v>
      </c>
      <c r="G33" s="34"/>
      <c r="H33" s="35"/>
    </row>
    <row r="34" ht="15.75" customHeight="1">
      <c r="A34" s="76">
        <v>7.0</v>
      </c>
      <c r="B34" s="75" t="str">
        <f>IFERROR(__xludf.DUMMYFUNCTION("""COMPUTED_VALUE"""),"DevSecOps")</f>
        <v>DevSecOps</v>
      </c>
      <c r="C34" s="35"/>
      <c r="D34" s="75" t="str">
        <f>IFERROR(__xludf.DUMMYFUNCTION("""COMPUTED_VALUE"""),"Herramientas Analisis de Codigo Estatico")</f>
        <v>Herramientas Analisis de Codigo Estatico</v>
      </c>
      <c r="E34" s="35"/>
      <c r="F34" s="75" t="str">
        <f>IFERROR(__xludf.DUMMYFUNCTION("""COMPUTED_VALUE"""),"SonarKube")</f>
        <v>SonarKube</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75"/>
      <c r="E39" s="34"/>
      <c r="F39" s="34"/>
      <c r="G39" s="34"/>
      <c r="H39" s="35"/>
      <c r="I39" s="76" t="str">
        <f t="shared" ref="I39:I42" si="1">IF(D39&lt;=C39,"Correcto", "Corregir")</f>
        <v>Correcto</v>
      </c>
    </row>
    <row r="40" ht="15.75" customHeight="1">
      <c r="A40" s="76" t="s">
        <v>280</v>
      </c>
      <c r="B40" s="76" t="s">
        <v>279</v>
      </c>
      <c r="C40" s="76">
        <v>6.0</v>
      </c>
      <c r="D40" s="75"/>
      <c r="E40" s="34"/>
      <c r="F40" s="34"/>
      <c r="G40" s="34"/>
      <c r="H40" s="35"/>
      <c r="I40" s="76" t="str">
        <f t="shared" si="1"/>
        <v>Correcto</v>
      </c>
    </row>
    <row r="41" ht="15.75" customHeight="1">
      <c r="A41" s="76" t="s">
        <v>281</v>
      </c>
      <c r="B41" s="76" t="s">
        <v>282</v>
      </c>
      <c r="C41" s="76">
        <v>10.0</v>
      </c>
      <c r="D41" s="75"/>
      <c r="E41" s="34"/>
      <c r="F41" s="34"/>
      <c r="G41" s="34"/>
      <c r="H41" s="35"/>
      <c r="I41" s="76" t="str">
        <f t="shared" si="1"/>
        <v>Correcto</v>
      </c>
    </row>
    <row r="42" ht="15.75" customHeight="1">
      <c r="A42" s="76" t="s">
        <v>283</v>
      </c>
      <c r="B42" s="76" t="s">
        <v>279</v>
      </c>
      <c r="C42" s="76">
        <v>30.0</v>
      </c>
      <c r="D42" s="75"/>
      <c r="E42" s="34"/>
      <c r="F42" s="34"/>
      <c r="G42" s="34"/>
      <c r="H42" s="35"/>
      <c r="I42" s="76" t="str">
        <f t="shared" si="1"/>
        <v>Correcto</v>
      </c>
    </row>
    <row r="43" ht="15.75" customHeight="1"/>
    <row r="44" ht="15.75" customHeight="1">
      <c r="A44" s="93" t="s">
        <v>284</v>
      </c>
      <c r="G44" s="88" t="s">
        <v>218</v>
      </c>
      <c r="H44" s="94">
        <v>40.0</v>
      </c>
    </row>
    <row r="45" ht="15.75" customHeight="1">
      <c r="G45" s="81" t="s">
        <v>285</v>
      </c>
    </row>
    <row r="46" ht="15.75" customHeight="1">
      <c r="A46" s="81" t="s">
        <v>286</v>
      </c>
    </row>
    <row r="47">
      <c r="A47" s="84" t="s">
        <v>287</v>
      </c>
      <c r="B47" s="85" t="s">
        <v>150</v>
      </c>
      <c r="C47" s="34"/>
      <c r="D47" s="34"/>
      <c r="E47" s="34"/>
      <c r="F47" s="34"/>
      <c r="G47" s="34"/>
      <c r="H47" s="35"/>
    </row>
    <row r="48" ht="15.75" customHeight="1">
      <c r="A48" s="84" t="s">
        <v>8</v>
      </c>
      <c r="B48" s="75" t="s">
        <v>301</v>
      </c>
      <c r="C48" s="34"/>
      <c r="D48" s="34"/>
      <c r="E48" s="34"/>
      <c r="F48" s="34"/>
      <c r="G48" s="34"/>
      <c r="H48" s="35"/>
    </row>
    <row r="49" ht="15.75" customHeight="1">
      <c r="A49" s="84" t="s">
        <v>257</v>
      </c>
      <c r="B49" s="108">
        <v>0.0</v>
      </c>
      <c r="C49" s="34"/>
      <c r="D49" s="34"/>
      <c r="E49" s="34"/>
      <c r="F49" s="34"/>
      <c r="G49" s="34"/>
      <c r="H49" s="35"/>
    </row>
    <row r="50" ht="15.75" customHeight="1">
      <c r="A50" s="84" t="s">
        <v>218</v>
      </c>
      <c r="B50" s="75"/>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110"/>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117" t="s">
        <v>330</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10.0</v>
      </c>
      <c r="D5" s="34"/>
      <c r="E5" s="34"/>
      <c r="F5" s="34"/>
      <c r="G5" s="35"/>
    </row>
    <row r="6" ht="15.75" customHeight="1">
      <c r="B6" s="91" t="s">
        <v>215</v>
      </c>
      <c r="C6" s="75">
        <f>H10+H21+H44+H68</f>
        <v>110</v>
      </c>
      <c r="D6" s="34"/>
      <c r="E6" s="34"/>
      <c r="F6" s="34"/>
      <c r="G6" s="35"/>
      <c r="I6" s="6"/>
    </row>
    <row r="7" ht="15.75" customHeight="1">
      <c r="B7" s="91" t="s">
        <v>257</v>
      </c>
      <c r="C7" s="75">
        <f>B49+B60</f>
        <v>0</v>
      </c>
      <c r="D7" s="34"/>
      <c r="E7" s="34"/>
      <c r="F7" s="34"/>
      <c r="G7" s="35"/>
    </row>
    <row r="8" ht="15.75" customHeight="1">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331</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96" t="s">
        <v>332</v>
      </c>
      <c r="B15" s="62"/>
      <c r="C15" s="62"/>
      <c r="D15" s="62"/>
      <c r="E15" s="62"/>
      <c r="F15" s="62"/>
      <c r="G15" s="62"/>
      <c r="H15" s="63"/>
    </row>
    <row r="16" ht="15.75" customHeight="1">
      <c r="A16" s="64"/>
      <c r="B16" s="65"/>
      <c r="C16" s="65"/>
      <c r="D16" s="65"/>
      <c r="E16" s="65"/>
      <c r="F16" s="65"/>
      <c r="G16" s="65"/>
      <c r="H16" s="49"/>
    </row>
    <row r="17" ht="15.75" customHeight="1">
      <c r="A17" s="95" t="s">
        <v>265</v>
      </c>
      <c r="B17" s="34"/>
      <c r="C17" s="34"/>
      <c r="D17" s="34"/>
      <c r="E17" s="34"/>
      <c r="F17" s="34"/>
      <c r="G17" s="34"/>
      <c r="H17" s="35"/>
    </row>
    <row r="18" ht="15.75" customHeight="1">
      <c r="A18" s="96" t="s">
        <v>333</v>
      </c>
      <c r="B18" s="62"/>
      <c r="C18" s="62"/>
      <c r="D18" s="62"/>
      <c r="E18" s="62"/>
      <c r="F18" s="62"/>
      <c r="G18" s="62"/>
      <c r="H18" s="63"/>
    </row>
    <row r="19" ht="15.75" customHeight="1">
      <c r="A19" s="64"/>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153</v>
      </c>
      <c r="C23" s="34"/>
      <c r="D23" s="34"/>
      <c r="E23" s="34"/>
      <c r="F23" s="34"/>
      <c r="G23" s="34"/>
      <c r="H23" s="35"/>
    </row>
    <row r="24" ht="15.75" customHeight="1">
      <c r="A24" s="84" t="s">
        <v>269</v>
      </c>
      <c r="B24" s="85" t="s">
        <v>153</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IFERROR(__xludf.DUMMYFUNCTION("FILTER('Diseño'!D:D,'Diseño'!H:H=$C$5)"),"DevOps")</f>
        <v>DevOps</v>
      </c>
      <c r="C28" s="35"/>
      <c r="D28" s="75" t="str">
        <f>IFERROR(__xludf.DUMMYFUNCTION("FILTER('Diseño'!E:E,'Diseño'!H:H=$C$5)"),"Testing en DevOps")</f>
        <v>Testing en DevOps</v>
      </c>
      <c r="E28" s="35"/>
      <c r="F28" s="75" t="str">
        <f>IFERROR(__xludf.DUMMYFUNCTION("FILTER('Diseño'!F:F,'Diseño'!H:H=$C$5)"),"Continuous Testing")</f>
        <v>Continuous Testing</v>
      </c>
      <c r="G28" s="34"/>
      <c r="H28" s="35"/>
    </row>
    <row r="29" ht="15.75" customHeight="1">
      <c r="A29" s="76">
        <v>2.0</v>
      </c>
      <c r="B29" s="75" t="str">
        <f>IFERROR(__xludf.DUMMYFUNCTION("""COMPUTED_VALUE"""),"DevOps")</f>
        <v>DevOps</v>
      </c>
      <c r="C29" s="35"/>
      <c r="D29" s="75" t="str">
        <f>IFERROR(__xludf.DUMMYFUNCTION("""COMPUTED_VALUE"""),"Continuous Testing")</f>
        <v>Continuous Testing</v>
      </c>
      <c r="E29" s="35"/>
      <c r="F29" s="75" t="str">
        <f>IFERROR(__xludf.DUMMYFUNCTION("""COMPUTED_VALUE"""),"Pruebas Unitarias")</f>
        <v>Pruebas Unitarias</v>
      </c>
      <c r="G29" s="34"/>
      <c r="H29" s="35"/>
    </row>
    <row r="30" ht="15.75" customHeight="1">
      <c r="A30" s="76">
        <v>3.0</v>
      </c>
      <c r="B30" s="75" t="str">
        <f>IFERROR(__xludf.DUMMYFUNCTION("""COMPUTED_VALUE"""),"DevOps")</f>
        <v>DevOps</v>
      </c>
      <c r="C30" s="35"/>
      <c r="D30" s="75" t="str">
        <f>IFERROR(__xludf.DUMMYFUNCTION("""COMPUTED_VALUE"""),"Continuous Testing")</f>
        <v>Continuous Testing</v>
      </c>
      <c r="E30" s="35"/>
      <c r="F30" s="75" t="str">
        <f>IFERROR(__xludf.DUMMYFUNCTION("""COMPUTED_VALUE"""),"Pruebas de Integración")</f>
        <v>Pruebas de Integración</v>
      </c>
      <c r="G30" s="34"/>
      <c r="H30" s="35"/>
    </row>
    <row r="31" ht="15.75" customHeight="1">
      <c r="A31" s="76">
        <v>4.0</v>
      </c>
      <c r="B31" s="75" t="str">
        <f>IFERROR(__xludf.DUMMYFUNCTION("""COMPUTED_VALUE"""),"DevOps")</f>
        <v>DevOps</v>
      </c>
      <c r="C31" s="35"/>
      <c r="D31" s="75" t="str">
        <f>IFERROR(__xludf.DUMMYFUNCTION("""COMPUTED_VALUE"""),"Continuous Testing")</f>
        <v>Continuous Testing</v>
      </c>
      <c r="E31" s="35"/>
      <c r="F31" s="75" t="str">
        <f>IFERROR(__xludf.DUMMYFUNCTION("""COMPUTED_VALUE"""),"Pruebas de Regresión")</f>
        <v>Pruebas de Regresión</v>
      </c>
      <c r="G31" s="34"/>
      <c r="H31" s="35"/>
    </row>
    <row r="32" ht="15.75" customHeight="1">
      <c r="A32" s="76">
        <v>5.0</v>
      </c>
      <c r="B32" s="75" t="str">
        <f>IFERROR(__xludf.DUMMYFUNCTION("""COMPUTED_VALUE"""),"DevOps")</f>
        <v>DevOps</v>
      </c>
      <c r="C32" s="35"/>
      <c r="D32" s="75" t="str">
        <f>IFERROR(__xludf.DUMMYFUNCTION("""COMPUTED_VALUE"""),"Continuous Testing")</f>
        <v>Continuous Testing</v>
      </c>
      <c r="E32" s="35"/>
      <c r="F32" s="75" t="str">
        <f>IFERROR(__xludf.DUMMYFUNCTION("""COMPUTED_VALUE"""),"Pruebas Funcionales y de UI")</f>
        <v>Pruebas Funcionales y de UI</v>
      </c>
      <c r="G32" s="34"/>
      <c r="H32" s="35"/>
    </row>
    <row r="33" ht="15.75" customHeight="1">
      <c r="A33" s="76">
        <v>6.0</v>
      </c>
      <c r="B33" s="75" t="str">
        <f>IFERROR(__xludf.DUMMYFUNCTION("""COMPUTED_VALUE"""),"DevOps")</f>
        <v>DevOps</v>
      </c>
      <c r="C33" s="35"/>
      <c r="D33" s="75" t="str">
        <f>IFERROR(__xludf.DUMMYFUNCTION("""COMPUTED_VALUE"""),"Continuous Testing")</f>
        <v>Continuous Testing</v>
      </c>
      <c r="E33" s="35"/>
      <c r="F33" s="75" t="str">
        <f>IFERROR(__xludf.DUMMYFUNCTION("""COMPUTED_VALUE"""),"Pruebas de Seguridad (DevSecOps)")</f>
        <v>Pruebas de Seguridad (DevSecOps)</v>
      </c>
      <c r="G33" s="34"/>
      <c r="H33" s="35"/>
    </row>
    <row r="34" ht="15.75" customHeight="1">
      <c r="A34" s="76">
        <v>7.0</v>
      </c>
      <c r="B34" s="75" t="str">
        <f>IFERROR(__xludf.DUMMYFUNCTION("""COMPUTED_VALUE"""),"DevOps")</f>
        <v>DevOps</v>
      </c>
      <c r="C34" s="35"/>
      <c r="D34" s="75" t="str">
        <f>IFERROR(__xludf.DUMMYFUNCTION("""COMPUTED_VALUE"""),"Continuous Testing")</f>
        <v>Continuous Testing</v>
      </c>
      <c r="E34" s="35"/>
      <c r="F34" s="75" t="str">
        <f>IFERROR(__xludf.DUMMYFUNCTION("""COMPUTED_VALUE"""),"Pruebas de Rendimiento")</f>
        <v>Pruebas de Rendimiento</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85">
        <v>30.0</v>
      </c>
      <c r="E39" s="34"/>
      <c r="F39" s="34"/>
      <c r="G39" s="34"/>
      <c r="H39" s="35"/>
      <c r="I39" s="76" t="str">
        <f t="shared" ref="I39:I42" si="1">IF(D39&lt;=C39,"Correcto", "Corregir")</f>
        <v>Correcto</v>
      </c>
    </row>
    <row r="40" ht="15.75" customHeight="1">
      <c r="A40" s="76" t="s">
        <v>280</v>
      </c>
      <c r="B40" s="76" t="s">
        <v>279</v>
      </c>
      <c r="C40" s="76">
        <v>6.0</v>
      </c>
      <c r="D40" s="85">
        <v>5.0</v>
      </c>
      <c r="E40" s="34"/>
      <c r="F40" s="34"/>
      <c r="G40" s="34"/>
      <c r="H40" s="35"/>
      <c r="I40" s="76" t="str">
        <f t="shared" si="1"/>
        <v>Correcto</v>
      </c>
    </row>
    <row r="41" ht="15.75" customHeight="1">
      <c r="A41" s="76" t="s">
        <v>281</v>
      </c>
      <c r="B41" s="76" t="s">
        <v>282</v>
      </c>
      <c r="C41" s="76">
        <v>10.0</v>
      </c>
      <c r="D41" s="85">
        <v>0.0</v>
      </c>
      <c r="E41" s="34"/>
      <c r="F41" s="34"/>
      <c r="G41" s="34"/>
      <c r="H41" s="35"/>
      <c r="I41" s="76" t="str">
        <f t="shared" si="1"/>
        <v>Correcto</v>
      </c>
    </row>
    <row r="42" ht="15.75" customHeight="1">
      <c r="A42" s="76" t="s">
        <v>283</v>
      </c>
      <c r="B42" s="76" t="s">
        <v>279</v>
      </c>
      <c r="C42" s="76">
        <v>30.0</v>
      </c>
      <c r="D42" s="85">
        <v>30.0</v>
      </c>
      <c r="E42" s="34"/>
      <c r="F42" s="34"/>
      <c r="G42" s="34"/>
      <c r="H42" s="35"/>
      <c r="I42" s="76" t="str">
        <f t="shared" si="1"/>
        <v>Correcto</v>
      </c>
    </row>
    <row r="43" ht="15.75" customHeight="1"/>
    <row r="44" ht="15.75" customHeight="1">
      <c r="A44" s="93" t="s">
        <v>284</v>
      </c>
      <c r="G44" s="88" t="s">
        <v>218</v>
      </c>
      <c r="H44" s="94">
        <v>35.0</v>
      </c>
    </row>
    <row r="45" ht="15.75" customHeight="1">
      <c r="G45" s="81" t="s">
        <v>285</v>
      </c>
    </row>
    <row r="46" ht="15.75" customHeight="1">
      <c r="A46" s="81" t="s">
        <v>286</v>
      </c>
    </row>
    <row r="47">
      <c r="A47" s="84" t="s">
        <v>287</v>
      </c>
      <c r="B47" s="85" t="s">
        <v>153</v>
      </c>
      <c r="C47" s="34"/>
      <c r="D47" s="34"/>
      <c r="E47" s="34"/>
      <c r="F47" s="34"/>
      <c r="G47" s="34"/>
      <c r="H47" s="35"/>
    </row>
    <row r="48" ht="15.75" customHeight="1">
      <c r="A48" s="84" t="s">
        <v>8</v>
      </c>
      <c r="B48" s="85" t="s">
        <v>288</v>
      </c>
      <c r="C48" s="34"/>
      <c r="D48" s="34"/>
      <c r="E48" s="34"/>
      <c r="F48" s="34"/>
      <c r="G48" s="34"/>
      <c r="H48" s="35"/>
    </row>
    <row r="49" ht="15.75" customHeight="1">
      <c r="A49" s="84" t="s">
        <v>257</v>
      </c>
      <c r="B49" s="108">
        <v>0.0</v>
      </c>
      <c r="C49" s="34"/>
      <c r="D49" s="34"/>
      <c r="E49" s="34"/>
      <c r="F49" s="34"/>
      <c r="G49" s="34"/>
      <c r="H49" s="35"/>
    </row>
    <row r="50" ht="15.75" customHeight="1">
      <c r="A50" s="84" t="s">
        <v>218</v>
      </c>
      <c r="B50" s="85">
        <v>35.0</v>
      </c>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96" t="s">
        <v>334</v>
      </c>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117" t="s">
        <v>335</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256</v>
      </c>
    </row>
    <row r="3" ht="15.75" customHeight="1"/>
    <row r="4" ht="15.75" customHeight="1">
      <c r="B4" s="74" t="s">
        <v>1</v>
      </c>
      <c r="C4" s="90" t="str">
        <f>'Diseño'!C4</f>
        <v>780 - Software Avanzado</v>
      </c>
      <c r="D4" s="34"/>
      <c r="E4" s="34"/>
      <c r="F4" s="34"/>
      <c r="G4" s="35"/>
    </row>
    <row r="5" ht="15.75" customHeight="1">
      <c r="B5" s="76" t="s">
        <v>84</v>
      </c>
      <c r="C5" s="75">
        <v>11.0</v>
      </c>
      <c r="D5" s="34"/>
      <c r="E5" s="34"/>
      <c r="F5" s="34"/>
      <c r="G5" s="35"/>
    </row>
    <row r="6" ht="15.75" customHeight="1">
      <c r="B6" s="91" t="s">
        <v>215</v>
      </c>
      <c r="C6" s="75">
        <f>H10+H21+H44+H68</f>
        <v>115</v>
      </c>
      <c r="D6" s="34"/>
      <c r="E6" s="34"/>
      <c r="F6" s="34"/>
      <c r="G6" s="35"/>
      <c r="I6" s="6"/>
    </row>
    <row r="7" ht="15.75" customHeight="1">
      <c r="B7" s="91" t="s">
        <v>257</v>
      </c>
      <c r="C7" s="75">
        <f>B49+B60</f>
        <v>0</v>
      </c>
      <c r="D7" s="34"/>
      <c r="E7" s="34"/>
      <c r="F7" s="34"/>
      <c r="G7" s="35"/>
    </row>
    <row r="8">
      <c r="B8" s="91" t="s">
        <v>258</v>
      </c>
      <c r="C8" s="92" t="str">
        <f>IF(H44&lt;=0, "❌ ERROR: La Actividad 1 debe tener un tiempo mayor a 0.", IF(H21&gt;60, "❌ ERROR: El 'Área de Conocimiento' no puede exceder los 60 min.", IF((H10+H21+H44)&lt;100, "❌ ERROR: El tiempo total debe ser de al menos 100 min.", "✅ VALIDACIÓN CORRECTA")))</f>
        <v>✅ VALIDACIÓN CORRECTA</v>
      </c>
      <c r="D8" s="34"/>
      <c r="E8" s="34"/>
      <c r="F8" s="34"/>
      <c r="G8" s="35"/>
      <c r="I8" s="6"/>
      <c r="J8" s="6"/>
      <c r="K8" s="6"/>
    </row>
    <row r="9" ht="15.75" customHeight="1"/>
    <row r="10" ht="15.75" customHeight="1">
      <c r="A10" s="93" t="s">
        <v>259</v>
      </c>
      <c r="G10" s="88" t="s">
        <v>218</v>
      </c>
      <c r="H10" s="94">
        <v>5.0</v>
      </c>
    </row>
    <row r="11" ht="15.75" customHeight="1">
      <c r="G11" s="81" t="s">
        <v>260</v>
      </c>
    </row>
    <row r="12" ht="15.75" customHeight="1">
      <c r="A12" s="84" t="s">
        <v>261</v>
      </c>
      <c r="B12" s="85" t="s">
        <v>336</v>
      </c>
      <c r="C12" s="34"/>
      <c r="D12" s="34"/>
      <c r="E12" s="34"/>
      <c r="F12" s="34"/>
      <c r="G12" s="34"/>
      <c r="H12" s="35"/>
    </row>
    <row r="13" ht="15.75" customHeight="1">
      <c r="A13" s="86" t="s">
        <v>218</v>
      </c>
      <c r="B13" s="85">
        <v>5.0</v>
      </c>
      <c r="C13" s="34"/>
      <c r="D13" s="34"/>
      <c r="E13" s="34"/>
      <c r="F13" s="34"/>
      <c r="G13" s="34"/>
      <c r="H13" s="35"/>
    </row>
    <row r="14" ht="15.75" customHeight="1">
      <c r="A14" s="95" t="s">
        <v>263</v>
      </c>
      <c r="B14" s="34"/>
      <c r="C14" s="34"/>
      <c r="D14" s="34"/>
      <c r="E14" s="34"/>
      <c r="F14" s="34"/>
      <c r="G14" s="34"/>
      <c r="H14" s="35"/>
    </row>
    <row r="15" ht="15.75" customHeight="1">
      <c r="A15" s="115" t="s">
        <v>328</v>
      </c>
      <c r="H15" s="112"/>
    </row>
    <row r="16" ht="15.75" customHeight="1">
      <c r="A16" s="65"/>
      <c r="B16" s="65"/>
      <c r="C16" s="65"/>
      <c r="D16" s="65"/>
      <c r="E16" s="65"/>
      <c r="F16" s="65"/>
      <c r="G16" s="65"/>
      <c r="H16" s="49"/>
    </row>
    <row r="17" ht="15.75" customHeight="1">
      <c r="A17" s="95" t="s">
        <v>265</v>
      </c>
      <c r="B17" s="34"/>
      <c r="C17" s="34"/>
      <c r="D17" s="34"/>
      <c r="E17" s="34"/>
      <c r="F17" s="34"/>
      <c r="G17" s="34"/>
      <c r="H17" s="35"/>
    </row>
    <row r="18" ht="15.75" customHeight="1">
      <c r="A18" s="115" t="s">
        <v>320</v>
      </c>
      <c r="H18" s="112"/>
    </row>
    <row r="19" ht="15.75" customHeight="1">
      <c r="A19" s="65"/>
      <c r="B19" s="65"/>
      <c r="C19" s="65"/>
      <c r="D19" s="65"/>
      <c r="E19" s="65"/>
      <c r="F19" s="65"/>
      <c r="G19" s="65"/>
      <c r="H19" s="49"/>
    </row>
    <row r="20" ht="15.75" customHeight="1"/>
    <row r="21" ht="15.75" customHeight="1">
      <c r="A21" s="93" t="s">
        <v>267</v>
      </c>
      <c r="G21" s="88" t="s">
        <v>218</v>
      </c>
      <c r="H21" s="94">
        <v>60.0</v>
      </c>
      <c r="I21" s="6"/>
    </row>
    <row r="22" ht="15.75" customHeight="1">
      <c r="G22" s="81" t="s">
        <v>268</v>
      </c>
    </row>
    <row r="23" ht="15.75" customHeight="1">
      <c r="A23" s="84" t="s">
        <v>269</v>
      </c>
      <c r="B23" s="85" t="s">
        <v>150</v>
      </c>
      <c r="C23" s="34"/>
      <c r="D23" s="34"/>
      <c r="E23" s="34"/>
      <c r="F23" s="34"/>
      <c r="G23" s="34"/>
      <c r="H23" s="35"/>
    </row>
    <row r="24" ht="15.75" customHeight="1">
      <c r="A24" s="84" t="s">
        <v>269</v>
      </c>
      <c r="B24" s="85" t="s">
        <v>150</v>
      </c>
      <c r="C24" s="34"/>
      <c r="D24" s="34"/>
      <c r="E24" s="34"/>
      <c r="F24" s="34"/>
      <c r="G24" s="34"/>
      <c r="H24" s="35"/>
    </row>
    <row r="25" ht="15.75" customHeight="1"/>
    <row r="26" ht="15.75" customHeight="1">
      <c r="A26" s="102" t="s">
        <v>270</v>
      </c>
      <c r="B26" s="6"/>
      <c r="C26" s="6"/>
      <c r="D26" s="6"/>
    </row>
    <row r="27" ht="15.75" customHeight="1">
      <c r="A27" s="103" t="s">
        <v>78</v>
      </c>
      <c r="B27" s="104" t="s">
        <v>271</v>
      </c>
      <c r="C27" s="35"/>
      <c r="D27" s="104" t="s">
        <v>272</v>
      </c>
      <c r="E27" s="35"/>
      <c r="F27" s="104" t="s">
        <v>273</v>
      </c>
      <c r="G27" s="34"/>
      <c r="H27" s="35"/>
    </row>
    <row r="28" ht="15.75" customHeight="1">
      <c r="A28" s="76">
        <v>1.0</v>
      </c>
      <c r="B28" s="75" t="str">
        <f>IFERROR(__xludf.DUMMYFUNCTION("FILTER('Diseño'!D:D,'Diseño'!H:H=$C$5)"),"DevOps")</f>
        <v>DevOps</v>
      </c>
      <c r="C28" s="35"/>
      <c r="D28" s="75" t="str">
        <f>IFERROR(__xludf.DUMMYFUNCTION("FILTER('Diseño'!E:E,'Diseño'!H:H=$C$5)"),"Deployment en DevOps")</f>
        <v>Deployment en DevOps</v>
      </c>
      <c r="E28" s="35"/>
      <c r="F28" s="75" t="str">
        <f>IFERROR(__xludf.DUMMYFUNCTION("FILTER('Diseño'!F:F,'Diseño'!H:H=$C$5)"),"Sistemas de Control de VersionesS")</f>
        <v>Sistemas de Control de VersionesS</v>
      </c>
      <c r="G28" s="34"/>
      <c r="H28" s="35"/>
    </row>
    <row r="29" ht="15.75" customHeight="1">
      <c r="A29" s="76">
        <v>2.0</v>
      </c>
      <c r="B29" s="75" t="str">
        <f>IFERROR(__xludf.DUMMYFUNCTION("""COMPUTED_VALUE"""),"DevOps")</f>
        <v>DevOps</v>
      </c>
      <c r="C29" s="35"/>
      <c r="D29" s="75" t="str">
        <f>IFERROR(__xludf.DUMMYFUNCTION("""COMPUTED_VALUE"""),"Deployment en DevOps")</f>
        <v>Deployment en DevOps</v>
      </c>
      <c r="E29" s="35"/>
      <c r="F29" s="75" t="str">
        <f>IFERROR(__xludf.DUMMYFUNCTION("""COMPUTED_VALUE"""),"Pipeline de CI/CD")</f>
        <v>Pipeline de CI/CD</v>
      </c>
      <c r="G29" s="34"/>
      <c r="H29" s="35"/>
    </row>
    <row r="30" ht="15.75" customHeight="1">
      <c r="A30" s="76">
        <v>3.0</v>
      </c>
      <c r="B30" s="75" t="str">
        <f>IFERROR(__xludf.DUMMYFUNCTION("""COMPUTED_VALUE"""),"DevOps")</f>
        <v>DevOps</v>
      </c>
      <c r="C30" s="35"/>
      <c r="D30" s="75" t="str">
        <f>IFERROR(__xludf.DUMMYFUNCTION("""COMPUTED_VALUE"""),"Deployment en DevOps")</f>
        <v>Deployment en DevOps</v>
      </c>
      <c r="E30" s="35"/>
      <c r="F30" s="75" t="str">
        <f>IFERROR(__xludf.DUMMYFUNCTION("""COMPUTED_VALUE"""),"Infraestructura como Código (IaC)")</f>
        <v>Infraestructura como Código (IaC)</v>
      </c>
      <c r="G30" s="34"/>
      <c r="H30" s="35"/>
    </row>
    <row r="31" ht="15.75" customHeight="1">
      <c r="A31" s="76">
        <v>4.0</v>
      </c>
      <c r="B31" s="75" t="str">
        <f>IFERROR(__xludf.DUMMYFUNCTION("""COMPUTED_VALUE"""),"DevOps")</f>
        <v>DevOps</v>
      </c>
      <c r="C31" s="35"/>
      <c r="D31" s="75" t="str">
        <f>IFERROR(__xludf.DUMMYFUNCTION("""COMPUTED_VALUE"""),"Deployment en DevOps")</f>
        <v>Deployment en DevOps</v>
      </c>
      <c r="E31" s="35"/>
      <c r="F31" s="75" t="str">
        <f>IFERROR(__xludf.DUMMYFUNCTION("""COMPUTED_VALUE"""),"Pruebas Automatizadas")</f>
        <v>Pruebas Automatizadas</v>
      </c>
      <c r="G31" s="34"/>
      <c r="H31" s="35"/>
    </row>
    <row r="32" ht="15.75" customHeight="1">
      <c r="A32" s="76">
        <v>5.0</v>
      </c>
      <c r="B32" s="75" t="str">
        <f>IFERROR(__xludf.DUMMYFUNCTION("""COMPUTED_VALUE"""),"DevOps")</f>
        <v>DevOps</v>
      </c>
      <c r="C32" s="35"/>
      <c r="D32" s="75" t="str">
        <f>IFERROR(__xludf.DUMMYFUNCTION("""COMPUTED_VALUE"""),"Deployment en DevOps")</f>
        <v>Deployment en DevOps</v>
      </c>
      <c r="E32" s="35"/>
      <c r="F32" s="75" t="str">
        <f>IFERROR(__xludf.DUMMYFUNCTION("""COMPUTED_VALUE"""),"Continuous Delivery")</f>
        <v>Continuous Delivery</v>
      </c>
      <c r="G32" s="34"/>
      <c r="H32" s="35"/>
    </row>
    <row r="33" ht="15.75" customHeight="1">
      <c r="A33" s="76">
        <v>6.0</v>
      </c>
      <c r="B33" s="75" t="str">
        <f>IFERROR(__xludf.DUMMYFUNCTION("""COMPUTED_VALUE"""),"DevOps")</f>
        <v>DevOps</v>
      </c>
      <c r="C33" s="35"/>
      <c r="D33" s="75" t="str">
        <f>IFERROR(__xludf.DUMMYFUNCTION("""COMPUTED_VALUE"""),"Deployment en DevOps")</f>
        <v>Deployment en DevOps</v>
      </c>
      <c r="E33" s="35"/>
      <c r="F33" s="75" t="str">
        <f>IFERROR(__xludf.DUMMYFUNCTION("""COMPUTED_VALUE"""),"Continuous Delivery Vs Continuous Deployment")</f>
        <v>Continuous Delivery Vs Continuous Deployment</v>
      </c>
      <c r="G33" s="34"/>
      <c r="H33" s="35"/>
    </row>
    <row r="34" ht="15.75" customHeight="1">
      <c r="A34" s="76">
        <v>7.0</v>
      </c>
      <c r="B34" s="75" t="str">
        <f>IFERROR(__xludf.DUMMYFUNCTION("""COMPUTED_VALUE"""),"DesOps")</f>
        <v>DesOps</v>
      </c>
      <c r="C34" s="35"/>
      <c r="D34" s="75" t="str">
        <f>IFERROR(__xludf.DUMMYFUNCTION("""COMPUTED_VALUE"""),"CI/CD Automatizado")</f>
        <v>CI/CD Automatizado</v>
      </c>
      <c r="E34" s="35"/>
      <c r="F34" s="75" t="str">
        <f>IFERROR(__xludf.DUMMYFUNCTION("""COMPUTED_VALUE"""),"Herramientas de CI/CD")</f>
        <v>Herramientas de CI/CD</v>
      </c>
      <c r="G34" s="34"/>
      <c r="H34" s="35"/>
    </row>
    <row r="35" ht="15.75" customHeight="1"/>
    <row r="36" ht="15.75" customHeight="1">
      <c r="A36" s="102" t="s">
        <v>274</v>
      </c>
    </row>
    <row r="37" ht="15.75" customHeight="1">
      <c r="A37" s="6"/>
      <c r="B37" s="6"/>
      <c r="C37" s="6"/>
      <c r="D37" s="6"/>
      <c r="E37" s="6"/>
      <c r="F37" s="6"/>
      <c r="G37" s="6"/>
      <c r="H37" s="6"/>
    </row>
    <row r="38">
      <c r="A38" s="103" t="s">
        <v>275</v>
      </c>
      <c r="B38" s="103" t="s">
        <v>32</v>
      </c>
      <c r="C38" s="105" t="s">
        <v>276</v>
      </c>
      <c r="D38" s="106" t="s">
        <v>277</v>
      </c>
      <c r="E38" s="34"/>
      <c r="F38" s="34"/>
      <c r="G38" s="34"/>
      <c r="H38" s="35"/>
      <c r="I38" s="107" t="s">
        <v>21</v>
      </c>
    </row>
    <row r="39" ht="15.75" customHeight="1">
      <c r="A39" s="76" t="s">
        <v>278</v>
      </c>
      <c r="B39" s="76" t="s">
        <v>279</v>
      </c>
      <c r="C39" s="76">
        <v>30.0</v>
      </c>
      <c r="D39" s="75"/>
      <c r="E39" s="34"/>
      <c r="F39" s="34"/>
      <c r="G39" s="34"/>
      <c r="H39" s="35"/>
      <c r="I39" s="76" t="str">
        <f t="shared" ref="I39:I42" si="1">IF(D39&lt;=C39,"Correcto", "Corregir")</f>
        <v>Correcto</v>
      </c>
    </row>
    <row r="40" ht="15.75" customHeight="1">
      <c r="A40" s="76" t="s">
        <v>280</v>
      </c>
      <c r="B40" s="76" t="s">
        <v>279</v>
      </c>
      <c r="C40" s="76">
        <v>6.0</v>
      </c>
      <c r="D40" s="75"/>
      <c r="E40" s="34"/>
      <c r="F40" s="34"/>
      <c r="G40" s="34"/>
      <c r="H40" s="35"/>
      <c r="I40" s="76" t="str">
        <f t="shared" si="1"/>
        <v>Correcto</v>
      </c>
    </row>
    <row r="41" ht="15.75" customHeight="1">
      <c r="A41" s="76" t="s">
        <v>281</v>
      </c>
      <c r="B41" s="76" t="s">
        <v>282</v>
      </c>
      <c r="C41" s="76">
        <v>10.0</v>
      </c>
      <c r="D41" s="75"/>
      <c r="E41" s="34"/>
      <c r="F41" s="34"/>
      <c r="G41" s="34"/>
      <c r="H41" s="35"/>
      <c r="I41" s="76" t="str">
        <f t="shared" si="1"/>
        <v>Correcto</v>
      </c>
    </row>
    <row r="42" ht="15.75" customHeight="1">
      <c r="A42" s="76" t="s">
        <v>283</v>
      </c>
      <c r="B42" s="76" t="s">
        <v>279</v>
      </c>
      <c r="C42" s="76">
        <v>30.0</v>
      </c>
      <c r="D42" s="75"/>
      <c r="E42" s="34"/>
      <c r="F42" s="34"/>
      <c r="G42" s="34"/>
      <c r="H42" s="35"/>
      <c r="I42" s="76" t="str">
        <f t="shared" si="1"/>
        <v>Correcto</v>
      </c>
    </row>
    <row r="43" ht="15.75" customHeight="1"/>
    <row r="44" ht="15.75" customHeight="1">
      <c r="A44" s="93" t="s">
        <v>284</v>
      </c>
      <c r="G44" s="88" t="s">
        <v>218</v>
      </c>
      <c r="H44" s="94">
        <v>40.0</v>
      </c>
    </row>
    <row r="45" ht="15.75" customHeight="1">
      <c r="G45" s="81" t="s">
        <v>285</v>
      </c>
    </row>
    <row r="46" ht="15.75" customHeight="1">
      <c r="A46" s="81" t="s">
        <v>286</v>
      </c>
    </row>
    <row r="47">
      <c r="A47" s="84" t="s">
        <v>287</v>
      </c>
      <c r="B47" s="85" t="s">
        <v>150</v>
      </c>
      <c r="C47" s="34"/>
      <c r="D47" s="34"/>
      <c r="E47" s="34"/>
      <c r="F47" s="34"/>
      <c r="G47" s="34"/>
      <c r="H47" s="35"/>
    </row>
    <row r="48" ht="15.75" customHeight="1">
      <c r="A48" s="84" t="s">
        <v>8</v>
      </c>
      <c r="B48" s="75" t="s">
        <v>301</v>
      </c>
      <c r="C48" s="34"/>
      <c r="D48" s="34"/>
      <c r="E48" s="34"/>
      <c r="F48" s="34"/>
      <c r="G48" s="34"/>
      <c r="H48" s="35"/>
    </row>
    <row r="49" ht="15.75" customHeight="1">
      <c r="A49" s="84" t="s">
        <v>257</v>
      </c>
      <c r="B49" s="108">
        <v>0.0</v>
      </c>
      <c r="C49" s="34"/>
      <c r="D49" s="34"/>
      <c r="E49" s="34"/>
      <c r="F49" s="34"/>
      <c r="G49" s="34"/>
      <c r="H49" s="35"/>
    </row>
    <row r="50" ht="15.75" customHeight="1">
      <c r="A50" s="84" t="s">
        <v>218</v>
      </c>
      <c r="B50" s="75"/>
      <c r="C50" s="34"/>
      <c r="D50" s="34"/>
      <c r="E50" s="34"/>
      <c r="F50" s="34"/>
      <c r="G50" s="34"/>
      <c r="H50" s="35"/>
    </row>
    <row r="51" ht="15.75" customHeight="1">
      <c r="A51" s="109" t="s">
        <v>289</v>
      </c>
      <c r="B51" s="6"/>
      <c r="C51" s="6"/>
      <c r="D51" s="6"/>
      <c r="E51" s="6"/>
      <c r="F51" s="6"/>
      <c r="G51" s="6"/>
      <c r="H51" s="6"/>
    </row>
    <row r="52" ht="15.75" customHeight="1">
      <c r="A52" s="95" t="s">
        <v>290</v>
      </c>
      <c r="B52" s="34"/>
      <c r="C52" s="34"/>
      <c r="D52" s="34"/>
      <c r="E52" s="34"/>
      <c r="F52" s="34"/>
      <c r="G52" s="34"/>
      <c r="H52" s="35"/>
    </row>
    <row r="53" ht="15.75" customHeight="1">
      <c r="A53" s="110"/>
      <c r="B53" s="62"/>
      <c r="C53" s="62"/>
      <c r="D53" s="62"/>
      <c r="E53" s="62"/>
      <c r="F53" s="62"/>
      <c r="G53" s="62"/>
      <c r="H53" s="63"/>
    </row>
    <row r="54" ht="15.75" customHeight="1">
      <c r="A54" s="111"/>
      <c r="H54" s="112"/>
    </row>
    <row r="55" ht="15.75" customHeight="1">
      <c r="A55" s="64"/>
      <c r="B55" s="65"/>
      <c r="C55" s="65"/>
      <c r="D55" s="65"/>
      <c r="E55" s="65"/>
      <c r="F55" s="65"/>
      <c r="G55" s="65"/>
      <c r="H55" s="49"/>
    </row>
    <row r="56" ht="15.75" customHeight="1"/>
    <row r="57" ht="15.75" customHeight="1">
      <c r="A57" s="81" t="s">
        <v>291</v>
      </c>
    </row>
    <row r="58">
      <c r="A58" s="84" t="s">
        <v>287</v>
      </c>
      <c r="B58" s="75"/>
      <c r="C58" s="34"/>
      <c r="D58" s="34"/>
      <c r="E58" s="34"/>
      <c r="F58" s="34"/>
      <c r="G58" s="34"/>
      <c r="H58" s="35"/>
    </row>
    <row r="59" ht="15.75" customHeight="1">
      <c r="A59" s="84" t="s">
        <v>8</v>
      </c>
      <c r="B59" s="75"/>
      <c r="C59" s="34"/>
      <c r="D59" s="34"/>
      <c r="E59" s="34"/>
      <c r="F59" s="34"/>
      <c r="G59" s="34"/>
      <c r="H59" s="35"/>
    </row>
    <row r="60" ht="15.75" customHeight="1">
      <c r="A60" s="84" t="s">
        <v>257</v>
      </c>
      <c r="B60" s="108"/>
      <c r="C60" s="34"/>
      <c r="D60" s="34"/>
      <c r="E60" s="34"/>
      <c r="F60" s="34"/>
      <c r="G60" s="34"/>
      <c r="H60" s="35"/>
    </row>
    <row r="61" ht="15.75" customHeight="1">
      <c r="A61" s="84" t="s">
        <v>218</v>
      </c>
      <c r="B61" s="108"/>
      <c r="C61" s="34"/>
      <c r="D61" s="34"/>
      <c r="E61" s="34"/>
      <c r="F61" s="34"/>
      <c r="G61" s="34"/>
      <c r="H61" s="35"/>
    </row>
    <row r="62" ht="15.75" customHeight="1">
      <c r="A62" s="113" t="s">
        <v>292</v>
      </c>
      <c r="B62" s="6"/>
      <c r="C62" s="6"/>
      <c r="D62" s="6"/>
      <c r="E62" s="6"/>
      <c r="F62" s="6"/>
      <c r="G62" s="6"/>
      <c r="H62" s="6"/>
    </row>
    <row r="63" ht="15.75" customHeight="1">
      <c r="A63" s="95" t="s">
        <v>290</v>
      </c>
      <c r="B63" s="34"/>
      <c r="C63" s="34"/>
      <c r="D63" s="34"/>
      <c r="E63" s="34"/>
      <c r="F63" s="34"/>
      <c r="G63" s="34"/>
      <c r="H63" s="35"/>
    </row>
    <row r="64" ht="15.75" customHeight="1">
      <c r="A64" s="110"/>
      <c r="B64" s="62"/>
      <c r="C64" s="62"/>
      <c r="D64" s="62"/>
      <c r="E64" s="62"/>
      <c r="F64" s="62"/>
      <c r="G64" s="62"/>
      <c r="H64" s="63"/>
    </row>
    <row r="65" ht="15.75" customHeight="1">
      <c r="A65" s="111"/>
      <c r="H65" s="112"/>
    </row>
    <row r="66" ht="15.75" customHeight="1">
      <c r="A66" s="64"/>
      <c r="B66" s="65"/>
      <c r="C66" s="65"/>
      <c r="D66" s="65"/>
      <c r="E66" s="65"/>
      <c r="F66" s="65"/>
      <c r="G66" s="65"/>
      <c r="H66" s="49"/>
    </row>
    <row r="67" ht="15.75" customHeight="1"/>
    <row r="68" ht="15.75" customHeight="1">
      <c r="A68" s="93" t="s">
        <v>293</v>
      </c>
      <c r="G68" s="88" t="s">
        <v>218</v>
      </c>
      <c r="H68" s="94">
        <v>10.0</v>
      </c>
    </row>
    <row r="69" ht="15.75" customHeight="1">
      <c r="G69" s="81" t="s">
        <v>294</v>
      </c>
    </row>
    <row r="70" ht="15.75" customHeight="1">
      <c r="A70" s="84" t="s">
        <v>218</v>
      </c>
      <c r="B70" s="114">
        <v>10.0</v>
      </c>
      <c r="C70" s="34"/>
      <c r="D70" s="34"/>
      <c r="E70" s="34"/>
      <c r="F70" s="34"/>
      <c r="G70" s="34"/>
      <c r="H70" s="35"/>
    </row>
    <row r="71" ht="15.75" customHeight="1">
      <c r="A71" s="106" t="s">
        <v>295</v>
      </c>
      <c r="B71" s="34"/>
      <c r="C71" s="34"/>
      <c r="D71" s="34"/>
      <c r="E71" s="34"/>
      <c r="F71" s="34"/>
      <c r="G71" s="34"/>
      <c r="H71" s="35"/>
    </row>
    <row r="72" ht="15.75" customHeight="1">
      <c r="A72" s="117" t="s">
        <v>337</v>
      </c>
      <c r="B72" s="62"/>
      <c r="C72" s="62"/>
      <c r="D72" s="62"/>
      <c r="E72" s="62"/>
      <c r="F72" s="62"/>
      <c r="G72" s="62"/>
      <c r="H72" s="63"/>
    </row>
    <row r="73" ht="15.75" customHeight="1">
      <c r="A73" s="64"/>
      <c r="B73" s="65"/>
      <c r="C73" s="65"/>
      <c r="D73" s="65"/>
      <c r="E73" s="65"/>
      <c r="F73" s="65"/>
      <c r="G73" s="65"/>
      <c r="H73" s="49"/>
    </row>
    <row r="74" ht="15.75" customHeight="1">
      <c r="A74" s="81" t="s">
        <v>297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9" t="s">
        <v>15</v>
      </c>
    </row>
    <row r="3" ht="15.75" customHeight="1"/>
    <row r="4" ht="15.75" customHeight="1">
      <c r="B4" s="74" t="s">
        <v>1</v>
      </c>
      <c r="C4" s="75" t="str">
        <f>'Diseño'!C4</f>
        <v>780 - Software Avanzado</v>
      </c>
      <c r="D4" s="34"/>
      <c r="E4" s="34"/>
      <c r="F4" s="34"/>
      <c r="G4" s="35"/>
    </row>
    <row r="5" ht="15.75" customHeight="1">
      <c r="B5" s="91" t="s">
        <v>215</v>
      </c>
      <c r="C5" s="75">
        <f>H9+H26+H43</f>
        <v>252</v>
      </c>
      <c r="D5" s="34"/>
      <c r="E5" s="34"/>
      <c r="F5" s="34"/>
      <c r="G5" s="35"/>
    </row>
    <row r="6" ht="15.75" customHeight="1">
      <c r="B6" s="91" t="s">
        <v>257</v>
      </c>
      <c r="C6" s="75">
        <f>F9+F26+F43</f>
        <v>60</v>
      </c>
      <c r="D6" s="34"/>
      <c r="E6" s="34"/>
      <c r="F6" s="34"/>
      <c r="G6" s="35"/>
    </row>
    <row r="7" ht="15.75" customHeight="1">
      <c r="B7" s="68" t="s">
        <v>338</v>
      </c>
    </row>
    <row r="8" ht="15.75" customHeight="1"/>
    <row r="9" ht="15.75" customHeight="1">
      <c r="A9" s="93" t="s">
        <v>339</v>
      </c>
      <c r="E9" s="88" t="s">
        <v>257</v>
      </c>
      <c r="F9" s="94">
        <v>15.0</v>
      </c>
      <c r="G9" s="88" t="s">
        <v>340</v>
      </c>
      <c r="H9" s="94">
        <v>84.0</v>
      </c>
    </row>
    <row r="10" ht="15.75" customHeight="1">
      <c r="A10" s="68" t="s">
        <v>279</v>
      </c>
    </row>
    <row r="11" ht="15.75" customHeight="1">
      <c r="A11" s="103" t="s">
        <v>269</v>
      </c>
      <c r="B11" s="85" t="s">
        <v>85</v>
      </c>
      <c r="C11" s="34"/>
      <c r="D11" s="34"/>
      <c r="E11" s="34"/>
      <c r="F11" s="34"/>
      <c r="G11" s="34"/>
      <c r="H11" s="35"/>
    </row>
    <row r="12" ht="15.75" customHeight="1">
      <c r="A12" s="103" t="s">
        <v>269</v>
      </c>
      <c r="B12" s="85" t="s">
        <v>110</v>
      </c>
      <c r="C12" s="34"/>
      <c r="D12" s="34"/>
      <c r="E12" s="34"/>
      <c r="F12" s="34"/>
      <c r="G12" s="34"/>
      <c r="H12" s="35"/>
    </row>
    <row r="13" ht="15.75" customHeight="1">
      <c r="A13" s="103" t="s">
        <v>269</v>
      </c>
      <c r="B13" s="85" t="s">
        <v>103</v>
      </c>
      <c r="C13" s="34"/>
      <c r="D13" s="34"/>
      <c r="E13" s="34"/>
      <c r="F13" s="34"/>
      <c r="G13" s="34"/>
      <c r="H13" s="35"/>
    </row>
    <row r="14" ht="15.75" customHeight="1">
      <c r="A14" s="103" t="s">
        <v>341</v>
      </c>
      <c r="B14" s="120" t="s">
        <v>342</v>
      </c>
      <c r="C14" s="34"/>
      <c r="D14" s="34"/>
      <c r="E14" s="34"/>
      <c r="F14" s="34"/>
      <c r="G14" s="34"/>
      <c r="H14" s="35"/>
    </row>
    <row r="15" ht="15.75" customHeight="1">
      <c r="A15" s="95" t="s">
        <v>343</v>
      </c>
      <c r="B15" s="34"/>
      <c r="C15" s="34"/>
      <c r="D15" s="34"/>
      <c r="E15" s="34"/>
      <c r="F15" s="34"/>
      <c r="G15" s="34"/>
      <c r="H15" s="35"/>
    </row>
    <row r="16" ht="15.75" customHeight="1">
      <c r="A16" s="96" t="s">
        <v>344</v>
      </c>
      <c r="B16" s="62"/>
      <c r="C16" s="62"/>
      <c r="D16" s="62"/>
      <c r="E16" s="62"/>
      <c r="F16" s="62"/>
      <c r="G16" s="62"/>
      <c r="H16" s="63"/>
    </row>
    <row r="17" ht="15.75" customHeight="1">
      <c r="A17" s="111"/>
      <c r="H17" s="112"/>
    </row>
    <row r="18" ht="15.75" customHeight="1">
      <c r="A18" s="64"/>
      <c r="B18" s="65"/>
      <c r="C18" s="65"/>
      <c r="D18" s="65"/>
      <c r="E18" s="65"/>
      <c r="F18" s="65"/>
      <c r="G18" s="65"/>
      <c r="H18" s="49"/>
    </row>
    <row r="19" ht="15.75" customHeight="1">
      <c r="A19" s="95" t="s">
        <v>345</v>
      </c>
      <c r="B19" s="34"/>
      <c r="C19" s="34"/>
      <c r="D19" s="34"/>
      <c r="E19" s="34"/>
      <c r="F19" s="34"/>
      <c r="G19" s="34"/>
      <c r="H19" s="35"/>
    </row>
    <row r="20" ht="15.75" customHeight="1">
      <c r="A20" s="96" t="s">
        <v>346</v>
      </c>
      <c r="B20" s="62"/>
      <c r="C20" s="62"/>
      <c r="D20" s="62"/>
      <c r="E20" s="62"/>
      <c r="F20" s="62"/>
      <c r="G20" s="62"/>
      <c r="H20" s="63"/>
    </row>
    <row r="21" ht="15.75" customHeight="1">
      <c r="A21" s="111"/>
      <c r="H21" s="112"/>
    </row>
    <row r="22" ht="15.75" customHeight="1">
      <c r="A22" s="111"/>
      <c r="H22" s="112"/>
    </row>
    <row r="23" ht="15.75" customHeight="1">
      <c r="A23" s="64"/>
      <c r="B23" s="65"/>
      <c r="C23" s="65"/>
      <c r="D23" s="65"/>
      <c r="E23" s="65"/>
      <c r="F23" s="65"/>
      <c r="G23" s="65"/>
      <c r="H23" s="49"/>
    </row>
    <row r="24" ht="15.75" customHeight="1"/>
    <row r="25" ht="15.75" customHeight="1"/>
    <row r="26" ht="15.75" customHeight="1">
      <c r="A26" s="93" t="s">
        <v>347</v>
      </c>
      <c r="E26" s="88" t="s">
        <v>257</v>
      </c>
      <c r="F26" s="94">
        <v>21.0</v>
      </c>
      <c r="G26" s="88" t="s">
        <v>340</v>
      </c>
      <c r="H26" s="94">
        <v>84.0</v>
      </c>
    </row>
    <row r="27" ht="15.75" customHeight="1">
      <c r="A27" s="68" t="s">
        <v>279</v>
      </c>
    </row>
    <row r="28" ht="15.75" customHeight="1">
      <c r="A28" s="103" t="s">
        <v>269</v>
      </c>
      <c r="B28" s="85" t="s">
        <v>150</v>
      </c>
      <c r="C28" s="34"/>
      <c r="D28" s="34"/>
      <c r="E28" s="34"/>
      <c r="F28" s="34"/>
      <c r="G28" s="34"/>
      <c r="H28" s="35"/>
    </row>
    <row r="29" ht="15.75" customHeight="1">
      <c r="A29" s="103" t="s">
        <v>269</v>
      </c>
      <c r="B29" s="85" t="s">
        <v>153</v>
      </c>
      <c r="C29" s="34"/>
      <c r="D29" s="34"/>
      <c r="E29" s="34"/>
      <c r="F29" s="34"/>
      <c r="G29" s="34"/>
      <c r="H29" s="35"/>
    </row>
    <row r="30" ht="15.75" customHeight="1">
      <c r="A30" s="103" t="s">
        <v>269</v>
      </c>
      <c r="B30" s="85" t="s">
        <v>110</v>
      </c>
      <c r="C30" s="34"/>
      <c r="D30" s="34"/>
      <c r="E30" s="34"/>
      <c r="F30" s="34"/>
      <c r="G30" s="34"/>
      <c r="H30" s="35"/>
    </row>
    <row r="31" ht="15.75" customHeight="1">
      <c r="A31" s="103" t="s">
        <v>341</v>
      </c>
      <c r="B31" s="120" t="s">
        <v>348</v>
      </c>
      <c r="C31" s="34"/>
      <c r="D31" s="34"/>
      <c r="E31" s="34"/>
      <c r="F31" s="34"/>
      <c r="G31" s="34"/>
      <c r="H31" s="35"/>
    </row>
    <row r="32" ht="15.75" customHeight="1">
      <c r="A32" s="95" t="s">
        <v>343</v>
      </c>
      <c r="B32" s="34"/>
      <c r="C32" s="34"/>
      <c r="D32" s="34"/>
      <c r="E32" s="34"/>
      <c r="F32" s="34"/>
      <c r="G32" s="34"/>
      <c r="H32" s="35"/>
    </row>
    <row r="33" ht="15.75" customHeight="1">
      <c r="A33" s="96" t="s">
        <v>349</v>
      </c>
      <c r="B33" s="62"/>
      <c r="C33" s="62"/>
      <c r="D33" s="62"/>
      <c r="E33" s="62"/>
      <c r="F33" s="62"/>
      <c r="G33" s="62"/>
      <c r="H33" s="63"/>
    </row>
    <row r="34" ht="15.75" customHeight="1">
      <c r="A34" s="111"/>
      <c r="H34" s="112"/>
    </row>
    <row r="35" ht="15.75" customHeight="1">
      <c r="A35" s="64"/>
      <c r="B35" s="65"/>
      <c r="C35" s="65"/>
      <c r="D35" s="65"/>
      <c r="E35" s="65"/>
      <c r="F35" s="65"/>
      <c r="G35" s="65"/>
      <c r="H35" s="49"/>
    </row>
    <row r="36" ht="15.75" customHeight="1">
      <c r="A36" s="95" t="s">
        <v>345</v>
      </c>
      <c r="B36" s="34"/>
      <c r="C36" s="34"/>
      <c r="D36" s="34"/>
      <c r="E36" s="34"/>
      <c r="F36" s="34"/>
      <c r="G36" s="34"/>
      <c r="H36" s="35"/>
    </row>
    <row r="37" ht="15.75" customHeight="1">
      <c r="A37" s="96" t="s">
        <v>350</v>
      </c>
      <c r="B37" s="62"/>
      <c r="C37" s="62"/>
      <c r="D37" s="62"/>
      <c r="E37" s="62"/>
      <c r="F37" s="62"/>
      <c r="G37" s="62"/>
      <c r="H37" s="63"/>
    </row>
    <row r="38" ht="15.75" customHeight="1">
      <c r="A38" s="111"/>
      <c r="H38" s="112"/>
    </row>
    <row r="39" ht="15.75" customHeight="1">
      <c r="A39" s="111"/>
      <c r="H39" s="112"/>
    </row>
    <row r="40" ht="15.75" customHeight="1">
      <c r="A40" s="64"/>
      <c r="B40" s="65"/>
      <c r="C40" s="65"/>
      <c r="D40" s="65"/>
      <c r="E40" s="65"/>
      <c r="F40" s="65"/>
      <c r="G40" s="65"/>
      <c r="H40" s="49"/>
    </row>
    <row r="41" ht="15.75" customHeight="1"/>
    <row r="42" ht="15.75" customHeight="1"/>
    <row r="43" ht="15.75" customHeight="1">
      <c r="A43" s="93" t="s">
        <v>351</v>
      </c>
      <c r="E43" s="88" t="s">
        <v>257</v>
      </c>
      <c r="F43" s="94">
        <v>24.0</v>
      </c>
      <c r="G43" s="88" t="s">
        <v>340</v>
      </c>
      <c r="H43" s="94">
        <v>84.0</v>
      </c>
    </row>
    <row r="44" ht="15.75" customHeight="1">
      <c r="A44" s="109" t="s">
        <v>352</v>
      </c>
    </row>
    <row r="45" ht="15.75" customHeight="1">
      <c r="A45" s="103" t="s">
        <v>269</v>
      </c>
      <c r="B45" s="85" t="s">
        <v>133</v>
      </c>
      <c r="C45" s="34"/>
      <c r="D45" s="34"/>
      <c r="E45" s="34"/>
      <c r="F45" s="34"/>
      <c r="G45" s="34"/>
      <c r="H45" s="35"/>
    </row>
    <row r="46" ht="15.75" customHeight="1">
      <c r="A46" s="103" t="s">
        <v>269</v>
      </c>
      <c r="B46" s="85" t="s">
        <v>103</v>
      </c>
      <c r="C46" s="34"/>
      <c r="D46" s="34"/>
      <c r="E46" s="34"/>
      <c r="F46" s="34"/>
      <c r="G46" s="34"/>
      <c r="H46" s="35"/>
    </row>
    <row r="47" ht="15.75" customHeight="1">
      <c r="A47" s="103" t="s">
        <v>269</v>
      </c>
      <c r="B47" s="85" t="s">
        <v>150</v>
      </c>
      <c r="C47" s="34"/>
      <c r="D47" s="34"/>
      <c r="E47" s="34"/>
      <c r="F47" s="34"/>
      <c r="G47" s="34"/>
      <c r="H47" s="35"/>
    </row>
    <row r="48" ht="15.75" customHeight="1">
      <c r="A48" s="103" t="s">
        <v>341</v>
      </c>
      <c r="B48" s="120" t="s">
        <v>353</v>
      </c>
      <c r="C48" s="34"/>
      <c r="D48" s="34"/>
      <c r="E48" s="34"/>
      <c r="F48" s="34"/>
      <c r="G48" s="34"/>
      <c r="H48" s="35"/>
    </row>
    <row r="49" ht="15.75" customHeight="1">
      <c r="A49" s="95" t="s">
        <v>343</v>
      </c>
      <c r="B49" s="34"/>
      <c r="C49" s="34"/>
      <c r="D49" s="34"/>
      <c r="E49" s="34"/>
      <c r="F49" s="34"/>
      <c r="G49" s="34"/>
      <c r="H49" s="35"/>
    </row>
    <row r="50" ht="15.75" customHeight="1">
      <c r="A50" s="96" t="s">
        <v>354</v>
      </c>
      <c r="B50" s="62"/>
      <c r="C50" s="62"/>
      <c r="D50" s="62"/>
      <c r="E50" s="62"/>
      <c r="F50" s="62"/>
      <c r="G50" s="62"/>
      <c r="H50" s="63"/>
    </row>
    <row r="51" ht="15.75" customHeight="1">
      <c r="A51" s="111"/>
      <c r="H51" s="112"/>
    </row>
    <row r="52" ht="15.75" customHeight="1">
      <c r="A52" s="64"/>
      <c r="B52" s="65"/>
      <c r="C52" s="65"/>
      <c r="D52" s="65"/>
      <c r="E52" s="65"/>
      <c r="F52" s="65"/>
      <c r="G52" s="65"/>
      <c r="H52" s="49"/>
    </row>
    <row r="53" ht="15.75" customHeight="1">
      <c r="A53" s="95" t="s">
        <v>345</v>
      </c>
      <c r="B53" s="34"/>
      <c r="C53" s="34"/>
      <c r="D53" s="34"/>
      <c r="E53" s="34"/>
      <c r="F53" s="34"/>
      <c r="G53" s="34"/>
      <c r="H53" s="35"/>
    </row>
    <row r="54" ht="15.75" customHeight="1">
      <c r="A54" s="96" t="s">
        <v>355</v>
      </c>
      <c r="B54" s="62"/>
      <c r="C54" s="62"/>
      <c r="D54" s="62"/>
      <c r="E54" s="62"/>
      <c r="F54" s="62"/>
      <c r="G54" s="62"/>
      <c r="H54" s="63"/>
    </row>
    <row r="55" ht="15.75" customHeight="1">
      <c r="A55" s="111"/>
      <c r="H55" s="112"/>
    </row>
    <row r="56" ht="15.75" customHeight="1">
      <c r="A56" s="111"/>
      <c r="H56" s="112"/>
    </row>
    <row r="57" ht="661.5" customHeight="1">
      <c r="A57" s="64"/>
      <c r="B57" s="65"/>
      <c r="C57" s="65"/>
      <c r="D57" s="65"/>
      <c r="E57" s="65"/>
      <c r="F57" s="65"/>
      <c r="G57" s="65"/>
      <c r="H57" s="49"/>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2 B30">
      <formula1>"El estudiante Identifica conceptos clave de arquitecturas modernas y herramientas DevOps a partir de documentación técnica en actividades teóricas ,Opción 2"</formula1>
    </dataValidation>
    <dataValidation type="list" allowBlank="1" showErrorMessage="1" sqref="B13 B46">
      <formula1>"El estudiante Analiza .. arquitecturas de software basadas en microservicios utilizando diagramas y patrones arquitectónicos en estudios de caso reales ,Opción 2"</formula1>
    </dataValidation>
    <dataValidation type="list" allowBlank="1" showErrorMessage="1" sqref="B29">
      <formula1>"El estudiante Explica el funcionamiento de pipelines CI/CD utilizando herramientas de integración continua mediante ejemplos prácticos ,Opción 2"</formula1>
    </dataValidation>
    <dataValidation type="list" allowBlank="1" showErrorMessage="1" sqref="B28 B47">
      <formula1>"El estudiante Aplica prácticas de DevOps y DevSecOps mediante pipelines automatizados en proyectos de software ,Opción 2"</formula1>
    </dataValidation>
    <dataValidation type="list" allowBlank="1" showErrorMessage="1" sqref="B11">
      <formula1>"El estudiante Crea .. soluciones de software basadas en microservicios poniendo en practica los principios SOLID usando herramientas de desarrollo y contenedores en entornos prácticos de laboratorio ,Opción 2"</formula1>
    </dataValidation>
    <dataValidation type="list" allowBlank="1" showErrorMessage="1" sqref="B45">
      <formula1>"El estudiante Evalúa estrategias de despliegue y monitoreo utilizando Kubernetes y herramientas de observabilidad en distintos escenarios de implementación ,Opción 2"</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9" t="s">
        <v>356</v>
      </c>
    </row>
    <row r="3" ht="15.75" customHeight="1"/>
    <row r="4" ht="15.75" customHeight="1">
      <c r="B4" s="74" t="s">
        <v>1</v>
      </c>
      <c r="C4" s="75" t="str">
        <f>'Diseño'!C4</f>
        <v>780 - Software Avanzado</v>
      </c>
      <c r="D4" s="34"/>
      <c r="E4" s="34"/>
      <c r="F4" s="34"/>
      <c r="G4" s="35"/>
    </row>
    <row r="5" ht="15.75" customHeight="1">
      <c r="B5" s="91" t="s">
        <v>215</v>
      </c>
      <c r="C5" s="75">
        <f>H9+H26+H43+H60+H77+H94+H111</f>
        <v>56</v>
      </c>
      <c r="D5" s="34"/>
      <c r="E5" s="34"/>
      <c r="F5" s="34"/>
      <c r="G5" s="35"/>
    </row>
    <row r="6" ht="15.75" customHeight="1">
      <c r="B6" s="91" t="s">
        <v>257</v>
      </c>
      <c r="C6" s="75">
        <f>F9+F26+F43+F60+F77+F94+F111</f>
        <v>20</v>
      </c>
      <c r="D6" s="34"/>
      <c r="E6" s="34"/>
      <c r="F6" s="34"/>
      <c r="G6" s="35"/>
    </row>
    <row r="7" ht="15.75" customHeight="1">
      <c r="B7" s="68" t="s">
        <v>357</v>
      </c>
    </row>
    <row r="8" ht="15.75" customHeight="1"/>
    <row r="9" ht="15.75" customHeight="1">
      <c r="A9" s="93" t="s">
        <v>358</v>
      </c>
      <c r="E9" s="88" t="s">
        <v>257</v>
      </c>
      <c r="F9" s="94">
        <v>2.0</v>
      </c>
      <c r="G9" s="88" t="s">
        <v>340</v>
      </c>
      <c r="H9" s="94">
        <v>8.0</v>
      </c>
    </row>
    <row r="10" ht="15.75" customHeight="1">
      <c r="A10" s="68" t="s">
        <v>359</v>
      </c>
    </row>
    <row r="11" ht="15.75" customHeight="1">
      <c r="A11" s="103" t="s">
        <v>269</v>
      </c>
      <c r="B11" s="85" t="s">
        <v>85</v>
      </c>
      <c r="C11" s="34"/>
      <c r="D11" s="34"/>
      <c r="E11" s="34"/>
      <c r="F11" s="34"/>
      <c r="G11" s="34"/>
      <c r="H11" s="35"/>
    </row>
    <row r="12" ht="15.75" customHeight="1">
      <c r="A12" s="103" t="s">
        <v>269</v>
      </c>
      <c r="B12" s="75"/>
      <c r="C12" s="34"/>
      <c r="D12" s="34"/>
      <c r="E12" s="34"/>
      <c r="F12" s="34"/>
      <c r="G12" s="34"/>
      <c r="H12" s="35"/>
    </row>
    <row r="13" ht="15.75" customHeight="1">
      <c r="A13" s="103" t="s">
        <v>269</v>
      </c>
      <c r="B13" s="75"/>
      <c r="C13" s="34"/>
      <c r="D13" s="34"/>
      <c r="E13" s="34"/>
      <c r="F13" s="34"/>
      <c r="G13" s="34"/>
      <c r="H13" s="35"/>
    </row>
    <row r="14" ht="15.75" customHeight="1">
      <c r="A14" s="103" t="s">
        <v>341</v>
      </c>
      <c r="B14" s="85" t="s">
        <v>360</v>
      </c>
      <c r="C14" s="34"/>
      <c r="D14" s="34"/>
      <c r="E14" s="34"/>
      <c r="F14" s="34"/>
      <c r="G14" s="34"/>
      <c r="H14" s="35"/>
    </row>
    <row r="15" ht="15.75" customHeight="1">
      <c r="A15" s="95" t="s">
        <v>343</v>
      </c>
      <c r="B15" s="34"/>
      <c r="C15" s="34"/>
      <c r="D15" s="34"/>
      <c r="E15" s="34"/>
      <c r="F15" s="34"/>
      <c r="G15" s="34"/>
      <c r="H15" s="35"/>
    </row>
    <row r="16" ht="15.75" customHeight="1">
      <c r="A16" s="96" t="s">
        <v>361</v>
      </c>
      <c r="B16" s="62"/>
      <c r="C16" s="62"/>
      <c r="D16" s="62"/>
      <c r="E16" s="62"/>
      <c r="F16" s="62"/>
      <c r="G16" s="62"/>
      <c r="H16" s="63"/>
    </row>
    <row r="17" ht="15.75" customHeight="1">
      <c r="A17" s="111"/>
      <c r="H17" s="112"/>
    </row>
    <row r="18" ht="15.75" customHeight="1">
      <c r="A18" s="64"/>
      <c r="B18" s="65"/>
      <c r="C18" s="65"/>
      <c r="D18" s="65"/>
      <c r="E18" s="65"/>
      <c r="F18" s="65"/>
      <c r="G18" s="65"/>
      <c r="H18" s="49"/>
    </row>
    <row r="19" ht="15.75" customHeight="1">
      <c r="A19" s="95" t="s">
        <v>345</v>
      </c>
      <c r="B19" s="34"/>
      <c r="C19" s="34"/>
      <c r="D19" s="34"/>
      <c r="E19" s="34"/>
      <c r="F19" s="34"/>
      <c r="G19" s="34"/>
      <c r="H19" s="35"/>
    </row>
    <row r="20" ht="15.75" customHeight="1">
      <c r="A20" s="96" t="s">
        <v>362</v>
      </c>
      <c r="B20" s="62"/>
      <c r="C20" s="62"/>
      <c r="D20" s="62"/>
      <c r="E20" s="62"/>
      <c r="F20" s="62"/>
      <c r="G20" s="62"/>
      <c r="H20" s="63"/>
    </row>
    <row r="21" ht="15.75" customHeight="1">
      <c r="A21" s="111"/>
      <c r="H21" s="112"/>
    </row>
    <row r="22" ht="15.75" customHeight="1">
      <c r="A22" s="111"/>
      <c r="H22" s="112"/>
    </row>
    <row r="23" ht="156.75" customHeight="1">
      <c r="A23" s="64"/>
      <c r="B23" s="65"/>
      <c r="C23" s="65"/>
      <c r="D23" s="65"/>
      <c r="E23" s="65"/>
      <c r="F23" s="65"/>
      <c r="G23" s="65"/>
      <c r="H23" s="49"/>
    </row>
    <row r="24" ht="15.75" customHeight="1"/>
    <row r="25" ht="15.75" customHeight="1"/>
    <row r="26" ht="15.75" customHeight="1">
      <c r="A26" s="93" t="s">
        <v>363</v>
      </c>
      <c r="E26" s="88" t="s">
        <v>257</v>
      </c>
      <c r="F26" s="94">
        <v>2.0</v>
      </c>
      <c r="G26" s="88" t="s">
        <v>340</v>
      </c>
      <c r="H26" s="94">
        <v>8.0</v>
      </c>
    </row>
    <row r="27" ht="15.75" customHeight="1">
      <c r="A27" s="109" t="s">
        <v>352</v>
      </c>
    </row>
    <row r="28" ht="15.75" customHeight="1">
      <c r="A28" s="103" t="s">
        <v>269</v>
      </c>
      <c r="B28" s="85" t="s">
        <v>103</v>
      </c>
      <c r="C28" s="34"/>
      <c r="D28" s="34"/>
      <c r="E28" s="34"/>
      <c r="F28" s="34"/>
      <c r="G28" s="34"/>
      <c r="H28" s="35"/>
    </row>
    <row r="29" ht="15.75" customHeight="1">
      <c r="A29" s="103" t="s">
        <v>269</v>
      </c>
      <c r="B29" s="75"/>
      <c r="C29" s="34"/>
      <c r="D29" s="34"/>
      <c r="E29" s="34"/>
      <c r="F29" s="34"/>
      <c r="G29" s="34"/>
      <c r="H29" s="35"/>
    </row>
    <row r="30" ht="15.75" customHeight="1">
      <c r="A30" s="103" t="s">
        <v>269</v>
      </c>
      <c r="B30" s="75"/>
      <c r="C30" s="34"/>
      <c r="D30" s="34"/>
      <c r="E30" s="34"/>
      <c r="F30" s="34"/>
      <c r="G30" s="34"/>
      <c r="H30" s="35"/>
    </row>
    <row r="31" ht="15.75" customHeight="1">
      <c r="A31" s="103" t="s">
        <v>341</v>
      </c>
      <c r="B31" s="85" t="s">
        <v>364</v>
      </c>
      <c r="C31" s="34"/>
      <c r="D31" s="34"/>
      <c r="E31" s="34"/>
      <c r="F31" s="34"/>
      <c r="G31" s="34"/>
      <c r="H31" s="35"/>
    </row>
    <row r="32" ht="15.75" customHeight="1">
      <c r="A32" s="95" t="s">
        <v>343</v>
      </c>
      <c r="B32" s="34"/>
      <c r="C32" s="34"/>
      <c r="D32" s="34"/>
      <c r="E32" s="34"/>
      <c r="F32" s="34"/>
      <c r="G32" s="34"/>
      <c r="H32" s="35"/>
    </row>
    <row r="33" ht="15.75" customHeight="1">
      <c r="A33" s="96" t="s">
        <v>365</v>
      </c>
      <c r="B33" s="62"/>
      <c r="C33" s="62"/>
      <c r="D33" s="62"/>
      <c r="E33" s="62"/>
      <c r="F33" s="62"/>
      <c r="G33" s="62"/>
      <c r="H33" s="63"/>
    </row>
    <row r="34" ht="15.75" customHeight="1">
      <c r="A34" s="111"/>
      <c r="H34" s="112"/>
    </row>
    <row r="35" ht="15.75" customHeight="1">
      <c r="A35" s="64"/>
      <c r="B35" s="65"/>
      <c r="C35" s="65"/>
      <c r="D35" s="65"/>
      <c r="E35" s="65"/>
      <c r="F35" s="65"/>
      <c r="G35" s="65"/>
      <c r="H35" s="49"/>
    </row>
    <row r="36" ht="15.75" customHeight="1">
      <c r="A36" s="95" t="s">
        <v>345</v>
      </c>
      <c r="B36" s="34"/>
      <c r="C36" s="34"/>
      <c r="D36" s="34"/>
      <c r="E36" s="34"/>
      <c r="F36" s="34"/>
      <c r="G36" s="34"/>
      <c r="H36" s="35"/>
    </row>
    <row r="37" ht="15.75" customHeight="1">
      <c r="A37" s="96" t="s">
        <v>366</v>
      </c>
      <c r="B37" s="62"/>
      <c r="C37" s="62"/>
      <c r="D37" s="62"/>
      <c r="E37" s="62"/>
      <c r="F37" s="62"/>
      <c r="G37" s="62"/>
      <c r="H37" s="63"/>
    </row>
    <row r="38" ht="15.75" customHeight="1">
      <c r="A38" s="111"/>
      <c r="H38" s="112"/>
    </row>
    <row r="39" ht="15.75" customHeight="1">
      <c r="A39" s="111"/>
      <c r="H39" s="112"/>
    </row>
    <row r="40" ht="120.0" customHeight="1">
      <c r="A40" s="64"/>
      <c r="B40" s="65"/>
      <c r="C40" s="65"/>
      <c r="D40" s="65"/>
      <c r="E40" s="65"/>
      <c r="F40" s="65"/>
      <c r="G40" s="65"/>
      <c r="H40" s="49"/>
    </row>
    <row r="41" ht="15.75" customHeight="1"/>
    <row r="42" ht="15.75" customHeight="1"/>
    <row r="43" ht="15.75" customHeight="1">
      <c r="A43" s="93" t="s">
        <v>367</v>
      </c>
      <c r="E43" s="88" t="s">
        <v>257</v>
      </c>
      <c r="F43" s="94">
        <v>2.0</v>
      </c>
      <c r="G43" s="88" t="s">
        <v>340</v>
      </c>
      <c r="H43" s="94">
        <v>8.0</v>
      </c>
    </row>
    <row r="44" ht="15.75" customHeight="1">
      <c r="A44" s="109" t="s">
        <v>352</v>
      </c>
    </row>
    <row r="45" ht="15.75" customHeight="1">
      <c r="A45" s="103" t="s">
        <v>269</v>
      </c>
      <c r="B45" s="85" t="s">
        <v>110</v>
      </c>
      <c r="C45" s="34"/>
      <c r="D45" s="34"/>
      <c r="E45" s="34"/>
      <c r="F45" s="34"/>
      <c r="G45" s="34"/>
      <c r="H45" s="35"/>
    </row>
    <row r="46" ht="15.75" customHeight="1">
      <c r="A46" s="103" t="s">
        <v>269</v>
      </c>
      <c r="B46" s="75"/>
      <c r="C46" s="34"/>
      <c r="D46" s="34"/>
      <c r="E46" s="34"/>
      <c r="F46" s="34"/>
      <c r="G46" s="34"/>
      <c r="H46" s="35"/>
    </row>
    <row r="47" ht="15.75" customHeight="1">
      <c r="A47" s="103" t="s">
        <v>269</v>
      </c>
      <c r="B47" s="75"/>
      <c r="C47" s="34"/>
      <c r="D47" s="34"/>
      <c r="E47" s="34"/>
      <c r="F47" s="34"/>
      <c r="G47" s="34"/>
      <c r="H47" s="35"/>
    </row>
    <row r="48" ht="15.75" customHeight="1">
      <c r="A48" s="103" t="s">
        <v>341</v>
      </c>
      <c r="B48" s="85" t="s">
        <v>368</v>
      </c>
      <c r="C48" s="34"/>
      <c r="D48" s="34"/>
      <c r="E48" s="34"/>
      <c r="F48" s="34"/>
      <c r="G48" s="34"/>
      <c r="H48" s="35"/>
    </row>
    <row r="49" ht="15.75" customHeight="1">
      <c r="A49" s="95" t="s">
        <v>343</v>
      </c>
      <c r="B49" s="34"/>
      <c r="C49" s="34"/>
      <c r="D49" s="34"/>
      <c r="E49" s="34"/>
      <c r="F49" s="34"/>
      <c r="G49" s="34"/>
      <c r="H49" s="35"/>
    </row>
    <row r="50" ht="15.75" customHeight="1">
      <c r="A50" s="96" t="s">
        <v>365</v>
      </c>
      <c r="B50" s="62"/>
      <c r="C50" s="62"/>
      <c r="D50" s="62"/>
      <c r="E50" s="62"/>
      <c r="F50" s="62"/>
      <c r="G50" s="62"/>
      <c r="H50" s="63"/>
    </row>
    <row r="51" ht="15.75" customHeight="1">
      <c r="A51" s="111"/>
      <c r="H51" s="112"/>
    </row>
    <row r="52" ht="15.75" customHeight="1">
      <c r="A52" s="64"/>
      <c r="B52" s="65"/>
      <c r="C52" s="65"/>
      <c r="D52" s="65"/>
      <c r="E52" s="65"/>
      <c r="F52" s="65"/>
      <c r="G52" s="65"/>
      <c r="H52" s="49"/>
    </row>
    <row r="53" ht="15.75" customHeight="1">
      <c r="A53" s="95" t="s">
        <v>345</v>
      </c>
      <c r="B53" s="34"/>
      <c r="C53" s="34"/>
      <c r="D53" s="34"/>
      <c r="E53" s="34"/>
      <c r="F53" s="34"/>
      <c r="G53" s="34"/>
      <c r="H53" s="35"/>
    </row>
    <row r="54" ht="15.75" customHeight="1">
      <c r="A54" s="96" t="s">
        <v>369</v>
      </c>
      <c r="B54" s="62"/>
      <c r="C54" s="62"/>
      <c r="D54" s="62"/>
      <c r="E54" s="62"/>
      <c r="F54" s="62"/>
      <c r="G54" s="62"/>
      <c r="H54" s="63"/>
    </row>
    <row r="55" ht="15.75" customHeight="1">
      <c r="A55" s="111"/>
      <c r="H55" s="112"/>
    </row>
    <row r="56" ht="15.75" customHeight="1">
      <c r="A56" s="111"/>
      <c r="H56" s="112"/>
    </row>
    <row r="57" ht="543.0" customHeight="1">
      <c r="A57" s="64"/>
      <c r="B57" s="65"/>
      <c r="C57" s="65"/>
      <c r="D57" s="65"/>
      <c r="E57" s="65"/>
      <c r="F57" s="65"/>
      <c r="G57" s="65"/>
      <c r="H57" s="49"/>
    </row>
    <row r="58" ht="15.75" customHeight="1"/>
    <row r="59" ht="15.75" customHeight="1"/>
    <row r="60" ht="15.75" customHeight="1">
      <c r="A60" s="93" t="s">
        <v>370</v>
      </c>
      <c r="E60" s="88" t="s">
        <v>257</v>
      </c>
      <c r="F60" s="94">
        <v>4.0</v>
      </c>
      <c r="G60" s="88" t="s">
        <v>340</v>
      </c>
      <c r="H60" s="94">
        <v>8.0</v>
      </c>
    </row>
    <row r="61" ht="15.75" customHeight="1">
      <c r="A61" s="109" t="s">
        <v>352</v>
      </c>
    </row>
    <row r="62" ht="15.75" customHeight="1">
      <c r="A62" s="103" t="s">
        <v>269</v>
      </c>
      <c r="B62" s="85" t="s">
        <v>128</v>
      </c>
      <c r="C62" s="34"/>
      <c r="D62" s="34"/>
      <c r="E62" s="34"/>
      <c r="F62" s="34"/>
      <c r="G62" s="34"/>
      <c r="H62" s="35"/>
    </row>
    <row r="63" ht="15.75" customHeight="1">
      <c r="A63" s="103" t="s">
        <v>269</v>
      </c>
      <c r="B63" s="75"/>
      <c r="C63" s="34"/>
      <c r="D63" s="34"/>
      <c r="E63" s="34"/>
      <c r="F63" s="34"/>
      <c r="G63" s="34"/>
      <c r="H63" s="35"/>
    </row>
    <row r="64" ht="15.75" customHeight="1">
      <c r="A64" s="103" t="s">
        <v>269</v>
      </c>
      <c r="B64" s="75"/>
      <c r="C64" s="34"/>
      <c r="D64" s="34"/>
      <c r="E64" s="34"/>
      <c r="F64" s="34"/>
      <c r="G64" s="34"/>
      <c r="H64" s="35"/>
    </row>
    <row r="65" ht="15.75" customHeight="1">
      <c r="A65" s="103" t="s">
        <v>341</v>
      </c>
      <c r="B65" s="75"/>
      <c r="C65" s="34"/>
      <c r="D65" s="34"/>
      <c r="E65" s="34"/>
      <c r="F65" s="34"/>
      <c r="G65" s="34"/>
      <c r="H65" s="35"/>
    </row>
    <row r="66" ht="15.75" customHeight="1">
      <c r="A66" s="95" t="s">
        <v>343</v>
      </c>
      <c r="B66" s="34"/>
      <c r="C66" s="34"/>
      <c r="D66" s="34"/>
      <c r="E66" s="34"/>
      <c r="F66" s="34"/>
      <c r="G66" s="34"/>
      <c r="H66" s="35"/>
    </row>
    <row r="67" ht="15.75" customHeight="1">
      <c r="A67" s="96" t="s">
        <v>365</v>
      </c>
      <c r="B67" s="62"/>
      <c r="C67" s="62"/>
      <c r="D67" s="62"/>
      <c r="E67" s="62"/>
      <c r="F67" s="62"/>
      <c r="G67" s="62"/>
      <c r="H67" s="63"/>
    </row>
    <row r="68" ht="15.75" customHeight="1">
      <c r="A68" s="111"/>
      <c r="H68" s="112"/>
    </row>
    <row r="69" ht="15.75" customHeight="1">
      <c r="A69" s="64"/>
      <c r="B69" s="65"/>
      <c r="C69" s="65"/>
      <c r="D69" s="65"/>
      <c r="E69" s="65"/>
      <c r="F69" s="65"/>
      <c r="G69" s="65"/>
      <c r="H69" s="49"/>
    </row>
    <row r="70" ht="15.75" customHeight="1">
      <c r="A70" s="95" t="s">
        <v>345</v>
      </c>
      <c r="B70" s="34"/>
      <c r="C70" s="34"/>
      <c r="D70" s="34"/>
      <c r="E70" s="34"/>
      <c r="F70" s="34"/>
      <c r="G70" s="34"/>
      <c r="H70" s="35"/>
    </row>
    <row r="71" ht="15.75" customHeight="1">
      <c r="A71" s="96" t="s">
        <v>371</v>
      </c>
      <c r="B71" s="62"/>
      <c r="C71" s="62"/>
      <c r="D71" s="62"/>
      <c r="E71" s="62"/>
      <c r="F71" s="62"/>
      <c r="G71" s="62"/>
      <c r="H71" s="63"/>
    </row>
    <row r="72" ht="15.75" customHeight="1">
      <c r="A72" s="111"/>
      <c r="H72" s="112"/>
    </row>
    <row r="73" ht="15.75" customHeight="1">
      <c r="A73" s="111"/>
      <c r="H73" s="112"/>
    </row>
    <row r="74" ht="429.0" customHeight="1">
      <c r="A74" s="64"/>
      <c r="B74" s="65"/>
      <c r="C74" s="65"/>
      <c r="D74" s="65"/>
      <c r="E74" s="65"/>
      <c r="F74" s="65"/>
      <c r="G74" s="65"/>
      <c r="H74" s="49"/>
    </row>
    <row r="75" ht="15.75" customHeight="1"/>
    <row r="76" ht="15.75" customHeight="1"/>
    <row r="77" ht="15.75" customHeight="1">
      <c r="A77" s="93" t="s">
        <v>372</v>
      </c>
      <c r="E77" s="88" t="s">
        <v>257</v>
      </c>
      <c r="F77" s="94">
        <v>2.5</v>
      </c>
      <c r="G77" s="88" t="s">
        <v>340</v>
      </c>
      <c r="H77" s="94">
        <v>8.0</v>
      </c>
    </row>
    <row r="78" ht="15.75" customHeight="1">
      <c r="A78" s="109" t="s">
        <v>352</v>
      </c>
    </row>
    <row r="79" ht="15.75" customHeight="1">
      <c r="A79" s="103" t="s">
        <v>269</v>
      </c>
      <c r="B79" s="85" t="s">
        <v>110</v>
      </c>
      <c r="C79" s="34"/>
      <c r="D79" s="34"/>
      <c r="E79" s="34"/>
      <c r="F79" s="34"/>
      <c r="G79" s="34"/>
      <c r="H79" s="35"/>
    </row>
    <row r="80" ht="15.75" customHeight="1">
      <c r="A80" s="103" t="s">
        <v>269</v>
      </c>
      <c r="B80" s="75"/>
      <c r="C80" s="34"/>
      <c r="D80" s="34"/>
      <c r="E80" s="34"/>
      <c r="F80" s="34"/>
      <c r="G80" s="34"/>
      <c r="H80" s="35"/>
    </row>
    <row r="81" ht="15.75" customHeight="1">
      <c r="A81" s="103" t="s">
        <v>269</v>
      </c>
      <c r="B81" s="75"/>
      <c r="C81" s="34"/>
      <c r="D81" s="34"/>
      <c r="E81" s="34"/>
      <c r="F81" s="34"/>
      <c r="G81" s="34"/>
      <c r="H81" s="35"/>
    </row>
    <row r="82" ht="15.75" customHeight="1">
      <c r="A82" s="103" t="s">
        <v>341</v>
      </c>
      <c r="B82" s="85" t="s">
        <v>373</v>
      </c>
      <c r="C82" s="34"/>
      <c r="D82" s="34"/>
      <c r="E82" s="34"/>
      <c r="F82" s="34"/>
      <c r="G82" s="34"/>
      <c r="H82" s="35"/>
    </row>
    <row r="83" ht="15.75" customHeight="1">
      <c r="A83" s="95" t="s">
        <v>343</v>
      </c>
      <c r="B83" s="34"/>
      <c r="C83" s="34"/>
      <c r="D83" s="34"/>
      <c r="E83" s="34"/>
      <c r="F83" s="34"/>
      <c r="G83" s="34"/>
      <c r="H83" s="35"/>
    </row>
    <row r="84" ht="15.75" customHeight="1">
      <c r="A84" s="96" t="s">
        <v>374</v>
      </c>
      <c r="B84" s="62"/>
      <c r="C84" s="62"/>
      <c r="D84" s="62"/>
      <c r="E84" s="62"/>
      <c r="F84" s="62"/>
      <c r="G84" s="62"/>
      <c r="H84" s="63"/>
    </row>
    <row r="85" ht="15.75" customHeight="1">
      <c r="A85" s="111"/>
      <c r="H85" s="112"/>
    </row>
    <row r="86" ht="15.75" customHeight="1">
      <c r="A86" s="64"/>
      <c r="B86" s="65"/>
      <c r="C86" s="65"/>
      <c r="D86" s="65"/>
      <c r="E86" s="65"/>
      <c r="F86" s="65"/>
      <c r="G86" s="65"/>
      <c r="H86" s="49"/>
    </row>
    <row r="87" ht="15.75" customHeight="1">
      <c r="A87" s="95" t="s">
        <v>345</v>
      </c>
      <c r="B87" s="34"/>
      <c r="C87" s="34"/>
      <c r="D87" s="34"/>
      <c r="E87" s="34"/>
      <c r="F87" s="34"/>
      <c r="G87" s="34"/>
      <c r="H87" s="35"/>
    </row>
    <row r="88" ht="15.75" customHeight="1">
      <c r="A88" s="96" t="s">
        <v>375</v>
      </c>
      <c r="B88" s="62"/>
      <c r="C88" s="62"/>
      <c r="D88" s="62"/>
      <c r="E88" s="62"/>
      <c r="F88" s="62"/>
      <c r="G88" s="62"/>
      <c r="H88" s="63"/>
    </row>
    <row r="89" ht="15.75" customHeight="1">
      <c r="A89" s="111"/>
      <c r="H89" s="112"/>
    </row>
    <row r="90" ht="15.75" customHeight="1">
      <c r="A90" s="111"/>
      <c r="H90" s="112"/>
    </row>
    <row r="91" ht="187.5" customHeight="1">
      <c r="A91" s="64"/>
      <c r="B91" s="65"/>
      <c r="C91" s="65"/>
      <c r="D91" s="65"/>
      <c r="E91" s="65"/>
      <c r="F91" s="65"/>
      <c r="G91" s="65"/>
      <c r="H91" s="49"/>
    </row>
    <row r="92" ht="15.75" customHeight="1"/>
    <row r="93" ht="15.75" customHeight="1"/>
    <row r="94" ht="15.75" customHeight="1">
      <c r="A94" s="93" t="s">
        <v>376</v>
      </c>
      <c r="E94" s="88" t="s">
        <v>257</v>
      </c>
      <c r="F94" s="94">
        <v>2.5</v>
      </c>
      <c r="G94" s="88" t="s">
        <v>340</v>
      </c>
      <c r="H94" s="94">
        <v>8.0</v>
      </c>
    </row>
    <row r="95" ht="15.75" customHeight="1">
      <c r="A95" s="109" t="s">
        <v>352</v>
      </c>
    </row>
    <row r="96" ht="15.75" customHeight="1">
      <c r="A96" s="103" t="s">
        <v>269</v>
      </c>
      <c r="B96" s="85" t="s">
        <v>110</v>
      </c>
      <c r="C96" s="34"/>
      <c r="D96" s="34"/>
      <c r="E96" s="34"/>
      <c r="F96" s="34"/>
      <c r="G96" s="34"/>
      <c r="H96" s="35"/>
    </row>
    <row r="97" ht="15.75" customHeight="1">
      <c r="A97" s="103" t="s">
        <v>269</v>
      </c>
      <c r="B97" s="75"/>
      <c r="C97" s="34"/>
      <c r="D97" s="34"/>
      <c r="E97" s="34"/>
      <c r="F97" s="34"/>
      <c r="G97" s="34"/>
      <c r="H97" s="35"/>
    </row>
    <row r="98" ht="15.75" customHeight="1">
      <c r="A98" s="103" t="s">
        <v>269</v>
      </c>
      <c r="B98" s="75"/>
      <c r="C98" s="34"/>
      <c r="D98" s="34"/>
      <c r="E98" s="34"/>
      <c r="F98" s="34"/>
      <c r="G98" s="34"/>
      <c r="H98" s="35"/>
    </row>
    <row r="99" ht="15.75" customHeight="1">
      <c r="A99" s="103" t="s">
        <v>341</v>
      </c>
      <c r="B99" s="75"/>
      <c r="C99" s="34"/>
      <c r="D99" s="34"/>
      <c r="E99" s="34"/>
      <c r="F99" s="34"/>
      <c r="G99" s="34"/>
      <c r="H99" s="35"/>
    </row>
    <row r="100" ht="15.75" customHeight="1">
      <c r="A100" s="95" t="s">
        <v>343</v>
      </c>
      <c r="B100" s="34"/>
      <c r="C100" s="34"/>
      <c r="D100" s="34"/>
      <c r="E100" s="34"/>
      <c r="F100" s="34"/>
      <c r="G100" s="34"/>
      <c r="H100" s="35"/>
    </row>
    <row r="101" ht="15.75" customHeight="1">
      <c r="A101" s="96" t="s">
        <v>377</v>
      </c>
      <c r="B101" s="62"/>
      <c r="C101" s="62"/>
      <c r="D101" s="62"/>
      <c r="E101" s="62"/>
      <c r="F101" s="62"/>
      <c r="G101" s="62"/>
      <c r="H101" s="63"/>
    </row>
    <row r="102" ht="15.75" customHeight="1">
      <c r="A102" s="111"/>
      <c r="H102" s="112"/>
    </row>
    <row r="103" ht="15.75" customHeight="1">
      <c r="A103" s="64"/>
      <c r="B103" s="65"/>
      <c r="C103" s="65"/>
      <c r="D103" s="65"/>
      <c r="E103" s="65"/>
      <c r="F103" s="65"/>
      <c r="G103" s="65"/>
      <c r="H103" s="49"/>
    </row>
    <row r="104" ht="15.75" customHeight="1">
      <c r="A104" s="95" t="s">
        <v>345</v>
      </c>
      <c r="B104" s="34"/>
      <c r="C104" s="34"/>
      <c r="D104" s="34"/>
      <c r="E104" s="34"/>
      <c r="F104" s="34"/>
      <c r="G104" s="34"/>
      <c r="H104" s="35"/>
    </row>
    <row r="105" ht="15.75" customHeight="1">
      <c r="A105" s="7" t="s">
        <v>378</v>
      </c>
    </row>
    <row r="106" ht="15.75" customHeight="1"/>
    <row r="107" ht="15.75" customHeight="1"/>
    <row r="108" ht="129.0" customHeight="1"/>
    <row r="109" ht="15.75" customHeight="1"/>
    <row r="110" ht="15.75" customHeight="1"/>
    <row r="111" ht="15.75" customHeight="1">
      <c r="A111" s="93" t="s">
        <v>379</v>
      </c>
      <c r="E111" s="88" t="s">
        <v>257</v>
      </c>
      <c r="F111" s="94">
        <v>5.0</v>
      </c>
      <c r="G111" s="88" t="s">
        <v>340</v>
      </c>
      <c r="H111" s="94">
        <v>8.0</v>
      </c>
    </row>
    <row r="112" ht="15.75" customHeight="1">
      <c r="A112" s="109" t="s">
        <v>352</v>
      </c>
    </row>
    <row r="113" ht="15.75" customHeight="1">
      <c r="A113" s="103" t="s">
        <v>269</v>
      </c>
      <c r="B113" s="85" t="s">
        <v>153</v>
      </c>
      <c r="C113" s="34"/>
      <c r="D113" s="34"/>
      <c r="E113" s="34"/>
      <c r="F113" s="34"/>
      <c r="G113" s="34"/>
      <c r="H113" s="35"/>
    </row>
    <row r="114" ht="15.75" customHeight="1">
      <c r="A114" s="103" t="s">
        <v>269</v>
      </c>
      <c r="B114" s="75"/>
      <c r="C114" s="34"/>
      <c r="D114" s="34"/>
      <c r="E114" s="34"/>
      <c r="F114" s="34"/>
      <c r="G114" s="34"/>
      <c r="H114" s="35"/>
    </row>
    <row r="115" ht="15.75" customHeight="1">
      <c r="A115" s="103" t="s">
        <v>269</v>
      </c>
      <c r="B115" s="75"/>
      <c r="C115" s="34"/>
      <c r="D115" s="34"/>
      <c r="E115" s="34"/>
      <c r="F115" s="34"/>
      <c r="G115" s="34"/>
      <c r="H115" s="35"/>
    </row>
    <row r="116" ht="15.75" customHeight="1">
      <c r="A116" s="103" t="s">
        <v>341</v>
      </c>
      <c r="B116" s="85" t="s">
        <v>380</v>
      </c>
      <c r="C116" s="34"/>
      <c r="D116" s="34"/>
      <c r="E116" s="34"/>
      <c r="F116" s="34"/>
      <c r="G116" s="34"/>
      <c r="H116" s="35"/>
    </row>
    <row r="117" ht="15.75" customHeight="1">
      <c r="A117" s="95" t="s">
        <v>343</v>
      </c>
      <c r="B117" s="34"/>
      <c r="C117" s="34"/>
      <c r="D117" s="34"/>
      <c r="E117" s="34"/>
      <c r="F117" s="34"/>
      <c r="G117" s="34"/>
      <c r="H117" s="35"/>
    </row>
    <row r="118" ht="15.75" customHeight="1">
      <c r="A118" s="96" t="s">
        <v>381</v>
      </c>
      <c r="B118" s="62"/>
      <c r="C118" s="62"/>
      <c r="D118" s="62"/>
      <c r="E118" s="62"/>
      <c r="F118" s="62"/>
      <c r="G118" s="62"/>
      <c r="H118" s="63"/>
    </row>
    <row r="119" ht="15.75" customHeight="1">
      <c r="A119" s="111"/>
      <c r="H119" s="112"/>
    </row>
    <row r="120" ht="15.75" customHeight="1">
      <c r="A120" s="64"/>
      <c r="B120" s="65"/>
      <c r="C120" s="65"/>
      <c r="D120" s="65"/>
      <c r="E120" s="65"/>
      <c r="F120" s="65"/>
      <c r="G120" s="65"/>
      <c r="H120" s="49"/>
    </row>
    <row r="121" ht="15.75" customHeight="1">
      <c r="A121" s="95" t="s">
        <v>345</v>
      </c>
      <c r="B121" s="34"/>
      <c r="C121" s="34"/>
      <c r="D121" s="34"/>
      <c r="E121" s="34"/>
      <c r="F121" s="34"/>
      <c r="G121" s="34"/>
      <c r="H121" s="35"/>
    </row>
    <row r="122" ht="15.75" customHeight="1">
      <c r="A122" s="96" t="s">
        <v>382</v>
      </c>
      <c r="B122" s="62"/>
      <c r="C122" s="62"/>
      <c r="D122" s="62"/>
      <c r="E122" s="62"/>
      <c r="F122" s="62"/>
      <c r="G122" s="62"/>
      <c r="H122" s="63"/>
    </row>
    <row r="123" ht="15.75" customHeight="1">
      <c r="A123" s="111"/>
      <c r="H123" s="112"/>
    </row>
    <row r="124" ht="15.75" customHeight="1">
      <c r="A124" s="111"/>
      <c r="H124" s="112"/>
    </row>
    <row r="125" ht="147.75" customHeight="1">
      <c r="A125" s="64"/>
      <c r="B125" s="65"/>
      <c r="C125" s="65"/>
      <c r="D125" s="65"/>
      <c r="E125" s="65"/>
      <c r="F125" s="65"/>
      <c r="G125" s="65"/>
      <c r="H125" s="49"/>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2:B13 B29:B30 B46:B47 B63:B64 B80:B81 B97:B98 B114:B115">
      <formula1>Metadata!$I$17:$I$40</formula1>
    </dataValidation>
    <dataValidation type="list" allowBlank="1" showErrorMessage="1" sqref="B45 B79 B96">
      <formula1>"El estudiante Identifica conceptos clave de arquitecturas modernas y herramientas DevOps a partir de documentación técnica en actividades teóricas ,Opción 2"</formula1>
    </dataValidation>
    <dataValidation type="list" allowBlank="1" showErrorMessage="1" sqref="B62">
      <formula1>"El estudiante Implementa ... servicios y APIs en arquitectura de microservicios mediante Docker y frameworks de desarrollo en proyectos prácticos ,Opción 2"</formula1>
    </dataValidation>
    <dataValidation type="list" allowBlank="1" showErrorMessage="1" sqref="B28">
      <formula1>"El estudiante Analiza .. arquitecturas de software basadas en microservicios utilizando diagramas y patrones arquitectónicos en estudios de caso reales ,Opción 2"</formula1>
    </dataValidation>
    <dataValidation type="list" allowBlank="1" showErrorMessage="1" sqref="B113">
      <formula1>"El estudiante Explica el funcionamiento de pipelines CI/CD utilizando herramientas de integración continua mediante ejemplos prácticos ,Opción 2"</formula1>
    </dataValidation>
    <dataValidation type="list" allowBlank="1" showErrorMessage="1" sqref="B11">
      <formula1>"El estudiante Crea .. soluciones de software basadas en microservicios poniendo en practica los principios SOLID usando herramientas de desarrollo y contenedores en entornos prácticos de laboratorio ,Opción 2"</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19" t="s">
        <v>18</v>
      </c>
    </row>
    <row r="3" ht="15.75" customHeight="1"/>
    <row r="4" ht="15.75" customHeight="1">
      <c r="B4" s="74" t="s">
        <v>1</v>
      </c>
      <c r="C4" s="75" t="str">
        <f>'Diseño'!C4</f>
        <v>780 - Software Avanzado</v>
      </c>
      <c r="D4" s="34"/>
      <c r="E4" s="34"/>
      <c r="F4" s="34"/>
      <c r="G4" s="35"/>
    </row>
    <row r="5" ht="15.75" customHeight="1">
      <c r="B5" s="91" t="s">
        <v>215</v>
      </c>
      <c r="C5" s="75">
        <f>H9+H26+H43+H60+H77+H94+H111+H128</f>
        <v>0</v>
      </c>
      <c r="D5" s="34"/>
      <c r="E5" s="34"/>
      <c r="F5" s="34"/>
      <c r="G5" s="35"/>
    </row>
    <row r="6" ht="15.75" customHeight="1">
      <c r="B6" s="91" t="s">
        <v>257</v>
      </c>
      <c r="C6" s="75">
        <f>F9+F26+F43+F60+F77+F94+F111+F128</f>
        <v>0</v>
      </c>
      <c r="D6" s="34"/>
      <c r="E6" s="34"/>
      <c r="F6" s="34"/>
      <c r="G6" s="35"/>
    </row>
    <row r="7" ht="15.75" customHeight="1">
      <c r="B7" s="68" t="s">
        <v>383</v>
      </c>
    </row>
    <row r="8" ht="15.75" customHeight="1"/>
    <row r="9" ht="15.75" customHeight="1">
      <c r="A9" s="93" t="s">
        <v>384</v>
      </c>
      <c r="E9" s="88" t="s">
        <v>257</v>
      </c>
      <c r="F9" s="121"/>
      <c r="G9" s="88" t="s">
        <v>340</v>
      </c>
      <c r="H9" s="121"/>
    </row>
    <row r="10" ht="15.75" customHeight="1">
      <c r="A10" s="68" t="s">
        <v>385</v>
      </c>
    </row>
    <row r="11" ht="15.75" customHeight="1">
      <c r="A11" s="103" t="s">
        <v>269</v>
      </c>
      <c r="B11" s="75"/>
      <c r="C11" s="34"/>
      <c r="D11" s="34"/>
      <c r="E11" s="34"/>
      <c r="F11" s="34"/>
      <c r="G11" s="34"/>
      <c r="H11" s="35"/>
    </row>
    <row r="12" ht="15.75" customHeight="1">
      <c r="A12" s="103" t="s">
        <v>269</v>
      </c>
      <c r="B12" s="75"/>
      <c r="C12" s="34"/>
      <c r="D12" s="34"/>
      <c r="E12" s="34"/>
      <c r="F12" s="34"/>
      <c r="G12" s="34"/>
      <c r="H12" s="35"/>
    </row>
    <row r="13" ht="15.75" customHeight="1">
      <c r="A13" s="103" t="s">
        <v>269</v>
      </c>
      <c r="B13" s="75"/>
      <c r="C13" s="34"/>
      <c r="D13" s="34"/>
      <c r="E13" s="34"/>
      <c r="F13" s="34"/>
      <c r="G13" s="34"/>
      <c r="H13" s="35"/>
    </row>
    <row r="14" ht="15.75" customHeight="1">
      <c r="A14" s="103" t="s">
        <v>341</v>
      </c>
      <c r="B14" s="75"/>
      <c r="C14" s="34"/>
      <c r="D14" s="34"/>
      <c r="E14" s="34"/>
      <c r="F14" s="34"/>
      <c r="G14" s="34"/>
      <c r="H14" s="35"/>
    </row>
    <row r="15" ht="15.75" customHeight="1">
      <c r="A15" s="95" t="s">
        <v>343</v>
      </c>
      <c r="B15" s="34"/>
      <c r="C15" s="34"/>
      <c r="D15" s="34"/>
      <c r="E15" s="34"/>
      <c r="F15" s="34"/>
      <c r="G15" s="34"/>
      <c r="H15" s="35"/>
    </row>
    <row r="16" ht="15.75" customHeight="1">
      <c r="A16" s="110"/>
      <c r="B16" s="62"/>
      <c r="C16" s="62"/>
      <c r="D16" s="62"/>
      <c r="E16" s="62"/>
      <c r="F16" s="62"/>
      <c r="G16" s="62"/>
      <c r="H16" s="63"/>
    </row>
    <row r="17" ht="15.75" customHeight="1">
      <c r="A17" s="111"/>
      <c r="H17" s="112"/>
    </row>
    <row r="18" ht="15.75" customHeight="1">
      <c r="A18" s="64"/>
      <c r="B18" s="65"/>
      <c r="C18" s="65"/>
      <c r="D18" s="65"/>
      <c r="E18" s="65"/>
      <c r="F18" s="65"/>
      <c r="G18" s="65"/>
      <c r="H18" s="49"/>
    </row>
    <row r="19" ht="15.75" customHeight="1">
      <c r="A19" s="95" t="s">
        <v>386</v>
      </c>
      <c r="B19" s="34"/>
      <c r="C19" s="34"/>
      <c r="D19" s="34"/>
      <c r="E19" s="34"/>
      <c r="F19" s="34"/>
      <c r="G19" s="34"/>
      <c r="H19" s="35"/>
    </row>
    <row r="20" ht="15.75" customHeight="1">
      <c r="A20" s="122"/>
      <c r="B20" s="62"/>
      <c r="C20" s="62"/>
      <c r="D20" s="62"/>
      <c r="E20" s="62"/>
      <c r="F20" s="62"/>
      <c r="G20" s="62"/>
      <c r="H20" s="63"/>
    </row>
    <row r="21" ht="15.75" customHeight="1">
      <c r="A21" s="111"/>
      <c r="H21" s="112"/>
    </row>
    <row r="22" ht="15.75" customHeight="1">
      <c r="A22" s="111"/>
      <c r="H22" s="112"/>
    </row>
    <row r="23" ht="15.75" customHeight="1">
      <c r="A23" s="64"/>
      <c r="B23" s="65"/>
      <c r="C23" s="65"/>
      <c r="D23" s="65"/>
      <c r="E23" s="65"/>
      <c r="F23" s="65"/>
      <c r="G23" s="65"/>
      <c r="H23" s="49"/>
    </row>
    <row r="24" ht="15.75" customHeight="1">
      <c r="A24" s="93"/>
      <c r="B24" s="93"/>
      <c r="C24" s="93"/>
      <c r="D24" s="93"/>
      <c r="E24" s="88"/>
      <c r="F24" s="123"/>
      <c r="G24" s="88"/>
      <c r="H24" s="123"/>
    </row>
    <row r="25" ht="15.75" customHeight="1">
      <c r="A25" s="93"/>
      <c r="B25" s="93"/>
      <c r="C25" s="93"/>
      <c r="D25" s="93"/>
      <c r="E25" s="88"/>
      <c r="F25" s="123"/>
      <c r="G25" s="88"/>
      <c r="H25" s="123"/>
    </row>
    <row r="26" ht="15.75" customHeight="1">
      <c r="A26" s="93" t="s">
        <v>387</v>
      </c>
      <c r="E26" s="88" t="s">
        <v>257</v>
      </c>
      <c r="F26" s="121"/>
      <c r="G26" s="88" t="s">
        <v>340</v>
      </c>
      <c r="H26" s="121"/>
    </row>
    <row r="27" ht="15.75" customHeight="1">
      <c r="A27" s="68" t="s">
        <v>359</v>
      </c>
    </row>
    <row r="28" ht="15.75" customHeight="1">
      <c r="A28" s="103" t="s">
        <v>269</v>
      </c>
      <c r="B28" s="75"/>
      <c r="C28" s="34"/>
      <c r="D28" s="34"/>
      <c r="E28" s="34"/>
      <c r="F28" s="34"/>
      <c r="G28" s="34"/>
      <c r="H28" s="35"/>
    </row>
    <row r="29" ht="15.75" customHeight="1">
      <c r="A29" s="103" t="s">
        <v>269</v>
      </c>
      <c r="B29" s="75"/>
      <c r="C29" s="34"/>
      <c r="D29" s="34"/>
      <c r="E29" s="34"/>
      <c r="F29" s="34"/>
      <c r="G29" s="34"/>
      <c r="H29" s="35"/>
    </row>
    <row r="30" ht="15.75" customHeight="1">
      <c r="A30" s="103" t="s">
        <v>269</v>
      </c>
      <c r="B30" s="75"/>
      <c r="C30" s="34"/>
      <c r="D30" s="34"/>
      <c r="E30" s="34"/>
      <c r="F30" s="34"/>
      <c r="G30" s="34"/>
      <c r="H30" s="35"/>
    </row>
    <row r="31" ht="15.75" customHeight="1">
      <c r="A31" s="103" t="s">
        <v>341</v>
      </c>
      <c r="B31" s="75"/>
      <c r="C31" s="34"/>
      <c r="D31" s="34"/>
      <c r="E31" s="34"/>
      <c r="F31" s="34"/>
      <c r="G31" s="34"/>
      <c r="H31" s="35"/>
    </row>
    <row r="32" ht="15.75" customHeight="1">
      <c r="A32" s="95" t="s">
        <v>343</v>
      </c>
      <c r="B32" s="34"/>
      <c r="C32" s="34"/>
      <c r="D32" s="34"/>
      <c r="E32" s="34"/>
      <c r="F32" s="34"/>
      <c r="G32" s="34"/>
      <c r="H32" s="35"/>
    </row>
    <row r="33" ht="15.75" customHeight="1">
      <c r="A33" s="110"/>
      <c r="B33" s="62"/>
      <c r="C33" s="62"/>
      <c r="D33" s="62"/>
      <c r="E33" s="62"/>
      <c r="F33" s="62"/>
      <c r="G33" s="62"/>
      <c r="H33" s="63"/>
    </row>
    <row r="34" ht="15.75" customHeight="1">
      <c r="A34" s="111"/>
      <c r="H34" s="112"/>
    </row>
    <row r="35" ht="15.75" customHeight="1">
      <c r="A35" s="64"/>
      <c r="B35" s="65"/>
      <c r="C35" s="65"/>
      <c r="D35" s="65"/>
      <c r="E35" s="65"/>
      <c r="F35" s="65"/>
      <c r="G35" s="65"/>
      <c r="H35" s="49"/>
    </row>
    <row r="36" ht="15.75" customHeight="1">
      <c r="A36" s="95" t="s">
        <v>345</v>
      </c>
      <c r="B36" s="34"/>
      <c r="C36" s="34"/>
      <c r="D36" s="34"/>
      <c r="E36" s="34"/>
      <c r="F36" s="34"/>
      <c r="G36" s="34"/>
      <c r="H36" s="35"/>
    </row>
    <row r="37" ht="15.75" customHeight="1">
      <c r="A37" s="110"/>
      <c r="B37" s="62"/>
      <c r="C37" s="62"/>
      <c r="D37" s="62"/>
      <c r="E37" s="62"/>
      <c r="F37" s="62"/>
      <c r="G37" s="62"/>
      <c r="H37" s="63"/>
    </row>
    <row r="38" ht="15.75" customHeight="1">
      <c r="A38" s="111"/>
      <c r="H38" s="112"/>
    </row>
    <row r="39" ht="15.75" customHeight="1">
      <c r="A39" s="111"/>
      <c r="H39" s="112"/>
    </row>
    <row r="40" ht="15.75" customHeight="1">
      <c r="A40" s="64"/>
      <c r="B40" s="65"/>
      <c r="C40" s="65"/>
      <c r="D40" s="65"/>
      <c r="E40" s="65"/>
      <c r="F40" s="65"/>
      <c r="G40" s="65"/>
      <c r="H40" s="49"/>
    </row>
    <row r="41" ht="15.75" customHeight="1"/>
    <row r="42" ht="15.75" customHeight="1"/>
    <row r="43" ht="15.75" customHeight="1">
      <c r="A43" s="93" t="s">
        <v>388</v>
      </c>
      <c r="E43" s="88" t="s">
        <v>257</v>
      </c>
      <c r="F43" s="121"/>
      <c r="G43" s="88" t="s">
        <v>340</v>
      </c>
      <c r="H43" s="121"/>
    </row>
    <row r="44" ht="15.75" customHeight="1">
      <c r="A44" s="68" t="s">
        <v>359</v>
      </c>
    </row>
    <row r="45" ht="15.75" customHeight="1">
      <c r="A45" s="103" t="s">
        <v>269</v>
      </c>
      <c r="B45" s="75"/>
      <c r="C45" s="34"/>
      <c r="D45" s="34"/>
      <c r="E45" s="34"/>
      <c r="F45" s="34"/>
      <c r="G45" s="34"/>
      <c r="H45" s="35"/>
    </row>
    <row r="46" ht="15.75" customHeight="1">
      <c r="A46" s="103" t="s">
        <v>269</v>
      </c>
      <c r="B46" s="75"/>
      <c r="C46" s="34"/>
      <c r="D46" s="34"/>
      <c r="E46" s="34"/>
      <c r="F46" s="34"/>
      <c r="G46" s="34"/>
      <c r="H46" s="35"/>
    </row>
    <row r="47" ht="15.75" customHeight="1">
      <c r="A47" s="103" t="s">
        <v>269</v>
      </c>
      <c r="B47" s="75"/>
      <c r="C47" s="34"/>
      <c r="D47" s="34"/>
      <c r="E47" s="34"/>
      <c r="F47" s="34"/>
      <c r="G47" s="34"/>
      <c r="H47" s="35"/>
    </row>
    <row r="48" ht="15.75" customHeight="1">
      <c r="A48" s="103" t="s">
        <v>341</v>
      </c>
      <c r="B48" s="75"/>
      <c r="C48" s="34"/>
      <c r="D48" s="34"/>
      <c r="E48" s="34"/>
      <c r="F48" s="34"/>
      <c r="G48" s="34"/>
      <c r="H48" s="35"/>
    </row>
    <row r="49" ht="15.75" customHeight="1">
      <c r="A49" s="95" t="s">
        <v>343</v>
      </c>
      <c r="B49" s="34"/>
      <c r="C49" s="34"/>
      <c r="D49" s="34"/>
      <c r="E49" s="34"/>
      <c r="F49" s="34"/>
      <c r="G49" s="34"/>
      <c r="H49" s="35"/>
    </row>
    <row r="50" ht="15.75" customHeight="1">
      <c r="A50" s="110"/>
      <c r="B50" s="62"/>
      <c r="C50" s="62"/>
      <c r="D50" s="62"/>
      <c r="E50" s="62"/>
      <c r="F50" s="62"/>
      <c r="G50" s="62"/>
      <c r="H50" s="63"/>
    </row>
    <row r="51" ht="15.75" customHeight="1">
      <c r="A51" s="111"/>
      <c r="H51" s="112"/>
    </row>
    <row r="52" ht="15.75" customHeight="1">
      <c r="A52" s="64"/>
      <c r="B52" s="65"/>
      <c r="C52" s="65"/>
      <c r="D52" s="65"/>
      <c r="E52" s="65"/>
      <c r="F52" s="65"/>
      <c r="G52" s="65"/>
      <c r="H52" s="49"/>
    </row>
    <row r="53" ht="15.75" customHeight="1">
      <c r="A53" s="95" t="s">
        <v>345</v>
      </c>
      <c r="B53" s="34"/>
      <c r="C53" s="34"/>
      <c r="D53" s="34"/>
      <c r="E53" s="34"/>
      <c r="F53" s="34"/>
      <c r="G53" s="34"/>
      <c r="H53" s="35"/>
    </row>
    <row r="54" ht="15.75" customHeight="1">
      <c r="A54" s="110"/>
      <c r="B54" s="62"/>
      <c r="C54" s="62"/>
      <c r="D54" s="62"/>
      <c r="E54" s="62"/>
      <c r="F54" s="62"/>
      <c r="G54" s="62"/>
      <c r="H54" s="63"/>
    </row>
    <row r="55" ht="15.75" customHeight="1">
      <c r="A55" s="111"/>
      <c r="H55" s="112"/>
    </row>
    <row r="56" ht="15.75" customHeight="1">
      <c r="A56" s="111"/>
      <c r="H56" s="112"/>
    </row>
    <row r="57" ht="15.75" customHeight="1">
      <c r="A57" s="64"/>
      <c r="B57" s="65"/>
      <c r="C57" s="65"/>
      <c r="D57" s="65"/>
      <c r="E57" s="65"/>
      <c r="F57" s="65"/>
      <c r="G57" s="65"/>
      <c r="H57" s="49"/>
    </row>
    <row r="58" ht="15.75" customHeight="1"/>
    <row r="59" ht="15.75" customHeight="1"/>
    <row r="60" ht="15.75" customHeight="1">
      <c r="A60" s="93" t="s">
        <v>389</v>
      </c>
      <c r="E60" s="88" t="s">
        <v>257</v>
      </c>
      <c r="F60" s="121"/>
      <c r="G60" s="88" t="s">
        <v>340</v>
      </c>
      <c r="H60" s="121"/>
    </row>
    <row r="61" ht="15.75" customHeight="1">
      <c r="A61" s="109" t="s">
        <v>352</v>
      </c>
    </row>
    <row r="62" ht="15.75" customHeight="1">
      <c r="A62" s="103" t="s">
        <v>269</v>
      </c>
      <c r="B62" s="75"/>
      <c r="C62" s="34"/>
      <c r="D62" s="34"/>
      <c r="E62" s="34"/>
      <c r="F62" s="34"/>
      <c r="G62" s="34"/>
      <c r="H62" s="35"/>
    </row>
    <row r="63" ht="15.75" customHeight="1">
      <c r="A63" s="103" t="s">
        <v>269</v>
      </c>
      <c r="B63" s="75"/>
      <c r="C63" s="34"/>
      <c r="D63" s="34"/>
      <c r="E63" s="34"/>
      <c r="F63" s="34"/>
      <c r="G63" s="34"/>
      <c r="H63" s="35"/>
    </row>
    <row r="64" ht="15.75" customHeight="1">
      <c r="A64" s="103" t="s">
        <v>269</v>
      </c>
      <c r="B64" s="75"/>
      <c r="C64" s="34"/>
      <c r="D64" s="34"/>
      <c r="E64" s="34"/>
      <c r="F64" s="34"/>
      <c r="G64" s="34"/>
      <c r="H64" s="35"/>
    </row>
    <row r="65" ht="15.75" customHeight="1">
      <c r="A65" s="103" t="s">
        <v>341</v>
      </c>
      <c r="B65" s="75"/>
      <c r="C65" s="34"/>
      <c r="D65" s="34"/>
      <c r="E65" s="34"/>
      <c r="F65" s="34"/>
      <c r="G65" s="34"/>
      <c r="H65" s="35"/>
    </row>
    <row r="66" ht="15.75" customHeight="1">
      <c r="A66" s="95" t="s">
        <v>343</v>
      </c>
      <c r="B66" s="34"/>
      <c r="C66" s="34"/>
      <c r="D66" s="34"/>
      <c r="E66" s="34"/>
      <c r="F66" s="34"/>
      <c r="G66" s="34"/>
      <c r="H66" s="35"/>
    </row>
    <row r="67" ht="15.75" customHeight="1">
      <c r="A67" s="110"/>
      <c r="B67" s="62"/>
      <c r="C67" s="62"/>
      <c r="D67" s="62"/>
      <c r="E67" s="62"/>
      <c r="F67" s="62"/>
      <c r="G67" s="62"/>
      <c r="H67" s="63"/>
    </row>
    <row r="68" ht="15.75" customHeight="1">
      <c r="A68" s="111"/>
      <c r="H68" s="112"/>
    </row>
    <row r="69" ht="15.75" customHeight="1">
      <c r="A69" s="64"/>
      <c r="B69" s="65"/>
      <c r="C69" s="65"/>
      <c r="D69" s="65"/>
      <c r="E69" s="65"/>
      <c r="F69" s="65"/>
      <c r="G69" s="65"/>
      <c r="H69" s="49"/>
    </row>
    <row r="70" ht="15.75" customHeight="1">
      <c r="A70" s="95" t="s">
        <v>345</v>
      </c>
      <c r="B70" s="34"/>
      <c r="C70" s="34"/>
      <c r="D70" s="34"/>
      <c r="E70" s="34"/>
      <c r="F70" s="34"/>
      <c r="G70" s="34"/>
      <c r="H70" s="35"/>
    </row>
    <row r="71" ht="15.75" customHeight="1">
      <c r="A71" s="110"/>
      <c r="B71" s="62"/>
      <c r="C71" s="62"/>
      <c r="D71" s="62"/>
      <c r="E71" s="62"/>
      <c r="F71" s="62"/>
      <c r="G71" s="62"/>
      <c r="H71" s="63"/>
    </row>
    <row r="72" ht="15.75" customHeight="1">
      <c r="A72" s="111"/>
      <c r="H72" s="112"/>
    </row>
    <row r="73" ht="15.75" customHeight="1">
      <c r="A73" s="111"/>
      <c r="H73" s="112"/>
    </row>
    <row r="74" ht="15.75" customHeight="1">
      <c r="A74" s="64"/>
      <c r="B74" s="65"/>
      <c r="C74" s="65"/>
      <c r="D74" s="65"/>
      <c r="E74" s="65"/>
      <c r="F74" s="65"/>
      <c r="G74" s="65"/>
      <c r="H74" s="49"/>
    </row>
    <row r="75" ht="15.75" customHeight="1"/>
    <row r="76" ht="15.75" customHeight="1"/>
    <row r="77" ht="15.75" customHeight="1">
      <c r="A77" s="93" t="s">
        <v>390</v>
      </c>
      <c r="E77" s="88" t="s">
        <v>257</v>
      </c>
      <c r="F77" s="121"/>
      <c r="G77" s="88" t="s">
        <v>340</v>
      </c>
      <c r="H77" s="121"/>
    </row>
    <row r="78" ht="15.75" customHeight="1">
      <c r="A78" s="109" t="s">
        <v>352</v>
      </c>
    </row>
    <row r="79" ht="15.75" customHeight="1">
      <c r="A79" s="103" t="s">
        <v>269</v>
      </c>
      <c r="B79" s="75"/>
      <c r="C79" s="34"/>
      <c r="D79" s="34"/>
      <c r="E79" s="34"/>
      <c r="F79" s="34"/>
      <c r="G79" s="34"/>
      <c r="H79" s="35"/>
    </row>
    <row r="80" ht="15.75" customHeight="1">
      <c r="A80" s="103" t="s">
        <v>269</v>
      </c>
      <c r="B80" s="75"/>
      <c r="C80" s="34"/>
      <c r="D80" s="34"/>
      <c r="E80" s="34"/>
      <c r="F80" s="34"/>
      <c r="G80" s="34"/>
      <c r="H80" s="35"/>
    </row>
    <row r="81" ht="15.75" customHeight="1">
      <c r="A81" s="103" t="s">
        <v>269</v>
      </c>
      <c r="B81" s="75"/>
      <c r="C81" s="34"/>
      <c r="D81" s="34"/>
      <c r="E81" s="34"/>
      <c r="F81" s="34"/>
      <c r="G81" s="34"/>
      <c r="H81" s="35"/>
    </row>
    <row r="82" ht="15.75" customHeight="1">
      <c r="A82" s="103" t="s">
        <v>341</v>
      </c>
      <c r="B82" s="75"/>
      <c r="C82" s="34"/>
      <c r="D82" s="34"/>
      <c r="E82" s="34"/>
      <c r="F82" s="34"/>
      <c r="G82" s="34"/>
      <c r="H82" s="35"/>
    </row>
    <row r="83" ht="15.75" customHeight="1">
      <c r="A83" s="95" t="s">
        <v>343</v>
      </c>
      <c r="B83" s="34"/>
      <c r="C83" s="34"/>
      <c r="D83" s="34"/>
      <c r="E83" s="34"/>
      <c r="F83" s="34"/>
      <c r="G83" s="34"/>
      <c r="H83" s="35"/>
    </row>
    <row r="84" ht="15.75" customHeight="1">
      <c r="A84" s="110"/>
      <c r="B84" s="62"/>
      <c r="C84" s="62"/>
      <c r="D84" s="62"/>
      <c r="E84" s="62"/>
      <c r="F84" s="62"/>
      <c r="G84" s="62"/>
      <c r="H84" s="63"/>
    </row>
    <row r="85" ht="15.75" customHeight="1">
      <c r="A85" s="111"/>
      <c r="H85" s="112"/>
    </row>
    <row r="86" ht="15.75" customHeight="1">
      <c r="A86" s="64"/>
      <c r="B86" s="65"/>
      <c r="C86" s="65"/>
      <c r="D86" s="65"/>
      <c r="E86" s="65"/>
      <c r="F86" s="65"/>
      <c r="G86" s="65"/>
      <c r="H86" s="49"/>
    </row>
    <row r="87" ht="15.75" customHeight="1">
      <c r="A87" s="95" t="s">
        <v>345</v>
      </c>
      <c r="B87" s="34"/>
      <c r="C87" s="34"/>
      <c r="D87" s="34"/>
      <c r="E87" s="34"/>
      <c r="F87" s="34"/>
      <c r="G87" s="34"/>
      <c r="H87" s="35"/>
    </row>
    <row r="88" ht="15.75" customHeight="1">
      <c r="A88" s="110"/>
      <c r="B88" s="62"/>
      <c r="C88" s="62"/>
      <c r="D88" s="62"/>
      <c r="E88" s="62"/>
      <c r="F88" s="62"/>
      <c r="G88" s="62"/>
      <c r="H88" s="63"/>
    </row>
    <row r="89" ht="15.75" customHeight="1">
      <c r="A89" s="111"/>
      <c r="H89" s="112"/>
    </row>
    <row r="90" ht="15.75" customHeight="1">
      <c r="A90" s="111"/>
      <c r="H90" s="112"/>
    </row>
    <row r="91" ht="15.75" customHeight="1">
      <c r="A91" s="64"/>
      <c r="B91" s="65"/>
      <c r="C91" s="65"/>
      <c r="D91" s="65"/>
      <c r="E91" s="65"/>
      <c r="F91" s="65"/>
      <c r="G91" s="65"/>
      <c r="H91" s="49"/>
    </row>
    <row r="92" ht="15.75" customHeight="1"/>
    <row r="93" ht="15.75" customHeight="1"/>
    <row r="94" ht="15.75" customHeight="1">
      <c r="A94" s="93" t="s">
        <v>391</v>
      </c>
      <c r="E94" s="88" t="s">
        <v>257</v>
      </c>
      <c r="F94" s="121"/>
      <c r="G94" s="88" t="s">
        <v>340</v>
      </c>
      <c r="H94" s="121"/>
    </row>
    <row r="95" ht="15.75" customHeight="1">
      <c r="A95" s="109" t="s">
        <v>352</v>
      </c>
    </row>
    <row r="96" ht="15.75" customHeight="1">
      <c r="A96" s="103" t="s">
        <v>269</v>
      </c>
      <c r="B96" s="75"/>
      <c r="C96" s="34"/>
      <c r="D96" s="34"/>
      <c r="E96" s="34"/>
      <c r="F96" s="34"/>
      <c r="G96" s="34"/>
      <c r="H96" s="35"/>
    </row>
    <row r="97" ht="15.75" customHeight="1">
      <c r="A97" s="103" t="s">
        <v>269</v>
      </c>
      <c r="B97" s="75"/>
      <c r="C97" s="34"/>
      <c r="D97" s="34"/>
      <c r="E97" s="34"/>
      <c r="F97" s="34"/>
      <c r="G97" s="34"/>
      <c r="H97" s="35"/>
    </row>
    <row r="98" ht="15.75" customHeight="1">
      <c r="A98" s="103" t="s">
        <v>269</v>
      </c>
      <c r="B98" s="75"/>
      <c r="C98" s="34"/>
      <c r="D98" s="34"/>
      <c r="E98" s="34"/>
      <c r="F98" s="34"/>
      <c r="G98" s="34"/>
      <c r="H98" s="35"/>
    </row>
    <row r="99" ht="15.75" customHeight="1">
      <c r="A99" s="103" t="s">
        <v>341</v>
      </c>
      <c r="B99" s="75"/>
      <c r="C99" s="34"/>
      <c r="D99" s="34"/>
      <c r="E99" s="34"/>
      <c r="F99" s="34"/>
      <c r="G99" s="34"/>
      <c r="H99" s="35"/>
    </row>
    <row r="100" ht="15.75" customHeight="1">
      <c r="A100" s="95" t="s">
        <v>343</v>
      </c>
      <c r="B100" s="34"/>
      <c r="C100" s="34"/>
      <c r="D100" s="34"/>
      <c r="E100" s="34"/>
      <c r="F100" s="34"/>
      <c r="G100" s="34"/>
      <c r="H100" s="35"/>
    </row>
    <row r="101" ht="15.75" customHeight="1">
      <c r="A101" s="110"/>
      <c r="B101" s="62"/>
      <c r="C101" s="62"/>
      <c r="D101" s="62"/>
      <c r="E101" s="62"/>
      <c r="F101" s="62"/>
      <c r="G101" s="62"/>
      <c r="H101" s="63"/>
    </row>
    <row r="102" ht="15.75" customHeight="1">
      <c r="A102" s="111"/>
      <c r="H102" s="112"/>
    </row>
    <row r="103" ht="15.75" customHeight="1">
      <c r="A103" s="64"/>
      <c r="B103" s="65"/>
      <c r="C103" s="65"/>
      <c r="D103" s="65"/>
      <c r="E103" s="65"/>
      <c r="F103" s="65"/>
      <c r="G103" s="65"/>
      <c r="H103" s="49"/>
    </row>
    <row r="104" ht="15.75" customHeight="1">
      <c r="A104" s="95" t="s">
        <v>345</v>
      </c>
      <c r="B104" s="34"/>
      <c r="C104" s="34"/>
      <c r="D104" s="34"/>
      <c r="E104" s="34"/>
      <c r="F104" s="34"/>
      <c r="G104" s="34"/>
      <c r="H104" s="35"/>
    </row>
    <row r="105" ht="15.75" customHeight="1">
      <c r="A105" s="110"/>
      <c r="B105" s="62"/>
      <c r="C105" s="62"/>
      <c r="D105" s="62"/>
      <c r="E105" s="62"/>
      <c r="F105" s="62"/>
      <c r="G105" s="62"/>
      <c r="H105" s="63"/>
    </row>
    <row r="106" ht="15.75" customHeight="1">
      <c r="A106" s="111"/>
      <c r="H106" s="112"/>
    </row>
    <row r="107" ht="15.75" customHeight="1">
      <c r="A107" s="111"/>
      <c r="H107" s="112"/>
    </row>
    <row r="108" ht="15.75" customHeight="1">
      <c r="A108" s="64"/>
      <c r="B108" s="65"/>
      <c r="C108" s="65"/>
      <c r="D108" s="65"/>
      <c r="E108" s="65"/>
      <c r="F108" s="65"/>
      <c r="G108" s="65"/>
      <c r="H108" s="49"/>
    </row>
    <row r="109" ht="15.75" customHeight="1"/>
    <row r="110" ht="15.75" customHeight="1"/>
    <row r="111" ht="15.75" customHeight="1">
      <c r="A111" s="93" t="s">
        <v>392</v>
      </c>
      <c r="E111" s="88" t="s">
        <v>257</v>
      </c>
      <c r="F111" s="121"/>
      <c r="G111" s="88" t="s">
        <v>340</v>
      </c>
      <c r="H111" s="121"/>
    </row>
    <row r="112" ht="15.75" customHeight="1">
      <c r="A112" s="109" t="s">
        <v>352</v>
      </c>
    </row>
    <row r="113" ht="15.75" customHeight="1">
      <c r="A113" s="103" t="s">
        <v>269</v>
      </c>
      <c r="B113" s="75"/>
      <c r="C113" s="34"/>
      <c r="D113" s="34"/>
      <c r="E113" s="34"/>
      <c r="F113" s="34"/>
      <c r="G113" s="34"/>
      <c r="H113" s="35"/>
    </row>
    <row r="114" ht="15.75" customHeight="1">
      <c r="A114" s="103" t="s">
        <v>269</v>
      </c>
      <c r="B114" s="75"/>
      <c r="C114" s="34"/>
      <c r="D114" s="34"/>
      <c r="E114" s="34"/>
      <c r="F114" s="34"/>
      <c r="G114" s="34"/>
      <c r="H114" s="35"/>
    </row>
    <row r="115" ht="15.75" customHeight="1">
      <c r="A115" s="103" t="s">
        <v>269</v>
      </c>
      <c r="B115" s="75"/>
      <c r="C115" s="34"/>
      <c r="D115" s="34"/>
      <c r="E115" s="34"/>
      <c r="F115" s="34"/>
      <c r="G115" s="34"/>
      <c r="H115" s="35"/>
    </row>
    <row r="116" ht="15.75" customHeight="1">
      <c r="A116" s="103" t="s">
        <v>341</v>
      </c>
      <c r="B116" s="75"/>
      <c r="C116" s="34"/>
      <c r="D116" s="34"/>
      <c r="E116" s="34"/>
      <c r="F116" s="34"/>
      <c r="G116" s="34"/>
      <c r="H116" s="35"/>
    </row>
    <row r="117" ht="15.75" customHeight="1">
      <c r="A117" s="95" t="s">
        <v>343</v>
      </c>
      <c r="B117" s="34"/>
      <c r="C117" s="34"/>
      <c r="D117" s="34"/>
      <c r="E117" s="34"/>
      <c r="F117" s="34"/>
      <c r="G117" s="34"/>
      <c r="H117" s="35"/>
    </row>
    <row r="118" ht="15.75" customHeight="1">
      <c r="A118" s="110"/>
      <c r="B118" s="62"/>
      <c r="C118" s="62"/>
      <c r="D118" s="62"/>
      <c r="E118" s="62"/>
      <c r="F118" s="62"/>
      <c r="G118" s="62"/>
      <c r="H118" s="63"/>
    </row>
    <row r="119" ht="15.75" customHeight="1">
      <c r="A119" s="111"/>
      <c r="H119" s="112"/>
    </row>
    <row r="120" ht="15.75" customHeight="1">
      <c r="A120" s="64"/>
      <c r="B120" s="65"/>
      <c r="C120" s="65"/>
      <c r="D120" s="65"/>
      <c r="E120" s="65"/>
      <c r="F120" s="65"/>
      <c r="G120" s="65"/>
      <c r="H120" s="49"/>
    </row>
    <row r="121" ht="15.75" customHeight="1">
      <c r="A121" s="95" t="s">
        <v>345</v>
      </c>
      <c r="B121" s="34"/>
      <c r="C121" s="34"/>
      <c r="D121" s="34"/>
      <c r="E121" s="34"/>
      <c r="F121" s="34"/>
      <c r="G121" s="34"/>
      <c r="H121" s="35"/>
    </row>
    <row r="122" ht="15.75" customHeight="1">
      <c r="A122" s="110"/>
      <c r="B122" s="62"/>
      <c r="C122" s="62"/>
      <c r="D122" s="62"/>
      <c r="E122" s="62"/>
      <c r="F122" s="62"/>
      <c r="G122" s="62"/>
      <c r="H122" s="63"/>
    </row>
    <row r="123" ht="15.75" customHeight="1">
      <c r="A123" s="111"/>
      <c r="H123" s="112"/>
    </row>
    <row r="124" ht="15.75" customHeight="1">
      <c r="A124" s="111"/>
      <c r="H124" s="112"/>
    </row>
    <row r="125" ht="15.75" customHeight="1">
      <c r="A125" s="64"/>
      <c r="B125" s="65"/>
      <c r="C125" s="65"/>
      <c r="D125" s="65"/>
      <c r="E125" s="65"/>
      <c r="F125" s="65"/>
      <c r="G125" s="65"/>
      <c r="H125" s="49"/>
    </row>
    <row r="126" ht="15.75" customHeight="1"/>
    <row r="127" ht="15.75" customHeight="1"/>
    <row r="128" ht="15.75" customHeight="1">
      <c r="A128" s="93" t="s">
        <v>393</v>
      </c>
      <c r="E128" s="88" t="s">
        <v>257</v>
      </c>
      <c r="F128" s="121"/>
      <c r="G128" s="88" t="s">
        <v>340</v>
      </c>
      <c r="H128" s="121"/>
    </row>
    <row r="129" ht="15.75" customHeight="1">
      <c r="A129" s="109" t="s">
        <v>352</v>
      </c>
    </row>
    <row r="130" ht="15.75" customHeight="1">
      <c r="A130" s="103" t="s">
        <v>269</v>
      </c>
      <c r="B130" s="75"/>
      <c r="C130" s="34"/>
      <c r="D130" s="34"/>
      <c r="E130" s="34"/>
      <c r="F130" s="34"/>
      <c r="G130" s="34"/>
      <c r="H130" s="35"/>
    </row>
    <row r="131" ht="15.75" customHeight="1">
      <c r="A131" s="103" t="s">
        <v>269</v>
      </c>
      <c r="B131" s="75"/>
      <c r="C131" s="34"/>
      <c r="D131" s="34"/>
      <c r="E131" s="34"/>
      <c r="F131" s="34"/>
      <c r="G131" s="34"/>
      <c r="H131" s="35"/>
    </row>
    <row r="132" ht="15.75" customHeight="1">
      <c r="A132" s="103" t="s">
        <v>269</v>
      </c>
      <c r="B132" s="75"/>
      <c r="C132" s="34"/>
      <c r="D132" s="34"/>
      <c r="E132" s="34"/>
      <c r="F132" s="34"/>
      <c r="G132" s="34"/>
      <c r="H132" s="35"/>
    </row>
    <row r="133" ht="15.75" customHeight="1">
      <c r="A133" s="103" t="s">
        <v>341</v>
      </c>
      <c r="B133" s="75"/>
      <c r="C133" s="34"/>
      <c r="D133" s="34"/>
      <c r="E133" s="34"/>
      <c r="F133" s="34"/>
      <c r="G133" s="34"/>
      <c r="H133" s="35"/>
    </row>
    <row r="134" ht="15.75" customHeight="1">
      <c r="A134" s="95" t="s">
        <v>343</v>
      </c>
      <c r="B134" s="34"/>
      <c r="C134" s="34"/>
      <c r="D134" s="34"/>
      <c r="E134" s="34"/>
      <c r="F134" s="34"/>
      <c r="G134" s="34"/>
      <c r="H134" s="35"/>
    </row>
    <row r="135" ht="15.75" customHeight="1">
      <c r="A135" s="110"/>
      <c r="B135" s="62"/>
      <c r="C135" s="62"/>
      <c r="D135" s="62"/>
      <c r="E135" s="62"/>
      <c r="F135" s="62"/>
      <c r="G135" s="62"/>
      <c r="H135" s="63"/>
    </row>
    <row r="136" ht="15.75" customHeight="1">
      <c r="A136" s="111"/>
      <c r="H136" s="112"/>
    </row>
    <row r="137" ht="15.75" customHeight="1">
      <c r="A137" s="64"/>
      <c r="B137" s="65"/>
      <c r="C137" s="65"/>
      <c r="D137" s="65"/>
      <c r="E137" s="65"/>
      <c r="F137" s="65"/>
      <c r="G137" s="65"/>
      <c r="H137" s="49"/>
    </row>
    <row r="138" ht="15.75" customHeight="1">
      <c r="A138" s="95" t="s">
        <v>345</v>
      </c>
      <c r="B138" s="34"/>
      <c r="C138" s="34"/>
      <c r="D138" s="34"/>
      <c r="E138" s="34"/>
      <c r="F138" s="34"/>
      <c r="G138" s="34"/>
      <c r="H138" s="35"/>
    </row>
    <row r="139" ht="15.75" customHeight="1">
      <c r="A139" s="110"/>
      <c r="B139" s="62"/>
      <c r="C139" s="62"/>
      <c r="D139" s="62"/>
      <c r="E139" s="62"/>
      <c r="F139" s="62"/>
      <c r="G139" s="62"/>
      <c r="H139" s="63"/>
    </row>
    <row r="140" ht="15.75" customHeight="1">
      <c r="A140" s="111"/>
      <c r="H140" s="112"/>
    </row>
    <row r="141" ht="15.75" customHeight="1">
      <c r="A141" s="111"/>
      <c r="H141" s="112"/>
    </row>
    <row r="142" ht="15.75" customHeight="1">
      <c r="A142" s="64"/>
      <c r="B142" s="65"/>
      <c r="C142" s="65"/>
      <c r="D142" s="65"/>
      <c r="E142" s="65"/>
      <c r="F142" s="65"/>
      <c r="G142" s="65"/>
      <c r="H142" s="49"/>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A20:H23"/>
    <mergeCell ref="A19:H19"/>
    <mergeCell ref="B11:H11"/>
    <mergeCell ref="A9:D9"/>
    <mergeCell ref="B2:H2"/>
    <mergeCell ref="C4:G4"/>
    <mergeCell ref="C5:G5"/>
    <mergeCell ref="C6:G6"/>
    <mergeCell ref="A16:H18"/>
    <mergeCell ref="A15:H15"/>
    <mergeCell ref="B14:H14"/>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26:D26"/>
    <mergeCell ref="B13:H13"/>
    <mergeCell ref="B12:H12"/>
  </mergeCells>
  <dataValidations>
    <dataValidation type="list" allowBlank="1" showErrorMessage="1" sqref="B11:B13 B28:B30 B45:B47 B62:B64 B79:B81 B96:B98 B113:B115 B130:B132">
      <formula1>Metadata!$I$17:$I$40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394</v>
      </c>
      <c r="B1" s="6" t="s">
        <v>395</v>
      </c>
      <c r="C1" s="6" t="s">
        <v>23</v>
      </c>
      <c r="D1" s="6" t="s">
        <v>24</v>
      </c>
    </row>
    <row r="2">
      <c r="A2" s="6" t="s">
        <v>396</v>
      </c>
      <c r="B2" s="6" t="str">
        <f>Competencias!C13</f>
        <v>El estudiante Analiza .. arquitecturas de software basadas en microservicios utilizando diagramas y patrones arquitectónicos en estudios de caso reales </v>
      </c>
      <c r="C2" s="31" t="s">
        <v>397</v>
      </c>
      <c r="D2" s="31" t="s">
        <v>30</v>
      </c>
    </row>
    <row r="3">
      <c r="A3" s="6" t="s">
        <v>398</v>
      </c>
      <c r="B3" s="6" t="str">
        <f>Competencias!C15</f>
        <v>El estudiante Crea .. soluciones de software basadas en microservicios poniendo en practica los principios SOLID usando herramientas de desarrollo y contenedores en entornos prácticos de laboratorio </v>
      </c>
      <c r="C3" s="31" t="s">
        <v>399</v>
      </c>
      <c r="D3" s="31" t="s">
        <v>28</v>
      </c>
    </row>
    <row r="4">
      <c r="A4" s="6" t="s">
        <v>400</v>
      </c>
      <c r="B4" s="6" t="str">
        <f>Competencias!C17</f>
        <v>El estudiante Implementa ... servicios y APIs en arquitectura de microservicios mediante Docker y frameworks de desarrollo en proyectos prácticos </v>
      </c>
      <c r="C4" s="31" t="s">
        <v>25</v>
      </c>
      <c r="D4" s="31" t="s">
        <v>401</v>
      </c>
    </row>
    <row r="5">
      <c r="A5" s="6" t="s">
        <v>402</v>
      </c>
      <c r="B5" s="6" t="str">
        <f>Competencias!C19</f>
        <v>El estudiante Explica el funcionamiento de pipelines CI/CD utilizando herramientas de integración continua mediante ejemplos prácticos </v>
      </c>
      <c r="C5" s="31" t="s">
        <v>403</v>
      </c>
      <c r="D5" s="31" t="s">
        <v>404</v>
      </c>
    </row>
    <row r="6">
      <c r="A6" s="6" t="s">
        <v>405</v>
      </c>
      <c r="B6" s="6" t="str">
        <f>Competencias!C21</f>
        <v>El estudiante Evalúa estrategias de despliegue y monitoreo utilizando Kubernetes y herramientas de observabilidad en distintos escenarios de implementación </v>
      </c>
      <c r="C6" s="31" t="s">
        <v>406</v>
      </c>
      <c r="D6" s="31" t="s">
        <v>407</v>
      </c>
    </row>
    <row r="7">
      <c r="A7" s="6" t="s">
        <v>408</v>
      </c>
      <c r="B7" s="6" t="str">
        <f>Competencias!C23</f>
        <v>El estudiante Aplica prácticas de DevOps y DevSecOps mediante pipelines automatizados en proyectos de software </v>
      </c>
      <c r="C7" s="31" t="s">
        <v>27</v>
      </c>
      <c r="D7" s="31" t="s">
        <v>26</v>
      </c>
    </row>
    <row r="8">
      <c r="A8" s="6" t="s">
        <v>409</v>
      </c>
      <c r="B8" s="6" t="str">
        <f>Competencias!C25</f>
        <v>El estudiante Identifica conceptos clave de arquitecturas modernas y herramientas DevOps a partir de documentación técnica en actividades teóricas </v>
      </c>
      <c r="C8" s="31" t="s">
        <v>410</v>
      </c>
      <c r="D8" s="31" t="s">
        <v>411</v>
      </c>
    </row>
    <row r="9">
      <c r="A9" s="6" t="s">
        <v>412</v>
      </c>
      <c r="C9" s="31" t="s">
        <v>413</v>
      </c>
    </row>
    <row r="10">
      <c r="A10" s="6" t="s">
        <v>414</v>
      </c>
      <c r="C10" s="31" t="s">
        <v>29</v>
      </c>
    </row>
    <row r="11">
      <c r="A11" s="6" t="s">
        <v>415</v>
      </c>
    </row>
    <row r="12">
      <c r="A12" s="6" t="s">
        <v>416</v>
      </c>
    </row>
    <row r="13">
      <c r="A13" s="6" t="s">
        <v>417</v>
      </c>
    </row>
    <row r="14">
      <c r="A14" s="6" t="s">
        <v>418</v>
      </c>
    </row>
    <row r="15">
      <c r="A15" s="6" t="s">
        <v>419</v>
      </c>
    </row>
    <row r="16">
      <c r="A16" s="6" t="s">
        <v>420</v>
      </c>
    </row>
    <row r="17">
      <c r="A17" s="6" t="s">
        <v>421</v>
      </c>
    </row>
    <row r="18">
      <c r="A18" s="6" t="s">
        <v>422</v>
      </c>
    </row>
    <row r="19">
      <c r="A19" s="6" t="s">
        <v>423</v>
      </c>
    </row>
    <row r="20">
      <c r="A20" s="6" t="s">
        <v>424</v>
      </c>
    </row>
    <row r="21">
      <c r="A21" s="6" t="s">
        <v>425</v>
      </c>
    </row>
    <row r="22">
      <c r="A22" s="6" t="s">
        <v>426</v>
      </c>
    </row>
    <row r="23">
      <c r="A23" s="6" t="s">
        <v>427</v>
      </c>
    </row>
    <row r="24">
      <c r="A24" s="6" t="s">
        <v>428</v>
      </c>
    </row>
    <row r="25">
      <c r="A25" s="6" t="s">
        <v>429</v>
      </c>
    </row>
    <row r="26">
      <c r="A26" s="6" t="s">
        <v>430</v>
      </c>
    </row>
    <row r="27">
      <c r="A27" s="6" t="s">
        <v>431</v>
      </c>
    </row>
    <row r="28">
      <c r="A28" s="6" t="s">
        <v>432</v>
      </c>
    </row>
    <row r="29">
      <c r="A29" s="6" t="s">
        <v>433</v>
      </c>
    </row>
    <row r="30">
      <c r="A30" s="6" t="s">
        <v>434</v>
      </c>
    </row>
    <row r="31">
      <c r="A31" s="6" t="s">
        <v>435</v>
      </c>
    </row>
    <row r="32">
      <c r="A32" s="6" t="s">
        <v>436</v>
      </c>
    </row>
    <row r="33">
      <c r="A33" s="6" t="s">
        <v>437</v>
      </c>
    </row>
    <row r="34">
      <c r="A34" s="6" t="s">
        <v>438</v>
      </c>
    </row>
    <row r="35">
      <c r="A35" s="6" t="s">
        <v>439</v>
      </c>
    </row>
    <row r="36">
      <c r="A36" s="6" t="s">
        <v>440</v>
      </c>
    </row>
    <row r="37">
      <c r="A37" s="6" t="s">
        <v>441</v>
      </c>
    </row>
    <row r="38">
      <c r="A38" s="6" t="s">
        <v>442</v>
      </c>
    </row>
    <row r="39">
      <c r="A39" s="6" t="s">
        <v>443</v>
      </c>
    </row>
    <row r="40">
      <c r="A40" s="6" t="s">
        <v>444</v>
      </c>
    </row>
    <row r="41">
      <c r="A41" s="6" t="s">
        <v>445</v>
      </c>
    </row>
    <row r="42">
      <c r="A42" s="6" t="s">
        <v>446</v>
      </c>
    </row>
    <row r="43">
      <c r="A43" s="6" t="s">
        <v>447</v>
      </c>
    </row>
    <row r="44">
      <c r="A44" s="6" t="s">
        <v>448</v>
      </c>
    </row>
    <row r="45">
      <c r="A45" s="6" t="s">
        <v>449</v>
      </c>
    </row>
    <row r="46">
      <c r="A46" s="6" t="s">
        <v>450</v>
      </c>
    </row>
    <row r="47">
      <c r="A47" s="6" t="s">
        <v>451</v>
      </c>
    </row>
    <row r="48">
      <c r="A48" s="6" t="s">
        <v>452</v>
      </c>
    </row>
    <row r="49">
      <c r="A49" s="6" t="s">
        <v>453</v>
      </c>
    </row>
    <row r="50">
      <c r="A50" s="6" t="s">
        <v>454</v>
      </c>
    </row>
    <row r="51">
      <c r="A51" s="6" t="s">
        <v>455</v>
      </c>
    </row>
    <row r="52">
      <c r="A52" s="6" t="s">
        <v>456</v>
      </c>
    </row>
    <row r="53">
      <c r="A53" s="6" t="s">
        <v>457</v>
      </c>
    </row>
    <row r="54">
      <c r="A54" s="6" t="s">
        <v>458</v>
      </c>
    </row>
    <row r="55">
      <c r="A55" s="6" t="s">
        <v>459</v>
      </c>
    </row>
    <row r="56">
      <c r="A56" s="6" t="s">
        <v>460</v>
      </c>
    </row>
    <row r="57">
      <c r="A57" s="6" t="s">
        <v>461</v>
      </c>
    </row>
    <row r="58">
      <c r="A58" s="6" t="s">
        <v>462</v>
      </c>
    </row>
    <row r="59">
      <c r="A59" s="6" t="s">
        <v>463</v>
      </c>
    </row>
    <row r="60">
      <c r="A60" s="6" t="s">
        <v>464</v>
      </c>
    </row>
    <row r="61">
      <c r="A61" s="6" t="s">
        <v>465</v>
      </c>
    </row>
    <row r="62">
      <c r="A62" s="6" t="s">
        <v>466</v>
      </c>
    </row>
    <row r="63">
      <c r="A63" s="6" t="s">
        <v>467</v>
      </c>
    </row>
    <row r="64">
      <c r="A64" s="6" t="s">
        <v>468</v>
      </c>
    </row>
    <row r="65">
      <c r="A65" s="6" t="s">
        <v>469</v>
      </c>
    </row>
    <row r="66">
      <c r="A66" s="6" t="s">
        <v>470</v>
      </c>
    </row>
    <row r="67">
      <c r="A67" s="6" t="s">
        <v>471</v>
      </c>
    </row>
    <row r="68">
      <c r="A68" s="6" t="s">
        <v>472</v>
      </c>
    </row>
    <row r="69">
      <c r="A69" s="6" t="s">
        <v>473</v>
      </c>
    </row>
    <row r="70">
      <c r="A70" s="6" t="s">
        <v>474</v>
      </c>
    </row>
    <row r="71">
      <c r="A71" s="6" t="s">
        <v>475</v>
      </c>
    </row>
    <row r="72">
      <c r="A72" s="6" t="s">
        <v>2</v>
      </c>
    </row>
    <row r="73">
      <c r="A73" s="6" t="s">
        <v>476</v>
      </c>
    </row>
    <row r="74">
      <c r="A74" s="6" t="s">
        <v>477</v>
      </c>
    </row>
    <row r="75">
      <c r="A75" s="6" t="s">
        <v>478</v>
      </c>
    </row>
    <row r="76">
      <c r="A76" s="6" t="s">
        <v>479</v>
      </c>
    </row>
    <row r="77">
      <c r="A77" s="6" t="s">
        <v>480</v>
      </c>
    </row>
    <row r="78">
      <c r="A78" s="6" t="s">
        <v>481</v>
      </c>
    </row>
    <row r="79">
      <c r="A79" s="6" t="s">
        <v>482</v>
      </c>
    </row>
    <row r="80">
      <c r="A80" s="6" t="s">
        <v>483</v>
      </c>
    </row>
    <row r="81">
      <c r="A81" s="6" t="s">
        <v>484</v>
      </c>
    </row>
  </sheetData>
  <drawing r:id="rId1"/>
</worksheet>
</file>