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7530" yWindow="2310" windowWidth="19725" windowHeight="7950"/>
  </bookViews>
  <sheets>
    <sheet name="Hoja1" sheetId="1" r:id="rId1"/>
    <sheet name="Hoja2" sheetId="2" r:id="rId2"/>
    <sheet name="Hoja3" sheetId="3" state="hidden" r:id="rId3"/>
    <sheet name="Hoja4" sheetId="4" r:id="rId4"/>
  </sheets>
  <definedNames>
    <definedName name="Clasea">Hoja3!$F$3:$F$4</definedName>
    <definedName name="Claser">Hoja3!$G$3:$G$4</definedName>
    <definedName name="Comunicación">Hoja3!$C$3:$C$6</definedName>
    <definedName name="Nada">Hoja3!$L$19:$L$20</definedName>
    <definedName name="Patrón">Hoja3!$D$3</definedName>
    <definedName name="Topología">Hoja3!$B$3:$B$4</definedName>
  </definedNames>
  <calcPr calcId="145621"/>
</workbook>
</file>

<file path=xl/calcChain.xml><?xml version="1.0" encoding="utf-8"?>
<calcChain xmlns="http://schemas.openxmlformats.org/spreadsheetml/2006/main">
  <c r="R126" i="1" l="1"/>
  <c r="R124" i="1"/>
  <c r="R123" i="1"/>
  <c r="R122" i="1"/>
  <c r="R125" i="1"/>
  <c r="R121" i="1"/>
  <c r="R120" i="1"/>
  <c r="R119" i="1"/>
  <c r="R118" i="1"/>
  <c r="R107" i="1"/>
  <c r="R108" i="1"/>
  <c r="R109" i="1"/>
  <c r="R110" i="1"/>
  <c r="R114" i="1"/>
  <c r="R80" i="1"/>
  <c r="R48" i="1"/>
  <c r="R47" i="1"/>
  <c r="R46" i="1"/>
  <c r="R45" i="1"/>
  <c r="R44" i="1"/>
  <c r="R43" i="1"/>
  <c r="R49" i="1"/>
  <c r="R53" i="1"/>
  <c r="F135" i="1"/>
  <c r="R67" i="1"/>
  <c r="R76" i="1"/>
  <c r="R75" i="1"/>
  <c r="R74" i="1"/>
  <c r="R73" i="1"/>
  <c r="R72" i="1"/>
  <c r="R71" i="1"/>
  <c r="R70" i="1"/>
  <c r="R63" i="1"/>
  <c r="R62" i="1"/>
  <c r="R61" i="1"/>
  <c r="R60" i="1"/>
  <c r="R59" i="1"/>
  <c r="R58" i="1"/>
  <c r="R57" i="1"/>
  <c r="R36" i="1"/>
  <c r="R35" i="1"/>
  <c r="R34" i="1"/>
  <c r="R33" i="1"/>
  <c r="R32" i="1"/>
  <c r="R31" i="1"/>
  <c r="R30" i="1"/>
  <c r="R29" i="1"/>
  <c r="R23" i="1"/>
  <c r="R22" i="1"/>
  <c r="R21" i="1"/>
  <c r="R20" i="1"/>
  <c r="R19" i="1"/>
  <c r="R18" i="1"/>
  <c r="R17" i="1"/>
  <c r="R16" i="1"/>
  <c r="R86" i="1"/>
  <c r="R87" i="1"/>
  <c r="R88" i="1"/>
  <c r="R89" i="1"/>
  <c r="R93" i="1"/>
  <c r="R103" i="1"/>
  <c r="R99" i="1"/>
  <c r="R98" i="1"/>
  <c r="R97" i="1"/>
  <c r="R96" i="1"/>
  <c r="R130" i="1"/>
  <c r="R129" i="1"/>
  <c r="R128" i="1"/>
  <c r="R127" i="1"/>
  <c r="R134" i="1"/>
  <c r="R26" i="1"/>
  <c r="F40" i="1"/>
  <c r="G40" i="1"/>
  <c r="R39" i="1"/>
  <c r="G135" i="1"/>
  <c r="G136" i="1"/>
  <c r="G134" i="1"/>
  <c r="F134" i="1"/>
  <c r="G133" i="1"/>
  <c r="F133" i="1"/>
  <c r="G132" i="1"/>
  <c r="F132" i="1"/>
  <c r="G131" i="1"/>
  <c r="F131" i="1"/>
  <c r="G130" i="1"/>
  <c r="F130" i="1"/>
  <c r="G129" i="1"/>
  <c r="F129" i="1"/>
  <c r="G128" i="1"/>
  <c r="F128" i="1"/>
  <c r="G127" i="1"/>
  <c r="F127" i="1"/>
  <c r="F126" i="1"/>
  <c r="G126" i="1"/>
  <c r="G125" i="1"/>
  <c r="F125" i="1"/>
  <c r="G124" i="1"/>
  <c r="F124" i="1"/>
  <c r="G123" i="1"/>
  <c r="F123" i="1"/>
  <c r="G122" i="1"/>
  <c r="F122" i="1"/>
  <c r="G121" i="1"/>
  <c r="F121" i="1"/>
  <c r="G120" i="1"/>
  <c r="F120" i="1"/>
  <c r="G119" i="1"/>
  <c r="F119" i="1"/>
  <c r="G118" i="1"/>
  <c r="F118" i="1"/>
  <c r="F57" i="1"/>
  <c r="G57" i="1"/>
  <c r="F58" i="1"/>
  <c r="G58" i="1"/>
  <c r="F59" i="1"/>
  <c r="G59" i="1"/>
  <c r="F60" i="1"/>
  <c r="G60" i="1"/>
  <c r="F61" i="1"/>
  <c r="G61" i="1"/>
  <c r="F62" i="1"/>
  <c r="G62" i="1"/>
  <c r="F63" i="1"/>
  <c r="G63" i="1"/>
  <c r="F64" i="1"/>
  <c r="G64" i="1"/>
  <c r="F65" i="1"/>
  <c r="G65" i="1"/>
  <c r="F66" i="1"/>
  <c r="G66" i="1"/>
  <c r="F67" i="1"/>
  <c r="G67" i="1"/>
  <c r="F116" i="1"/>
  <c r="G116" i="1"/>
  <c r="F117" i="1"/>
  <c r="G117" i="1"/>
  <c r="G115" i="1"/>
  <c r="F115" i="1"/>
  <c r="G114" i="1"/>
  <c r="F114" i="1"/>
  <c r="G113" i="1"/>
  <c r="F113" i="1"/>
  <c r="G112" i="1"/>
  <c r="F112" i="1"/>
  <c r="G111" i="1"/>
  <c r="F111" i="1"/>
  <c r="G110" i="1"/>
  <c r="F110" i="1"/>
  <c r="G109" i="1"/>
  <c r="F109" i="1"/>
  <c r="G108" i="1"/>
  <c r="F108" i="1"/>
  <c r="G107" i="1"/>
  <c r="F107" i="1"/>
  <c r="F104" i="1"/>
  <c r="G104" i="1"/>
  <c r="G103" i="1"/>
  <c r="F103" i="1"/>
  <c r="G102" i="1"/>
  <c r="F102" i="1"/>
  <c r="G101" i="1"/>
  <c r="F101" i="1"/>
  <c r="G100" i="1"/>
  <c r="F100" i="1"/>
  <c r="G99" i="1"/>
  <c r="F99" i="1"/>
  <c r="G98" i="1"/>
  <c r="F98" i="1"/>
  <c r="G97" i="1"/>
  <c r="F97" i="1"/>
  <c r="G96" i="1"/>
  <c r="F96" i="1"/>
  <c r="G95" i="1"/>
  <c r="F95" i="1"/>
  <c r="G94" i="1"/>
  <c r="F94" i="1"/>
  <c r="G93" i="1"/>
  <c r="F93" i="1"/>
  <c r="G92" i="1"/>
  <c r="F92" i="1"/>
  <c r="G91" i="1"/>
  <c r="F91" i="1"/>
  <c r="G90" i="1"/>
  <c r="F90" i="1"/>
  <c r="G89" i="1"/>
  <c r="F89" i="1"/>
  <c r="G88" i="1"/>
  <c r="F88" i="1"/>
  <c r="G87" i="1"/>
  <c r="F87" i="1"/>
  <c r="G86" i="1"/>
  <c r="F86" i="1"/>
  <c r="G82" i="1"/>
  <c r="F82" i="1"/>
  <c r="G81" i="1"/>
  <c r="F81" i="1"/>
  <c r="G80" i="1"/>
  <c r="F80" i="1"/>
  <c r="G79" i="1"/>
  <c r="F79" i="1"/>
  <c r="G78" i="1"/>
  <c r="F78" i="1"/>
  <c r="G77" i="1"/>
  <c r="F77" i="1"/>
  <c r="G76" i="1"/>
  <c r="F76" i="1"/>
  <c r="G75" i="1"/>
  <c r="F75" i="1"/>
  <c r="G74" i="1"/>
  <c r="F74" i="1"/>
  <c r="G73" i="1"/>
  <c r="F73" i="1"/>
  <c r="G72" i="1"/>
  <c r="F72" i="1"/>
  <c r="G71" i="1"/>
  <c r="F71" i="1"/>
  <c r="G70" i="1"/>
  <c r="F70" i="1"/>
  <c r="G69" i="1"/>
  <c r="F69" i="1"/>
  <c r="G68" i="1"/>
  <c r="F68" i="1"/>
  <c r="G55" i="1"/>
  <c r="F55" i="1"/>
  <c r="F56" i="1"/>
  <c r="G56" i="1"/>
  <c r="F54" i="1"/>
  <c r="F53" i="1"/>
  <c r="F52" i="1"/>
  <c r="F51" i="1"/>
  <c r="F50" i="1"/>
  <c r="F49" i="1"/>
  <c r="F48" i="1"/>
  <c r="F47" i="1"/>
  <c r="F46" i="1"/>
  <c r="F45" i="1"/>
  <c r="F44" i="1"/>
  <c r="F43" i="1"/>
  <c r="G54" i="1"/>
  <c r="G53" i="1"/>
  <c r="G52" i="1"/>
  <c r="G51" i="1"/>
  <c r="G50" i="1"/>
  <c r="G49" i="1"/>
  <c r="G48" i="1"/>
  <c r="G47" i="1"/>
  <c r="G46" i="1"/>
  <c r="G45" i="1"/>
  <c r="G44" i="1"/>
  <c r="G43" i="1"/>
  <c r="F39" i="1"/>
  <c r="F38" i="1"/>
  <c r="F37" i="1"/>
  <c r="F36" i="1"/>
  <c r="F35" i="1"/>
  <c r="F34" i="1"/>
  <c r="F33" i="1"/>
  <c r="F32" i="1"/>
  <c r="F31" i="1"/>
  <c r="F30" i="1"/>
  <c r="F29" i="1"/>
  <c r="G39" i="1"/>
  <c r="G38" i="1"/>
  <c r="G37" i="1"/>
  <c r="G36" i="1"/>
  <c r="G35" i="1"/>
  <c r="G34" i="1"/>
  <c r="G33" i="1"/>
  <c r="G32" i="1"/>
  <c r="G31" i="1"/>
  <c r="G30" i="1"/>
  <c r="G29" i="1"/>
  <c r="F26" i="1"/>
  <c r="F22" i="1"/>
  <c r="F21" i="1"/>
  <c r="F20" i="1"/>
  <c r="F19" i="1"/>
  <c r="F18" i="1"/>
  <c r="F17" i="1"/>
  <c r="F16" i="1"/>
  <c r="G23" i="1"/>
  <c r="G24" i="1"/>
  <c r="G25" i="1"/>
  <c r="G27" i="1"/>
  <c r="G28" i="1"/>
  <c r="G26" i="1"/>
  <c r="G22" i="1"/>
  <c r="G21" i="1"/>
  <c r="G20" i="1"/>
  <c r="G19" i="1"/>
  <c r="G18" i="1"/>
  <c r="G17" i="1"/>
  <c r="G16" i="1"/>
  <c r="AB47" i="3" a="1"/>
  <c r="AB47" i="3" s="1"/>
  <c r="AB49" i="3" a="1"/>
  <c r="AB49" i="3" s="1"/>
  <c r="AB45" i="3" a="1"/>
  <c r="AB45" i="3" s="1"/>
  <c r="AB43" i="3" a="1"/>
  <c r="AB43" i="3" s="1"/>
  <c r="AB41" i="3" a="1"/>
  <c r="AB41" i="3" s="1"/>
  <c r="AB39" i="3" a="1"/>
  <c r="AB39" i="3" s="1"/>
  <c r="AB37" i="3" a="1"/>
  <c r="AB37" i="3" s="1"/>
  <c r="AB35" i="3" a="1"/>
  <c r="AB35" i="3" s="1"/>
  <c r="AB33" i="3" a="1"/>
  <c r="AB33" i="3" s="1"/>
  <c r="AB31" i="3" a="1"/>
  <c r="AB31" i="3" s="1"/>
  <c r="AB29" i="3" a="1"/>
  <c r="AB29" i="3" s="1"/>
  <c r="AB27" i="3"/>
  <c r="R69" i="1"/>
  <c r="R28" i="1"/>
  <c r="R136" i="1"/>
  <c r="R131" i="1"/>
  <c r="R132" i="1"/>
  <c r="R133" i="1"/>
  <c r="R135" i="1"/>
  <c r="R111" i="1"/>
  <c r="R112" i="1"/>
  <c r="R113" i="1"/>
  <c r="R115" i="1"/>
  <c r="R117" i="1"/>
  <c r="R116" i="1"/>
  <c r="R104" i="1"/>
  <c r="R102" i="1"/>
  <c r="R101" i="1"/>
  <c r="R100" i="1"/>
  <c r="R95" i="1"/>
  <c r="R40" i="1"/>
  <c r="R90" i="1"/>
  <c r="R91" i="1"/>
  <c r="R92" i="1"/>
  <c r="R94" i="1"/>
  <c r="F136" i="1"/>
  <c r="R55" i="1"/>
  <c r="R68" i="1"/>
  <c r="R81" i="1"/>
  <c r="R82" i="1"/>
  <c r="R56" i="1"/>
  <c r="F28" i="1"/>
  <c r="F27" i="1"/>
  <c r="F25" i="1"/>
  <c r="F24" i="1"/>
  <c r="F23" i="1"/>
  <c r="R77" i="1"/>
  <c r="R78" i="1"/>
  <c r="R79" i="1"/>
  <c r="R64" i="1"/>
  <c r="R65" i="1"/>
  <c r="R66" i="1"/>
  <c r="R54" i="1"/>
  <c r="R50" i="1"/>
  <c r="R51" i="1"/>
  <c r="R52" i="1"/>
  <c r="R37" i="1"/>
  <c r="R38" i="1"/>
  <c r="R24" i="1"/>
  <c r="R25" i="1"/>
  <c r="R27" i="1"/>
</calcChain>
</file>

<file path=xl/sharedStrings.xml><?xml version="1.0" encoding="utf-8"?>
<sst xmlns="http://schemas.openxmlformats.org/spreadsheetml/2006/main" count="233" uniqueCount="199">
  <si>
    <t>Modelo</t>
  </si>
  <si>
    <t>Fecha:</t>
  </si>
  <si>
    <t>Responsable Control:</t>
  </si>
  <si>
    <t>Topología:</t>
  </si>
  <si>
    <t>Indirecto</t>
  </si>
  <si>
    <t>Comunicación:</t>
  </si>
  <si>
    <t>Frec.:</t>
  </si>
  <si>
    <t>Topología</t>
  </si>
  <si>
    <t>Directo</t>
  </si>
  <si>
    <t>Comunicación</t>
  </si>
  <si>
    <t>PLC</t>
  </si>
  <si>
    <t>WiFi</t>
  </si>
  <si>
    <t>Patrón</t>
  </si>
  <si>
    <t>MTE PTS3.3C</t>
  </si>
  <si>
    <t>Patrón de Control:</t>
  </si>
  <si>
    <t>Normas de referencia</t>
  </si>
  <si>
    <t>IRAM 62052-11</t>
  </si>
  <si>
    <t>IRAM 62053-21</t>
  </si>
  <si>
    <t>IRAM 62053-23</t>
  </si>
  <si>
    <t>DMPA</t>
  </si>
  <si>
    <t>DMGA</t>
  </si>
  <si>
    <t>DMWA</t>
  </si>
  <si>
    <t>DTPA</t>
  </si>
  <si>
    <t>DTGA</t>
  </si>
  <si>
    <t>DTWA</t>
  </si>
  <si>
    <t>DIGA</t>
  </si>
  <si>
    <t>DIPA</t>
  </si>
  <si>
    <t>DIWA</t>
  </si>
  <si>
    <t>DLPA</t>
  </si>
  <si>
    <t>DLGA</t>
  </si>
  <si>
    <t>DNPA</t>
  </si>
  <si>
    <t>DNGA</t>
  </si>
  <si>
    <t>Ib/In:</t>
  </si>
  <si>
    <t>Error Fase S [%]</t>
  </si>
  <si>
    <t>Factor de Potencia</t>
  </si>
  <si>
    <t>Corriente por fase [A]</t>
  </si>
  <si>
    <t>Error Fase R [%]</t>
  </si>
  <si>
    <t>Error Fase T  [%]</t>
  </si>
  <si>
    <t>Error admisible  [%]</t>
  </si>
  <si>
    <t>Medidor trifásico con carga monofásica, con tensiones trifásicas simétricas</t>
  </si>
  <si>
    <t>Medidores trifásicos con cargas equilibradas</t>
  </si>
  <si>
    <t>Corriente Fase RST [A]</t>
  </si>
  <si>
    <t>Error Fase RST [%]</t>
  </si>
  <si>
    <t>LED Energía Reactiva</t>
  </si>
  <si>
    <t>Led Energía Activa</t>
  </si>
  <si>
    <t>Clase Act:</t>
  </si>
  <si>
    <t>Clase React:</t>
  </si>
  <si>
    <t>Clase Act</t>
  </si>
  <si>
    <t>Clase react</t>
  </si>
  <si>
    <t>Otro</t>
  </si>
  <si>
    <t>Marca:</t>
  </si>
  <si>
    <t>N° Serie</t>
  </si>
  <si>
    <t>Marca</t>
  </si>
  <si>
    <t>Discar</t>
  </si>
  <si>
    <t>Itron</t>
  </si>
  <si>
    <t>Kamstrup</t>
  </si>
  <si>
    <t>Hexing</t>
  </si>
  <si>
    <t>Clou</t>
  </si>
  <si>
    <t>Landis+Gyr</t>
  </si>
  <si>
    <t>ADD</t>
  </si>
  <si>
    <t>Circutor</t>
  </si>
  <si>
    <t>Phoenix</t>
  </si>
  <si>
    <t>Saxing</t>
  </si>
  <si>
    <t>ZIV</t>
  </si>
  <si>
    <t>EM420i</t>
  </si>
  <si>
    <t>ACE2000</t>
  </si>
  <si>
    <t>EM211 A/R/MD</t>
  </si>
  <si>
    <t>EM214</t>
  </si>
  <si>
    <t>EM211</t>
  </si>
  <si>
    <t>ACE4000</t>
  </si>
  <si>
    <t>ACE6000</t>
  </si>
  <si>
    <t>ACE SL7000</t>
  </si>
  <si>
    <t>ACE 9000</t>
  </si>
  <si>
    <t>Enel</t>
  </si>
  <si>
    <t>Aclara</t>
  </si>
  <si>
    <t>Holley Metering</t>
  </si>
  <si>
    <t>Linyang Electronics</t>
  </si>
  <si>
    <t>Wasion Group</t>
  </si>
  <si>
    <t>Omnia</t>
  </si>
  <si>
    <t>Ominpower - mono</t>
  </si>
  <si>
    <t>Omnipower - trif</t>
  </si>
  <si>
    <t>Omnipower</t>
  </si>
  <si>
    <t>A150</t>
  </si>
  <si>
    <t>A1052-d</t>
  </si>
  <si>
    <t>A1800</t>
  </si>
  <si>
    <t>Honeywell - Elster</t>
  </si>
  <si>
    <t>Alpha III</t>
  </si>
  <si>
    <t>Alpha II</t>
  </si>
  <si>
    <t>A102C</t>
  </si>
  <si>
    <t>HXE12</t>
  </si>
  <si>
    <t>HXE34-MT</t>
  </si>
  <si>
    <t>Sanxing</t>
  </si>
  <si>
    <t>HXE12CX</t>
  </si>
  <si>
    <t>HXE12SX</t>
  </si>
  <si>
    <t>HXE33K</t>
  </si>
  <si>
    <t>HXE110</t>
  </si>
  <si>
    <t>HXE12DL</t>
  </si>
  <si>
    <t>HXE34K</t>
  </si>
  <si>
    <t>HXE300</t>
  </si>
  <si>
    <t>HXE310</t>
  </si>
  <si>
    <t>HXEP12</t>
  </si>
  <si>
    <t>HXEJ200</t>
  </si>
  <si>
    <t>DDS720</t>
  </si>
  <si>
    <t>CL710N29</t>
  </si>
  <si>
    <t>CL710K22</t>
  </si>
  <si>
    <t>DTS718</t>
  </si>
  <si>
    <t>CL710K23</t>
  </si>
  <si>
    <t>CL730S23</t>
  </si>
  <si>
    <t>CL730D22L</t>
  </si>
  <si>
    <t>E330</t>
  </si>
  <si>
    <t>ZMG405</t>
  </si>
  <si>
    <t>E230-SP2301</t>
  </si>
  <si>
    <t>MT174</t>
  </si>
  <si>
    <t>ME172</t>
  </si>
  <si>
    <t>AM550</t>
  </si>
  <si>
    <t>MT631</t>
  </si>
  <si>
    <t>MT632</t>
  </si>
  <si>
    <t>MT691</t>
  </si>
  <si>
    <t>MT176</t>
  </si>
  <si>
    <t>MT880-M</t>
  </si>
  <si>
    <t>ME152</t>
  </si>
  <si>
    <t>ME-382</t>
  </si>
  <si>
    <t>MT-382</t>
  </si>
  <si>
    <t>AD21M</t>
  </si>
  <si>
    <t>AD23M</t>
  </si>
  <si>
    <t>CIRWATT D</t>
  </si>
  <si>
    <t>CIRWATT B 101</t>
  </si>
  <si>
    <t>CIRWATT B 102</t>
  </si>
  <si>
    <t>CIRWATT B 200RC</t>
  </si>
  <si>
    <t>CIRWATT B 200RCP</t>
  </si>
  <si>
    <t>CIRWATT B 100</t>
  </si>
  <si>
    <t>CIRWATT B 410D</t>
  </si>
  <si>
    <t>CIRWATT B 410T</t>
  </si>
  <si>
    <t>CIRWATT B 502</t>
  </si>
  <si>
    <t>CIRWATT B 505</t>
  </si>
  <si>
    <t>A3R</t>
  </si>
  <si>
    <t>EEM-MA</t>
  </si>
  <si>
    <t>EEM-EM</t>
  </si>
  <si>
    <t>N12M05</t>
  </si>
  <si>
    <t>SX1B1</t>
  </si>
  <si>
    <t>N34U03</t>
  </si>
  <si>
    <t>N13U01</t>
  </si>
  <si>
    <t>M12U02</t>
  </si>
  <si>
    <t>N12U01</t>
  </si>
  <si>
    <t>5CTM</t>
  </si>
  <si>
    <t>5CTD</t>
  </si>
  <si>
    <t>5CTE</t>
  </si>
  <si>
    <t>5CTD-E2F</t>
  </si>
  <si>
    <t>5CTA-LTE</t>
  </si>
  <si>
    <t>5CTM/D</t>
  </si>
  <si>
    <t>Elgama</t>
  </si>
  <si>
    <t>GAMA350</t>
  </si>
  <si>
    <t>GAMA 300</t>
  </si>
  <si>
    <t>GAMA 100</t>
  </si>
  <si>
    <t>EPQS</t>
  </si>
  <si>
    <t>Holley</t>
  </si>
  <si>
    <t>Linyang</t>
  </si>
  <si>
    <t>Wasion</t>
  </si>
  <si>
    <t>CERM1</t>
  </si>
  <si>
    <t>SGM1100</t>
  </si>
  <si>
    <t>SGM1300</t>
  </si>
  <si>
    <t>SGM1400</t>
  </si>
  <si>
    <t>SGM1430B</t>
  </si>
  <si>
    <t>SGM3000</t>
  </si>
  <si>
    <t>DDSD285-S16</t>
  </si>
  <si>
    <t>DTSY545-SP36</t>
  </si>
  <si>
    <t>DDZ285-F16</t>
  </si>
  <si>
    <t>DDSD285-F16</t>
  </si>
  <si>
    <t>DTZ541-F36</t>
  </si>
  <si>
    <t>DTS541-D36</t>
  </si>
  <si>
    <t>DDS28-D16</t>
  </si>
  <si>
    <t>LY-SM150</t>
  </si>
  <si>
    <t>LY-SM300</t>
  </si>
  <si>
    <t>LY-SM160</t>
  </si>
  <si>
    <t>LY-SM350</t>
  </si>
  <si>
    <t>LY-SM360</t>
  </si>
  <si>
    <t>LY-SM 150Postpaid</t>
  </si>
  <si>
    <t>LY-SM120</t>
  </si>
  <si>
    <t>LY-SM100</t>
  </si>
  <si>
    <t>LY-SM150 Keypad</t>
  </si>
  <si>
    <t>DDS102-7A</t>
  </si>
  <si>
    <t>DDS102-7B</t>
  </si>
  <si>
    <t>DDS102-7C</t>
  </si>
  <si>
    <t>DDS102-7D</t>
  </si>
  <si>
    <t>GR-x</t>
  </si>
  <si>
    <t>DTSD341-MC5</t>
  </si>
  <si>
    <t>Iskraemeco</t>
  </si>
  <si>
    <t>Formulario ID_P4_F21</t>
  </si>
  <si>
    <t>Versíón 1.0</t>
  </si>
  <si>
    <t>Tensión:</t>
  </si>
  <si>
    <t>RF</t>
  </si>
  <si>
    <t>Planilla de ensayo metrológico de medidores de clientes</t>
  </si>
  <si>
    <t>0,5 L</t>
  </si>
  <si>
    <t>0,8 C</t>
  </si>
  <si>
    <t>Sen phi</t>
  </si>
  <si>
    <t>1 (90°)</t>
  </si>
  <si>
    <t>0,5 (30°)</t>
  </si>
  <si>
    <t>0,25 (14,5°)</t>
  </si>
  <si>
    <t>GSM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</si>
</sst>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  <font>
      <b/>
      <sz val="14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lightUp"/>
    </fill>
  </fills>
  <borders count="6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139">
    <xf numFmtId="0" fontId="0" fillId="0" borderId="0" xfId="0"/>
    <xf numFmtId="0" fontId="0" fillId="0" borderId="0" xfId="0" applyBorder="1"/>
    <xf numFmtId="0" fontId="6" fillId="0" borderId="1" xfId="0" applyFont="1" applyBorder="1" applyAlignment="1"/>
    <xf numFmtId="0" fontId="0" fillId="0" borderId="0" xfId="0" applyBorder="1" applyAlignment="1">
      <alignment horizontal="right"/>
    </xf>
    <xf numFmtId="0" fontId="0" fillId="0" borderId="0" xfId="0" applyBorder="1" applyAlignment="1"/>
    <xf numFmtId="0" fontId="0" fillId="0" borderId="0" xfId="0" applyFill="1"/>
    <xf numFmtId="0" fontId="0" fillId="0" borderId="0" xfId="0" applyFill="1" applyBorder="1"/>
    <xf numFmtId="0" fontId="0" fillId="0" borderId="0" xfId="0" applyFill="1" applyBorder="1" applyAlignment="1">
      <alignment horizontal="right"/>
    </xf>
    <xf numFmtId="0" fontId="0" fillId="0" borderId="0" xfId="0" applyFill="1" applyBorder="1" applyAlignment="1"/>
    <xf numFmtId="0" fontId="6" fillId="0" borderId="2" xfId="0" applyFont="1" applyBorder="1" applyAlignment="1"/>
    <xf numFmtId="0" fontId="0" fillId="0" borderId="3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2" fillId="0" borderId="5" xfId="0" applyFont="1" applyBorder="1" applyAlignment="1" applyProtection="1">
      <alignment vertical="center"/>
      <protection locked="0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4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2" fillId="0" borderId="60" xfId="0" applyFont="1" applyBorder="1" applyAlignment="1">
      <alignment horizontal="center" vertical="center"/>
    </xf>
    <xf numFmtId="0" fontId="2" fillId="0" borderId="48" xfId="0" applyFont="1" applyBorder="1" applyAlignment="1">
      <alignment horizontal="center" vertical="center"/>
    </xf>
    <xf numFmtId="0" fontId="3" fillId="0" borderId="42" xfId="0" applyFont="1" applyBorder="1" applyAlignment="1" applyProtection="1">
      <alignment horizontal="center" vertical="center"/>
      <protection locked="0"/>
    </xf>
    <xf numFmtId="0" fontId="3" fillId="0" borderId="44" xfId="0" applyFont="1" applyBorder="1" applyAlignment="1" applyProtection="1">
      <alignment horizontal="center" vertical="center"/>
      <protection locked="0"/>
    </xf>
    <xf numFmtId="0" fontId="3" fillId="0" borderId="55" xfId="0" applyFont="1" applyBorder="1" applyAlignment="1" applyProtection="1">
      <alignment horizontal="center" vertical="center"/>
      <protection locked="0"/>
    </xf>
    <xf numFmtId="0" fontId="3" fillId="0" borderId="56" xfId="0" applyFont="1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horizontal="center" vertical="center"/>
      <protection locked="0"/>
    </xf>
    <xf numFmtId="0" fontId="0" fillId="0" borderId="57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6" fillId="0" borderId="60" xfId="0" applyFont="1" applyBorder="1" applyAlignment="1">
      <alignment horizontal="center" vertical="center"/>
    </xf>
    <xf numFmtId="0" fontId="6" fillId="0" borderId="48" xfId="0" applyFont="1" applyBorder="1" applyAlignment="1">
      <alignment horizontal="center" vertical="center"/>
    </xf>
    <xf numFmtId="0" fontId="0" fillId="0" borderId="48" xfId="0" applyBorder="1" applyAlignment="1">
      <alignment horizontal="center"/>
    </xf>
    <xf numFmtId="0" fontId="0" fillId="0" borderId="5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3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3" xfId="0" applyBorder="1" applyAlignment="1">
      <alignment horizontal="center"/>
    </xf>
    <xf numFmtId="0" fontId="2" fillId="0" borderId="5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6" fillId="0" borderId="42" xfId="0" applyFont="1" applyBorder="1" applyAlignment="1">
      <alignment horizontal="center" vertical="center"/>
    </xf>
    <xf numFmtId="0" fontId="6" fillId="0" borderId="55" xfId="0" applyFont="1" applyBorder="1" applyAlignment="1">
      <alignment horizontal="center" vertical="center"/>
    </xf>
    <xf numFmtId="0" fontId="0" fillId="0" borderId="31" xfId="0" applyBorder="1" applyAlignment="1">
      <alignment horizontal="center"/>
    </xf>
    <xf numFmtId="0" fontId="3" fillId="0" borderId="57" xfId="0" applyFont="1" applyBorder="1" applyAlignment="1">
      <alignment horizontal="center" vertical="center"/>
    </xf>
    <xf numFmtId="0" fontId="3" fillId="0" borderId="58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14" fontId="3" fillId="0" borderId="36" xfId="0" applyNumberFormat="1" applyFont="1" applyBorder="1" applyAlignment="1" applyProtection="1">
      <alignment horizontal="center" vertical="center"/>
      <protection locked="0"/>
    </xf>
    <xf numFmtId="14" fontId="3" fillId="0" borderId="37" xfId="0" applyNumberFormat="1" applyFont="1" applyBorder="1" applyAlignment="1" applyProtection="1">
      <alignment horizontal="center" vertical="center"/>
      <protection locked="0"/>
    </xf>
    <xf numFmtId="0" fontId="2" fillId="0" borderId="49" xfId="0" applyFont="1" applyBorder="1" applyAlignment="1">
      <alignment horizontal="center" vertical="center"/>
    </xf>
    <xf numFmtId="0" fontId="0" fillId="0" borderId="50" xfId="0" applyBorder="1"/>
    <xf numFmtId="0" fontId="0" fillId="0" borderId="20" xfId="0" applyBorder="1"/>
    <xf numFmtId="0" fontId="3" fillId="0" borderId="43" xfId="0" applyFont="1" applyBorder="1" applyAlignment="1" applyProtection="1">
      <alignment horizontal="center" vertical="center"/>
      <protection locked="0"/>
    </xf>
    <xf numFmtId="0" fontId="3" fillId="0" borderId="23" xfId="0" applyFont="1" applyBorder="1" applyAlignment="1" applyProtection="1">
      <alignment horizontal="center" vertical="center"/>
      <protection locked="0"/>
    </xf>
    <xf numFmtId="0" fontId="3" fillId="0" borderId="50" xfId="0" applyFont="1" applyBorder="1" applyAlignment="1" applyProtection="1">
      <alignment horizontal="center" vertical="center"/>
      <protection locked="0"/>
    </xf>
    <xf numFmtId="0" fontId="3" fillId="0" borderId="20" xfId="0" applyFont="1" applyBorder="1" applyAlignment="1" applyProtection="1">
      <alignment horizontal="center" vertical="center"/>
      <protection locked="0"/>
    </xf>
    <xf numFmtId="0" fontId="0" fillId="2" borderId="51" xfId="0" applyFill="1" applyBorder="1" applyAlignment="1">
      <alignment horizontal="center"/>
    </xf>
    <xf numFmtId="0" fontId="0" fillId="2" borderId="52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2" fillId="0" borderId="35" xfId="0" applyFont="1" applyBorder="1" applyAlignment="1">
      <alignment horizontal="center" vertical="center"/>
    </xf>
    <xf numFmtId="0" fontId="0" fillId="0" borderId="36" xfId="0" applyBorder="1"/>
    <xf numFmtId="0" fontId="0" fillId="0" borderId="37" xfId="0" applyBorder="1"/>
    <xf numFmtId="0" fontId="2" fillId="0" borderId="24" xfId="0" applyFont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0" fontId="3" fillId="0" borderId="38" xfId="0" applyFont="1" applyBorder="1" applyAlignment="1" applyProtection="1">
      <alignment horizontal="center" vertical="center"/>
      <protection locked="0"/>
    </xf>
    <xf numFmtId="0" fontId="3" fillId="0" borderId="39" xfId="0" applyFont="1" applyBorder="1" applyAlignment="1" applyProtection="1">
      <alignment horizontal="center" vertical="center"/>
      <protection locked="0"/>
    </xf>
    <xf numFmtId="0" fontId="3" fillId="0" borderId="0" xfId="0" applyFont="1" applyBorder="1" applyAlignment="1" applyProtection="1">
      <alignment horizontal="center" vertical="center"/>
      <protection locked="0"/>
    </xf>
    <xf numFmtId="0" fontId="3" fillId="0" borderId="10" xfId="0" applyFont="1" applyBorder="1" applyAlignment="1" applyProtection="1">
      <alignment horizontal="center" vertical="center"/>
      <protection locked="0"/>
    </xf>
    <xf numFmtId="0" fontId="3" fillId="0" borderId="5" xfId="0" applyFont="1" applyBorder="1" applyAlignment="1" applyProtection="1">
      <alignment horizontal="center" vertical="center"/>
      <protection locked="0"/>
    </xf>
    <xf numFmtId="0" fontId="3" fillId="0" borderId="40" xfId="0" applyFont="1" applyBorder="1" applyAlignment="1" applyProtection="1">
      <alignment horizontal="center" vertical="center"/>
      <protection locked="0"/>
    </xf>
    <xf numFmtId="0" fontId="3" fillId="0" borderId="41" xfId="0" applyFont="1" applyBorder="1" applyAlignment="1" applyProtection="1">
      <alignment horizontal="center" vertical="center"/>
      <protection locked="0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7" xfId="0" applyBorder="1" applyAlignment="1">
      <alignment horizontal="center" vertical="center"/>
    </xf>
  </cellXfs>
  <cellStyles count="1">
    <cellStyle name="Normal" xfId="0" builtinId="0"/>
  </cellStyles>
  <dxfs count="4">
    <dxf>
      <font>
        <color theme="5" tint="-0.499984740745262"/>
      </font>
      <fill>
        <patternFill>
          <bgColor theme="5" tint="0.79998168889431442"/>
        </patternFill>
      </fill>
    </dxf>
    <dxf>
      <font>
        <color theme="6" tint="-0.499984740745262"/>
      </font>
      <fill>
        <patternFill>
          <bgColor theme="6" tint="0.79998168889431442"/>
        </patternFill>
      </fill>
    </dxf>
    <dxf>
      <font>
        <color theme="6" tint="-0.499984740745262"/>
      </font>
      <fill>
        <patternFill>
          <bgColor theme="6" tint="0.79998168889431442"/>
        </patternFill>
      </fill>
    </dxf>
    <dxf>
      <font>
        <color theme="5" tint="-0.499984740745262"/>
      </font>
      <fill>
        <patternFill>
          <bgColor theme="5" tint="0.79998168889431442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s-AR"/>
              <a:t>Error por fase. Fact. de Potencia 1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Error Fase R[%]</c:v>
          </c:tx>
          <c:cat>
            <c:strRef>
              <c:f>Hoja1!$G$16:$H$28</c:f>
              <c:strCache>
                <c:ptCount val="13"/>
                <c:pt idx="0">
                  <c:v>80</c:v>
                </c:pt>
                <c:pt idx="1">
                  <c:v>70</c:v>
                </c:pt>
                <c:pt idx="2">
                  <c:v>60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  <c:pt idx="6">
                  <c:v>20</c:v>
                </c:pt>
                <c:pt idx="7">
                  <c:v>10</c:v>
                </c:pt>
                <c:pt idx="8">
                  <c:v>5</c:v>
                </c:pt>
                <c:pt idx="9">
                  <c:v>2,5</c:v>
                </c:pt>
                <c:pt idx="10">
                  <c:v>1</c:v>
                </c:pt>
                <c:pt idx="11">
                  <c:v>0,5</c:v>
                </c:pt>
                <c:pt idx="12">
                  <c:v>-</c:v>
                </c:pt>
              </c:strCache>
            </c:strRef>
          </c:cat>
          <c:val>
            <c:numRef>
              <c:f>Hoja1!$I$16:$I$28</c:f>
              <c:numCache>
                <c:formatCode>General</c:formatCode>
                <c:ptCount val="13"/>
                <c:pt idx="0">
                  <c:v>-0.1</c:v>
                </c:pt>
                <c:pt idx="1">
                  <c:v>-0.04</c:v>
                </c:pt>
                <c:pt idx="2">
                  <c:v>-0.1</c:v>
                </c:pt>
                <c:pt idx="3">
                  <c:v>-0.03</c:v>
                </c:pt>
                <c:pt idx="4">
                  <c:v>-0.05</c:v>
                </c:pt>
                <c:pt idx="5">
                  <c:v>-0.03</c:v>
                </c:pt>
                <c:pt idx="6">
                  <c:v>-0.03</c:v>
                </c:pt>
                <c:pt idx="7">
                  <c:v>-0.03</c:v>
                </c:pt>
                <c:pt idx="8">
                  <c:v>-0.02</c:v>
                </c:pt>
                <c:pt idx="9">
                  <c:v>-0.03</c:v>
                </c:pt>
                <c:pt idx="10">
                  <c:v>-0.04</c:v>
                </c:pt>
                <c:pt idx="11">
                  <c:v>-7.0000000000000007E-2</c:v>
                </c:pt>
              </c:numCache>
            </c:numRef>
          </c:val>
          <c:smooth val="0"/>
        </c:ser>
        <c:ser>
          <c:idx val="1"/>
          <c:order val="1"/>
          <c:tx>
            <c:v>Error Fase S[%]</c:v>
          </c:tx>
          <c:cat>
            <c:strRef>
              <c:f>Hoja1!$G$16:$H$28</c:f>
              <c:strCache>
                <c:ptCount val="13"/>
                <c:pt idx="0">
                  <c:v>80</c:v>
                </c:pt>
                <c:pt idx="1">
                  <c:v>70</c:v>
                </c:pt>
                <c:pt idx="2">
                  <c:v>60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  <c:pt idx="6">
                  <c:v>20</c:v>
                </c:pt>
                <c:pt idx="7">
                  <c:v>10</c:v>
                </c:pt>
                <c:pt idx="8">
                  <c:v>5</c:v>
                </c:pt>
                <c:pt idx="9">
                  <c:v>2,5</c:v>
                </c:pt>
                <c:pt idx="10">
                  <c:v>1</c:v>
                </c:pt>
                <c:pt idx="11">
                  <c:v>0,5</c:v>
                </c:pt>
                <c:pt idx="12">
                  <c:v>-</c:v>
                </c:pt>
              </c:strCache>
            </c:strRef>
          </c:cat>
          <c:val>
            <c:numRef>
              <c:f>Hoja1!$L$16:$L$28</c:f>
              <c:numCache>
                <c:formatCode>General</c:formatCode>
                <c:ptCount val="13"/>
                <c:pt idx="0">
                  <c:v>-0.03</c:v>
                </c:pt>
                <c:pt idx="1">
                  <c:v>0</c:v>
                </c:pt>
                <c:pt idx="2">
                  <c:v>-0.01</c:v>
                </c:pt>
                <c:pt idx="3">
                  <c:v>0.01</c:v>
                </c:pt>
                <c:pt idx="4">
                  <c:v>0.01</c:v>
                </c:pt>
                <c:pt idx="5">
                  <c:v>0.02</c:v>
                </c:pt>
                <c:pt idx="6">
                  <c:v>0.02</c:v>
                </c:pt>
                <c:pt idx="7">
                  <c:v>0.02</c:v>
                </c:pt>
                <c:pt idx="8">
                  <c:v>0.02</c:v>
                </c:pt>
                <c:pt idx="9">
                  <c:v>0.01</c:v>
                </c:pt>
                <c:pt idx="10">
                  <c:v>0</c:v>
                </c:pt>
                <c:pt idx="11">
                  <c:v>-0.04</c:v>
                </c:pt>
              </c:numCache>
            </c:numRef>
          </c:val>
          <c:smooth val="0"/>
        </c:ser>
        <c:ser>
          <c:idx val="2"/>
          <c:order val="2"/>
          <c:tx>
            <c:v>Error Fase T[%]</c:v>
          </c:tx>
          <c:cat>
            <c:strRef>
              <c:f>Hoja1!$G$16:$H$28</c:f>
              <c:strCache>
                <c:ptCount val="13"/>
                <c:pt idx="0">
                  <c:v>80</c:v>
                </c:pt>
                <c:pt idx="1">
                  <c:v>70</c:v>
                </c:pt>
                <c:pt idx="2">
                  <c:v>60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  <c:pt idx="6">
                  <c:v>20</c:v>
                </c:pt>
                <c:pt idx="7">
                  <c:v>10</c:v>
                </c:pt>
                <c:pt idx="8">
                  <c:v>5</c:v>
                </c:pt>
                <c:pt idx="9">
                  <c:v>2,5</c:v>
                </c:pt>
                <c:pt idx="10">
                  <c:v>1</c:v>
                </c:pt>
                <c:pt idx="11">
                  <c:v>0,5</c:v>
                </c:pt>
                <c:pt idx="12">
                  <c:v>-</c:v>
                </c:pt>
              </c:strCache>
            </c:strRef>
          </c:cat>
          <c:val>
            <c:numRef>
              <c:f>Hoja1!$O$16:$O$28</c:f>
              <c:numCache>
                <c:formatCode>General</c:formatCode>
                <c:ptCount val="13"/>
                <c:pt idx="0">
                  <c:v>-0.21</c:v>
                </c:pt>
                <c:pt idx="1">
                  <c:v>-0.15</c:v>
                </c:pt>
                <c:pt idx="2">
                  <c:v>-0.15</c:v>
                </c:pt>
                <c:pt idx="3">
                  <c:v>-0.14000000000000001</c:v>
                </c:pt>
                <c:pt idx="4">
                  <c:v>-0.13</c:v>
                </c:pt>
                <c:pt idx="5">
                  <c:v>-0.13</c:v>
                </c:pt>
                <c:pt idx="6">
                  <c:v>-0.12</c:v>
                </c:pt>
                <c:pt idx="7">
                  <c:v>-0.12</c:v>
                </c:pt>
                <c:pt idx="8">
                  <c:v>-0.12</c:v>
                </c:pt>
                <c:pt idx="9">
                  <c:v>-0.13</c:v>
                </c:pt>
                <c:pt idx="10">
                  <c:v>-0.15</c:v>
                </c:pt>
                <c:pt idx="11">
                  <c:v>-0.2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8024192"/>
        <c:axId val="278026112"/>
      </c:lineChart>
      <c:catAx>
        <c:axId val="2780241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AR"/>
          </a:p>
        </c:txPr>
        <c:crossAx val="278026112"/>
        <c:crosses val="autoZero"/>
        <c:auto val="1"/>
        <c:lblAlgn val="ctr"/>
        <c:lblOffset val="100"/>
        <c:noMultiLvlLbl val="0"/>
      </c:catAx>
      <c:valAx>
        <c:axId val="2780261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AR"/>
          </a:p>
        </c:txPr>
        <c:crossAx val="278024192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AR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s-AR"/>
              <a:t>Error por fase. Fact. de Potencia 0,5L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Error Fase R[%]</c:v>
          </c:tx>
          <c:cat>
            <c:strRef>
              <c:f>Hoja1!$G$29:$G$40</c:f>
              <c:strCache>
                <c:ptCount val="12"/>
                <c:pt idx="0">
                  <c:v>80</c:v>
                </c:pt>
                <c:pt idx="1">
                  <c:v>70</c:v>
                </c:pt>
                <c:pt idx="2">
                  <c:v>60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  <c:pt idx="6">
                  <c:v>20</c:v>
                </c:pt>
                <c:pt idx="7">
                  <c:v>10</c:v>
                </c:pt>
                <c:pt idx="8">
                  <c:v>5</c:v>
                </c:pt>
                <c:pt idx="9">
                  <c:v>2,5</c:v>
                </c:pt>
                <c:pt idx="10">
                  <c:v>1</c:v>
                </c:pt>
                <c:pt idx="11">
                  <c:v>-</c:v>
                </c:pt>
              </c:strCache>
            </c:strRef>
          </c:cat>
          <c:val>
            <c:numRef>
              <c:f>Hoja1!$I$29:$I$40</c:f>
              <c:numCache>
                <c:formatCode>General</c:formatCode>
                <c:ptCount val="12"/>
                <c:pt idx="0">
                  <c:v>-0.3</c:v>
                </c:pt>
                <c:pt idx="1">
                  <c:v>-0.28000000000000003</c:v>
                </c:pt>
                <c:pt idx="2">
                  <c:v>-0.27</c:v>
                </c:pt>
                <c:pt idx="3">
                  <c:v>-0.2</c:v>
                </c:pt>
                <c:pt idx="4">
                  <c:v>-0.2</c:v>
                </c:pt>
                <c:pt idx="5">
                  <c:v>-0.15</c:v>
                </c:pt>
                <c:pt idx="6">
                  <c:v>-0.12</c:v>
                </c:pt>
                <c:pt idx="7">
                  <c:v>-0.1</c:v>
                </c:pt>
                <c:pt idx="8">
                  <c:v>-0.05</c:v>
                </c:pt>
                <c:pt idx="9">
                  <c:v>-0.03</c:v>
                </c:pt>
                <c:pt idx="10">
                  <c:v>-0.04</c:v>
                </c:pt>
              </c:numCache>
            </c:numRef>
          </c:val>
          <c:smooth val="0"/>
        </c:ser>
        <c:ser>
          <c:idx val="1"/>
          <c:order val="1"/>
          <c:tx>
            <c:v>Error Fase S[%]</c:v>
          </c:tx>
          <c:cat>
            <c:strRef>
              <c:f>Hoja1!$G$29:$G$40</c:f>
              <c:strCache>
                <c:ptCount val="12"/>
                <c:pt idx="0">
                  <c:v>80</c:v>
                </c:pt>
                <c:pt idx="1">
                  <c:v>70</c:v>
                </c:pt>
                <c:pt idx="2">
                  <c:v>60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  <c:pt idx="6">
                  <c:v>20</c:v>
                </c:pt>
                <c:pt idx="7">
                  <c:v>10</c:v>
                </c:pt>
                <c:pt idx="8">
                  <c:v>5</c:v>
                </c:pt>
                <c:pt idx="9">
                  <c:v>2,5</c:v>
                </c:pt>
                <c:pt idx="10">
                  <c:v>1</c:v>
                </c:pt>
                <c:pt idx="11">
                  <c:v>-</c:v>
                </c:pt>
              </c:strCache>
            </c:strRef>
          </c:cat>
          <c:val>
            <c:numRef>
              <c:f>Hoja1!$L$29:$L$40</c:f>
              <c:numCache>
                <c:formatCode>General</c:formatCode>
                <c:ptCount val="12"/>
                <c:pt idx="0">
                  <c:v>-0.08</c:v>
                </c:pt>
                <c:pt idx="1">
                  <c:v>-0.08</c:v>
                </c:pt>
                <c:pt idx="2">
                  <c:v>-0.08</c:v>
                </c:pt>
                <c:pt idx="3">
                  <c:v>-0.12</c:v>
                </c:pt>
                <c:pt idx="4">
                  <c:v>-0.09</c:v>
                </c:pt>
                <c:pt idx="5">
                  <c:v>-7.0000000000000007E-2</c:v>
                </c:pt>
                <c:pt idx="6">
                  <c:v>-0.09</c:v>
                </c:pt>
                <c:pt idx="7">
                  <c:v>-0.09</c:v>
                </c:pt>
                <c:pt idx="8">
                  <c:v>-0.08</c:v>
                </c:pt>
                <c:pt idx="9">
                  <c:v>-0.01</c:v>
                </c:pt>
                <c:pt idx="10">
                  <c:v>-0.03</c:v>
                </c:pt>
              </c:numCache>
            </c:numRef>
          </c:val>
          <c:smooth val="0"/>
        </c:ser>
        <c:ser>
          <c:idx val="2"/>
          <c:order val="2"/>
          <c:tx>
            <c:v>Error Fase T[%]</c:v>
          </c:tx>
          <c:cat>
            <c:strRef>
              <c:f>Hoja1!$G$29:$G$40</c:f>
              <c:strCache>
                <c:ptCount val="12"/>
                <c:pt idx="0">
                  <c:v>80</c:v>
                </c:pt>
                <c:pt idx="1">
                  <c:v>70</c:v>
                </c:pt>
                <c:pt idx="2">
                  <c:v>60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  <c:pt idx="6">
                  <c:v>20</c:v>
                </c:pt>
                <c:pt idx="7">
                  <c:v>10</c:v>
                </c:pt>
                <c:pt idx="8">
                  <c:v>5</c:v>
                </c:pt>
                <c:pt idx="9">
                  <c:v>2,5</c:v>
                </c:pt>
                <c:pt idx="10">
                  <c:v>1</c:v>
                </c:pt>
                <c:pt idx="11">
                  <c:v>-</c:v>
                </c:pt>
              </c:strCache>
            </c:strRef>
          </c:cat>
          <c:val>
            <c:numRef>
              <c:f>Hoja1!$O$29:$O$40</c:f>
              <c:numCache>
                <c:formatCode>General</c:formatCode>
                <c:ptCount val="12"/>
                <c:pt idx="0">
                  <c:v>-0.28999999999999998</c:v>
                </c:pt>
                <c:pt idx="1">
                  <c:v>-0.27</c:v>
                </c:pt>
                <c:pt idx="2">
                  <c:v>-0.25</c:v>
                </c:pt>
                <c:pt idx="3">
                  <c:v>-0.22</c:v>
                </c:pt>
                <c:pt idx="4">
                  <c:v>-0.2</c:v>
                </c:pt>
                <c:pt idx="5">
                  <c:v>-0.13</c:v>
                </c:pt>
                <c:pt idx="6">
                  <c:v>-0.14000000000000001</c:v>
                </c:pt>
                <c:pt idx="7">
                  <c:v>-0.11</c:v>
                </c:pt>
                <c:pt idx="8">
                  <c:v>-0.08</c:v>
                </c:pt>
                <c:pt idx="9">
                  <c:v>-7.0000000000000007E-2</c:v>
                </c:pt>
                <c:pt idx="10">
                  <c:v>-0.1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9075840"/>
        <c:axId val="279078016"/>
      </c:lineChart>
      <c:catAx>
        <c:axId val="2790758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AR"/>
          </a:p>
        </c:txPr>
        <c:crossAx val="279078016"/>
        <c:crosses val="autoZero"/>
        <c:auto val="1"/>
        <c:lblAlgn val="ctr"/>
        <c:lblOffset val="100"/>
        <c:noMultiLvlLbl val="0"/>
      </c:catAx>
      <c:valAx>
        <c:axId val="2790780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AR"/>
          </a:p>
        </c:txPr>
        <c:crossAx val="279075840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AR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t>Error fases simultáneas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Error Fases FP1</c:v>
          </c:tx>
          <c:cat>
            <c:strRef>
              <c:f>Hoja1!$G$43:$H$56</c:f>
              <c:strCache>
                <c:ptCount val="14"/>
                <c:pt idx="0">
                  <c:v>80</c:v>
                </c:pt>
                <c:pt idx="1">
                  <c:v>70</c:v>
                </c:pt>
                <c:pt idx="2">
                  <c:v>60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  <c:pt idx="6">
                  <c:v>20</c:v>
                </c:pt>
                <c:pt idx="7">
                  <c:v>10</c:v>
                </c:pt>
                <c:pt idx="8">
                  <c:v>5</c:v>
                </c:pt>
                <c:pt idx="9">
                  <c:v>2,5</c:v>
                </c:pt>
                <c:pt idx="10">
                  <c:v>1</c:v>
                </c:pt>
                <c:pt idx="11">
                  <c:v>0,5</c:v>
                </c:pt>
                <c:pt idx="12">
                  <c:v>0,25</c:v>
                </c:pt>
                <c:pt idx="13">
                  <c:v>-</c:v>
                </c:pt>
              </c:strCache>
            </c:strRef>
          </c:cat>
          <c:val>
            <c:numRef>
              <c:f>Hoja1!$I$43:$I$56</c:f>
              <c:numCache>
                <c:formatCode>General</c:formatCode>
                <c:ptCount val="14"/>
                <c:pt idx="0">
                  <c:v>-0.12</c:v>
                </c:pt>
                <c:pt idx="1">
                  <c:v>-0.1</c:v>
                </c:pt>
                <c:pt idx="2">
                  <c:v>-0.09</c:v>
                </c:pt>
                <c:pt idx="3">
                  <c:v>-0.06</c:v>
                </c:pt>
                <c:pt idx="4">
                  <c:v>-0.06</c:v>
                </c:pt>
                <c:pt idx="5">
                  <c:v>-0.05</c:v>
                </c:pt>
                <c:pt idx="6">
                  <c:v>-0.05</c:v>
                </c:pt>
                <c:pt idx="7">
                  <c:v>-0.05</c:v>
                </c:pt>
                <c:pt idx="8">
                  <c:v>-0.04</c:v>
                </c:pt>
                <c:pt idx="9">
                  <c:v>-0.05</c:v>
                </c:pt>
                <c:pt idx="10">
                  <c:v>-7.0000000000000007E-2</c:v>
                </c:pt>
                <c:pt idx="11">
                  <c:v>-0.11</c:v>
                </c:pt>
                <c:pt idx="12">
                  <c:v>-0.2</c:v>
                </c:pt>
              </c:numCache>
            </c:numRef>
          </c:val>
          <c:smooth val="0"/>
        </c:ser>
        <c:ser>
          <c:idx val="1"/>
          <c:order val="1"/>
          <c:tx>
            <c:v>Error Fases FP 0,8 C</c:v>
          </c:tx>
          <c:cat>
            <c:strRef>
              <c:f>Hoja1!$G$43:$H$56</c:f>
              <c:strCache>
                <c:ptCount val="14"/>
                <c:pt idx="0">
                  <c:v>80</c:v>
                </c:pt>
                <c:pt idx="1">
                  <c:v>70</c:v>
                </c:pt>
                <c:pt idx="2">
                  <c:v>60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  <c:pt idx="6">
                  <c:v>20</c:v>
                </c:pt>
                <c:pt idx="7">
                  <c:v>10</c:v>
                </c:pt>
                <c:pt idx="8">
                  <c:v>5</c:v>
                </c:pt>
                <c:pt idx="9">
                  <c:v>2,5</c:v>
                </c:pt>
                <c:pt idx="10">
                  <c:v>1</c:v>
                </c:pt>
                <c:pt idx="11">
                  <c:v>0,5</c:v>
                </c:pt>
                <c:pt idx="12">
                  <c:v>0,25</c:v>
                </c:pt>
                <c:pt idx="13">
                  <c:v>-</c:v>
                </c:pt>
              </c:strCache>
            </c:strRef>
          </c:cat>
          <c:val>
            <c:numRef>
              <c:f>Hoja1!$I$57:$I$69</c:f>
              <c:numCache>
                <c:formatCode>General</c:formatCode>
                <c:ptCount val="13"/>
                <c:pt idx="0">
                  <c:v>-0.05</c:v>
                </c:pt>
                <c:pt idx="1">
                  <c:v>-0.04</c:v>
                </c:pt>
                <c:pt idx="2">
                  <c:v>-0.03</c:v>
                </c:pt>
                <c:pt idx="3">
                  <c:v>-0.02</c:v>
                </c:pt>
                <c:pt idx="4">
                  <c:v>-0.01</c:v>
                </c:pt>
                <c:pt idx="5">
                  <c:v>-0.02</c:v>
                </c:pt>
                <c:pt idx="6">
                  <c:v>-0.02</c:v>
                </c:pt>
                <c:pt idx="7">
                  <c:v>-0.04</c:v>
                </c:pt>
                <c:pt idx="8">
                  <c:v>-0.04</c:v>
                </c:pt>
                <c:pt idx="9">
                  <c:v>-0.06</c:v>
                </c:pt>
                <c:pt idx="10">
                  <c:v>-0.1</c:v>
                </c:pt>
                <c:pt idx="11">
                  <c:v>-0.16</c:v>
                </c:pt>
              </c:numCache>
            </c:numRef>
          </c:val>
          <c:smooth val="0"/>
        </c:ser>
        <c:ser>
          <c:idx val="2"/>
          <c:order val="2"/>
          <c:tx>
            <c:v>Error Fases FP 0,5 L</c:v>
          </c:tx>
          <c:cat>
            <c:strRef>
              <c:f>Hoja1!$G$43:$H$56</c:f>
              <c:strCache>
                <c:ptCount val="14"/>
                <c:pt idx="0">
                  <c:v>80</c:v>
                </c:pt>
                <c:pt idx="1">
                  <c:v>70</c:v>
                </c:pt>
                <c:pt idx="2">
                  <c:v>60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  <c:pt idx="6">
                  <c:v>20</c:v>
                </c:pt>
                <c:pt idx="7">
                  <c:v>10</c:v>
                </c:pt>
                <c:pt idx="8">
                  <c:v>5</c:v>
                </c:pt>
                <c:pt idx="9">
                  <c:v>2,5</c:v>
                </c:pt>
                <c:pt idx="10">
                  <c:v>1</c:v>
                </c:pt>
                <c:pt idx="11">
                  <c:v>0,5</c:v>
                </c:pt>
                <c:pt idx="12">
                  <c:v>0,25</c:v>
                </c:pt>
                <c:pt idx="13">
                  <c:v>-</c:v>
                </c:pt>
              </c:strCache>
            </c:strRef>
          </c:cat>
          <c:val>
            <c:numRef>
              <c:f>Hoja1!$I$70:$I$82</c:f>
              <c:numCache>
                <c:formatCode>General</c:formatCode>
                <c:ptCount val="13"/>
                <c:pt idx="0">
                  <c:v>-0.24</c:v>
                </c:pt>
                <c:pt idx="1">
                  <c:v>-0.24</c:v>
                </c:pt>
                <c:pt idx="2">
                  <c:v>-0.21</c:v>
                </c:pt>
                <c:pt idx="3">
                  <c:v>-0.18</c:v>
                </c:pt>
                <c:pt idx="4">
                  <c:v>-0.17</c:v>
                </c:pt>
                <c:pt idx="5">
                  <c:v>-0.12</c:v>
                </c:pt>
                <c:pt idx="6">
                  <c:v>-0.11</c:v>
                </c:pt>
                <c:pt idx="7">
                  <c:v>-0.09</c:v>
                </c:pt>
                <c:pt idx="8">
                  <c:v>-0.06</c:v>
                </c:pt>
                <c:pt idx="9">
                  <c:v>-0.04</c:v>
                </c:pt>
                <c:pt idx="10">
                  <c:v>-0.06</c:v>
                </c:pt>
                <c:pt idx="11">
                  <c:v>-0.13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9103744"/>
        <c:axId val="279114112"/>
      </c:lineChart>
      <c:catAx>
        <c:axId val="2791037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AR"/>
          </a:p>
        </c:txPr>
        <c:crossAx val="279114112"/>
        <c:crosses val="autoZero"/>
        <c:auto val="1"/>
        <c:lblAlgn val="ctr"/>
        <c:lblOffset val="100"/>
        <c:noMultiLvlLbl val="0"/>
      </c:catAx>
      <c:valAx>
        <c:axId val="2791141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AR"/>
          </a:p>
        </c:txPr>
        <c:crossAx val="279103744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AR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t>Error por fase. Fact. de Potencia 0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Error Fase R[%]</c:v>
          </c:tx>
          <c:cat>
            <c:strRef>
              <c:f>Hoja1!$G$86:$H$95</c:f>
              <c:strCache>
                <c:ptCount val="10"/>
                <c:pt idx="0">
                  <c:v>80</c:v>
                </c:pt>
                <c:pt idx="1">
                  <c:v>60</c:v>
                </c:pt>
                <c:pt idx="2">
                  <c:v>40</c:v>
                </c:pt>
                <c:pt idx="3">
                  <c:v>20</c:v>
                </c:pt>
                <c:pt idx="4">
                  <c:v>10</c:v>
                </c:pt>
                <c:pt idx="5">
                  <c:v>5</c:v>
                </c:pt>
                <c:pt idx="6">
                  <c:v>2,5</c:v>
                </c:pt>
                <c:pt idx="7">
                  <c:v>1</c:v>
                </c:pt>
                <c:pt idx="8">
                  <c:v>0,5</c:v>
                </c:pt>
                <c:pt idx="9">
                  <c:v>-</c:v>
                </c:pt>
              </c:strCache>
            </c:strRef>
          </c:cat>
          <c:val>
            <c:numRef>
              <c:f>Hoja1!$I$86:$I$95</c:f>
              <c:numCache>
                <c:formatCode>General</c:formatCode>
                <c:ptCount val="10"/>
                <c:pt idx="0">
                  <c:v>-0.02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0.09</c:v>
                </c:pt>
                <c:pt idx="6">
                  <c:v>0.1</c:v>
                </c:pt>
                <c:pt idx="7">
                  <c:v>0.11</c:v>
                </c:pt>
                <c:pt idx="8">
                  <c:v>0.11</c:v>
                </c:pt>
              </c:numCache>
            </c:numRef>
          </c:val>
          <c:smooth val="0"/>
        </c:ser>
        <c:ser>
          <c:idx val="1"/>
          <c:order val="1"/>
          <c:tx>
            <c:v>Error Fase S[%]</c:v>
          </c:tx>
          <c:cat>
            <c:strRef>
              <c:f>Hoja1!$G$86:$H$95</c:f>
              <c:strCache>
                <c:ptCount val="10"/>
                <c:pt idx="0">
                  <c:v>80</c:v>
                </c:pt>
                <c:pt idx="1">
                  <c:v>60</c:v>
                </c:pt>
                <c:pt idx="2">
                  <c:v>40</c:v>
                </c:pt>
                <c:pt idx="3">
                  <c:v>20</c:v>
                </c:pt>
                <c:pt idx="4">
                  <c:v>10</c:v>
                </c:pt>
                <c:pt idx="5">
                  <c:v>5</c:v>
                </c:pt>
                <c:pt idx="6">
                  <c:v>2,5</c:v>
                </c:pt>
                <c:pt idx="7">
                  <c:v>1</c:v>
                </c:pt>
                <c:pt idx="8">
                  <c:v>0,5</c:v>
                </c:pt>
                <c:pt idx="9">
                  <c:v>-</c:v>
                </c:pt>
              </c:strCache>
            </c:strRef>
          </c:cat>
          <c:val>
            <c:numRef>
              <c:f>Hoja1!$L$86:$L$95</c:f>
              <c:numCache>
                <c:formatCode>General</c:formatCode>
                <c:ptCount val="10"/>
                <c:pt idx="0">
                  <c:v>-0.11</c:v>
                </c:pt>
                <c:pt idx="1">
                  <c:v>-0.08</c:v>
                </c:pt>
                <c:pt idx="2">
                  <c:v>-0.02</c:v>
                </c:pt>
                <c:pt idx="3">
                  <c:v>-0.01</c:v>
                </c:pt>
                <c:pt idx="4">
                  <c:v>0</c:v>
                </c:pt>
                <c:pt idx="5">
                  <c:v>0.01</c:v>
                </c:pt>
                <c:pt idx="6">
                  <c:v>0.02</c:v>
                </c:pt>
                <c:pt idx="7">
                  <c:v>0.02</c:v>
                </c:pt>
                <c:pt idx="8">
                  <c:v>0.03</c:v>
                </c:pt>
              </c:numCache>
            </c:numRef>
          </c:val>
          <c:smooth val="0"/>
        </c:ser>
        <c:ser>
          <c:idx val="2"/>
          <c:order val="2"/>
          <c:tx>
            <c:v>Error Fase T[%]</c:v>
          </c:tx>
          <c:cat>
            <c:strRef>
              <c:f>Hoja1!$G$86:$H$95</c:f>
              <c:strCache>
                <c:ptCount val="10"/>
                <c:pt idx="0">
                  <c:v>80</c:v>
                </c:pt>
                <c:pt idx="1">
                  <c:v>60</c:v>
                </c:pt>
                <c:pt idx="2">
                  <c:v>40</c:v>
                </c:pt>
                <c:pt idx="3">
                  <c:v>20</c:v>
                </c:pt>
                <c:pt idx="4">
                  <c:v>10</c:v>
                </c:pt>
                <c:pt idx="5">
                  <c:v>5</c:v>
                </c:pt>
                <c:pt idx="6">
                  <c:v>2,5</c:v>
                </c:pt>
                <c:pt idx="7">
                  <c:v>1</c:v>
                </c:pt>
                <c:pt idx="8">
                  <c:v>0,5</c:v>
                </c:pt>
                <c:pt idx="9">
                  <c:v>-</c:v>
                </c:pt>
              </c:strCache>
            </c:strRef>
          </c:cat>
          <c:val>
            <c:numRef>
              <c:f>Hoja1!$O$86:$O$95</c:f>
              <c:numCache>
                <c:formatCode>General</c:formatCode>
                <c:ptCount val="10"/>
                <c:pt idx="0">
                  <c:v>-0.17</c:v>
                </c:pt>
                <c:pt idx="1">
                  <c:v>-0.15</c:v>
                </c:pt>
                <c:pt idx="2">
                  <c:v>-0.13</c:v>
                </c:pt>
                <c:pt idx="3">
                  <c:v>-0.11</c:v>
                </c:pt>
                <c:pt idx="4">
                  <c:v>-0.1</c:v>
                </c:pt>
                <c:pt idx="5">
                  <c:v>-0.1</c:v>
                </c:pt>
                <c:pt idx="6">
                  <c:v>-0.09</c:v>
                </c:pt>
                <c:pt idx="7">
                  <c:v>-0.09</c:v>
                </c:pt>
                <c:pt idx="8">
                  <c:v>-0.08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9209472"/>
        <c:axId val="279211392"/>
      </c:lineChart>
      <c:catAx>
        <c:axId val="2792094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AR"/>
          </a:p>
        </c:txPr>
        <c:crossAx val="279211392"/>
        <c:crosses val="autoZero"/>
        <c:auto val="1"/>
        <c:lblAlgn val="ctr"/>
        <c:lblOffset val="100"/>
        <c:noMultiLvlLbl val="0"/>
      </c:catAx>
      <c:valAx>
        <c:axId val="2792113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AR"/>
          </a:p>
        </c:txPr>
        <c:crossAx val="279209472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AR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t>Error por fase. Fact. de Potencia 0,86 L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Error Fase R[%]</c:v>
          </c:tx>
          <c:cat>
            <c:strRef>
              <c:f>Hoja1!$G$96:$H$104</c:f>
              <c:strCache>
                <c:ptCount val="9"/>
                <c:pt idx="0">
                  <c:v>80</c:v>
                </c:pt>
                <c:pt idx="1">
                  <c:v>60</c:v>
                </c:pt>
                <c:pt idx="2">
                  <c:v>40</c:v>
                </c:pt>
                <c:pt idx="3">
                  <c:v>20</c:v>
                </c:pt>
                <c:pt idx="4">
                  <c:v>10</c:v>
                </c:pt>
                <c:pt idx="5">
                  <c:v>5</c:v>
                </c:pt>
                <c:pt idx="6">
                  <c:v>2,5</c:v>
                </c:pt>
                <c:pt idx="7">
                  <c:v>1</c:v>
                </c:pt>
                <c:pt idx="8">
                  <c:v>-</c:v>
                </c:pt>
              </c:strCache>
            </c:strRef>
          </c:cat>
          <c:val>
            <c:numRef>
              <c:f>Hoja1!$I$96:$I$104</c:f>
              <c:numCache>
                <c:formatCode>General</c:formatCode>
                <c:ptCount val="9"/>
                <c:pt idx="0">
                  <c:v>0.23</c:v>
                </c:pt>
                <c:pt idx="1">
                  <c:v>0.24</c:v>
                </c:pt>
                <c:pt idx="2">
                  <c:v>0.16</c:v>
                </c:pt>
                <c:pt idx="3">
                  <c:v>0.13</c:v>
                </c:pt>
                <c:pt idx="4">
                  <c:v>0.14000000000000001</c:v>
                </c:pt>
                <c:pt idx="5">
                  <c:v>0.12</c:v>
                </c:pt>
                <c:pt idx="6">
                  <c:v>0.08</c:v>
                </c:pt>
                <c:pt idx="7">
                  <c:v>0.05</c:v>
                </c:pt>
              </c:numCache>
            </c:numRef>
          </c:val>
          <c:smooth val="0"/>
        </c:ser>
        <c:ser>
          <c:idx val="1"/>
          <c:order val="1"/>
          <c:tx>
            <c:v>Error Fase S[%]</c:v>
          </c:tx>
          <c:cat>
            <c:strRef>
              <c:f>Hoja1!$G$96:$H$104</c:f>
              <c:strCache>
                <c:ptCount val="9"/>
                <c:pt idx="0">
                  <c:v>80</c:v>
                </c:pt>
                <c:pt idx="1">
                  <c:v>60</c:v>
                </c:pt>
                <c:pt idx="2">
                  <c:v>40</c:v>
                </c:pt>
                <c:pt idx="3">
                  <c:v>20</c:v>
                </c:pt>
                <c:pt idx="4">
                  <c:v>10</c:v>
                </c:pt>
                <c:pt idx="5">
                  <c:v>5</c:v>
                </c:pt>
                <c:pt idx="6">
                  <c:v>2,5</c:v>
                </c:pt>
                <c:pt idx="7">
                  <c:v>1</c:v>
                </c:pt>
                <c:pt idx="8">
                  <c:v>-</c:v>
                </c:pt>
              </c:strCache>
            </c:strRef>
          </c:cat>
          <c:val>
            <c:numRef>
              <c:f>Hoja1!$L$96:$L$104</c:f>
              <c:numCache>
                <c:formatCode>General</c:formatCode>
                <c:ptCount val="9"/>
                <c:pt idx="0">
                  <c:v>0.01</c:v>
                </c:pt>
                <c:pt idx="1">
                  <c:v>0.04</c:v>
                </c:pt>
                <c:pt idx="2">
                  <c:v>0.03</c:v>
                </c:pt>
                <c:pt idx="3">
                  <c:v>0.06</c:v>
                </c:pt>
                <c:pt idx="4">
                  <c:v>0.04</c:v>
                </c:pt>
                <c:pt idx="5">
                  <c:v>0.03</c:v>
                </c:pt>
                <c:pt idx="6">
                  <c:v>0.01</c:v>
                </c:pt>
                <c:pt idx="7">
                  <c:v>-0.02</c:v>
                </c:pt>
              </c:numCache>
            </c:numRef>
          </c:val>
          <c:smooth val="0"/>
        </c:ser>
        <c:ser>
          <c:idx val="2"/>
          <c:order val="2"/>
          <c:tx>
            <c:v>Error Fase T[%]</c:v>
          </c:tx>
          <c:cat>
            <c:strRef>
              <c:f>Hoja1!$G$96:$H$104</c:f>
              <c:strCache>
                <c:ptCount val="9"/>
                <c:pt idx="0">
                  <c:v>80</c:v>
                </c:pt>
                <c:pt idx="1">
                  <c:v>60</c:v>
                </c:pt>
                <c:pt idx="2">
                  <c:v>40</c:v>
                </c:pt>
                <c:pt idx="3">
                  <c:v>20</c:v>
                </c:pt>
                <c:pt idx="4">
                  <c:v>10</c:v>
                </c:pt>
                <c:pt idx="5">
                  <c:v>5</c:v>
                </c:pt>
                <c:pt idx="6">
                  <c:v>2,5</c:v>
                </c:pt>
                <c:pt idx="7">
                  <c:v>1</c:v>
                </c:pt>
                <c:pt idx="8">
                  <c:v>-</c:v>
                </c:pt>
              </c:strCache>
            </c:strRef>
          </c:cat>
          <c:val>
            <c:numRef>
              <c:f>Hoja1!$O$96:$O$104</c:f>
              <c:numCache>
                <c:formatCode>General</c:formatCode>
                <c:ptCount val="9"/>
                <c:pt idx="0">
                  <c:v>0</c:v>
                </c:pt>
                <c:pt idx="1">
                  <c:v>-0.02</c:v>
                </c:pt>
                <c:pt idx="2">
                  <c:v>-0.03</c:v>
                </c:pt>
                <c:pt idx="3">
                  <c:v>-0.05</c:v>
                </c:pt>
                <c:pt idx="4">
                  <c:v>-0.08</c:v>
                </c:pt>
                <c:pt idx="5">
                  <c:v>-0.09</c:v>
                </c:pt>
                <c:pt idx="6">
                  <c:v>-0.11</c:v>
                </c:pt>
                <c:pt idx="7">
                  <c:v>-0.15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9239296"/>
        <c:axId val="279245568"/>
      </c:lineChart>
      <c:catAx>
        <c:axId val="2792392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AR"/>
          </a:p>
        </c:txPr>
        <c:crossAx val="279245568"/>
        <c:crosses val="autoZero"/>
        <c:auto val="1"/>
        <c:lblAlgn val="ctr"/>
        <c:lblOffset val="100"/>
        <c:noMultiLvlLbl val="0"/>
      </c:catAx>
      <c:valAx>
        <c:axId val="2792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AR"/>
          </a:p>
        </c:txPr>
        <c:crossAx val="279239296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AR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t>Error fases simultáneas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Error Fases FP 0</c:v>
          </c:tx>
          <c:cat>
            <c:strRef>
              <c:f>Hoja1!$G$107:$H$117</c:f>
              <c:strCache>
                <c:ptCount val="11"/>
                <c:pt idx="0">
                  <c:v>80</c:v>
                </c:pt>
                <c:pt idx="1">
                  <c:v>60</c:v>
                </c:pt>
                <c:pt idx="2">
                  <c:v>40</c:v>
                </c:pt>
                <c:pt idx="3">
                  <c:v>20</c:v>
                </c:pt>
                <c:pt idx="4">
                  <c:v>10</c:v>
                </c:pt>
                <c:pt idx="5">
                  <c:v>5</c:v>
                </c:pt>
                <c:pt idx="6">
                  <c:v>2,5</c:v>
                </c:pt>
                <c:pt idx="7">
                  <c:v>1</c:v>
                </c:pt>
                <c:pt idx="8">
                  <c:v>0,5</c:v>
                </c:pt>
                <c:pt idx="9">
                  <c:v>0,25</c:v>
                </c:pt>
                <c:pt idx="10">
                  <c:v>-</c:v>
                </c:pt>
              </c:strCache>
            </c:strRef>
          </c:cat>
          <c:val>
            <c:numRef>
              <c:f>Hoja1!$I$107:$I$117</c:f>
              <c:numCache>
                <c:formatCode>General</c:formatCode>
                <c:ptCount val="11"/>
                <c:pt idx="0">
                  <c:v>-0.1</c:v>
                </c:pt>
                <c:pt idx="1">
                  <c:v>-7.0000000000000007E-2</c:v>
                </c:pt>
                <c:pt idx="2">
                  <c:v>-0.05</c:v>
                </c:pt>
                <c:pt idx="3">
                  <c:v>-0.02</c:v>
                </c:pt>
                <c:pt idx="4">
                  <c:v>-0.02</c:v>
                </c:pt>
                <c:pt idx="5">
                  <c:v>-0.01</c:v>
                </c:pt>
                <c:pt idx="6">
                  <c:v>0</c:v>
                </c:pt>
                <c:pt idx="7">
                  <c:v>0</c:v>
                </c:pt>
                <c:pt idx="8">
                  <c:v>0.01</c:v>
                </c:pt>
                <c:pt idx="9">
                  <c:v>0.01</c:v>
                </c:pt>
              </c:numCache>
            </c:numRef>
          </c:val>
          <c:smooth val="0"/>
        </c:ser>
        <c:ser>
          <c:idx val="1"/>
          <c:order val="1"/>
          <c:tx>
            <c:v>Error Fases FP 0,6 C</c:v>
          </c:tx>
          <c:cat>
            <c:strRef>
              <c:f>Hoja1!$G$107:$H$117</c:f>
              <c:strCache>
                <c:ptCount val="11"/>
                <c:pt idx="0">
                  <c:v>80</c:v>
                </c:pt>
                <c:pt idx="1">
                  <c:v>60</c:v>
                </c:pt>
                <c:pt idx="2">
                  <c:v>40</c:v>
                </c:pt>
                <c:pt idx="3">
                  <c:v>20</c:v>
                </c:pt>
                <c:pt idx="4">
                  <c:v>10</c:v>
                </c:pt>
                <c:pt idx="5">
                  <c:v>5</c:v>
                </c:pt>
                <c:pt idx="6">
                  <c:v>2,5</c:v>
                </c:pt>
                <c:pt idx="7">
                  <c:v>1</c:v>
                </c:pt>
                <c:pt idx="8">
                  <c:v>0,5</c:v>
                </c:pt>
                <c:pt idx="9">
                  <c:v>0,25</c:v>
                </c:pt>
                <c:pt idx="10">
                  <c:v>-</c:v>
                </c:pt>
              </c:strCache>
            </c:strRef>
          </c:cat>
          <c:val>
            <c:numRef>
              <c:f>Hoja1!$I$118:$I$126</c:f>
              <c:numCache>
                <c:formatCode>General</c:formatCode>
                <c:ptCount val="9"/>
                <c:pt idx="0">
                  <c:v>0.22</c:v>
                </c:pt>
                <c:pt idx="1">
                  <c:v>0.21</c:v>
                </c:pt>
                <c:pt idx="2">
                  <c:v>0.19</c:v>
                </c:pt>
                <c:pt idx="3">
                  <c:v>0.13</c:v>
                </c:pt>
                <c:pt idx="4">
                  <c:v>0.08</c:v>
                </c:pt>
                <c:pt idx="5">
                  <c:v>0.02</c:v>
                </c:pt>
                <c:pt idx="6">
                  <c:v>-0.04</c:v>
                </c:pt>
                <c:pt idx="7">
                  <c:v>-0.11</c:v>
                </c:pt>
              </c:numCache>
            </c:numRef>
          </c:val>
          <c:smooth val="0"/>
        </c:ser>
        <c:ser>
          <c:idx val="2"/>
          <c:order val="2"/>
          <c:tx>
            <c:v>Error Fases FP 0,86 L</c:v>
          </c:tx>
          <c:cat>
            <c:strRef>
              <c:f>Hoja1!$G$107:$H$117</c:f>
              <c:strCache>
                <c:ptCount val="11"/>
                <c:pt idx="0">
                  <c:v>80</c:v>
                </c:pt>
                <c:pt idx="1">
                  <c:v>60</c:v>
                </c:pt>
                <c:pt idx="2">
                  <c:v>40</c:v>
                </c:pt>
                <c:pt idx="3">
                  <c:v>20</c:v>
                </c:pt>
                <c:pt idx="4">
                  <c:v>10</c:v>
                </c:pt>
                <c:pt idx="5">
                  <c:v>5</c:v>
                </c:pt>
                <c:pt idx="6">
                  <c:v>2,5</c:v>
                </c:pt>
                <c:pt idx="7">
                  <c:v>1</c:v>
                </c:pt>
                <c:pt idx="8">
                  <c:v>0,5</c:v>
                </c:pt>
                <c:pt idx="9">
                  <c:v>0,25</c:v>
                </c:pt>
                <c:pt idx="10">
                  <c:v>-</c:v>
                </c:pt>
              </c:strCache>
            </c:strRef>
          </c:cat>
          <c:val>
            <c:numRef>
              <c:f>Hoja1!$I$127:$I$136</c:f>
              <c:numCache>
                <c:formatCode>General</c:formatCode>
                <c:ptCount val="10"/>
                <c:pt idx="0">
                  <c:v>0.06</c:v>
                </c:pt>
                <c:pt idx="1">
                  <c:v>0.08</c:v>
                </c:pt>
                <c:pt idx="2">
                  <c:v>7.0000000000000007E-2</c:v>
                </c:pt>
                <c:pt idx="3">
                  <c:v>0.05</c:v>
                </c:pt>
                <c:pt idx="4">
                  <c:v>0.02</c:v>
                </c:pt>
                <c:pt idx="5">
                  <c:v>0</c:v>
                </c:pt>
                <c:pt idx="6">
                  <c:v>-0.02</c:v>
                </c:pt>
                <c:pt idx="7">
                  <c:v>-0.05</c:v>
                </c:pt>
                <c:pt idx="8">
                  <c:v>-0.06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9287680"/>
        <c:axId val="279293952"/>
      </c:lineChart>
      <c:catAx>
        <c:axId val="279287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AR"/>
          </a:p>
        </c:txPr>
        <c:crossAx val="279293952"/>
        <c:crosses val="autoZero"/>
        <c:auto val="1"/>
        <c:lblAlgn val="ctr"/>
        <c:lblOffset val="100"/>
        <c:noMultiLvlLbl val="0"/>
      </c:catAx>
      <c:valAx>
        <c:axId val="2792939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AR"/>
          </a:p>
        </c:txPr>
        <c:crossAx val="279287680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AR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s-AR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image" Target="../media/image1.jpe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104775</xdr:colOff>
      <xdr:row>14</xdr:row>
      <xdr:rowOff>66675</xdr:rowOff>
    </xdr:from>
    <xdr:to>
      <xdr:col>34</xdr:col>
      <xdr:colOff>381000</xdr:colOff>
      <xdr:row>27</xdr:row>
      <xdr:rowOff>123825</xdr:rowOff>
    </xdr:to>
    <xdr:graphicFrame macro="">
      <xdr:nvGraphicFramePr>
        <xdr:cNvPr id="865412" name="1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104775</xdr:colOff>
      <xdr:row>28</xdr:row>
      <xdr:rowOff>0</xdr:rowOff>
    </xdr:from>
    <xdr:to>
      <xdr:col>34</xdr:col>
      <xdr:colOff>381000</xdr:colOff>
      <xdr:row>41</xdr:row>
      <xdr:rowOff>161925</xdr:rowOff>
    </xdr:to>
    <xdr:graphicFrame macro="">
      <xdr:nvGraphicFramePr>
        <xdr:cNvPr id="865413" name="2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104775</xdr:colOff>
      <xdr:row>55</xdr:row>
      <xdr:rowOff>190500</xdr:rowOff>
    </xdr:from>
    <xdr:to>
      <xdr:col>34</xdr:col>
      <xdr:colOff>381000</xdr:colOff>
      <xdr:row>69</xdr:row>
      <xdr:rowOff>0</xdr:rowOff>
    </xdr:to>
    <xdr:graphicFrame macro="">
      <xdr:nvGraphicFramePr>
        <xdr:cNvPr id="865414" name="3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95250</xdr:colOff>
      <xdr:row>83</xdr:row>
      <xdr:rowOff>133350</xdr:rowOff>
    </xdr:from>
    <xdr:to>
      <xdr:col>34</xdr:col>
      <xdr:colOff>371475</xdr:colOff>
      <xdr:row>94</xdr:row>
      <xdr:rowOff>0</xdr:rowOff>
    </xdr:to>
    <xdr:graphicFrame macro="">
      <xdr:nvGraphicFramePr>
        <xdr:cNvPr id="865415" name="4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25</xdr:col>
      <xdr:colOff>95250</xdr:colOff>
      <xdr:row>95</xdr:row>
      <xdr:rowOff>0</xdr:rowOff>
    </xdr:from>
    <xdr:to>
      <xdr:col>34</xdr:col>
      <xdr:colOff>371475</xdr:colOff>
      <xdr:row>105</xdr:row>
      <xdr:rowOff>66675</xdr:rowOff>
    </xdr:to>
    <xdr:graphicFrame macro="">
      <xdr:nvGraphicFramePr>
        <xdr:cNvPr id="865416" name="5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25</xdr:col>
      <xdr:colOff>85725</xdr:colOff>
      <xdr:row>117</xdr:row>
      <xdr:rowOff>0</xdr:rowOff>
    </xdr:from>
    <xdr:to>
      <xdr:col>34</xdr:col>
      <xdr:colOff>352425</xdr:colOff>
      <xdr:row>126</xdr:row>
      <xdr:rowOff>0</xdr:rowOff>
    </xdr:to>
    <xdr:graphicFrame macro="">
      <xdr:nvGraphicFramePr>
        <xdr:cNvPr id="865417" name="6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5</xdr:col>
      <xdr:colOff>38100</xdr:colOff>
      <xdr:row>0</xdr:row>
      <xdr:rowOff>133350</xdr:rowOff>
    </xdr:from>
    <xdr:to>
      <xdr:col>6</xdr:col>
      <xdr:colOff>581025</xdr:colOff>
      <xdr:row>3</xdr:row>
      <xdr:rowOff>57150</xdr:rowOff>
    </xdr:to>
    <xdr:pic>
      <xdr:nvPicPr>
        <xdr:cNvPr id="865418" name="2 Imagen" descr="logo DISCAR.jpg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2850" y="133350"/>
          <a:ext cx="1247775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AE136"/>
  <sheetViews>
    <sheetView tabSelected="1" topLeftCell="E1" zoomScaleNormal="100" workbookViewId="0">
      <selection activeCell="J10" sqref="J10:K11"/>
    </sheetView>
  </sheetViews>
  <sheetFormatPr baseColWidth="10" defaultColWidth="9.140625" defaultRowHeight="15" x14ac:dyDescent="0.25"/>
  <cols>
    <col min="2" max="2" width="14.28515625" customWidth="1"/>
    <col min="4" max="4" width="14" customWidth="1"/>
    <col min="6" max="6" width="10.5703125" customWidth="1"/>
    <col min="9" max="9" width="14.28515625" customWidth="1"/>
    <col min="12" max="12" width="11.140625" customWidth="1"/>
    <col min="25" max="25" width="9.140625" customWidth="1"/>
  </cols>
  <sheetData>
    <row r="1" spans="6:30" x14ac:dyDescent="0.25">
      <c r="F1" s="90"/>
      <c r="G1" s="91"/>
      <c r="H1" s="48" t="s">
        <v>191</v>
      </c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14" t="s">
        <v>187</v>
      </c>
      <c r="V1" s="15"/>
      <c r="W1" s="16"/>
      <c r="Z1" s="1"/>
      <c r="AA1" s="1"/>
      <c r="AB1" s="1"/>
    </row>
    <row r="2" spans="6:30" x14ac:dyDescent="0.25">
      <c r="F2" s="92"/>
      <c r="G2" s="93"/>
      <c r="H2" s="48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17" t="s">
        <v>188</v>
      </c>
      <c r="V2" s="1"/>
      <c r="W2" s="18"/>
      <c r="Z2" s="22"/>
      <c r="AA2" s="23"/>
      <c r="AB2" s="1"/>
    </row>
    <row r="3" spans="6:30" x14ac:dyDescent="0.25">
      <c r="F3" s="92"/>
      <c r="G3" s="93"/>
      <c r="H3" s="48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17"/>
      <c r="V3" s="1"/>
      <c r="W3" s="18"/>
    </row>
    <row r="4" spans="6:30" ht="15.75" thickBot="1" x14ac:dyDescent="0.3">
      <c r="F4" s="94"/>
      <c r="G4" s="95"/>
      <c r="H4" s="50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19"/>
      <c r="V4" s="20"/>
      <c r="W4" s="21"/>
    </row>
    <row r="5" spans="6:30" ht="15.75" thickBot="1" x14ac:dyDescent="0.3">
      <c r="F5" s="105"/>
      <c r="G5" s="106"/>
      <c r="H5" s="106"/>
      <c r="I5" s="106"/>
      <c r="J5" s="106"/>
      <c r="K5" s="106"/>
      <c r="L5" s="106"/>
      <c r="M5" s="106"/>
      <c r="N5" s="106"/>
      <c r="O5" s="106"/>
      <c r="P5" s="106"/>
      <c r="Q5" s="106"/>
      <c r="R5" s="106"/>
      <c r="S5" s="106"/>
      <c r="T5" s="106"/>
      <c r="U5" s="107"/>
      <c r="V5" s="107"/>
      <c r="W5" s="108"/>
    </row>
    <row r="6" spans="6:30" x14ac:dyDescent="0.25">
      <c r="F6" s="109" t="s">
        <v>1</v>
      </c>
      <c r="G6" s="110"/>
      <c r="H6" s="110"/>
      <c r="I6" s="111"/>
      <c r="J6" s="96">
        <v>44810</v>
      </c>
      <c r="K6" s="96"/>
      <c r="L6" s="96"/>
      <c r="M6" s="96"/>
      <c r="N6" s="97"/>
      <c r="O6" s="112" t="s">
        <v>14</v>
      </c>
      <c r="P6" s="110"/>
      <c r="Q6" s="111"/>
      <c r="R6" s="114"/>
      <c r="S6" s="114"/>
      <c r="T6" s="114"/>
      <c r="U6" s="114"/>
      <c r="V6" s="114"/>
      <c r="W6" s="115"/>
    </row>
    <row r="7" spans="6:30" x14ac:dyDescent="0.25">
      <c r="F7" s="98" t="s">
        <v>2</v>
      </c>
      <c r="G7" s="99"/>
      <c r="H7" s="99"/>
      <c r="I7" s="100"/>
      <c r="J7" s="101"/>
      <c r="K7" s="101"/>
      <c r="L7" s="101"/>
      <c r="M7" s="101"/>
      <c r="N7" s="31"/>
      <c r="O7" s="121" t="s">
        <v>15</v>
      </c>
      <c r="P7" s="122"/>
      <c r="Q7" s="123"/>
      <c r="R7" s="116" t="s">
        <v>16</v>
      </c>
      <c r="S7" s="116"/>
      <c r="T7" s="116"/>
      <c r="U7" s="116"/>
      <c r="V7" s="116"/>
      <c r="W7" s="117"/>
    </row>
    <row r="8" spans="6:30" x14ac:dyDescent="0.25">
      <c r="F8" s="98" t="s">
        <v>50</v>
      </c>
      <c r="G8" s="99"/>
      <c r="H8" s="99"/>
      <c r="I8" s="100"/>
      <c r="J8" s="102"/>
      <c r="K8" s="103"/>
      <c r="L8" s="103"/>
      <c r="M8" s="103"/>
      <c r="N8" s="104"/>
      <c r="O8" s="124"/>
      <c r="P8" s="125"/>
      <c r="Q8" s="126"/>
      <c r="R8" s="116" t="s">
        <v>17</v>
      </c>
      <c r="S8" s="116"/>
      <c r="T8" s="116"/>
      <c r="U8" s="116"/>
      <c r="V8" s="116"/>
      <c r="W8" s="117"/>
    </row>
    <row r="9" spans="6:30" x14ac:dyDescent="0.25">
      <c r="F9" s="98" t="s">
        <v>0</v>
      </c>
      <c r="G9" s="99"/>
      <c r="H9" s="99"/>
      <c r="I9" s="100"/>
      <c r="J9" s="102" t="s">
        <v>22</v>
      </c>
      <c r="K9" s="104"/>
      <c r="L9" s="13" t="s">
        <v>51</v>
      </c>
      <c r="M9" s="103">
        <v>6955</v>
      </c>
      <c r="N9" s="104"/>
      <c r="O9" s="127"/>
      <c r="P9" s="128"/>
      <c r="Q9" s="129"/>
      <c r="R9" s="119" t="s">
        <v>18</v>
      </c>
      <c r="S9" s="119"/>
      <c r="T9" s="119"/>
      <c r="U9" s="119"/>
      <c r="V9" s="119"/>
      <c r="W9" s="120"/>
    </row>
    <row r="10" spans="6:30" x14ac:dyDescent="0.25">
      <c r="F10" s="79" t="s">
        <v>3</v>
      </c>
      <c r="G10" s="81" t="s">
        <v>8</v>
      </c>
      <c r="H10" s="82"/>
      <c r="I10" s="83" t="s">
        <v>5</v>
      </c>
      <c r="J10" s="30"/>
      <c r="K10" s="31"/>
      <c r="L10" s="2" t="s">
        <v>45</v>
      </c>
      <c r="M10" s="118">
        <v>1</v>
      </c>
      <c r="N10" s="118"/>
      <c r="O10" s="130" t="s">
        <v>189</v>
      </c>
      <c r="P10" s="30"/>
      <c r="Q10" s="31"/>
      <c r="R10" s="52" t="s">
        <v>32</v>
      </c>
      <c r="S10" s="35">
        <v>5</v>
      </c>
      <c r="T10" s="36"/>
      <c r="U10" s="28" t="s">
        <v>6</v>
      </c>
      <c r="V10" s="86"/>
      <c r="W10" s="87"/>
    </row>
    <row r="11" spans="6:30" ht="15.75" thickBot="1" x14ac:dyDescent="0.3">
      <c r="F11" s="80"/>
      <c r="G11" s="37"/>
      <c r="H11" s="38"/>
      <c r="I11" s="84"/>
      <c r="J11" s="32"/>
      <c r="K11" s="33"/>
      <c r="L11" s="9" t="s">
        <v>46</v>
      </c>
      <c r="M11" s="34">
        <v>2</v>
      </c>
      <c r="N11" s="34"/>
      <c r="O11" s="29"/>
      <c r="P11" s="32"/>
      <c r="Q11" s="33"/>
      <c r="R11" s="53"/>
      <c r="S11" s="37"/>
      <c r="T11" s="38"/>
      <c r="U11" s="29"/>
      <c r="V11" s="88"/>
      <c r="W11" s="89"/>
    </row>
    <row r="12" spans="6:30" ht="15.75" thickBot="1" x14ac:dyDescent="0.3">
      <c r="F12" s="113"/>
      <c r="G12" s="107"/>
      <c r="H12" s="107"/>
      <c r="I12" s="107"/>
      <c r="J12" s="107"/>
      <c r="K12" s="107"/>
      <c r="L12" s="107"/>
      <c r="M12" s="107"/>
      <c r="N12" s="107"/>
      <c r="O12" s="107"/>
      <c r="P12" s="107"/>
      <c r="Q12" s="107"/>
      <c r="R12" s="107"/>
      <c r="S12" s="107"/>
      <c r="T12" s="107"/>
      <c r="U12" s="107"/>
      <c r="V12" s="107"/>
      <c r="W12" s="108"/>
    </row>
    <row r="13" spans="6:30" ht="15.75" thickBot="1" x14ac:dyDescent="0.3">
      <c r="F13" s="76" t="s">
        <v>44</v>
      </c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8"/>
    </row>
    <row r="14" spans="6:30" ht="15.75" thickBot="1" x14ac:dyDescent="0.3">
      <c r="F14" s="90" t="s">
        <v>39</v>
      </c>
      <c r="G14" s="133"/>
      <c r="H14" s="133"/>
      <c r="I14" s="133"/>
      <c r="J14" s="133"/>
      <c r="K14" s="133"/>
      <c r="L14" s="133"/>
      <c r="M14" s="133"/>
      <c r="N14" s="133"/>
      <c r="O14" s="133"/>
      <c r="P14" s="133"/>
      <c r="Q14" s="133"/>
      <c r="R14" s="133"/>
      <c r="S14" s="133"/>
      <c r="T14" s="133"/>
      <c r="U14" s="133"/>
      <c r="V14" s="133"/>
      <c r="W14" s="91"/>
    </row>
    <row r="15" spans="6:30" ht="15.75" thickBot="1" x14ac:dyDescent="0.3">
      <c r="F15" s="73" t="s">
        <v>35</v>
      </c>
      <c r="G15" s="74"/>
      <c r="H15" s="75"/>
      <c r="I15" s="85" t="s">
        <v>36</v>
      </c>
      <c r="J15" s="74"/>
      <c r="K15" s="74"/>
      <c r="L15" s="74" t="s">
        <v>33</v>
      </c>
      <c r="M15" s="74"/>
      <c r="N15" s="74"/>
      <c r="O15" s="74" t="s">
        <v>37</v>
      </c>
      <c r="P15" s="74"/>
      <c r="Q15" s="131"/>
      <c r="R15" s="73" t="s">
        <v>38</v>
      </c>
      <c r="S15" s="74"/>
      <c r="T15" s="75"/>
      <c r="U15" s="85" t="s">
        <v>34</v>
      </c>
      <c r="V15" s="74"/>
      <c r="W15" s="75"/>
      <c r="Y15" s="5"/>
      <c r="Z15" s="5"/>
      <c r="AA15" s="5"/>
      <c r="AB15" s="5"/>
      <c r="AC15" s="5"/>
      <c r="AD15" s="5"/>
    </row>
    <row r="16" spans="6:30" x14ac:dyDescent="0.25">
      <c r="F16" s="10" t="str">
        <f>IF($G$10="Directo","16 x Ib",IF($G$10="Indirecto","-",""))</f>
        <v>16 x Ib</v>
      </c>
      <c r="G16" s="40">
        <f>IF((S$10*16)=0,"",IF($G$10="Directo",S$10*16,IF($G$10="Indirecto","-",)))</f>
        <v>80</v>
      </c>
      <c r="H16" s="41"/>
      <c r="I16" s="59">
        <v>-0.1</v>
      </c>
      <c r="J16" s="40"/>
      <c r="K16" s="40"/>
      <c r="L16" s="40">
        <v>-0.03</v>
      </c>
      <c r="M16" s="40"/>
      <c r="N16" s="40"/>
      <c r="O16" s="40">
        <v>-0.21</v>
      </c>
      <c r="P16" s="40"/>
      <c r="Q16" s="60"/>
      <c r="R16" s="39">
        <f t="shared" ref="R16:R22" si="0">IF($G$10="Indirecto","-",IF($G$10="Directo",IF(M$10=1,2,IF(M$10=2,3,"")),"-"))</f>
        <v>2</v>
      </c>
      <c r="S16" s="40"/>
      <c r="T16" s="41"/>
      <c r="U16" s="42">
        <v>1</v>
      </c>
      <c r="V16" s="43"/>
      <c r="W16" s="44"/>
      <c r="Y16" s="6"/>
      <c r="Z16" s="6"/>
      <c r="AA16" s="6"/>
      <c r="AB16" s="6"/>
      <c r="AC16" s="7"/>
      <c r="AD16" s="8"/>
    </row>
    <row r="17" spans="6:31" x14ac:dyDescent="0.25">
      <c r="F17" s="10" t="str">
        <f>IF($G$10="Directo","14 x Ib",IF($G$10="Indirecto","-",""))</f>
        <v>14 x Ib</v>
      </c>
      <c r="G17" s="40">
        <f>IF((S$10*14)=0,"",IF($G$10="Directo",S$10*14,IF($G$10="Indirecto","-",)))</f>
        <v>70</v>
      </c>
      <c r="H17" s="41"/>
      <c r="I17" s="59">
        <v>-0.04</v>
      </c>
      <c r="J17" s="40"/>
      <c r="K17" s="40"/>
      <c r="L17" s="40">
        <v>0</v>
      </c>
      <c r="M17" s="40"/>
      <c r="N17" s="40"/>
      <c r="O17" s="40">
        <v>-0.15</v>
      </c>
      <c r="P17" s="40"/>
      <c r="Q17" s="60"/>
      <c r="R17" s="39">
        <f t="shared" si="0"/>
        <v>2</v>
      </c>
      <c r="S17" s="40"/>
      <c r="T17" s="41"/>
      <c r="U17" s="42"/>
      <c r="V17" s="43"/>
      <c r="W17" s="44"/>
      <c r="Y17" s="1"/>
      <c r="Z17" s="1"/>
      <c r="AA17" s="1"/>
      <c r="AB17" s="1"/>
      <c r="AC17" s="3"/>
      <c r="AD17" s="4"/>
    </row>
    <row r="18" spans="6:31" x14ac:dyDescent="0.25">
      <c r="F18" s="10" t="str">
        <f>IF($G$10="Directo","12 x Ib",IF($G$10="Indirecto","-",""))</f>
        <v>12 x Ib</v>
      </c>
      <c r="G18" s="40">
        <f>IF((S$10*12)=0,"",IF($G$10="Directo",S$10*12,IF($G$10="Indirecto","-",)))</f>
        <v>60</v>
      </c>
      <c r="H18" s="41"/>
      <c r="I18" s="59">
        <v>-0.1</v>
      </c>
      <c r="J18" s="40"/>
      <c r="K18" s="40"/>
      <c r="L18" s="40">
        <v>-0.01</v>
      </c>
      <c r="M18" s="40"/>
      <c r="N18" s="40"/>
      <c r="O18" s="40">
        <v>-0.15</v>
      </c>
      <c r="P18" s="40"/>
      <c r="Q18" s="60"/>
      <c r="R18" s="39">
        <f t="shared" si="0"/>
        <v>2</v>
      </c>
      <c r="S18" s="40"/>
      <c r="T18" s="41"/>
      <c r="U18" s="42"/>
      <c r="V18" s="43"/>
      <c r="W18" s="44"/>
      <c r="Y18" s="1"/>
      <c r="Z18" s="1"/>
      <c r="AA18" s="1"/>
      <c r="AB18" s="1"/>
      <c r="AC18" s="3"/>
      <c r="AD18" s="4"/>
    </row>
    <row r="19" spans="6:31" x14ac:dyDescent="0.25">
      <c r="F19" s="10" t="str">
        <f>IF($G$10="Directo","10 x Ib",IF($G$10="Indirecto","-",""))</f>
        <v>10 x Ib</v>
      </c>
      <c r="G19" s="40">
        <f>IF((S$10*10)=0,"",IF($G$10="Directo",S$10*10,IF($G$10="Indirecto","-",)))</f>
        <v>50</v>
      </c>
      <c r="H19" s="41"/>
      <c r="I19" s="59">
        <v>-0.03</v>
      </c>
      <c r="J19" s="40"/>
      <c r="K19" s="40"/>
      <c r="L19" s="40">
        <v>0.01</v>
      </c>
      <c r="M19" s="40"/>
      <c r="N19" s="40"/>
      <c r="O19" s="40">
        <v>-0.14000000000000001</v>
      </c>
      <c r="P19" s="40"/>
      <c r="Q19" s="60"/>
      <c r="R19" s="39">
        <f t="shared" si="0"/>
        <v>2</v>
      </c>
      <c r="S19" s="40"/>
      <c r="T19" s="41"/>
      <c r="U19" s="42"/>
      <c r="V19" s="43"/>
      <c r="W19" s="44"/>
      <c r="Y19" s="1"/>
      <c r="Z19" s="1"/>
      <c r="AA19" s="1"/>
      <c r="AB19" s="1"/>
      <c r="AC19" s="3"/>
      <c r="AD19" s="4"/>
    </row>
    <row r="20" spans="6:31" x14ac:dyDescent="0.25">
      <c r="F20" s="10" t="str">
        <f>IF($G$10="Directo","8 x Ib",IF($G$10="Indirecto","-",""))</f>
        <v>8 x Ib</v>
      </c>
      <c r="G20" s="40">
        <f>IF((S$10*8)=0,"",IF($G$10="Directo",S$10*8,IF($G$10="Indirecto","-",)))</f>
        <v>40</v>
      </c>
      <c r="H20" s="41"/>
      <c r="I20" s="59">
        <v>-0.05</v>
      </c>
      <c r="J20" s="40"/>
      <c r="K20" s="40"/>
      <c r="L20" s="40">
        <v>0.01</v>
      </c>
      <c r="M20" s="40"/>
      <c r="N20" s="40"/>
      <c r="O20" s="40">
        <v>-0.13</v>
      </c>
      <c r="P20" s="40"/>
      <c r="Q20" s="60"/>
      <c r="R20" s="39">
        <f t="shared" si="0"/>
        <v>2</v>
      </c>
      <c r="S20" s="40"/>
      <c r="T20" s="41"/>
      <c r="U20" s="42"/>
      <c r="V20" s="43"/>
      <c r="W20" s="44"/>
      <c r="Y20" s="1"/>
      <c r="Z20" s="1"/>
      <c r="AA20" s="1"/>
      <c r="AB20" s="1"/>
      <c r="AC20" s="3"/>
      <c r="AD20" s="4"/>
    </row>
    <row r="21" spans="6:31" x14ac:dyDescent="0.25">
      <c r="F21" s="10" t="str">
        <f>IF($G$10="Directo","6 x Ib",IF($G$10="Indirecto","-",""))</f>
        <v>6 x Ib</v>
      </c>
      <c r="G21" s="40">
        <f>IF((S$10*6)=0,"",IF($G$10="Directo",S$10*6,IF($G$10="Indirecto","-",)))</f>
        <v>30</v>
      </c>
      <c r="H21" s="41"/>
      <c r="I21" s="59">
        <v>-0.03</v>
      </c>
      <c r="J21" s="40"/>
      <c r="K21" s="40"/>
      <c r="L21" s="40">
        <v>0.02</v>
      </c>
      <c r="M21" s="40"/>
      <c r="N21" s="40"/>
      <c r="O21" s="40">
        <v>-0.13</v>
      </c>
      <c r="P21" s="40"/>
      <c r="Q21" s="60"/>
      <c r="R21" s="39">
        <f t="shared" si="0"/>
        <v>2</v>
      </c>
      <c r="S21" s="40"/>
      <c r="T21" s="41"/>
      <c r="U21" s="42"/>
      <c r="V21" s="43"/>
      <c r="W21" s="44"/>
      <c r="Y21" s="1"/>
      <c r="Z21" s="1"/>
      <c r="AA21" s="1"/>
      <c r="AB21" s="1"/>
      <c r="AC21" s="3"/>
      <c r="AD21" s="4"/>
    </row>
    <row r="22" spans="6:31" x14ac:dyDescent="0.25">
      <c r="F22" s="10" t="str">
        <f>IF($G$10="Directo","4 x Ib",IF($G$10="Indirecto","-",""))</f>
        <v>4 x Ib</v>
      </c>
      <c r="G22" s="40">
        <f>IF((S$10*4)=0,"",IF($G$10="Directo",S$10*4,IF($G$10="Indirecto","-",)))</f>
        <v>20</v>
      </c>
      <c r="H22" s="41"/>
      <c r="I22" s="59">
        <v>-0.03</v>
      </c>
      <c r="J22" s="40"/>
      <c r="K22" s="40"/>
      <c r="L22" s="40">
        <v>0.02</v>
      </c>
      <c r="M22" s="40"/>
      <c r="N22" s="40"/>
      <c r="O22" s="40">
        <v>-0.12</v>
      </c>
      <c r="P22" s="40"/>
      <c r="Q22" s="60"/>
      <c r="R22" s="39">
        <f t="shared" si="0"/>
        <v>2</v>
      </c>
      <c r="S22" s="40"/>
      <c r="T22" s="41"/>
      <c r="U22" s="42"/>
      <c r="V22" s="43"/>
      <c r="W22" s="44"/>
      <c r="Y22" s="1"/>
      <c r="Z22" s="1"/>
      <c r="AA22" s="1"/>
      <c r="AB22" s="1"/>
      <c r="AC22" s="3"/>
      <c r="AD22" s="4"/>
    </row>
    <row r="23" spans="6:31" x14ac:dyDescent="0.25">
      <c r="F23" s="10" t="str">
        <f>IF($G$10="Directo","2 x Ib",IF($G$10="Indirecto","2 x In",""))</f>
        <v>2 x Ib</v>
      </c>
      <c r="G23" s="40">
        <f>IF((S$10*2)=0,"",IF($G$10="Directo",S$10*2,IF($G$10="Indirecto",S$10*2,)))</f>
        <v>10</v>
      </c>
      <c r="H23" s="41"/>
      <c r="I23" s="59">
        <v>-0.03</v>
      </c>
      <c r="J23" s="40"/>
      <c r="K23" s="40"/>
      <c r="L23" s="40">
        <v>0.02</v>
      </c>
      <c r="M23" s="40"/>
      <c r="N23" s="40"/>
      <c r="O23" s="40">
        <v>-0.12</v>
      </c>
      <c r="P23" s="40"/>
      <c r="Q23" s="60"/>
      <c r="R23" s="39">
        <f>IF(M$10=1,2,IF(M$10=2,3,""))</f>
        <v>2</v>
      </c>
      <c r="S23" s="40"/>
      <c r="T23" s="41"/>
      <c r="U23" s="42"/>
      <c r="V23" s="43"/>
      <c r="W23" s="44"/>
      <c r="Y23" s="1"/>
      <c r="Z23" s="1"/>
      <c r="AA23" s="1"/>
      <c r="AB23" s="1"/>
      <c r="AC23" s="3"/>
      <c r="AD23" s="4"/>
    </row>
    <row r="24" spans="6:31" x14ac:dyDescent="0.25">
      <c r="F24" s="10" t="str">
        <f>IF($G$10="Directo","1 x Ib",IF($G$10="Indirecto","1 x In",""))</f>
        <v>1 x Ib</v>
      </c>
      <c r="G24" s="40">
        <f>IF((S$10*1)=0,"",IF($G$10="Directo",S$10*1,IF($G$10="Indirecto",S$10*1,)))</f>
        <v>5</v>
      </c>
      <c r="H24" s="41"/>
      <c r="I24" s="59">
        <v>-0.02</v>
      </c>
      <c r="J24" s="40"/>
      <c r="K24" s="40"/>
      <c r="L24" s="40">
        <v>0.02</v>
      </c>
      <c r="M24" s="40"/>
      <c r="N24" s="40"/>
      <c r="O24" s="40">
        <v>-0.12</v>
      </c>
      <c r="P24" s="40"/>
      <c r="Q24" s="60"/>
      <c r="R24" s="39">
        <f>IF(M$10=1,2,IF(M$10=2,3,""))</f>
        <v>2</v>
      </c>
      <c r="S24" s="40"/>
      <c r="T24" s="41"/>
      <c r="U24" s="42"/>
      <c r="V24" s="43"/>
      <c r="W24" s="44"/>
      <c r="Y24" s="1"/>
      <c r="Z24" s="1"/>
      <c r="AA24" s="1"/>
      <c r="AB24" s="1"/>
      <c r="AC24" s="3"/>
      <c r="AD24" s="4"/>
    </row>
    <row r="25" spans="6:31" x14ac:dyDescent="0.25">
      <c r="F25" s="10" t="str">
        <f>IF($G$10="Directo","0,5 x Ib",IF($G$10="Indirecto","0,5 x In",""))</f>
        <v>0,5 x Ib</v>
      </c>
      <c r="G25" s="40">
        <f>IF((S$10*0.5)=0,"",IF($G$10="Directo",S$10*0.5,IF($G$10="Indirecto",S$10*0.5,)))</f>
        <v>2.5</v>
      </c>
      <c r="H25" s="41"/>
      <c r="I25" s="59">
        <v>-0.03</v>
      </c>
      <c r="J25" s="40"/>
      <c r="K25" s="40"/>
      <c r="L25" s="40">
        <v>0.01</v>
      </c>
      <c r="M25" s="40"/>
      <c r="N25" s="40"/>
      <c r="O25" s="40">
        <v>-0.13</v>
      </c>
      <c r="P25" s="40"/>
      <c r="Q25" s="60"/>
      <c r="R25" s="39">
        <f>IF(M$10=1,2,IF(M$10=2,3,""))</f>
        <v>2</v>
      </c>
      <c r="S25" s="40"/>
      <c r="T25" s="41"/>
      <c r="U25" s="42"/>
      <c r="V25" s="43"/>
      <c r="W25" s="44"/>
      <c r="Y25" s="4"/>
      <c r="Z25" s="4"/>
      <c r="AA25" s="4"/>
      <c r="AB25" s="4"/>
      <c r="AC25" s="4"/>
      <c r="AD25" s="4"/>
      <c r="AE25" s="4"/>
    </row>
    <row r="26" spans="6:31" x14ac:dyDescent="0.25">
      <c r="F26" s="10" t="str">
        <f>IF($G$10="Directo","0,2 x Ib",IF($G$10="Indirecto","-",""))</f>
        <v>0,2 x Ib</v>
      </c>
      <c r="G26" s="40">
        <f>IF((S$10*0.2)=0,"",IF($G$10="Directo",S$10*0.2,IF($G$10="Indirecto","-",)))</f>
        <v>1</v>
      </c>
      <c r="H26" s="41"/>
      <c r="I26" s="59">
        <v>-0.04</v>
      </c>
      <c r="J26" s="40"/>
      <c r="K26" s="40"/>
      <c r="L26" s="40">
        <v>0</v>
      </c>
      <c r="M26" s="40"/>
      <c r="N26" s="40"/>
      <c r="O26" s="40">
        <v>-0.15</v>
      </c>
      <c r="P26" s="40"/>
      <c r="Q26" s="60"/>
      <c r="R26" s="39">
        <f>IF($G$10="Indirecto","-",IF($G$10="Directo",IF(M$10=1,2,IF(M$10=2,3,"")),"-"))</f>
        <v>2</v>
      </c>
      <c r="S26" s="40"/>
      <c r="T26" s="41"/>
      <c r="U26" s="42"/>
      <c r="V26" s="43"/>
      <c r="W26" s="44"/>
      <c r="Y26" s="4"/>
      <c r="Z26" s="4"/>
      <c r="AA26" s="4"/>
      <c r="AB26" s="4"/>
      <c r="AC26" s="4"/>
      <c r="AD26" s="4"/>
      <c r="AE26" s="4"/>
    </row>
    <row r="27" spans="6:31" x14ac:dyDescent="0.25">
      <c r="F27" s="10" t="str">
        <f>IF($G$10="Directo","0,1 x Ib",IF($G$10="Indirecto","0,1 x In",""))</f>
        <v>0,1 x Ib</v>
      </c>
      <c r="G27" s="40">
        <f>IF((S$10*0.1)=0,"",IF($G$10="Directo",S$10*0.1,IF($G$10="Indirecto",S$10*0.1,)))</f>
        <v>0.5</v>
      </c>
      <c r="H27" s="41"/>
      <c r="I27" s="59">
        <v>-7.0000000000000007E-2</v>
      </c>
      <c r="J27" s="40"/>
      <c r="K27" s="40"/>
      <c r="L27" s="40">
        <v>-0.04</v>
      </c>
      <c r="M27" s="40"/>
      <c r="N27" s="40"/>
      <c r="O27" s="40">
        <v>-0.2</v>
      </c>
      <c r="P27" s="40"/>
      <c r="Q27" s="60"/>
      <c r="R27" s="39">
        <f>IF(M$10=1,2,IF(M$10=2,3,""))</f>
        <v>2</v>
      </c>
      <c r="S27" s="40"/>
      <c r="T27" s="41"/>
      <c r="U27" s="42"/>
      <c r="V27" s="43"/>
      <c r="W27" s="44"/>
      <c r="Y27" s="4"/>
      <c r="Z27" s="4"/>
      <c r="AA27" s="4"/>
      <c r="AB27" s="4"/>
      <c r="AC27" s="4"/>
      <c r="AD27" s="4"/>
      <c r="AE27" s="4"/>
    </row>
    <row r="28" spans="6:31" ht="15.75" thickBot="1" x14ac:dyDescent="0.3">
      <c r="F28" s="11" t="str">
        <f>IF($G$10="Directo","-",IF($G$10="Indirecto","0,05 x In","-"))</f>
        <v>-</v>
      </c>
      <c r="G28" s="57" t="str">
        <f>IF((S$10*12)=0,"",IF($G$10="Directo","-",IF($G$10="Indirecto",S$10*0.05,)))</f>
        <v>-</v>
      </c>
      <c r="H28" s="58"/>
      <c r="I28" s="69"/>
      <c r="J28" s="57"/>
      <c r="K28" s="57"/>
      <c r="L28" s="57"/>
      <c r="M28" s="57"/>
      <c r="N28" s="57"/>
      <c r="O28" s="57"/>
      <c r="P28" s="57"/>
      <c r="Q28" s="70"/>
      <c r="R28" s="56" t="str">
        <f>IF($G$10="Directo","-",IF($G$10="Indirecto",IF(M$10=1,2,IF(M$10=2,3,"")),"-"))</f>
        <v>-</v>
      </c>
      <c r="S28" s="57"/>
      <c r="T28" s="58"/>
      <c r="U28" s="45"/>
      <c r="V28" s="46"/>
      <c r="W28" s="47"/>
      <c r="Y28" s="4"/>
      <c r="Z28" s="4"/>
      <c r="AA28" s="4"/>
      <c r="AB28" s="4"/>
      <c r="AC28" s="4"/>
      <c r="AD28" s="4"/>
      <c r="AE28" s="4"/>
    </row>
    <row r="29" spans="6:31" x14ac:dyDescent="0.25">
      <c r="F29" s="24" t="str">
        <f>IF($G$10="Directo","16 x Ib",IF($G$10="Indirecto","-",""))</f>
        <v>16 x Ib</v>
      </c>
      <c r="G29" s="40">
        <f>IF((S$10*16)=0,"",IF($G$10="Directo",S$10*16,IF($G$10="Indirecto","-",)))</f>
        <v>80</v>
      </c>
      <c r="H29" s="41"/>
      <c r="I29" s="132">
        <v>-0.3</v>
      </c>
      <c r="J29" s="67"/>
      <c r="K29" s="67"/>
      <c r="L29" s="67">
        <v>-0.08</v>
      </c>
      <c r="M29" s="67"/>
      <c r="N29" s="67"/>
      <c r="O29" s="67">
        <v>-0.28999999999999998</v>
      </c>
      <c r="P29" s="67"/>
      <c r="Q29" s="134"/>
      <c r="R29" s="66">
        <f t="shared" ref="R29:R36" si="1">IF($G$10="Indirecto","-",IF($G$10="Directo",IF(M$10=1,2,IF(M$10=2,3,"")),"-"))</f>
        <v>2</v>
      </c>
      <c r="S29" s="67"/>
      <c r="T29" s="68"/>
      <c r="U29" s="138" t="s">
        <v>192</v>
      </c>
      <c r="V29" s="62"/>
      <c r="W29" s="63"/>
      <c r="Y29" s="4"/>
      <c r="Z29" s="4"/>
      <c r="AA29" s="4"/>
      <c r="AB29" s="4"/>
      <c r="AC29" s="4"/>
      <c r="AD29" s="4"/>
      <c r="AE29" s="4"/>
    </row>
    <row r="30" spans="6:31" x14ac:dyDescent="0.25">
      <c r="F30" s="24" t="str">
        <f>IF($G$10="Directo","14 x Ib",IF($G$10="Indirecto","-",""))</f>
        <v>14 x Ib</v>
      </c>
      <c r="G30" s="40">
        <f>IF((S$10*14)=0,"",IF($G$10="Directo",S$10*14,IF($G$10="Indirecto","-",)))</f>
        <v>70</v>
      </c>
      <c r="H30" s="41"/>
      <c r="I30" s="59">
        <v>-0.28000000000000003</v>
      </c>
      <c r="J30" s="40"/>
      <c r="K30" s="40"/>
      <c r="L30" s="40">
        <v>-0.08</v>
      </c>
      <c r="M30" s="40"/>
      <c r="N30" s="40"/>
      <c r="O30" s="40">
        <v>-0.27</v>
      </c>
      <c r="P30" s="40"/>
      <c r="Q30" s="60"/>
      <c r="R30" s="39">
        <f t="shared" si="1"/>
        <v>2</v>
      </c>
      <c r="S30" s="40"/>
      <c r="T30" s="41"/>
      <c r="U30" s="42"/>
      <c r="V30" s="43"/>
      <c r="W30" s="44"/>
      <c r="Y30" s="4"/>
      <c r="Z30" s="4"/>
      <c r="AA30" s="4"/>
      <c r="AB30" s="4"/>
      <c r="AC30" s="4"/>
      <c r="AD30" s="4"/>
      <c r="AE30" s="4"/>
    </row>
    <row r="31" spans="6:31" x14ac:dyDescent="0.25">
      <c r="F31" s="24" t="str">
        <f>IF($G$10="Directo","12 x Ib",IF($G$10="Indirecto","-",""))</f>
        <v>12 x Ib</v>
      </c>
      <c r="G31" s="40">
        <f>IF((S$10*12)=0,"",IF($G$10="Directo",S$10*12,IF($G$10="Indirecto","-",)))</f>
        <v>60</v>
      </c>
      <c r="H31" s="41"/>
      <c r="I31" s="59">
        <v>-0.27</v>
      </c>
      <c r="J31" s="40"/>
      <c r="K31" s="40"/>
      <c r="L31" s="40">
        <v>-0.08</v>
      </c>
      <c r="M31" s="40"/>
      <c r="N31" s="40"/>
      <c r="O31" s="40">
        <v>-0.25</v>
      </c>
      <c r="P31" s="40"/>
      <c r="Q31" s="60"/>
      <c r="R31" s="39">
        <f t="shared" si="1"/>
        <v>2</v>
      </c>
      <c r="S31" s="40"/>
      <c r="T31" s="41"/>
      <c r="U31" s="42"/>
      <c r="V31" s="43"/>
      <c r="W31" s="44"/>
      <c r="Y31" s="4"/>
      <c r="Z31" s="4"/>
      <c r="AA31" s="4"/>
      <c r="AB31" s="4"/>
      <c r="AC31" s="4"/>
      <c r="AD31" s="4"/>
      <c r="AE31" s="4"/>
    </row>
    <row r="32" spans="6:31" x14ac:dyDescent="0.25">
      <c r="F32" s="24" t="str">
        <f>IF($G$10="Directo","10 x Ib",IF($G$10="Indirecto","-",""))</f>
        <v>10 x Ib</v>
      </c>
      <c r="G32" s="40">
        <f>IF((S$10*10)=0,"",IF($G$10="Directo",S$10*10,IF($G$10="Indirecto","-",)))</f>
        <v>50</v>
      </c>
      <c r="H32" s="41"/>
      <c r="I32" s="59">
        <v>-0.2</v>
      </c>
      <c r="J32" s="40"/>
      <c r="K32" s="40"/>
      <c r="L32" s="40">
        <v>-0.12</v>
      </c>
      <c r="M32" s="40"/>
      <c r="N32" s="40"/>
      <c r="O32" s="40">
        <v>-0.22</v>
      </c>
      <c r="P32" s="40"/>
      <c r="Q32" s="60"/>
      <c r="R32" s="39">
        <f t="shared" si="1"/>
        <v>2</v>
      </c>
      <c r="S32" s="40"/>
      <c r="T32" s="41"/>
      <c r="U32" s="42"/>
      <c r="V32" s="43"/>
      <c r="W32" s="44"/>
      <c r="Y32" s="4"/>
      <c r="Z32" s="4"/>
      <c r="AA32" s="4"/>
      <c r="AB32" s="4"/>
      <c r="AC32" s="4"/>
      <c r="AD32" s="4"/>
      <c r="AE32" s="4"/>
    </row>
    <row r="33" spans="6:31" x14ac:dyDescent="0.25">
      <c r="F33" s="24" t="str">
        <f>IF($G$10="Directo","8 x Ib",IF($G$10="Indirecto","-",""))</f>
        <v>8 x Ib</v>
      </c>
      <c r="G33" s="40">
        <f>IF((S$10*8)=0,"",IF($G$10="Directo",S$10*8,IF($G$10="Indirecto","-",)))</f>
        <v>40</v>
      </c>
      <c r="H33" s="41"/>
      <c r="I33" s="59">
        <v>-0.2</v>
      </c>
      <c r="J33" s="40"/>
      <c r="K33" s="40"/>
      <c r="L33" s="40">
        <v>-0.09</v>
      </c>
      <c r="M33" s="40"/>
      <c r="N33" s="40"/>
      <c r="O33" s="40">
        <v>-0.2</v>
      </c>
      <c r="P33" s="40"/>
      <c r="Q33" s="60"/>
      <c r="R33" s="39">
        <f t="shared" si="1"/>
        <v>2</v>
      </c>
      <c r="S33" s="40"/>
      <c r="T33" s="41"/>
      <c r="U33" s="42"/>
      <c r="V33" s="43"/>
      <c r="W33" s="44"/>
      <c r="Y33" s="4"/>
      <c r="Z33" s="4"/>
      <c r="AA33" s="4"/>
      <c r="AB33" s="4"/>
      <c r="AC33" s="4"/>
      <c r="AD33" s="4"/>
      <c r="AE33" s="4"/>
    </row>
    <row r="34" spans="6:31" x14ac:dyDescent="0.25">
      <c r="F34" s="24" t="str">
        <f>IF($G$10="Directo","6 x Ib",IF($G$10="Indirecto","-",""))</f>
        <v>6 x Ib</v>
      </c>
      <c r="G34" s="40">
        <f>IF((S$10*6)=0,"",IF($G$10="Directo",S$10*6,IF($G$10="Indirecto","-",)))</f>
        <v>30</v>
      </c>
      <c r="H34" s="41"/>
      <c r="I34" s="59">
        <v>-0.15</v>
      </c>
      <c r="J34" s="40"/>
      <c r="K34" s="40"/>
      <c r="L34" s="40">
        <v>-7.0000000000000007E-2</v>
      </c>
      <c r="M34" s="40"/>
      <c r="N34" s="40"/>
      <c r="O34" s="40">
        <v>-0.13</v>
      </c>
      <c r="P34" s="40"/>
      <c r="Q34" s="60"/>
      <c r="R34" s="39">
        <f t="shared" si="1"/>
        <v>2</v>
      </c>
      <c r="S34" s="40"/>
      <c r="T34" s="41"/>
      <c r="U34" s="42"/>
      <c r="V34" s="43"/>
      <c r="W34" s="44"/>
      <c r="Y34" s="4"/>
      <c r="Z34" s="4"/>
      <c r="AA34" s="4"/>
      <c r="AB34" s="4"/>
      <c r="AC34" s="4"/>
      <c r="AD34" s="4"/>
      <c r="AE34" s="4"/>
    </row>
    <row r="35" spans="6:31" x14ac:dyDescent="0.25">
      <c r="F35" s="24" t="str">
        <f>IF($G$10="Directo","4 x Ib",IF($G$10="Indirecto","-",""))</f>
        <v>4 x Ib</v>
      </c>
      <c r="G35" s="40">
        <f>IF((S$10*4)=0,"",IF($G$10="Directo",S$10*4,IF($G$10="Indirecto","-",)))</f>
        <v>20</v>
      </c>
      <c r="H35" s="41"/>
      <c r="I35" s="59">
        <v>-0.12</v>
      </c>
      <c r="J35" s="40"/>
      <c r="K35" s="40"/>
      <c r="L35" s="40">
        <v>-0.09</v>
      </c>
      <c r="M35" s="40"/>
      <c r="N35" s="40"/>
      <c r="O35" s="40">
        <v>-0.14000000000000001</v>
      </c>
      <c r="P35" s="40"/>
      <c r="Q35" s="60"/>
      <c r="R35" s="39">
        <f t="shared" si="1"/>
        <v>2</v>
      </c>
      <c r="S35" s="40"/>
      <c r="T35" s="41"/>
      <c r="U35" s="42"/>
      <c r="V35" s="43"/>
      <c r="W35" s="44"/>
      <c r="Y35" s="4"/>
      <c r="Z35" s="4"/>
      <c r="AA35" s="4"/>
      <c r="AB35" s="4"/>
      <c r="AC35" s="4"/>
      <c r="AD35" s="4"/>
      <c r="AE35" s="4"/>
    </row>
    <row r="36" spans="6:31" x14ac:dyDescent="0.25">
      <c r="F36" s="24" t="str">
        <f>IF($G$10="Directo","2 x Ib",IF($G$10="Indirecto","2 x In",""))</f>
        <v>2 x Ib</v>
      </c>
      <c r="G36" s="40">
        <f>IF((S$10*2)=0,"",IF($G$10="Directo",S$10*2,IF($G$10="Indirecto",S$10*2,)))</f>
        <v>10</v>
      </c>
      <c r="H36" s="41"/>
      <c r="I36" s="59">
        <v>-0.1</v>
      </c>
      <c r="J36" s="40"/>
      <c r="K36" s="40"/>
      <c r="L36" s="40">
        <v>-0.09</v>
      </c>
      <c r="M36" s="40"/>
      <c r="N36" s="40"/>
      <c r="O36" s="40">
        <v>-0.11</v>
      </c>
      <c r="P36" s="40"/>
      <c r="Q36" s="60"/>
      <c r="R36" s="39">
        <f t="shared" si="1"/>
        <v>2</v>
      </c>
      <c r="S36" s="40"/>
      <c r="T36" s="41"/>
      <c r="U36" s="42"/>
      <c r="V36" s="43"/>
      <c r="W36" s="44"/>
      <c r="Y36" s="4"/>
      <c r="Z36" s="4"/>
      <c r="AA36" s="4"/>
      <c r="AB36" s="4"/>
      <c r="AC36" s="4"/>
      <c r="AD36" s="4"/>
      <c r="AE36" s="4"/>
    </row>
    <row r="37" spans="6:31" x14ac:dyDescent="0.25">
      <c r="F37" s="24" t="str">
        <f>IF($G$10="Directo","1 x Ib",IF($G$10="Indirecto","1 x In",""))</f>
        <v>1 x Ib</v>
      </c>
      <c r="G37" s="40">
        <f>IF((S$10*1)=0,"",IF($G$10="Directo",S$10*1,IF($G$10="Indirecto",S$10*1,)))</f>
        <v>5</v>
      </c>
      <c r="H37" s="41"/>
      <c r="I37" s="59">
        <v>-0.05</v>
      </c>
      <c r="J37" s="40"/>
      <c r="K37" s="40"/>
      <c r="L37" s="40">
        <v>-0.08</v>
      </c>
      <c r="M37" s="40"/>
      <c r="N37" s="40"/>
      <c r="O37" s="40">
        <v>-0.08</v>
      </c>
      <c r="P37" s="40"/>
      <c r="Q37" s="60"/>
      <c r="R37" s="39">
        <f>IF(M$10=1,2,IF(M$10=2,3,""))</f>
        <v>2</v>
      </c>
      <c r="S37" s="40"/>
      <c r="T37" s="41"/>
      <c r="U37" s="42"/>
      <c r="V37" s="43"/>
      <c r="W37" s="44"/>
      <c r="Y37" s="4"/>
      <c r="Z37" s="4"/>
      <c r="AA37" s="4"/>
      <c r="AB37" s="4"/>
      <c r="AC37" s="4"/>
      <c r="AD37" s="4"/>
      <c r="AE37" s="4"/>
    </row>
    <row r="38" spans="6:31" x14ac:dyDescent="0.25">
      <c r="F38" s="24" t="str">
        <f>IF($G$10="Directo","0,5 x Ib",IF($G$10="Indirecto","0,5 x In",""))</f>
        <v>0,5 x Ib</v>
      </c>
      <c r="G38" s="40">
        <f>IF((S$10*0.5)=0,"",IF($G$10="Directo",S$10*0.5,IF($G$10="Indirecto",S$10*0.5,)))</f>
        <v>2.5</v>
      </c>
      <c r="H38" s="41"/>
      <c r="I38" s="59">
        <v>-0.03</v>
      </c>
      <c r="J38" s="40"/>
      <c r="K38" s="40"/>
      <c r="L38" s="40">
        <v>-0.01</v>
      </c>
      <c r="M38" s="40"/>
      <c r="N38" s="40"/>
      <c r="O38" s="40">
        <v>-7.0000000000000007E-2</v>
      </c>
      <c r="P38" s="40"/>
      <c r="Q38" s="60"/>
      <c r="R38" s="39">
        <f>IF(M$10=1,2,IF(M$10=2,3,""))</f>
        <v>2</v>
      </c>
      <c r="S38" s="40"/>
      <c r="T38" s="41"/>
      <c r="U38" s="42"/>
      <c r="V38" s="43"/>
      <c r="W38" s="44"/>
      <c r="Y38" s="4"/>
      <c r="Z38" s="4"/>
      <c r="AA38" s="4"/>
      <c r="AB38" s="4"/>
      <c r="AC38" s="4"/>
      <c r="AD38" s="4"/>
      <c r="AE38" s="4"/>
    </row>
    <row r="39" spans="6:31" x14ac:dyDescent="0.25">
      <c r="F39" s="24" t="str">
        <f>IF($G$10="Directo","0,2 x Ib",IF($G$10="Indirecto","-",""))</f>
        <v>0,2 x Ib</v>
      </c>
      <c r="G39" s="40">
        <f>IF((S$10*0.2)=0,"",IF($G$10="Directo",S$10*0.2,IF($G$10="Indirecto","-",)))</f>
        <v>1</v>
      </c>
      <c r="H39" s="41"/>
      <c r="I39" s="59">
        <v>-0.04</v>
      </c>
      <c r="J39" s="40"/>
      <c r="K39" s="40"/>
      <c r="L39" s="40">
        <v>-0.03</v>
      </c>
      <c r="M39" s="40"/>
      <c r="N39" s="40"/>
      <c r="O39" s="40">
        <v>-0.1</v>
      </c>
      <c r="P39" s="40"/>
      <c r="Q39" s="60"/>
      <c r="R39" s="39">
        <f>IF($G$10="Indirecto","-",IF($G$10="Directo",IF(M$10=1,2,IF(M$10=2,3,"")),"-"))</f>
        <v>2</v>
      </c>
      <c r="S39" s="40"/>
      <c r="T39" s="41"/>
      <c r="U39" s="42"/>
      <c r="V39" s="43"/>
      <c r="W39" s="44"/>
      <c r="Y39" s="4"/>
      <c r="Z39" s="4"/>
      <c r="AA39" s="4"/>
      <c r="AB39" s="4"/>
      <c r="AC39" s="4"/>
      <c r="AD39" s="4"/>
      <c r="AE39" s="4"/>
    </row>
    <row r="40" spans="6:31" ht="15.75" thickBot="1" x14ac:dyDescent="0.3">
      <c r="F40" s="24" t="str">
        <f>IF($G$10="Directo","-",IF($G$10="Indirecto","0,1 x In",""))</f>
        <v>-</v>
      </c>
      <c r="G40" s="40" t="str">
        <f>IF((S$10*0.1)=0,"",IF($G$10="Directo","-",IF($G$10="Indirecto",S$10*0.1,)))</f>
        <v>-</v>
      </c>
      <c r="H40" s="41"/>
      <c r="I40" s="69"/>
      <c r="J40" s="57"/>
      <c r="K40" s="57"/>
      <c r="L40" s="57"/>
      <c r="M40" s="57"/>
      <c r="N40" s="57"/>
      <c r="O40" s="57"/>
      <c r="P40" s="57"/>
      <c r="Q40" s="70"/>
      <c r="R40" s="56" t="str">
        <f>IF($G$10="Directo","-",IF($G$10="Indirecto",IF(M$10=1,2,IF(M$10=2,3,"")),"-"))</f>
        <v>-</v>
      </c>
      <c r="S40" s="57"/>
      <c r="T40" s="58"/>
      <c r="U40" s="45"/>
      <c r="V40" s="46"/>
      <c r="W40" s="47"/>
      <c r="X40" s="1"/>
      <c r="Y40" s="4"/>
      <c r="Z40" s="4"/>
      <c r="AA40" s="4"/>
      <c r="AB40" s="4"/>
      <c r="AC40" s="4"/>
      <c r="AD40" s="4"/>
      <c r="AE40" s="4"/>
    </row>
    <row r="41" spans="6:31" ht="15.75" thickBot="1" x14ac:dyDescent="0.3">
      <c r="F41" s="73" t="s">
        <v>40</v>
      </c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5"/>
      <c r="Y41" s="4"/>
      <c r="Z41" s="4"/>
      <c r="AA41" s="4"/>
      <c r="AB41" s="4"/>
      <c r="AC41" s="4"/>
      <c r="AD41" s="4"/>
      <c r="AE41" s="4"/>
    </row>
    <row r="42" spans="6:31" ht="15.75" thickBot="1" x14ac:dyDescent="0.3">
      <c r="F42" s="73" t="s">
        <v>41</v>
      </c>
      <c r="G42" s="74"/>
      <c r="H42" s="75"/>
      <c r="I42" s="73" t="s">
        <v>42</v>
      </c>
      <c r="J42" s="74"/>
      <c r="K42" s="74"/>
      <c r="L42" s="74"/>
      <c r="M42" s="74"/>
      <c r="N42" s="74"/>
      <c r="O42" s="74"/>
      <c r="P42" s="74"/>
      <c r="Q42" s="75"/>
      <c r="R42" s="73" t="s">
        <v>38</v>
      </c>
      <c r="S42" s="74"/>
      <c r="T42" s="75"/>
      <c r="U42" s="85" t="s">
        <v>34</v>
      </c>
      <c r="V42" s="74"/>
      <c r="W42" s="75"/>
      <c r="Y42" s="4"/>
      <c r="Z42" s="4"/>
      <c r="AA42" s="4"/>
      <c r="AB42" s="4"/>
      <c r="AC42" s="4"/>
      <c r="AD42" s="4"/>
      <c r="AE42" s="4"/>
    </row>
    <row r="43" spans="6:31" x14ac:dyDescent="0.25">
      <c r="F43" s="26" t="str">
        <f>IF($G$10="Directo","16 x Ib",IF($G$10="Indirecto","-",""))</f>
        <v>16 x Ib</v>
      </c>
      <c r="G43" s="40">
        <f>IF((S$10*16)=0,"",IF($G$10="Directo",S$10*16,IF($G$10="Indirecto","-",)))</f>
        <v>80</v>
      </c>
      <c r="H43" s="41"/>
      <c r="I43" s="39">
        <v>-0.12</v>
      </c>
      <c r="J43" s="40"/>
      <c r="K43" s="40"/>
      <c r="L43" s="40"/>
      <c r="M43" s="40"/>
      <c r="N43" s="40"/>
      <c r="O43" s="40"/>
      <c r="P43" s="40"/>
      <c r="Q43" s="41"/>
      <c r="R43" s="39">
        <f t="shared" ref="R43:R49" si="2">IF($G$10="Indirecto","-",IF(M$10=1,1,IF(M$10=2,2,"")))</f>
        <v>1</v>
      </c>
      <c r="S43" s="40"/>
      <c r="T43" s="41"/>
      <c r="U43" s="42">
        <v>1</v>
      </c>
      <c r="V43" s="43"/>
      <c r="W43" s="44"/>
      <c r="X43" s="6"/>
      <c r="Y43" s="6"/>
      <c r="Z43" s="7"/>
      <c r="AA43" s="8"/>
    </row>
    <row r="44" spans="6:31" x14ac:dyDescent="0.25">
      <c r="F44" s="26" t="str">
        <f>IF($G$10="Directo","14 x Ib",IF($G$10="Indirecto","-",""))</f>
        <v>14 x Ib</v>
      </c>
      <c r="G44" s="40">
        <f>IF((S$10*14)=0,"",IF($G$10="Directo",S$10*14,IF($G$10="Indirecto","-",)))</f>
        <v>70</v>
      </c>
      <c r="H44" s="41"/>
      <c r="I44" s="39">
        <v>-0.1</v>
      </c>
      <c r="J44" s="40"/>
      <c r="K44" s="40"/>
      <c r="L44" s="40"/>
      <c r="M44" s="40"/>
      <c r="N44" s="40"/>
      <c r="O44" s="40"/>
      <c r="P44" s="40"/>
      <c r="Q44" s="41"/>
      <c r="R44" s="39">
        <f t="shared" si="2"/>
        <v>1</v>
      </c>
      <c r="S44" s="40"/>
      <c r="T44" s="41"/>
      <c r="U44" s="42"/>
      <c r="V44" s="43"/>
      <c r="W44" s="44"/>
      <c r="X44" s="6"/>
      <c r="Y44" s="6"/>
      <c r="Z44" s="7"/>
      <c r="AA44" s="8"/>
    </row>
    <row r="45" spans="6:31" x14ac:dyDescent="0.25">
      <c r="F45" s="26" t="str">
        <f>IF($G$10="Directo","12 x Ib",IF($G$10="Indirecto","-",""))</f>
        <v>12 x Ib</v>
      </c>
      <c r="G45" s="40">
        <f>IF((S$10*12)=0,"",IF($G$10="Directo",S$10*12,IF($G$10="Indirecto","-",)))</f>
        <v>60</v>
      </c>
      <c r="H45" s="41"/>
      <c r="I45" s="39">
        <v>-0.09</v>
      </c>
      <c r="J45" s="40"/>
      <c r="K45" s="40"/>
      <c r="L45" s="40"/>
      <c r="M45" s="40"/>
      <c r="N45" s="40"/>
      <c r="O45" s="40"/>
      <c r="P45" s="40"/>
      <c r="Q45" s="41"/>
      <c r="R45" s="39">
        <f t="shared" si="2"/>
        <v>1</v>
      </c>
      <c r="S45" s="40"/>
      <c r="T45" s="41"/>
      <c r="U45" s="42"/>
      <c r="V45" s="43"/>
      <c r="W45" s="44"/>
      <c r="X45" s="6"/>
      <c r="Y45" s="6"/>
      <c r="Z45" s="7"/>
      <c r="AA45" s="8"/>
    </row>
    <row r="46" spans="6:31" x14ac:dyDescent="0.25">
      <c r="F46" s="26" t="str">
        <f>IF($G$10="Directo","10 x Ib",IF($G$10="Indirecto","-",""))</f>
        <v>10 x Ib</v>
      </c>
      <c r="G46" s="40">
        <f>IF((S$10*10)=0,"",IF($G$10="Directo",S$10*10,IF($G$10="Indirecto","-",)))</f>
        <v>50</v>
      </c>
      <c r="H46" s="41"/>
      <c r="I46" s="39">
        <v>-0.06</v>
      </c>
      <c r="J46" s="40"/>
      <c r="K46" s="40"/>
      <c r="L46" s="40"/>
      <c r="M46" s="40"/>
      <c r="N46" s="40"/>
      <c r="O46" s="40"/>
      <c r="P46" s="40"/>
      <c r="Q46" s="41"/>
      <c r="R46" s="39">
        <f t="shared" si="2"/>
        <v>1</v>
      </c>
      <c r="S46" s="40"/>
      <c r="T46" s="41"/>
      <c r="U46" s="42"/>
      <c r="V46" s="43"/>
      <c r="W46" s="44"/>
      <c r="X46" s="6"/>
      <c r="Y46" s="6"/>
      <c r="Z46" s="7"/>
      <c r="AA46" s="8"/>
    </row>
    <row r="47" spans="6:31" x14ac:dyDescent="0.25">
      <c r="F47" s="26" t="str">
        <f>IF($G$10="Directo","8 x Ib",IF($G$10="Indirecto","-",""))</f>
        <v>8 x Ib</v>
      </c>
      <c r="G47" s="40">
        <f>IF((S$10*8)=0,"",IF($G$10="Directo",S$10*8,IF($G$10="Indirecto","-",)))</f>
        <v>40</v>
      </c>
      <c r="H47" s="41"/>
      <c r="I47" s="39">
        <v>-0.06</v>
      </c>
      <c r="J47" s="40"/>
      <c r="K47" s="40"/>
      <c r="L47" s="40"/>
      <c r="M47" s="40"/>
      <c r="N47" s="40"/>
      <c r="O47" s="40"/>
      <c r="P47" s="40"/>
      <c r="Q47" s="41"/>
      <c r="R47" s="39">
        <f t="shared" si="2"/>
        <v>1</v>
      </c>
      <c r="S47" s="40"/>
      <c r="T47" s="41"/>
      <c r="U47" s="42"/>
      <c r="V47" s="43"/>
      <c r="W47" s="44"/>
      <c r="X47" s="6"/>
      <c r="Y47" s="6"/>
      <c r="Z47" s="7"/>
      <c r="AA47" s="8"/>
    </row>
    <row r="48" spans="6:31" x14ac:dyDescent="0.25">
      <c r="F48" s="26" t="str">
        <f>IF($G$10="Directo","6 x Ib",IF($G$10="Indirecto","-",""))</f>
        <v>6 x Ib</v>
      </c>
      <c r="G48" s="40">
        <f>IF((S$10*6)=0,"",IF($G$10="Directo",S$10*6,IF($G$10="Indirecto","-",)))</f>
        <v>30</v>
      </c>
      <c r="H48" s="41"/>
      <c r="I48" s="39">
        <v>-0.05</v>
      </c>
      <c r="J48" s="40"/>
      <c r="K48" s="40"/>
      <c r="L48" s="40"/>
      <c r="M48" s="40"/>
      <c r="N48" s="40"/>
      <c r="O48" s="40"/>
      <c r="P48" s="40"/>
      <c r="Q48" s="41"/>
      <c r="R48" s="39">
        <f t="shared" si="2"/>
        <v>1</v>
      </c>
      <c r="S48" s="40"/>
      <c r="T48" s="41"/>
      <c r="U48" s="42"/>
      <c r="V48" s="43"/>
      <c r="W48" s="44"/>
      <c r="X48" s="6"/>
      <c r="Y48" s="6"/>
      <c r="Z48" s="7"/>
      <c r="AA48" s="8"/>
    </row>
    <row r="49" spans="5:29" x14ac:dyDescent="0.25">
      <c r="F49" s="26" t="str">
        <f>IF($G$10="Directo","4 x Ib",IF($G$10="Indirecto","-",""))</f>
        <v>4 x Ib</v>
      </c>
      <c r="G49" s="40">
        <f>IF((S$10*4)=0,"",IF($G$10="Directo",S$10*4,IF($G$10="Indirecto","-",)))</f>
        <v>20</v>
      </c>
      <c r="H49" s="41"/>
      <c r="I49" s="39">
        <v>-0.05</v>
      </c>
      <c r="J49" s="40"/>
      <c r="K49" s="40"/>
      <c r="L49" s="40"/>
      <c r="M49" s="40"/>
      <c r="N49" s="40"/>
      <c r="O49" s="40"/>
      <c r="P49" s="40"/>
      <c r="Q49" s="41"/>
      <c r="R49" s="39">
        <f t="shared" si="2"/>
        <v>1</v>
      </c>
      <c r="S49" s="40"/>
      <c r="T49" s="41"/>
      <c r="U49" s="42"/>
      <c r="V49" s="43"/>
      <c r="W49" s="44"/>
      <c r="X49" s="6"/>
      <c r="Y49" s="6"/>
      <c r="Z49" s="7"/>
      <c r="AA49" s="8"/>
    </row>
    <row r="50" spans="5:29" x14ac:dyDescent="0.25">
      <c r="F50" s="26" t="str">
        <f>IF($G$10="Directo","2 x Ib",IF($G$10="Indirecto","2 x In",""))</f>
        <v>2 x Ib</v>
      </c>
      <c r="G50" s="40">
        <f>IF((S$10*2)=0,"",IF($G$10="Directo",S$10*2,IF($G$10="Indirecto",S$10*2,)))</f>
        <v>10</v>
      </c>
      <c r="H50" s="41"/>
      <c r="I50" s="39">
        <v>-0.05</v>
      </c>
      <c r="J50" s="40"/>
      <c r="K50" s="40"/>
      <c r="L50" s="40"/>
      <c r="M50" s="40"/>
      <c r="N50" s="40"/>
      <c r="O50" s="40"/>
      <c r="P50" s="40"/>
      <c r="Q50" s="41"/>
      <c r="R50" s="39">
        <f>IF(M$10=1,1,IF(M$10=2,2,""))</f>
        <v>1</v>
      </c>
      <c r="S50" s="40"/>
      <c r="T50" s="41"/>
      <c r="U50" s="42"/>
      <c r="V50" s="43"/>
      <c r="W50" s="44"/>
      <c r="X50" s="6"/>
      <c r="Y50" s="6"/>
      <c r="Z50" s="7"/>
      <c r="AA50" s="8"/>
    </row>
    <row r="51" spans="5:29" x14ac:dyDescent="0.25">
      <c r="F51" s="26" t="str">
        <f>IF($G$10="Directo","1 x Ib",IF($G$10="Indirecto","1 x In",""))</f>
        <v>1 x Ib</v>
      </c>
      <c r="G51" s="40">
        <f>IF((S$10*1)=0,"",IF($G$10="Directo",S$10*1,IF($G$10="Indirecto",S$10*1,)))</f>
        <v>5</v>
      </c>
      <c r="H51" s="41"/>
      <c r="I51" s="39">
        <v>-0.04</v>
      </c>
      <c r="J51" s="40"/>
      <c r="K51" s="40"/>
      <c r="L51" s="40"/>
      <c r="M51" s="40"/>
      <c r="N51" s="40"/>
      <c r="O51" s="40"/>
      <c r="P51" s="40"/>
      <c r="Q51" s="41"/>
      <c r="R51" s="39">
        <f>IF(M$10=1,1,IF(M$10=2,2,""))</f>
        <v>1</v>
      </c>
      <c r="S51" s="40"/>
      <c r="T51" s="41"/>
      <c r="U51" s="42"/>
      <c r="V51" s="43"/>
      <c r="W51" s="44"/>
      <c r="X51" s="6"/>
      <c r="Y51" s="6"/>
      <c r="Z51" s="7"/>
      <c r="AA51" s="8"/>
    </row>
    <row r="52" spans="5:29" x14ac:dyDescent="0.25">
      <c r="F52" s="26" t="str">
        <f>IF($G$10="Directo","0,5 x Ib",IF($G$10="Indirecto","0,5 x In",""))</f>
        <v>0,5 x Ib</v>
      </c>
      <c r="G52" s="40">
        <f>IF((S$10*0.5)=0,"",IF($G$10="Directo",S$10*0.5,IF($G$10="Indirecto",S$10*0.5,)))</f>
        <v>2.5</v>
      </c>
      <c r="H52" s="41"/>
      <c r="I52" s="39">
        <v>-0.05</v>
      </c>
      <c r="J52" s="40"/>
      <c r="K52" s="40"/>
      <c r="L52" s="40"/>
      <c r="M52" s="40"/>
      <c r="N52" s="40"/>
      <c r="O52" s="40"/>
      <c r="P52" s="40"/>
      <c r="Q52" s="41"/>
      <c r="R52" s="39">
        <f>IF(M$10=1,1,IF(M$10=2,2,""))</f>
        <v>1</v>
      </c>
      <c r="S52" s="40"/>
      <c r="T52" s="41"/>
      <c r="U52" s="42"/>
      <c r="V52" s="43"/>
      <c r="W52" s="44"/>
      <c r="X52" s="6"/>
      <c r="Y52" s="6"/>
      <c r="Z52" s="7"/>
      <c r="AA52" s="8"/>
    </row>
    <row r="53" spans="5:29" x14ac:dyDescent="0.25">
      <c r="E53" s="1"/>
      <c r="F53" s="26" t="str">
        <f>IF($G$10="Directo","0,2 x Ib",IF($G$10="Indirecto","-",""))</f>
        <v>0,2 x Ib</v>
      </c>
      <c r="G53" s="40">
        <f>IF((S$10*0.2)=0,"",IF($G$10="Directo",S$10*0.2,IF($G$10="Indirecto","-",)))</f>
        <v>1</v>
      </c>
      <c r="H53" s="41"/>
      <c r="I53" s="39">
        <v>-7.0000000000000007E-2</v>
      </c>
      <c r="J53" s="40"/>
      <c r="K53" s="40"/>
      <c r="L53" s="40"/>
      <c r="M53" s="40"/>
      <c r="N53" s="40"/>
      <c r="O53" s="40"/>
      <c r="P53" s="40"/>
      <c r="Q53" s="41"/>
      <c r="R53" s="39">
        <f>IF($G$10="Indirecto","-",IF(M$10=1,1,IF(M$10=2,2,"")))</f>
        <v>1</v>
      </c>
      <c r="S53" s="40"/>
      <c r="T53" s="41"/>
      <c r="U53" s="42"/>
      <c r="V53" s="43"/>
      <c r="W53" s="44"/>
      <c r="X53" s="6"/>
      <c r="Y53" s="6"/>
      <c r="Z53" s="7"/>
      <c r="AA53" s="8"/>
    </row>
    <row r="54" spans="5:29" x14ac:dyDescent="0.25">
      <c r="E54" s="1"/>
      <c r="F54" s="26" t="str">
        <f>IF($G$10="Directo","0,1 x Ib",IF($G$10="Indirecto","0,1 x In",""))</f>
        <v>0,1 x Ib</v>
      </c>
      <c r="G54" s="40">
        <f>IF((S$10*0.1)=0,"",IF($G$10="Directo",S$10*0.1,IF($G$10="Indirecto",S$10*0.1,)))</f>
        <v>0.5</v>
      </c>
      <c r="H54" s="41"/>
      <c r="I54" s="39">
        <v>-0.11</v>
      </c>
      <c r="J54" s="40"/>
      <c r="K54" s="40"/>
      <c r="L54" s="40"/>
      <c r="M54" s="40"/>
      <c r="N54" s="40"/>
      <c r="O54" s="40"/>
      <c r="P54" s="40"/>
      <c r="Q54" s="41"/>
      <c r="R54" s="39">
        <f>IF(M$10=1,1,IF(M$10=2,2,""))</f>
        <v>1</v>
      </c>
      <c r="S54" s="40"/>
      <c r="T54" s="41"/>
      <c r="U54" s="42"/>
      <c r="V54" s="43"/>
      <c r="W54" s="44"/>
      <c r="X54" s="6"/>
      <c r="Y54" s="6"/>
      <c r="Z54" s="7"/>
      <c r="AA54" s="8"/>
    </row>
    <row r="55" spans="5:29" x14ac:dyDescent="0.25">
      <c r="E55" s="1"/>
      <c r="F55" s="12" t="str">
        <f>IF($G$10="Directo","0,05 x Ib",IF($G$10="Indirecto","0,05 x In","-"))</f>
        <v>0,05 x Ib</v>
      </c>
      <c r="G55" s="71">
        <f>IF((S$10*12)=0,"",IF($G$10="Directo",S$10*0.05,IF($G$10="Indirecto",S$10*0.05,)))</f>
        <v>0.25</v>
      </c>
      <c r="H55" s="72"/>
      <c r="I55" s="39">
        <v>-0.2</v>
      </c>
      <c r="J55" s="40"/>
      <c r="K55" s="40"/>
      <c r="L55" s="40"/>
      <c r="M55" s="40"/>
      <c r="N55" s="40"/>
      <c r="O55" s="40"/>
      <c r="P55" s="40"/>
      <c r="Q55" s="41"/>
      <c r="R55" s="39">
        <f>IF($G$10="Directo",IF(M$10=1,1.5,IF(M$10=2,2.5,"")),IF($G$10="Indirecto",IF(M$10=1,1,IF(M$10=2,2,"")),""))</f>
        <v>1.5</v>
      </c>
      <c r="S55" s="40"/>
      <c r="T55" s="41"/>
      <c r="U55" s="42"/>
      <c r="V55" s="43"/>
      <c r="W55" s="44"/>
      <c r="X55" s="6"/>
      <c r="Y55" s="6"/>
      <c r="Z55" s="7"/>
      <c r="AA55" s="8"/>
    </row>
    <row r="56" spans="5:29" ht="15.75" thickBot="1" x14ac:dyDescent="0.3">
      <c r="E56" s="1"/>
      <c r="F56" s="27" t="str">
        <f>IF($G$10="Directo","-",IF($G$10="Indirecto","0,02 x In","-"))</f>
        <v>-</v>
      </c>
      <c r="G56" s="57" t="str">
        <f>IF((S$10*12)=0,"",IF($G$10="Directo","-",IF($G$10="Indirecto",S$10*0.02,)))</f>
        <v>-</v>
      </c>
      <c r="H56" s="58"/>
      <c r="I56" s="56"/>
      <c r="J56" s="57"/>
      <c r="K56" s="57"/>
      <c r="L56" s="57"/>
      <c r="M56" s="57"/>
      <c r="N56" s="57"/>
      <c r="O56" s="57"/>
      <c r="P56" s="57"/>
      <c r="Q56" s="58"/>
      <c r="R56" s="56" t="str">
        <f>IF($G$10="Directo","-",IF(M$10=1,1.5,IF(M$10=2,2.5,"")))</f>
        <v>-</v>
      </c>
      <c r="S56" s="57"/>
      <c r="T56" s="58"/>
      <c r="U56" s="45"/>
      <c r="V56" s="46"/>
      <c r="W56" s="47"/>
      <c r="X56" s="6"/>
      <c r="Y56" s="6"/>
      <c r="Z56" s="7"/>
      <c r="AA56" s="8"/>
    </row>
    <row r="57" spans="5:29" x14ac:dyDescent="0.25">
      <c r="F57" s="26" t="str">
        <f>IF($G$10="Directo","16 x Ib",IF($G$10="Indirecto","-",""))</f>
        <v>16 x Ib</v>
      </c>
      <c r="G57" s="136">
        <f>IF((S$10*16)=0,"",IF($G$10="Directo",S$10*16,IF($G$10="Indirecto","-",)))</f>
        <v>80</v>
      </c>
      <c r="H57" s="137"/>
      <c r="I57" s="39">
        <v>-0.05</v>
      </c>
      <c r="J57" s="40"/>
      <c r="K57" s="40"/>
      <c r="L57" s="40"/>
      <c r="M57" s="40"/>
      <c r="N57" s="40"/>
      <c r="O57" s="40"/>
      <c r="P57" s="40"/>
      <c r="Q57" s="41"/>
      <c r="R57" s="39">
        <f t="shared" ref="R57:R63" si="3">IF($G$10="Indirecto","-",IF(M$10=1,1,IF(M$10=2,"-","")))</f>
        <v>1</v>
      </c>
      <c r="S57" s="40"/>
      <c r="T57" s="41"/>
      <c r="U57" s="64" t="s">
        <v>193</v>
      </c>
      <c r="V57" s="43"/>
      <c r="W57" s="44"/>
      <c r="Z57" s="6"/>
      <c r="AA57" s="6"/>
      <c r="AB57" s="7"/>
      <c r="AC57" s="8"/>
    </row>
    <row r="58" spans="5:29" x14ac:dyDescent="0.25">
      <c r="F58" s="26" t="str">
        <f>IF($G$10="Directo","14 x Ib",IF($G$10="Indirecto","-",""))</f>
        <v>14 x Ib</v>
      </c>
      <c r="G58" s="60">
        <f>IF((S$10*14)=0,"",IF($G$10="Directo",S$10*14,IF($G$10="Indirecto","-",)))</f>
        <v>70</v>
      </c>
      <c r="H58" s="135"/>
      <c r="I58" s="39">
        <v>-0.04</v>
      </c>
      <c r="J58" s="40"/>
      <c r="K58" s="40"/>
      <c r="L58" s="40"/>
      <c r="M58" s="40"/>
      <c r="N58" s="40"/>
      <c r="O58" s="40"/>
      <c r="P58" s="40"/>
      <c r="Q58" s="41"/>
      <c r="R58" s="39">
        <f t="shared" si="3"/>
        <v>1</v>
      </c>
      <c r="S58" s="40"/>
      <c r="T58" s="41"/>
      <c r="U58" s="64"/>
      <c r="V58" s="43"/>
      <c r="W58" s="44"/>
      <c r="Z58" s="6"/>
      <c r="AA58" s="6"/>
      <c r="AB58" s="7"/>
      <c r="AC58" s="8"/>
    </row>
    <row r="59" spans="5:29" x14ac:dyDescent="0.25">
      <c r="F59" s="26" t="str">
        <f>IF($G$10="Directo","12 x Ib",IF($G$10="Indirecto","-",""))</f>
        <v>12 x Ib</v>
      </c>
      <c r="G59" s="60">
        <f>IF((S$10*12)=0,"",IF($G$10="Directo",S$10*12,IF($G$10="Indirecto","-",)))</f>
        <v>60</v>
      </c>
      <c r="H59" s="135"/>
      <c r="I59" s="39">
        <v>-0.03</v>
      </c>
      <c r="J59" s="40"/>
      <c r="K59" s="40"/>
      <c r="L59" s="40"/>
      <c r="M59" s="40"/>
      <c r="N59" s="40"/>
      <c r="O59" s="40"/>
      <c r="P59" s="40"/>
      <c r="Q59" s="41"/>
      <c r="R59" s="39">
        <f t="shared" si="3"/>
        <v>1</v>
      </c>
      <c r="S59" s="40"/>
      <c r="T59" s="41"/>
      <c r="U59" s="64"/>
      <c r="V59" s="43"/>
      <c r="W59" s="44"/>
      <c r="Z59" s="6"/>
      <c r="AA59" s="6"/>
      <c r="AB59" s="7"/>
      <c r="AC59" s="8"/>
    </row>
    <row r="60" spans="5:29" x14ac:dyDescent="0.25">
      <c r="F60" s="26" t="str">
        <f>IF($G$10="Directo","10 x Ib",IF($G$10="Indirecto","-",""))</f>
        <v>10 x Ib</v>
      </c>
      <c r="G60" s="60">
        <f>IF((S$10*10)=0,"",IF($G$10="Directo",S$10*10,IF($G$10="Indirecto","-",)))</f>
        <v>50</v>
      </c>
      <c r="H60" s="135"/>
      <c r="I60" s="39">
        <v>-0.02</v>
      </c>
      <c r="J60" s="40"/>
      <c r="K60" s="40"/>
      <c r="L60" s="40"/>
      <c r="M60" s="40"/>
      <c r="N60" s="40"/>
      <c r="O60" s="40"/>
      <c r="P60" s="40"/>
      <c r="Q60" s="41"/>
      <c r="R60" s="39">
        <f t="shared" si="3"/>
        <v>1</v>
      </c>
      <c r="S60" s="40"/>
      <c r="T60" s="41"/>
      <c r="U60" s="64"/>
      <c r="V60" s="43"/>
      <c r="W60" s="44"/>
      <c r="Z60" s="6"/>
      <c r="AA60" s="6"/>
      <c r="AB60" s="7"/>
      <c r="AC60" s="8"/>
    </row>
    <row r="61" spans="5:29" x14ac:dyDescent="0.25">
      <c r="F61" s="26" t="str">
        <f>IF($G$10="Directo","8 x Ib",IF($G$10="Indirecto","-",""))</f>
        <v>8 x Ib</v>
      </c>
      <c r="G61" s="60">
        <f>IF((S$10*8)=0,"",IF($G$10="Directo",S$10*8,IF($G$10="Indirecto","-",)))</f>
        <v>40</v>
      </c>
      <c r="H61" s="135"/>
      <c r="I61" s="39">
        <v>-0.01</v>
      </c>
      <c r="J61" s="40"/>
      <c r="K61" s="40"/>
      <c r="L61" s="40"/>
      <c r="M61" s="40"/>
      <c r="N61" s="40"/>
      <c r="O61" s="40"/>
      <c r="P61" s="40"/>
      <c r="Q61" s="41"/>
      <c r="R61" s="39">
        <f t="shared" si="3"/>
        <v>1</v>
      </c>
      <c r="S61" s="40"/>
      <c r="T61" s="41"/>
      <c r="U61" s="64"/>
      <c r="V61" s="43"/>
      <c r="W61" s="44"/>
      <c r="Z61" s="6"/>
      <c r="AA61" s="6"/>
      <c r="AB61" s="7"/>
      <c r="AC61" s="8"/>
    </row>
    <row r="62" spans="5:29" x14ac:dyDescent="0.25">
      <c r="F62" s="26" t="str">
        <f>IF($G$10="Directo","6 x Ib",IF($G$10="Indirecto","-",""))</f>
        <v>6 x Ib</v>
      </c>
      <c r="G62" s="60">
        <f>IF((S$10*6)=0,"",IF($G$10="Directo",S$10*6,IF($G$10="Indirecto","-",)))</f>
        <v>30</v>
      </c>
      <c r="H62" s="135"/>
      <c r="I62" s="39">
        <v>-0.02</v>
      </c>
      <c r="J62" s="40"/>
      <c r="K62" s="40"/>
      <c r="L62" s="40"/>
      <c r="M62" s="40"/>
      <c r="N62" s="40"/>
      <c r="O62" s="40"/>
      <c r="P62" s="40"/>
      <c r="Q62" s="41"/>
      <c r="R62" s="39">
        <f t="shared" si="3"/>
        <v>1</v>
      </c>
      <c r="S62" s="40"/>
      <c r="T62" s="41"/>
      <c r="U62" s="64"/>
      <c r="V62" s="43"/>
      <c r="W62" s="44"/>
      <c r="Z62" s="6"/>
      <c r="AA62" s="6"/>
      <c r="AB62" s="7"/>
      <c r="AC62" s="8"/>
    </row>
    <row r="63" spans="5:29" x14ac:dyDescent="0.25">
      <c r="F63" s="26" t="str">
        <f>IF($G$10="Directo","4 x Ib",IF($G$10="Indirecto","-",""))</f>
        <v>4 x Ib</v>
      </c>
      <c r="G63" s="60">
        <f>IF((S$10*4)=0,"",IF($G$10="Directo",S$10*4,IF($G$10="Indirecto","-",)))</f>
        <v>20</v>
      </c>
      <c r="H63" s="135"/>
      <c r="I63" s="39">
        <v>-0.02</v>
      </c>
      <c r="J63" s="40"/>
      <c r="K63" s="40"/>
      <c r="L63" s="40"/>
      <c r="M63" s="40"/>
      <c r="N63" s="40"/>
      <c r="O63" s="40"/>
      <c r="P63" s="40"/>
      <c r="Q63" s="41"/>
      <c r="R63" s="39">
        <f t="shared" si="3"/>
        <v>1</v>
      </c>
      <c r="S63" s="40"/>
      <c r="T63" s="41"/>
      <c r="U63" s="64"/>
      <c r="V63" s="43"/>
      <c r="W63" s="44"/>
      <c r="Z63" s="6"/>
      <c r="AA63" s="6"/>
      <c r="AB63" s="7"/>
      <c r="AC63" s="8"/>
    </row>
    <row r="64" spans="5:29" x14ac:dyDescent="0.25">
      <c r="F64" s="26" t="str">
        <f>IF($G$10="Directo","2 x Ib",IF($G$10="Indirecto","2 x In",""))</f>
        <v>2 x Ib</v>
      </c>
      <c r="G64" s="60">
        <f>IF((S$10*2)=0,"",IF($G$10="Directo",S$10*2,IF($G$10="Indirecto",S$10*2,)))</f>
        <v>10</v>
      </c>
      <c r="H64" s="135"/>
      <c r="I64" s="39">
        <v>-0.04</v>
      </c>
      <c r="J64" s="40"/>
      <c r="K64" s="40"/>
      <c r="L64" s="40"/>
      <c r="M64" s="40"/>
      <c r="N64" s="40"/>
      <c r="O64" s="40"/>
      <c r="P64" s="40"/>
      <c r="Q64" s="41"/>
      <c r="R64" s="39">
        <f>IF(M$10=1,1,IF(M$10=2,"-",""))</f>
        <v>1</v>
      </c>
      <c r="S64" s="40"/>
      <c r="T64" s="41"/>
      <c r="U64" s="64"/>
      <c r="V64" s="43"/>
      <c r="W64" s="44"/>
      <c r="Z64" s="6"/>
      <c r="AA64" s="6"/>
      <c r="AB64" s="7"/>
      <c r="AC64" s="8"/>
    </row>
    <row r="65" spans="6:29" x14ac:dyDescent="0.25">
      <c r="F65" s="26" t="str">
        <f>IF($G$10="Directo","1 x Ib",IF($G$10="Indirecto","1 x In",""))</f>
        <v>1 x Ib</v>
      </c>
      <c r="G65" s="60">
        <f>IF((S$10*1)=0,"",IF($G$10="Directo",S$10*1,IF($G$10="Indirecto",S$10*1,)))</f>
        <v>5</v>
      </c>
      <c r="H65" s="135"/>
      <c r="I65" s="39">
        <v>-0.04</v>
      </c>
      <c r="J65" s="40"/>
      <c r="K65" s="40"/>
      <c r="L65" s="40"/>
      <c r="M65" s="40"/>
      <c r="N65" s="40"/>
      <c r="O65" s="40"/>
      <c r="P65" s="40"/>
      <c r="Q65" s="41"/>
      <c r="R65" s="39">
        <f>IF(M$10=1,1,IF(M$10=2,"-",""))</f>
        <v>1</v>
      </c>
      <c r="S65" s="40"/>
      <c r="T65" s="41"/>
      <c r="U65" s="64"/>
      <c r="V65" s="43"/>
      <c r="W65" s="44"/>
      <c r="Z65" s="6"/>
      <c r="AA65" s="6"/>
      <c r="AB65" s="7"/>
      <c r="AC65" s="8"/>
    </row>
    <row r="66" spans="6:29" x14ac:dyDescent="0.25">
      <c r="F66" s="26" t="str">
        <f>IF($G$10="Directo","0,5 x Ib",IF($G$10="Indirecto","0,5 x In",""))</f>
        <v>0,5 x Ib</v>
      </c>
      <c r="G66" s="60">
        <f>IF((S$10*0.5)=0,"",IF($G$10="Directo",S$10*0.5,IF($G$10="Indirecto",S$10*0.5,)))</f>
        <v>2.5</v>
      </c>
      <c r="H66" s="135"/>
      <c r="I66" s="39">
        <v>-0.06</v>
      </c>
      <c r="J66" s="40"/>
      <c r="K66" s="40"/>
      <c r="L66" s="40"/>
      <c r="M66" s="40"/>
      <c r="N66" s="40"/>
      <c r="O66" s="40"/>
      <c r="P66" s="40"/>
      <c r="Q66" s="41"/>
      <c r="R66" s="39">
        <f>IF(M$10=1,1,IF(M$10=2,"-",""))</f>
        <v>1</v>
      </c>
      <c r="S66" s="40"/>
      <c r="T66" s="41"/>
      <c r="U66" s="64"/>
      <c r="V66" s="43"/>
      <c r="W66" s="44"/>
      <c r="Z66" s="6"/>
      <c r="AA66" s="6"/>
      <c r="AB66" s="7"/>
      <c r="AC66" s="8"/>
    </row>
    <row r="67" spans="6:29" x14ac:dyDescent="0.25">
      <c r="F67" s="26" t="str">
        <f>IF($G$10="Directo","0,2 x Ib",IF($G$10="Indirecto","-",""))</f>
        <v>0,2 x Ib</v>
      </c>
      <c r="G67" s="60">
        <f>IF((S$10*0.2)=0,"",IF($G$10="Directo",S$10*0.2,IF($G$10="Indirecto","-",)))</f>
        <v>1</v>
      </c>
      <c r="H67" s="135"/>
      <c r="I67" s="39">
        <v>-0.1</v>
      </c>
      <c r="J67" s="40"/>
      <c r="K67" s="40"/>
      <c r="L67" s="40"/>
      <c r="M67" s="40"/>
      <c r="N67" s="40"/>
      <c r="O67" s="40"/>
      <c r="P67" s="40"/>
      <c r="Q67" s="41"/>
      <c r="R67" s="39">
        <f>IF($G$10="Indirecto","-",IF(M$10=1,1,IF(M$10=2,"-","")))</f>
        <v>1</v>
      </c>
      <c r="S67" s="40"/>
      <c r="T67" s="41"/>
      <c r="U67" s="64"/>
      <c r="V67" s="43"/>
      <c r="W67" s="44"/>
      <c r="Z67" s="6"/>
      <c r="AA67" s="6"/>
      <c r="AB67" s="7"/>
      <c r="AC67" s="8"/>
    </row>
    <row r="68" spans="6:29" x14ac:dyDescent="0.25">
      <c r="F68" s="26" t="str">
        <f>IF($G$10="Directo","0,1 x Ib",IF($G$10="Indirecto","0,1 x In",""))</f>
        <v>0,1 x Ib</v>
      </c>
      <c r="G68" s="40">
        <f>IF((S$10*0.1)=0,"",IF($G$10="Directo",S$10*0.1,IF($G$10="Indirecto",S$10*0.1,)))</f>
        <v>0.5</v>
      </c>
      <c r="H68" s="41"/>
      <c r="I68" s="39">
        <v>-0.16</v>
      </c>
      <c r="J68" s="40"/>
      <c r="K68" s="40"/>
      <c r="L68" s="40"/>
      <c r="M68" s="40"/>
      <c r="N68" s="40"/>
      <c r="O68" s="40"/>
      <c r="P68" s="40"/>
      <c r="Q68" s="41"/>
      <c r="R68" s="39">
        <f>IF($G$10="Directo",IF(M$10=1,1.5,IF(M$10=2,"-","")),IF($G$10="Indirecto",IF(M$10=1,1,IF(M$10=2,"-","")),""))</f>
        <v>1.5</v>
      </c>
      <c r="S68" s="40"/>
      <c r="T68" s="41"/>
      <c r="U68" s="64"/>
      <c r="V68" s="43"/>
      <c r="W68" s="44"/>
      <c r="Z68" s="6"/>
      <c r="AA68" s="6"/>
      <c r="AB68" s="7"/>
      <c r="AC68" s="8"/>
    </row>
    <row r="69" spans="6:29" ht="15.75" thickBot="1" x14ac:dyDescent="0.3">
      <c r="F69" s="11" t="str">
        <f>IF($G$10="Directo","-",IF($G$10="Indirecto","0,05 x In","-"))</f>
        <v>-</v>
      </c>
      <c r="G69" s="57" t="str">
        <f>IF((S$10*12)=0,"",IF($G$10="Directo","-",IF($G$10="Indirecto",S$10*0.05,)))</f>
        <v>-</v>
      </c>
      <c r="H69" s="58"/>
      <c r="I69" s="56"/>
      <c r="J69" s="57"/>
      <c r="K69" s="57"/>
      <c r="L69" s="57"/>
      <c r="M69" s="57"/>
      <c r="N69" s="57"/>
      <c r="O69" s="57"/>
      <c r="P69" s="57"/>
      <c r="Q69" s="58"/>
      <c r="R69" s="56" t="str">
        <f>IF($G$10="Directo","-",IF(M$10=1,1.5,IF(M$10=2,"-","")))</f>
        <v>-</v>
      </c>
      <c r="S69" s="57"/>
      <c r="T69" s="58"/>
      <c r="U69" s="65"/>
      <c r="V69" s="46"/>
      <c r="W69" s="47"/>
      <c r="Z69" s="6"/>
      <c r="AA69" s="6"/>
      <c r="AB69" s="7"/>
      <c r="AC69" s="8"/>
    </row>
    <row r="70" spans="6:29" x14ac:dyDescent="0.25">
      <c r="F70" s="26" t="str">
        <f>IF($G$10="Directo","16 x Ib",IF($G$10="Indirecto","-",""))</f>
        <v>16 x Ib</v>
      </c>
      <c r="G70" s="40">
        <f>IF((S$10*16)=0,"",IF($G$10="Directo",S$10*16,IF($G$10="Indirecto","-",)))</f>
        <v>80</v>
      </c>
      <c r="H70" s="41"/>
      <c r="I70" s="59">
        <v>-0.24</v>
      </c>
      <c r="J70" s="40"/>
      <c r="K70" s="40"/>
      <c r="L70" s="40"/>
      <c r="M70" s="40"/>
      <c r="N70" s="40"/>
      <c r="O70" s="40"/>
      <c r="P70" s="40"/>
      <c r="Q70" s="60"/>
      <c r="R70" s="39">
        <f t="shared" ref="R70:R76" si="4">IF($G$10="indirecto","-",IF(M$10=1,1,IF(M$10=2,2,"")))</f>
        <v>1</v>
      </c>
      <c r="S70" s="40"/>
      <c r="T70" s="41"/>
      <c r="U70" s="42" t="s">
        <v>192</v>
      </c>
      <c r="V70" s="43"/>
      <c r="W70" s="44"/>
    </row>
    <row r="71" spans="6:29" x14ac:dyDescent="0.25">
      <c r="F71" s="26" t="str">
        <f>IF($G$10="Directo","14 x Ib",IF($G$10="Indirecto","-",""))</f>
        <v>14 x Ib</v>
      </c>
      <c r="G71" s="40">
        <f>IF((S$10*14)=0,"",IF($G$10="Directo",S$10*14,IF($G$10="Indirecto","-",)))</f>
        <v>70</v>
      </c>
      <c r="H71" s="41"/>
      <c r="I71" s="59">
        <v>-0.24</v>
      </c>
      <c r="J71" s="40"/>
      <c r="K71" s="40"/>
      <c r="L71" s="40"/>
      <c r="M71" s="40"/>
      <c r="N71" s="40"/>
      <c r="O71" s="40"/>
      <c r="P71" s="40"/>
      <c r="Q71" s="60"/>
      <c r="R71" s="39">
        <f t="shared" si="4"/>
        <v>1</v>
      </c>
      <c r="S71" s="40"/>
      <c r="T71" s="41"/>
      <c r="U71" s="42"/>
      <c r="V71" s="43"/>
      <c r="W71" s="44"/>
    </row>
    <row r="72" spans="6:29" x14ac:dyDescent="0.25">
      <c r="F72" s="26" t="str">
        <f>IF($G$10="Directo","12 x Ib",IF($G$10="Indirecto","-",""))</f>
        <v>12 x Ib</v>
      </c>
      <c r="G72" s="40">
        <f>IF((S$10*12)=0,"",IF($G$10="Directo",S$10*12,IF($G$10="Indirecto","-",)))</f>
        <v>60</v>
      </c>
      <c r="H72" s="41"/>
      <c r="I72" s="59">
        <v>-0.21</v>
      </c>
      <c r="J72" s="40"/>
      <c r="K72" s="40"/>
      <c r="L72" s="40"/>
      <c r="M72" s="40"/>
      <c r="N72" s="40"/>
      <c r="O72" s="40"/>
      <c r="P72" s="40"/>
      <c r="Q72" s="60"/>
      <c r="R72" s="39">
        <f t="shared" si="4"/>
        <v>1</v>
      </c>
      <c r="S72" s="40"/>
      <c r="T72" s="41"/>
      <c r="U72" s="42"/>
      <c r="V72" s="43"/>
      <c r="W72" s="44"/>
    </row>
    <row r="73" spans="6:29" x14ac:dyDescent="0.25">
      <c r="F73" s="26" t="str">
        <f>IF($G$10="Directo","10 x Ib",IF($G$10="Indirecto","-",""))</f>
        <v>10 x Ib</v>
      </c>
      <c r="G73" s="40">
        <f>IF((S$10*10)=0,"",IF($G$10="Directo",S$10*10,IF($G$10="Indirecto","-",)))</f>
        <v>50</v>
      </c>
      <c r="H73" s="41"/>
      <c r="I73" s="59">
        <v>-0.18</v>
      </c>
      <c r="J73" s="40"/>
      <c r="K73" s="40"/>
      <c r="L73" s="40"/>
      <c r="M73" s="40"/>
      <c r="N73" s="40"/>
      <c r="O73" s="40"/>
      <c r="P73" s="40"/>
      <c r="Q73" s="60"/>
      <c r="R73" s="39">
        <f t="shared" si="4"/>
        <v>1</v>
      </c>
      <c r="S73" s="40"/>
      <c r="T73" s="41"/>
      <c r="U73" s="42"/>
      <c r="V73" s="43"/>
      <c r="W73" s="44"/>
    </row>
    <row r="74" spans="6:29" x14ac:dyDescent="0.25">
      <c r="F74" s="26" t="str">
        <f>IF($G$10="Directo","8 x Ib",IF($G$10="Indirecto","-",""))</f>
        <v>8 x Ib</v>
      </c>
      <c r="G74" s="40">
        <f>IF((S$10*8)=0,"",IF($G$10="Directo",S$10*8,IF($G$10="Indirecto","-",)))</f>
        <v>40</v>
      </c>
      <c r="H74" s="41"/>
      <c r="I74" s="59">
        <v>-0.17</v>
      </c>
      <c r="J74" s="40"/>
      <c r="K74" s="40"/>
      <c r="L74" s="40"/>
      <c r="M74" s="40"/>
      <c r="N74" s="40"/>
      <c r="O74" s="40"/>
      <c r="P74" s="40"/>
      <c r="Q74" s="60"/>
      <c r="R74" s="39">
        <f t="shared" si="4"/>
        <v>1</v>
      </c>
      <c r="S74" s="40"/>
      <c r="T74" s="41"/>
      <c r="U74" s="42"/>
      <c r="V74" s="43"/>
      <c r="W74" s="44"/>
    </row>
    <row r="75" spans="6:29" x14ac:dyDescent="0.25">
      <c r="F75" s="26" t="str">
        <f>IF($G$10="Directo","6 x Ib",IF($G$10="Indirecto","-",""))</f>
        <v>6 x Ib</v>
      </c>
      <c r="G75" s="40">
        <f>IF((S$10*6)=0,"",IF($G$10="Directo",S$10*6,IF($G$10="Indirecto","-",)))</f>
        <v>30</v>
      </c>
      <c r="H75" s="41"/>
      <c r="I75" s="59">
        <v>-0.12</v>
      </c>
      <c r="J75" s="40"/>
      <c r="K75" s="40"/>
      <c r="L75" s="40"/>
      <c r="M75" s="40"/>
      <c r="N75" s="40"/>
      <c r="O75" s="40"/>
      <c r="P75" s="40"/>
      <c r="Q75" s="60"/>
      <c r="R75" s="39">
        <f t="shared" si="4"/>
        <v>1</v>
      </c>
      <c r="S75" s="40"/>
      <c r="T75" s="41"/>
      <c r="U75" s="42"/>
      <c r="V75" s="43"/>
      <c r="W75" s="44"/>
    </row>
    <row r="76" spans="6:29" x14ac:dyDescent="0.25">
      <c r="F76" s="26" t="str">
        <f>IF($G$10="Directo","4 x Ib",IF($G$10="Indirecto","-",""))</f>
        <v>4 x Ib</v>
      </c>
      <c r="G76" s="40">
        <f>IF((S$10*4)=0,"",IF($G$10="Directo",S$10*4,IF($G$10="Indirecto","-",)))</f>
        <v>20</v>
      </c>
      <c r="H76" s="41"/>
      <c r="I76" s="59">
        <v>-0.11</v>
      </c>
      <c r="J76" s="40"/>
      <c r="K76" s="40"/>
      <c r="L76" s="40"/>
      <c r="M76" s="40"/>
      <c r="N76" s="40"/>
      <c r="O76" s="40"/>
      <c r="P76" s="40"/>
      <c r="Q76" s="60"/>
      <c r="R76" s="39">
        <f t="shared" si="4"/>
        <v>1</v>
      </c>
      <c r="S76" s="40"/>
      <c r="T76" s="41"/>
      <c r="U76" s="42"/>
      <c r="V76" s="43"/>
      <c r="W76" s="44"/>
    </row>
    <row r="77" spans="6:29" x14ac:dyDescent="0.25">
      <c r="F77" s="26" t="str">
        <f>IF($G$10="Directo","2 x Ib",IF($G$10="Indirecto","2 x In",""))</f>
        <v>2 x Ib</v>
      </c>
      <c r="G77" s="40">
        <f>IF((S$10*2)=0,"",IF($G$10="Directo",S$10*2,IF($G$10="Indirecto",S$10*2,)))</f>
        <v>10</v>
      </c>
      <c r="H77" s="41"/>
      <c r="I77" s="59">
        <v>-0.09</v>
      </c>
      <c r="J77" s="40"/>
      <c r="K77" s="40"/>
      <c r="L77" s="40"/>
      <c r="M77" s="40"/>
      <c r="N77" s="40"/>
      <c r="O77" s="40"/>
      <c r="P77" s="40"/>
      <c r="Q77" s="60"/>
      <c r="R77" s="39">
        <f>IF(M$10=1,1,IF(M$10=2,2,""))</f>
        <v>1</v>
      </c>
      <c r="S77" s="40"/>
      <c r="T77" s="41"/>
      <c r="U77" s="42"/>
      <c r="V77" s="43"/>
      <c r="W77" s="44"/>
    </row>
    <row r="78" spans="6:29" x14ac:dyDescent="0.25">
      <c r="F78" s="26" t="str">
        <f>IF($G$10="Directo","1 x Ib",IF($G$10="Indirecto","1 x In",""))</f>
        <v>1 x Ib</v>
      </c>
      <c r="G78" s="40">
        <f>IF((S$10*1)=0,"",IF($G$10="Directo",S$10*1,IF($G$10="Indirecto",S$10*1,)))</f>
        <v>5</v>
      </c>
      <c r="H78" s="41"/>
      <c r="I78" s="59">
        <v>-0.06</v>
      </c>
      <c r="J78" s="40"/>
      <c r="K78" s="40"/>
      <c r="L78" s="40"/>
      <c r="M78" s="40"/>
      <c r="N78" s="40"/>
      <c r="O78" s="40"/>
      <c r="P78" s="40"/>
      <c r="Q78" s="60"/>
      <c r="R78" s="39">
        <f>IF(M$10=1,1,IF(M$10=2,2,""))</f>
        <v>1</v>
      </c>
      <c r="S78" s="40"/>
      <c r="T78" s="41"/>
      <c r="U78" s="42"/>
      <c r="V78" s="43"/>
      <c r="W78" s="44"/>
    </row>
    <row r="79" spans="6:29" x14ac:dyDescent="0.25">
      <c r="F79" s="26" t="str">
        <f>IF($G$10="Directo","0,5 x Ib",IF($G$10="Indirecto","0,5 x In",""))</f>
        <v>0,5 x Ib</v>
      </c>
      <c r="G79" s="40">
        <f>IF((S$10*0.5)=0,"",IF($G$10="Directo",S$10*0.5,IF($G$10="Indirecto",S$10*0.5,)))</f>
        <v>2.5</v>
      </c>
      <c r="H79" s="41"/>
      <c r="I79" s="59">
        <v>-0.04</v>
      </c>
      <c r="J79" s="40"/>
      <c r="K79" s="40"/>
      <c r="L79" s="40"/>
      <c r="M79" s="40"/>
      <c r="N79" s="40"/>
      <c r="O79" s="40"/>
      <c r="P79" s="40"/>
      <c r="Q79" s="60"/>
      <c r="R79" s="39">
        <f>IF(M$10=1,1,IF(M$10=2,2,""))</f>
        <v>1</v>
      </c>
      <c r="S79" s="40"/>
      <c r="T79" s="41"/>
      <c r="U79" s="42"/>
      <c r="V79" s="43"/>
      <c r="W79" s="44"/>
    </row>
    <row r="80" spans="6:29" x14ac:dyDescent="0.25">
      <c r="F80" s="26" t="str">
        <f>IF($G$10="Directo","0,2 x Ib",IF($G$10="Indirecto","-",""))</f>
        <v>0,2 x Ib</v>
      </c>
      <c r="G80" s="40">
        <f>IF((S$10*0.2)=0,"",IF($G$10="Directo",S$10*0.2,IF($G$10="Indirecto","-",)))</f>
        <v>1</v>
      </c>
      <c r="H80" s="41"/>
      <c r="I80" s="59">
        <v>-0.06</v>
      </c>
      <c r="J80" s="40"/>
      <c r="K80" s="40"/>
      <c r="L80" s="40"/>
      <c r="M80" s="40"/>
      <c r="N80" s="40"/>
      <c r="O80" s="40"/>
      <c r="P80" s="40"/>
      <c r="Q80" s="60"/>
      <c r="R80" s="39">
        <f>IF($G$10="indirecto","-",IF(M$10=1,1,IF(M$10=2,2,"")))</f>
        <v>1</v>
      </c>
      <c r="S80" s="40"/>
      <c r="T80" s="41"/>
      <c r="U80" s="42"/>
      <c r="V80" s="43"/>
      <c r="W80" s="44"/>
    </row>
    <row r="81" spans="6:29" x14ac:dyDescent="0.25">
      <c r="F81" s="26" t="str">
        <f>IF($G$10="Directo","0,1 x Ib",IF($G$10="Indirecto","0,1 x In",""))</f>
        <v>0,1 x Ib</v>
      </c>
      <c r="G81" s="40">
        <f>IF((S$10*0.1)=0,"",IF($G$10="Directo",S$10*0.1,IF($G$10="Indirecto",S$10*0.1,)))</f>
        <v>0.5</v>
      </c>
      <c r="H81" s="41"/>
      <c r="I81" s="59">
        <v>-0.13</v>
      </c>
      <c r="J81" s="40"/>
      <c r="K81" s="40"/>
      <c r="L81" s="40"/>
      <c r="M81" s="40"/>
      <c r="N81" s="40"/>
      <c r="O81" s="40"/>
      <c r="P81" s="40"/>
      <c r="Q81" s="60"/>
      <c r="R81" s="39">
        <f>IF($G$10="Directo",IF(M$10=1,1.5,IF(M$10=2,2.5,"")),IF($G$10="Indirecto",IF(M$10=1,1,IF(M$10=2,2,"")),""))</f>
        <v>1.5</v>
      </c>
      <c r="S81" s="40"/>
      <c r="T81" s="41"/>
      <c r="U81" s="42"/>
      <c r="V81" s="43"/>
      <c r="W81" s="44"/>
    </row>
    <row r="82" spans="6:29" ht="15.75" thickBot="1" x14ac:dyDescent="0.3">
      <c r="F82" s="11" t="str">
        <f>IF($G$10="Directo","-",IF($G$10="Indirecto","0,05 x In","-"))</f>
        <v>-</v>
      </c>
      <c r="G82" s="57" t="str">
        <f>IF((S$10*12)=0,"",IF($G$10="Directo","-",IF($G$10="Indirecto",S$10*0.05,)))</f>
        <v>-</v>
      </c>
      <c r="H82" s="58"/>
      <c r="I82" s="69"/>
      <c r="J82" s="57"/>
      <c r="K82" s="57"/>
      <c r="L82" s="57"/>
      <c r="M82" s="57"/>
      <c r="N82" s="57"/>
      <c r="O82" s="57"/>
      <c r="P82" s="57"/>
      <c r="Q82" s="70"/>
      <c r="R82" s="56" t="str">
        <f>IF($G$10="Directo","-",IF(M$10=1,1.5,IF(M$10=2,2.5,"")))</f>
        <v>-</v>
      </c>
      <c r="S82" s="57"/>
      <c r="T82" s="58"/>
      <c r="U82" s="45"/>
      <c r="V82" s="46"/>
      <c r="W82" s="47"/>
      <c r="Z82" s="1"/>
      <c r="AA82" s="1"/>
      <c r="AB82" s="1"/>
      <c r="AC82" s="1"/>
    </row>
    <row r="83" spans="6:29" ht="15.75" thickBot="1" x14ac:dyDescent="0.3">
      <c r="F83" s="73" t="s">
        <v>43</v>
      </c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4"/>
      <c r="S83" s="74"/>
      <c r="T83" s="74"/>
      <c r="U83" s="74"/>
      <c r="V83" s="74"/>
      <c r="W83" s="75"/>
      <c r="Z83" s="1"/>
      <c r="AA83" s="1"/>
      <c r="AB83" s="3"/>
      <c r="AC83" s="4"/>
    </row>
    <row r="84" spans="6:29" ht="15.75" thickBot="1" x14ac:dyDescent="0.3">
      <c r="F84" s="73" t="s">
        <v>39</v>
      </c>
      <c r="G84" s="74"/>
      <c r="H84" s="74"/>
      <c r="I84" s="74"/>
      <c r="J84" s="74"/>
      <c r="K84" s="74"/>
      <c r="L84" s="74"/>
      <c r="M84" s="74"/>
      <c r="N84" s="74"/>
      <c r="O84" s="74"/>
      <c r="P84" s="74"/>
      <c r="Q84" s="74"/>
      <c r="R84" s="74"/>
      <c r="S84" s="74"/>
      <c r="T84" s="74"/>
      <c r="U84" s="74"/>
      <c r="V84" s="74"/>
      <c r="W84" s="75"/>
      <c r="Z84" s="1"/>
      <c r="AA84" s="1"/>
      <c r="AB84" s="3"/>
      <c r="AC84" s="4"/>
    </row>
    <row r="85" spans="6:29" ht="15.75" thickBot="1" x14ac:dyDescent="0.3">
      <c r="F85" s="73" t="s">
        <v>35</v>
      </c>
      <c r="G85" s="74"/>
      <c r="H85" s="75"/>
      <c r="I85" s="73" t="s">
        <v>36</v>
      </c>
      <c r="J85" s="74"/>
      <c r="K85" s="74"/>
      <c r="L85" s="74" t="s">
        <v>33</v>
      </c>
      <c r="M85" s="74"/>
      <c r="N85" s="74"/>
      <c r="O85" s="74" t="s">
        <v>37</v>
      </c>
      <c r="P85" s="74"/>
      <c r="Q85" s="75"/>
      <c r="R85" s="73" t="s">
        <v>38</v>
      </c>
      <c r="S85" s="74"/>
      <c r="T85" s="75"/>
      <c r="U85" s="73" t="s">
        <v>194</v>
      </c>
      <c r="V85" s="74"/>
      <c r="W85" s="75"/>
      <c r="Z85" s="1"/>
      <c r="AA85" s="1"/>
      <c r="AB85" s="3"/>
      <c r="AC85" s="4"/>
    </row>
    <row r="86" spans="6:29" x14ac:dyDescent="0.25">
      <c r="F86" s="26" t="str">
        <f>IF($G$10="Directo","16 x Ib",IF($G$10="Indirecto","-",""))</f>
        <v>16 x Ib</v>
      </c>
      <c r="G86" s="40">
        <f>IF((S$10*16)=0,"",IF($G$10="Directo",S$10*16,IF($G$10="Indirecto","-",)))</f>
        <v>80</v>
      </c>
      <c r="H86" s="41"/>
      <c r="I86" s="39">
        <v>-0.02</v>
      </c>
      <c r="J86" s="40"/>
      <c r="K86" s="40"/>
      <c r="L86" s="40">
        <v>-0.11</v>
      </c>
      <c r="M86" s="40"/>
      <c r="N86" s="40"/>
      <c r="O86" s="40">
        <v>-0.17</v>
      </c>
      <c r="P86" s="40"/>
      <c r="Q86" s="41"/>
      <c r="R86" s="39">
        <f>IF($G$10="Indirecto","-",IF($G$10="Directo",IF(M$11=2,3,IF(M$11=3,4,"")),"-"))</f>
        <v>3</v>
      </c>
      <c r="S86" s="40"/>
      <c r="T86" s="41"/>
      <c r="U86" s="64" t="s">
        <v>195</v>
      </c>
      <c r="V86" s="43"/>
      <c r="W86" s="44"/>
      <c r="Z86" s="1"/>
      <c r="AA86" s="1"/>
      <c r="AB86" s="3"/>
      <c r="AC86" s="4"/>
    </row>
    <row r="87" spans="6:29" x14ac:dyDescent="0.25">
      <c r="F87" s="26" t="str">
        <f>IF($G$10="Directo","12 x Ib",IF($G$10="Indirecto","-",""))</f>
        <v>12 x Ib</v>
      </c>
      <c r="G87" s="40">
        <f>IF((S$10*12)=0,"",IF($G$10="Directo",S$10*12,IF($G$10="Indirecto","-",)))</f>
        <v>60</v>
      </c>
      <c r="H87" s="41"/>
      <c r="I87" s="39">
        <v>0.02</v>
      </c>
      <c r="J87" s="40"/>
      <c r="K87" s="40"/>
      <c r="L87" s="40">
        <v>-0.08</v>
      </c>
      <c r="M87" s="40"/>
      <c r="N87" s="40"/>
      <c r="O87" s="40">
        <v>-0.15</v>
      </c>
      <c r="P87" s="40"/>
      <c r="Q87" s="41"/>
      <c r="R87" s="39">
        <f>IF($G$10="Indirecto","-",IF($G$10="Directo",IF(M$11=2,3,IF(M$11=3,4,"")),"-"))</f>
        <v>3</v>
      </c>
      <c r="S87" s="40"/>
      <c r="T87" s="41"/>
      <c r="U87" s="64"/>
      <c r="V87" s="43"/>
      <c r="W87" s="44"/>
      <c r="Z87" s="1"/>
      <c r="AA87" s="1"/>
      <c r="AB87" s="3"/>
      <c r="AC87" s="4"/>
    </row>
    <row r="88" spans="6:29" x14ac:dyDescent="0.25">
      <c r="F88" s="26" t="str">
        <f>IF($G$10="Directo","8 x Ib",IF($G$10="Indirecto","-",""))</f>
        <v>8 x Ib</v>
      </c>
      <c r="G88" s="40">
        <f>IF((S$10*8)=0,"",IF($G$10="Directo",S$10*8,IF($G$10="Indirecto","-",)))</f>
        <v>40</v>
      </c>
      <c r="H88" s="41"/>
      <c r="I88" s="39">
        <v>0.04</v>
      </c>
      <c r="J88" s="40"/>
      <c r="K88" s="40"/>
      <c r="L88" s="40">
        <v>-0.02</v>
      </c>
      <c r="M88" s="40"/>
      <c r="N88" s="40"/>
      <c r="O88" s="40">
        <v>-0.13</v>
      </c>
      <c r="P88" s="40"/>
      <c r="Q88" s="41"/>
      <c r="R88" s="39">
        <f>IF($G$10="Indirecto","-",IF($G$10="Directo",IF(M$11=2,3,IF(M$11=3,4,"")),"-"))</f>
        <v>3</v>
      </c>
      <c r="S88" s="40"/>
      <c r="T88" s="41"/>
      <c r="U88" s="64"/>
      <c r="V88" s="43"/>
      <c r="W88" s="44"/>
      <c r="Z88" s="1"/>
      <c r="AA88" s="1"/>
      <c r="AB88" s="3"/>
      <c r="AC88" s="4"/>
    </row>
    <row r="89" spans="6:29" x14ac:dyDescent="0.25">
      <c r="F89" s="26" t="str">
        <f>IF($G$10="Directo","4 x Ib",IF($G$10="Indirecto","-",""))</f>
        <v>4 x Ib</v>
      </c>
      <c r="G89" s="40">
        <f>IF((S$10*4)=0,"",IF($G$10="Directo",S$10*4,IF($G$10="Indirecto","-",)))</f>
        <v>20</v>
      </c>
      <c r="H89" s="41"/>
      <c r="I89" s="39">
        <v>0.06</v>
      </c>
      <c r="J89" s="40"/>
      <c r="K89" s="40"/>
      <c r="L89" s="40">
        <v>-0.01</v>
      </c>
      <c r="M89" s="40"/>
      <c r="N89" s="40"/>
      <c r="O89" s="40">
        <v>-0.11</v>
      </c>
      <c r="P89" s="40"/>
      <c r="Q89" s="41"/>
      <c r="R89" s="39">
        <f>IF($G$10="Indirecto","-",IF($G$10="Directo",IF(M$11=2,3,IF(M$11=3,4,"")),"-"))</f>
        <v>3</v>
      </c>
      <c r="S89" s="40"/>
      <c r="T89" s="41"/>
      <c r="U89" s="64"/>
      <c r="V89" s="43"/>
      <c r="W89" s="44"/>
      <c r="Z89" s="1"/>
      <c r="AA89" s="1"/>
      <c r="AB89" s="3"/>
      <c r="AC89" s="4"/>
    </row>
    <row r="90" spans="6:29" x14ac:dyDescent="0.25">
      <c r="F90" s="26" t="str">
        <f>IF($G$10="Directo","2 x Ib",IF($G$10="Indirecto","2 x In",""))</f>
        <v>2 x Ib</v>
      </c>
      <c r="G90" s="40">
        <f>IF((S$10*2)=0,"",IF($G$10="Directo",S$10*2,IF($G$10="Indirecto",S$10*2,)))</f>
        <v>10</v>
      </c>
      <c r="H90" s="41"/>
      <c r="I90" s="39">
        <v>0.08</v>
      </c>
      <c r="J90" s="40"/>
      <c r="K90" s="40"/>
      <c r="L90" s="40">
        <v>0</v>
      </c>
      <c r="M90" s="40"/>
      <c r="N90" s="40"/>
      <c r="O90" s="40">
        <v>-0.1</v>
      </c>
      <c r="P90" s="40"/>
      <c r="Q90" s="41"/>
      <c r="R90" s="39">
        <f>IF(M$11=2,3,IF(M$11=3,4,""))</f>
        <v>3</v>
      </c>
      <c r="S90" s="40"/>
      <c r="T90" s="41"/>
      <c r="U90" s="64"/>
      <c r="V90" s="43"/>
      <c r="W90" s="44"/>
      <c r="Z90" s="1"/>
      <c r="AA90" s="1"/>
      <c r="AB90" s="3"/>
      <c r="AC90" s="4"/>
    </row>
    <row r="91" spans="6:29" x14ac:dyDescent="0.25">
      <c r="F91" s="26" t="str">
        <f>IF($G$10="Directo","1 x Ib",IF($G$10="Indirecto","1 x In",""))</f>
        <v>1 x Ib</v>
      </c>
      <c r="G91" s="40">
        <f>IF((S$10*1)=0,"",IF($G$10="Directo",S$10*1,IF($G$10="Indirecto",S$10*1,)))</f>
        <v>5</v>
      </c>
      <c r="H91" s="41"/>
      <c r="I91" s="39">
        <v>0.09</v>
      </c>
      <c r="J91" s="40"/>
      <c r="K91" s="40"/>
      <c r="L91" s="40">
        <v>0.01</v>
      </c>
      <c r="M91" s="40"/>
      <c r="N91" s="40"/>
      <c r="O91" s="40">
        <v>-0.1</v>
      </c>
      <c r="P91" s="40"/>
      <c r="Q91" s="41"/>
      <c r="R91" s="39">
        <f>IF(M$11=2,3,IF(M$11=3,4,""))</f>
        <v>3</v>
      </c>
      <c r="S91" s="40"/>
      <c r="T91" s="41"/>
      <c r="U91" s="64"/>
      <c r="V91" s="43"/>
      <c r="W91" s="44"/>
      <c r="Z91" s="1"/>
      <c r="AA91" s="1"/>
      <c r="AB91" s="3"/>
      <c r="AC91" s="4"/>
    </row>
    <row r="92" spans="6:29" x14ac:dyDescent="0.25">
      <c r="F92" s="26" t="str">
        <f>IF($G$10="Directo","0,5 x Ib",IF($G$10="Indirecto","0,5 x In",""))</f>
        <v>0,5 x Ib</v>
      </c>
      <c r="G92" s="40">
        <f>IF((S$10*0.5)=0,"",IF($G$10="Directo",S$10*0.5,IF($G$10="Indirecto",S$10*0.5,)))</f>
        <v>2.5</v>
      </c>
      <c r="H92" s="41"/>
      <c r="I92" s="39">
        <v>0.1</v>
      </c>
      <c r="J92" s="40"/>
      <c r="K92" s="40"/>
      <c r="L92" s="40">
        <v>0.02</v>
      </c>
      <c r="M92" s="40"/>
      <c r="N92" s="40"/>
      <c r="O92" s="40">
        <v>-0.09</v>
      </c>
      <c r="P92" s="40"/>
      <c r="Q92" s="41"/>
      <c r="R92" s="39">
        <f>IF(M$11=2,3,IF(M$11=3,4,""))</f>
        <v>3</v>
      </c>
      <c r="S92" s="40"/>
      <c r="T92" s="41"/>
      <c r="U92" s="64"/>
      <c r="V92" s="43"/>
      <c r="W92" s="44"/>
    </row>
    <row r="93" spans="6:29" x14ac:dyDescent="0.25">
      <c r="F93" s="26" t="str">
        <f>IF($G$10="Directo","0,2 x Ib",IF($G$10="Indirecto","-",""))</f>
        <v>0,2 x Ib</v>
      </c>
      <c r="G93" s="40">
        <f>IF((S$10*0.2)=0,"",IF($G$10="Directo",S$10*0.2,IF($G$10="Indirecto","-",)))</f>
        <v>1</v>
      </c>
      <c r="H93" s="41"/>
      <c r="I93" s="39">
        <v>0.11</v>
      </c>
      <c r="J93" s="40"/>
      <c r="K93" s="40"/>
      <c r="L93" s="40">
        <v>0.02</v>
      </c>
      <c r="M93" s="40"/>
      <c r="N93" s="40"/>
      <c r="O93" s="40">
        <v>-0.09</v>
      </c>
      <c r="P93" s="40"/>
      <c r="Q93" s="41"/>
      <c r="R93" s="39">
        <f>IF($G$10="Indirecto","-",IF($G$10="Directo",IF(M$11=2,3,IF(M$11=3,4,"")),"-"))</f>
        <v>3</v>
      </c>
      <c r="S93" s="40"/>
      <c r="T93" s="41"/>
      <c r="U93" s="64"/>
      <c r="V93" s="43"/>
      <c r="W93" s="44"/>
    </row>
    <row r="94" spans="6:29" x14ac:dyDescent="0.25">
      <c r="F94" s="26" t="str">
        <f>IF($G$10="Directo","0,1 x Ib",IF($G$10="Indirecto","0,1 x In",""))</f>
        <v>0,1 x Ib</v>
      </c>
      <c r="G94" s="40">
        <f>IF((S$10*0.1)=0,"",IF($G$10="Directo",S$10*0.1,IF($G$10="Indirecto",S$10*0.1,)))</f>
        <v>0.5</v>
      </c>
      <c r="H94" s="41"/>
      <c r="I94" s="39">
        <v>0.11</v>
      </c>
      <c r="J94" s="40"/>
      <c r="K94" s="40"/>
      <c r="L94" s="40">
        <v>0.03</v>
      </c>
      <c r="M94" s="40"/>
      <c r="N94" s="40"/>
      <c r="O94" s="40">
        <v>-0.08</v>
      </c>
      <c r="P94" s="40"/>
      <c r="Q94" s="41"/>
      <c r="R94" s="39">
        <f>IF(M$11=2,3,IF(M$11=3,4,""))</f>
        <v>3</v>
      </c>
      <c r="S94" s="40"/>
      <c r="T94" s="41"/>
      <c r="U94" s="64"/>
      <c r="V94" s="43"/>
      <c r="W94" s="44"/>
    </row>
    <row r="95" spans="6:29" ht="15.75" thickBot="1" x14ac:dyDescent="0.3">
      <c r="F95" s="11" t="str">
        <f>IF($G$10="Directo","-",IF($G$10="Indirecto","0,05 x In","-"))</f>
        <v>-</v>
      </c>
      <c r="G95" s="57" t="str">
        <f>IF((S$10*12)=0,"",IF($G$10="Directo","-",IF($G$10="Indirecto",S$10*0.05,)))</f>
        <v>-</v>
      </c>
      <c r="H95" s="58"/>
      <c r="I95" s="56"/>
      <c r="J95" s="57"/>
      <c r="K95" s="57"/>
      <c r="L95" s="57"/>
      <c r="M95" s="57"/>
      <c r="N95" s="57"/>
      <c r="O95" s="57"/>
      <c r="P95" s="57"/>
      <c r="Q95" s="58"/>
      <c r="R95" s="56" t="str">
        <f>IF($G$10="Directo","-",IF($G$10="Indirecto",IF(M$11=2,3,IF(M$11=3,4,"")),"-"))</f>
        <v>-</v>
      </c>
      <c r="S95" s="57"/>
      <c r="T95" s="58"/>
      <c r="U95" s="65"/>
      <c r="V95" s="46"/>
      <c r="W95" s="47"/>
    </row>
    <row r="96" spans="6:29" x14ac:dyDescent="0.25">
      <c r="F96" s="26" t="str">
        <f>IF($G$10="Directo","16 x Ib",IF($G$10="Indirecto","-",""))</f>
        <v>16 x Ib</v>
      </c>
      <c r="G96" s="40">
        <f>IF((S$10*16)=0,"",IF($G$10="Directo",S$10*16,IF($G$10="Indirecto","-",)))</f>
        <v>80</v>
      </c>
      <c r="H96" s="41"/>
      <c r="I96" s="39">
        <v>0.23</v>
      </c>
      <c r="J96" s="40"/>
      <c r="K96" s="40"/>
      <c r="L96" s="40">
        <v>0.01</v>
      </c>
      <c r="M96" s="40"/>
      <c r="N96" s="40"/>
      <c r="O96" s="40">
        <v>0</v>
      </c>
      <c r="P96" s="40"/>
      <c r="Q96" s="41"/>
      <c r="R96" s="39">
        <f>IF($G$10="Indirecto","-",IF($G$10="Directo",IF(M$11=2,3,IF(M$11=3,4,"")),"-"))</f>
        <v>3</v>
      </c>
      <c r="S96" s="40"/>
      <c r="T96" s="41"/>
      <c r="U96" s="64" t="s">
        <v>196</v>
      </c>
      <c r="V96" s="43"/>
      <c r="W96" s="44"/>
    </row>
    <row r="97" spans="6:23" x14ac:dyDescent="0.25">
      <c r="F97" s="26" t="str">
        <f>IF($G$10="Directo","12 x Ib",IF($G$10="Indirecto","-",""))</f>
        <v>12 x Ib</v>
      </c>
      <c r="G97" s="40">
        <f>IF((S$10*12)=0,"",IF($G$10="Directo",S$10*12,IF($G$10="Indirecto","-",)))</f>
        <v>60</v>
      </c>
      <c r="H97" s="41"/>
      <c r="I97" s="39">
        <v>0.24</v>
      </c>
      <c r="J97" s="40"/>
      <c r="K97" s="40"/>
      <c r="L97" s="40">
        <v>0.04</v>
      </c>
      <c r="M97" s="40"/>
      <c r="N97" s="40"/>
      <c r="O97" s="40">
        <v>-0.02</v>
      </c>
      <c r="P97" s="40"/>
      <c r="Q97" s="41"/>
      <c r="R97" s="39">
        <f>IF($G$10="Indirecto","-",IF($G$10="Directo",IF(M$11=2,3,IF(M$11=3,4,"")),"-"))</f>
        <v>3</v>
      </c>
      <c r="S97" s="40"/>
      <c r="T97" s="41"/>
      <c r="U97" s="64"/>
      <c r="V97" s="43"/>
      <c r="W97" s="44"/>
    </row>
    <row r="98" spans="6:23" x14ac:dyDescent="0.25">
      <c r="F98" s="26" t="str">
        <f>IF($G$10="Directo","8 x Ib",IF($G$10="Indirecto","-",""))</f>
        <v>8 x Ib</v>
      </c>
      <c r="G98" s="40">
        <f>IF((S$10*8)=0,"",IF($G$10="Directo",S$10*8,IF($G$10="Indirecto","-",)))</f>
        <v>40</v>
      </c>
      <c r="H98" s="41"/>
      <c r="I98" s="39">
        <v>0.16</v>
      </c>
      <c r="J98" s="40"/>
      <c r="K98" s="40"/>
      <c r="L98" s="40">
        <v>0.03</v>
      </c>
      <c r="M98" s="40"/>
      <c r="N98" s="40"/>
      <c r="O98" s="40">
        <v>-0.03</v>
      </c>
      <c r="P98" s="40"/>
      <c r="Q98" s="41"/>
      <c r="R98" s="39">
        <f>IF($G$10="Indirecto","-",IF($G$10="Directo",IF(M$11=2,3,IF(M$11=3,4,"")),"-"))</f>
        <v>3</v>
      </c>
      <c r="S98" s="40"/>
      <c r="T98" s="41"/>
      <c r="U98" s="64"/>
      <c r="V98" s="43"/>
      <c r="W98" s="44"/>
    </row>
    <row r="99" spans="6:23" x14ac:dyDescent="0.25">
      <c r="F99" s="26" t="str">
        <f>IF($G$10="Directo","4 x Ib",IF($G$10="Indirecto","-",""))</f>
        <v>4 x Ib</v>
      </c>
      <c r="G99" s="40">
        <f>IF((S$10*4)=0,"",IF($G$10="Directo",S$10*4,IF($G$10="Indirecto","-",)))</f>
        <v>20</v>
      </c>
      <c r="H99" s="41"/>
      <c r="I99" s="39">
        <v>0.13</v>
      </c>
      <c r="J99" s="40"/>
      <c r="K99" s="40"/>
      <c r="L99" s="40">
        <v>0.06</v>
      </c>
      <c r="M99" s="40"/>
      <c r="N99" s="40"/>
      <c r="O99" s="40">
        <v>-0.05</v>
      </c>
      <c r="P99" s="40"/>
      <c r="Q99" s="41"/>
      <c r="R99" s="39">
        <f>IF($G$10="Indirecto","-",IF($G$10="Directo",IF(M$11=2,3,IF(M$11=3,4,"")),"-"))</f>
        <v>3</v>
      </c>
      <c r="S99" s="40"/>
      <c r="T99" s="41"/>
      <c r="U99" s="64"/>
      <c r="V99" s="43"/>
      <c r="W99" s="44"/>
    </row>
    <row r="100" spans="6:23" x14ac:dyDescent="0.25">
      <c r="F100" s="26" t="str">
        <f>IF($G$10="Directo","2 x Ib",IF($G$10="Indirecto","2 x In",""))</f>
        <v>2 x Ib</v>
      </c>
      <c r="G100" s="40">
        <f>IF((S$10*2)=0,"",IF($G$10="Directo",S$10*2,IF($G$10="Indirecto",S$10*2,)))</f>
        <v>10</v>
      </c>
      <c r="H100" s="41"/>
      <c r="I100" s="39">
        <v>0.14000000000000001</v>
      </c>
      <c r="J100" s="40"/>
      <c r="K100" s="40"/>
      <c r="L100" s="40">
        <v>0.04</v>
      </c>
      <c r="M100" s="40"/>
      <c r="N100" s="40"/>
      <c r="O100" s="40">
        <v>-0.08</v>
      </c>
      <c r="P100" s="40"/>
      <c r="Q100" s="41"/>
      <c r="R100" s="39">
        <f>IF(M$11=2,3,IF(M$11=3,4,""))</f>
        <v>3</v>
      </c>
      <c r="S100" s="40"/>
      <c r="T100" s="41"/>
      <c r="U100" s="64"/>
      <c r="V100" s="43"/>
      <c r="W100" s="44"/>
    </row>
    <row r="101" spans="6:23" x14ac:dyDescent="0.25">
      <c r="F101" s="26" t="str">
        <f>IF($G$10="Directo","1 x Ib",IF($G$10="Indirecto","1 x In",""))</f>
        <v>1 x Ib</v>
      </c>
      <c r="G101" s="40">
        <f>IF((S$10*1)=0,"",IF($G$10="Directo",S$10*1,IF($G$10="Indirecto",S$10*1,)))</f>
        <v>5</v>
      </c>
      <c r="H101" s="41"/>
      <c r="I101" s="39">
        <v>0.12</v>
      </c>
      <c r="J101" s="40"/>
      <c r="K101" s="40"/>
      <c r="L101" s="40">
        <v>0.03</v>
      </c>
      <c r="M101" s="40"/>
      <c r="N101" s="40"/>
      <c r="O101" s="40">
        <v>-0.09</v>
      </c>
      <c r="P101" s="40"/>
      <c r="Q101" s="41"/>
      <c r="R101" s="39">
        <f>IF(M$11=2,3,IF(M$11=3,4,""))</f>
        <v>3</v>
      </c>
      <c r="S101" s="40"/>
      <c r="T101" s="41"/>
      <c r="U101" s="64"/>
      <c r="V101" s="43"/>
      <c r="W101" s="44"/>
    </row>
    <row r="102" spans="6:23" x14ac:dyDescent="0.25">
      <c r="F102" s="26" t="str">
        <f>IF($G$10="Directo","0,5 x Ib",IF($G$10="Indirecto","0,5 x In",""))</f>
        <v>0,5 x Ib</v>
      </c>
      <c r="G102" s="40">
        <f>IF((S$10*0.5)=0,"",IF($G$10="Directo",S$10*0.5,IF($G$10="Indirecto",S$10*0.5,)))</f>
        <v>2.5</v>
      </c>
      <c r="H102" s="41"/>
      <c r="I102" s="39">
        <v>0.08</v>
      </c>
      <c r="J102" s="40"/>
      <c r="K102" s="40"/>
      <c r="L102" s="40">
        <v>0.01</v>
      </c>
      <c r="M102" s="40"/>
      <c r="N102" s="40"/>
      <c r="O102" s="40">
        <v>-0.11</v>
      </c>
      <c r="P102" s="40"/>
      <c r="Q102" s="41"/>
      <c r="R102" s="39">
        <f>IF(M$11=2,3,IF(M$11=3,4,""))</f>
        <v>3</v>
      </c>
      <c r="S102" s="40"/>
      <c r="T102" s="41"/>
      <c r="U102" s="64"/>
      <c r="V102" s="43"/>
      <c r="W102" s="44"/>
    </row>
    <row r="103" spans="6:23" x14ac:dyDescent="0.25">
      <c r="F103" s="26" t="str">
        <f>IF($G$10="Directo","0,2 x Ib",IF($G$10="Indirecto","-",""))</f>
        <v>0,2 x Ib</v>
      </c>
      <c r="G103" s="40">
        <f>IF((S$10*0.2)=0,"",IF($G$10="Directo",S$10*0.2,IF($G$10="Indirecto","-",)))</f>
        <v>1</v>
      </c>
      <c r="H103" s="41"/>
      <c r="I103" s="39">
        <v>0.05</v>
      </c>
      <c r="J103" s="40"/>
      <c r="K103" s="40"/>
      <c r="L103" s="40">
        <v>-0.02</v>
      </c>
      <c r="M103" s="40"/>
      <c r="N103" s="40"/>
      <c r="O103" s="40">
        <v>-0.15</v>
      </c>
      <c r="P103" s="40"/>
      <c r="Q103" s="41"/>
      <c r="R103" s="39">
        <f>IF($G$10="Indirecto","-",IF($G$10="Directo",IF(M$11=2,3,IF(M$11=3,4,"")),"-"))</f>
        <v>3</v>
      </c>
      <c r="S103" s="40"/>
      <c r="T103" s="41"/>
      <c r="U103" s="64"/>
      <c r="V103" s="43"/>
      <c r="W103" s="44"/>
    </row>
    <row r="104" spans="6:23" ht="15.75" thickBot="1" x14ac:dyDescent="0.3">
      <c r="F104" s="26" t="str">
        <f>IF($G$10="Directo","-",IF($G$10="Indirecto","0,1 x In",""))</f>
        <v>-</v>
      </c>
      <c r="G104" s="40" t="str">
        <f>IF((S$10*0.1)=0,"",IF($G$10="Directo","-",IF($G$10="Indirecto",S$10*0.1,)))</f>
        <v>-</v>
      </c>
      <c r="H104" s="41"/>
      <c r="I104" s="56"/>
      <c r="J104" s="57"/>
      <c r="K104" s="57"/>
      <c r="L104" s="57"/>
      <c r="M104" s="57"/>
      <c r="N104" s="57"/>
      <c r="O104" s="57"/>
      <c r="P104" s="57"/>
      <c r="Q104" s="58"/>
      <c r="R104" s="56" t="str">
        <f>IF($G$10="Directo","-",IF($G$10="Indirecto",IF(M$11=2,3,IF(M$11=3,4,"")),"-"))</f>
        <v>-</v>
      </c>
      <c r="S104" s="57"/>
      <c r="T104" s="58"/>
      <c r="U104" s="65"/>
      <c r="V104" s="46"/>
      <c r="W104" s="47"/>
    </row>
    <row r="105" spans="6:23" ht="15.75" thickBot="1" x14ac:dyDescent="0.3">
      <c r="F105" s="73" t="s">
        <v>40</v>
      </c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5"/>
    </row>
    <row r="106" spans="6:23" ht="15.75" thickBot="1" x14ac:dyDescent="0.3">
      <c r="F106" s="73" t="s">
        <v>41</v>
      </c>
      <c r="G106" s="74"/>
      <c r="H106" s="75"/>
      <c r="I106" s="73" t="s">
        <v>42</v>
      </c>
      <c r="J106" s="74"/>
      <c r="K106" s="74"/>
      <c r="L106" s="74"/>
      <c r="M106" s="74"/>
      <c r="N106" s="74"/>
      <c r="O106" s="74"/>
      <c r="P106" s="74"/>
      <c r="Q106" s="75"/>
      <c r="R106" s="73" t="s">
        <v>38</v>
      </c>
      <c r="S106" s="74"/>
      <c r="T106" s="75"/>
      <c r="U106" s="73" t="s">
        <v>194</v>
      </c>
      <c r="V106" s="74"/>
      <c r="W106" s="75"/>
    </row>
    <row r="107" spans="6:23" x14ac:dyDescent="0.25">
      <c r="F107" s="26" t="str">
        <f>IF($G$10="Directo","16 x Ib",IF($G$10="Indirecto","-",""))</f>
        <v>16 x Ib</v>
      </c>
      <c r="G107" s="40">
        <f>IF((S$10*16)=0,"",IF($G$10="Directo",S$10*16,IF($G$10="Indirecto","-",)))</f>
        <v>80</v>
      </c>
      <c r="H107" s="41"/>
      <c r="I107" s="39">
        <v>-0.1</v>
      </c>
      <c r="J107" s="40"/>
      <c r="K107" s="40"/>
      <c r="L107" s="40"/>
      <c r="M107" s="40"/>
      <c r="N107" s="40"/>
      <c r="O107" s="40"/>
      <c r="P107" s="40"/>
      <c r="Q107" s="41"/>
      <c r="R107" s="39">
        <f>IF($G$10="Indirecto","-",IF(M$11=2,2,IF(M$11=3,3,"")))</f>
        <v>2</v>
      </c>
      <c r="S107" s="40"/>
      <c r="T107" s="41"/>
      <c r="U107" s="64" t="s">
        <v>195</v>
      </c>
      <c r="V107" s="43"/>
      <c r="W107" s="44"/>
    </row>
    <row r="108" spans="6:23" x14ac:dyDescent="0.25">
      <c r="F108" s="26" t="str">
        <f>IF($G$10="Directo","12 x Ib",IF($G$10="Indirecto","-",""))</f>
        <v>12 x Ib</v>
      </c>
      <c r="G108" s="40">
        <f>IF((S$10*12)=0,"",IF($G$10="Directo",S$10*12,IF($G$10="Indirecto","-",)))</f>
        <v>60</v>
      </c>
      <c r="H108" s="41"/>
      <c r="I108" s="39">
        <v>-7.0000000000000007E-2</v>
      </c>
      <c r="J108" s="40"/>
      <c r="K108" s="40"/>
      <c r="L108" s="40"/>
      <c r="M108" s="40"/>
      <c r="N108" s="40"/>
      <c r="O108" s="40"/>
      <c r="P108" s="40"/>
      <c r="Q108" s="41"/>
      <c r="R108" s="39">
        <f>IF($G$10="Indirecto","-",IF(M$11=2,2,IF(M$11=3,3,"")))</f>
        <v>2</v>
      </c>
      <c r="S108" s="40"/>
      <c r="T108" s="41"/>
      <c r="U108" s="64"/>
      <c r="V108" s="43"/>
      <c r="W108" s="44"/>
    </row>
    <row r="109" spans="6:23" x14ac:dyDescent="0.25">
      <c r="F109" s="26" t="str">
        <f>IF($G$10="Directo","8 x Ib",IF($G$10="Indirecto","-",""))</f>
        <v>8 x Ib</v>
      </c>
      <c r="G109" s="40">
        <f>IF((S$10*8)=0,"",IF($G$10="Directo",S$10*8,IF($G$10="Indirecto","-",)))</f>
        <v>40</v>
      </c>
      <c r="H109" s="41"/>
      <c r="I109" s="39">
        <v>-0.05</v>
      </c>
      <c r="J109" s="40"/>
      <c r="K109" s="40"/>
      <c r="L109" s="40"/>
      <c r="M109" s="40"/>
      <c r="N109" s="40"/>
      <c r="O109" s="40"/>
      <c r="P109" s="40"/>
      <c r="Q109" s="41"/>
      <c r="R109" s="39">
        <f>IF($G$10="Indirecto","-",IF(M$11=2,2,IF(M$11=3,3,"")))</f>
        <v>2</v>
      </c>
      <c r="S109" s="40"/>
      <c r="T109" s="41"/>
      <c r="U109" s="64"/>
      <c r="V109" s="43"/>
      <c r="W109" s="44"/>
    </row>
    <row r="110" spans="6:23" x14ac:dyDescent="0.25">
      <c r="F110" s="26" t="str">
        <f>IF($G$10="Directo","4 x Ib",IF($G$10="Indirecto","-",""))</f>
        <v>4 x Ib</v>
      </c>
      <c r="G110" s="40">
        <f>IF((S$10*4)=0,"",IF($G$10="Directo",S$10*4,IF($G$10="Indirecto","-",)))</f>
        <v>20</v>
      </c>
      <c r="H110" s="41"/>
      <c r="I110" s="39">
        <v>-0.02</v>
      </c>
      <c r="J110" s="40"/>
      <c r="K110" s="40"/>
      <c r="L110" s="40"/>
      <c r="M110" s="40"/>
      <c r="N110" s="40"/>
      <c r="O110" s="40"/>
      <c r="P110" s="40"/>
      <c r="Q110" s="41"/>
      <c r="R110" s="39">
        <f>IF($G$10="Indirecto","-",IF(M$11=2,2,IF(M$11=3,3,"")))</f>
        <v>2</v>
      </c>
      <c r="S110" s="40"/>
      <c r="T110" s="41"/>
      <c r="U110" s="64"/>
      <c r="V110" s="43"/>
      <c r="W110" s="44"/>
    </row>
    <row r="111" spans="6:23" x14ac:dyDescent="0.25">
      <c r="F111" s="26" t="str">
        <f>IF($G$10="Directo","2 x Ib",IF($G$10="Indirecto","2 x In",""))</f>
        <v>2 x Ib</v>
      </c>
      <c r="G111" s="40">
        <f>IF((S$10*2)=0,"",IF($G$10="Directo",S$10*2,IF($G$10="Indirecto",S$10*2,)))</f>
        <v>10</v>
      </c>
      <c r="H111" s="41"/>
      <c r="I111" s="39">
        <v>-0.02</v>
      </c>
      <c r="J111" s="40"/>
      <c r="K111" s="40"/>
      <c r="L111" s="40"/>
      <c r="M111" s="40"/>
      <c r="N111" s="40"/>
      <c r="O111" s="40"/>
      <c r="P111" s="40"/>
      <c r="Q111" s="41"/>
      <c r="R111" s="39">
        <f>IF(M$11=2,2,IF(M$11=3,3,""))</f>
        <v>2</v>
      </c>
      <c r="S111" s="40"/>
      <c r="T111" s="41"/>
      <c r="U111" s="64"/>
      <c r="V111" s="43"/>
      <c r="W111" s="44"/>
    </row>
    <row r="112" spans="6:23" x14ac:dyDescent="0.25">
      <c r="F112" s="26" t="str">
        <f>IF($G$10="Directo","1 x Ib",IF($G$10="Indirecto","1 x In",""))</f>
        <v>1 x Ib</v>
      </c>
      <c r="G112" s="40">
        <f>IF((S$10*1)=0,"",IF($G$10="Directo",S$10*1,IF($G$10="Indirecto",S$10*1,)))</f>
        <v>5</v>
      </c>
      <c r="H112" s="41"/>
      <c r="I112" s="39">
        <v>-0.01</v>
      </c>
      <c r="J112" s="40"/>
      <c r="K112" s="40"/>
      <c r="L112" s="40"/>
      <c r="M112" s="40"/>
      <c r="N112" s="40"/>
      <c r="O112" s="40"/>
      <c r="P112" s="40"/>
      <c r="Q112" s="41"/>
      <c r="R112" s="39">
        <f>IF(M$11=2,2,IF(M$11=3,3,""))</f>
        <v>2</v>
      </c>
      <c r="S112" s="40"/>
      <c r="T112" s="41"/>
      <c r="U112" s="64"/>
      <c r="V112" s="43"/>
      <c r="W112" s="44"/>
    </row>
    <row r="113" spans="6:23" x14ac:dyDescent="0.25">
      <c r="F113" s="26" t="str">
        <f>IF($G$10="Directo","0,5 x Ib",IF($G$10="Indirecto","0,5 x In",""))</f>
        <v>0,5 x Ib</v>
      </c>
      <c r="G113" s="40">
        <f>IF((S$10*0.5)=0,"",IF($G$10="Directo",S$10*0.5,IF($G$10="Indirecto",S$10*0.5,)))</f>
        <v>2.5</v>
      </c>
      <c r="H113" s="41"/>
      <c r="I113" s="39">
        <v>0</v>
      </c>
      <c r="J113" s="40"/>
      <c r="K113" s="40"/>
      <c r="L113" s="40"/>
      <c r="M113" s="40"/>
      <c r="N113" s="40"/>
      <c r="O113" s="40"/>
      <c r="P113" s="40"/>
      <c r="Q113" s="41"/>
      <c r="R113" s="39">
        <f>IF(M$11=2,2,IF(M$11=3,3,""))</f>
        <v>2</v>
      </c>
      <c r="S113" s="40"/>
      <c r="T113" s="41"/>
      <c r="U113" s="64"/>
      <c r="V113" s="43"/>
      <c r="W113" s="44"/>
    </row>
    <row r="114" spans="6:23" x14ac:dyDescent="0.25">
      <c r="F114" s="26" t="str">
        <f>IF($G$10="Directo","0,2 x Ib",IF($G$10="Indirecto","-",""))</f>
        <v>0,2 x Ib</v>
      </c>
      <c r="G114" s="40">
        <f>IF((S$10*0.2)=0,"",IF($G$10="Directo",S$10*0.2,IF($G$10="Indirecto","-",)))</f>
        <v>1</v>
      </c>
      <c r="H114" s="41"/>
      <c r="I114" s="39">
        <v>0</v>
      </c>
      <c r="J114" s="40"/>
      <c r="K114" s="40"/>
      <c r="L114" s="40"/>
      <c r="M114" s="40"/>
      <c r="N114" s="40"/>
      <c r="O114" s="40"/>
      <c r="P114" s="40"/>
      <c r="Q114" s="41"/>
      <c r="R114" s="39">
        <f>IF($G$10="Indirecto","-",IF(M$11=2,2,IF(M$11=3,3,"")))</f>
        <v>2</v>
      </c>
      <c r="S114" s="40"/>
      <c r="T114" s="41"/>
      <c r="U114" s="64"/>
      <c r="V114" s="43"/>
      <c r="W114" s="44"/>
    </row>
    <row r="115" spans="6:23" x14ac:dyDescent="0.25">
      <c r="F115" s="26" t="str">
        <f>IF($G$10="Directo","0,1 x Ib",IF($G$10="Indirecto","0,1 x In",""))</f>
        <v>0,1 x Ib</v>
      </c>
      <c r="G115" s="40">
        <f>IF((S$10*0.1)=0,"",IF($G$10="Directo",S$10*0.1,IF($G$10="Indirecto",S$10*0.1,)))</f>
        <v>0.5</v>
      </c>
      <c r="H115" s="41"/>
      <c r="I115" s="39">
        <v>0.01</v>
      </c>
      <c r="J115" s="40"/>
      <c r="K115" s="40"/>
      <c r="L115" s="40"/>
      <c r="M115" s="40"/>
      <c r="N115" s="40"/>
      <c r="O115" s="40"/>
      <c r="P115" s="40"/>
      <c r="Q115" s="41"/>
      <c r="R115" s="39">
        <f>IF(M$11=2,2,IF(M$11=3,3,""))</f>
        <v>2</v>
      </c>
      <c r="S115" s="40"/>
      <c r="T115" s="41"/>
      <c r="U115" s="64"/>
      <c r="V115" s="43"/>
      <c r="W115" s="44"/>
    </row>
    <row r="116" spans="6:23" x14ac:dyDescent="0.25">
      <c r="F116" s="12" t="str">
        <f>IF($G$10="Directo","0,05 x In",IF($G$10="Indirecto","0,05 x In","-"))</f>
        <v>0,05 x In</v>
      </c>
      <c r="G116" s="71">
        <f>IF((S$10*12)=0,"",IF($G$10="Directo",S$10*0.05,IF($G$10="Indirecto",S$10*0.05,)))</f>
        <v>0.25</v>
      </c>
      <c r="H116" s="72"/>
      <c r="I116" s="39">
        <v>0.01</v>
      </c>
      <c r="J116" s="40"/>
      <c r="K116" s="40"/>
      <c r="L116" s="40"/>
      <c r="M116" s="40"/>
      <c r="N116" s="40"/>
      <c r="O116" s="40"/>
      <c r="P116" s="40"/>
      <c r="Q116" s="41"/>
      <c r="R116" s="39">
        <f>IF($G$10="Directo",IF(M$11=2,2.5,IF(M$11=3,4,"")),IF($G$10="Indirecto",IF(M$11=2,2,IF(M$11=3,3,"")),""))</f>
        <v>2.5</v>
      </c>
      <c r="S116" s="40"/>
      <c r="T116" s="41"/>
      <c r="U116" s="64"/>
      <c r="V116" s="43"/>
      <c r="W116" s="44"/>
    </row>
    <row r="117" spans="6:23" ht="15.75" thickBot="1" x14ac:dyDescent="0.3">
      <c r="F117" s="27" t="str">
        <f>IF($G$10="Directo","-",IF($G$10="Indirecto","0,02 x In","-"))</f>
        <v>-</v>
      </c>
      <c r="G117" s="57" t="str">
        <f>IF((S$10*12)=0,"",IF($G$10="Directo","-",IF($G$10="Indirecto",S$10*0.02,)))</f>
        <v>-</v>
      </c>
      <c r="H117" s="58"/>
      <c r="I117" s="56"/>
      <c r="J117" s="57"/>
      <c r="K117" s="57"/>
      <c r="L117" s="57"/>
      <c r="M117" s="57"/>
      <c r="N117" s="57"/>
      <c r="O117" s="57"/>
      <c r="P117" s="57"/>
      <c r="Q117" s="58"/>
      <c r="R117" s="56" t="str">
        <f>IF($G$10="Directo","-",IF(M$11=2,2.5,IF(M$11=3,4,"")))</f>
        <v>-</v>
      </c>
      <c r="S117" s="57"/>
      <c r="T117" s="58"/>
      <c r="U117" s="65"/>
      <c r="V117" s="46"/>
      <c r="W117" s="47"/>
    </row>
    <row r="118" spans="6:23" x14ac:dyDescent="0.25">
      <c r="F118" s="26" t="str">
        <f>IF($G$10="Directo","16 x Ib",IF($G$10="Indirecto","-",""))</f>
        <v>16 x Ib</v>
      </c>
      <c r="G118" s="40">
        <f>IF((S$10*16)=0,"",IF($G$10="Directo",S$10*16,IF($G$10="Indirecto","-",)))</f>
        <v>80</v>
      </c>
      <c r="H118" s="41"/>
      <c r="I118" s="59">
        <v>0.22</v>
      </c>
      <c r="J118" s="40"/>
      <c r="K118" s="40"/>
      <c r="L118" s="40"/>
      <c r="M118" s="40"/>
      <c r="N118" s="40"/>
      <c r="O118" s="40"/>
      <c r="P118" s="40"/>
      <c r="Q118" s="60"/>
      <c r="R118" s="39">
        <f>IF($G$10="Indirecto","-",IF(M$11=2,2.5,IF(M$11=3,4,"")))</f>
        <v>2.5</v>
      </c>
      <c r="S118" s="40"/>
      <c r="T118" s="41"/>
      <c r="U118" s="42" t="s">
        <v>197</v>
      </c>
      <c r="V118" s="43"/>
      <c r="W118" s="44"/>
    </row>
    <row r="119" spans="6:23" x14ac:dyDescent="0.25">
      <c r="F119" s="26" t="str">
        <f>IF($G$10="Directo","12 x Ib",IF($G$10="Indirecto","-",""))</f>
        <v>12 x Ib</v>
      </c>
      <c r="G119" s="40">
        <f>IF((S$10*12)=0,"",IF($G$10="Directo",S$10*12,IF($G$10="Indirecto","-",)))</f>
        <v>60</v>
      </c>
      <c r="H119" s="41"/>
      <c r="I119" s="59">
        <v>0.21</v>
      </c>
      <c r="J119" s="40"/>
      <c r="K119" s="40"/>
      <c r="L119" s="40"/>
      <c r="M119" s="40"/>
      <c r="N119" s="40"/>
      <c r="O119" s="40"/>
      <c r="P119" s="40"/>
      <c r="Q119" s="60"/>
      <c r="R119" s="39">
        <f>IF($G$10="Indirecto","-",IF(M$11=2,2.5,IF(M$11=3,4,"")))</f>
        <v>2.5</v>
      </c>
      <c r="S119" s="40"/>
      <c r="T119" s="41"/>
      <c r="U119" s="42"/>
      <c r="V119" s="43"/>
      <c r="W119" s="44"/>
    </row>
    <row r="120" spans="6:23" x14ac:dyDescent="0.25">
      <c r="F120" s="26" t="str">
        <f>IF($G$10="Directo","8 x Ib",IF($G$10="Indirecto","-",""))</f>
        <v>8 x Ib</v>
      </c>
      <c r="G120" s="40">
        <f>IF((S$10*8)=0,"",IF($G$10="Directo",S$10*8,IF($G$10="Indirecto","-",)))</f>
        <v>40</v>
      </c>
      <c r="H120" s="41"/>
      <c r="I120" s="59">
        <v>0.19</v>
      </c>
      <c r="J120" s="40"/>
      <c r="K120" s="40"/>
      <c r="L120" s="40"/>
      <c r="M120" s="40"/>
      <c r="N120" s="40"/>
      <c r="O120" s="40"/>
      <c r="P120" s="40"/>
      <c r="Q120" s="60"/>
      <c r="R120" s="39">
        <f>IF($G$10="Indirecto","-",IF(M$11=2,2.5,IF(M$11=3,4,"")))</f>
        <v>2.5</v>
      </c>
      <c r="S120" s="40"/>
      <c r="T120" s="41"/>
      <c r="U120" s="42"/>
      <c r="V120" s="43"/>
      <c r="W120" s="44"/>
    </row>
    <row r="121" spans="6:23" x14ac:dyDescent="0.25">
      <c r="F121" s="26" t="str">
        <f>IF($G$10="Directo","4 x Ib",IF($G$10="Indirecto","-",""))</f>
        <v>4 x Ib</v>
      </c>
      <c r="G121" s="40">
        <f>IF((S$10*4)=0,"",IF($G$10="Directo",S$10*4,IF($G$10="Indirecto","-",)))</f>
        <v>20</v>
      </c>
      <c r="H121" s="41"/>
      <c r="I121" s="59">
        <v>0.13</v>
      </c>
      <c r="J121" s="40"/>
      <c r="K121" s="40"/>
      <c r="L121" s="40"/>
      <c r="M121" s="40"/>
      <c r="N121" s="40"/>
      <c r="O121" s="40"/>
      <c r="P121" s="40"/>
      <c r="Q121" s="60"/>
      <c r="R121" s="39">
        <f>IF($G$10="Indirecto","-",IF(M$11=2,2.5,IF(M$11=3,4,"")))</f>
        <v>2.5</v>
      </c>
      <c r="S121" s="40"/>
      <c r="T121" s="41"/>
      <c r="U121" s="42"/>
      <c r="V121" s="43"/>
      <c r="W121" s="44"/>
    </row>
    <row r="122" spans="6:23" x14ac:dyDescent="0.25">
      <c r="F122" s="26" t="str">
        <f>IF($G$10="Directo","2 x Ib",IF($G$10="Indirecto","2 x In",""))</f>
        <v>2 x Ib</v>
      </c>
      <c r="G122" s="40">
        <f>IF((S$10*2)=0,"",IF($G$10="Directo",S$10*2,IF($G$10="Indirecto",S$10*2,)))</f>
        <v>10</v>
      </c>
      <c r="H122" s="41"/>
      <c r="I122" s="59">
        <v>0.08</v>
      </c>
      <c r="J122" s="40"/>
      <c r="K122" s="40"/>
      <c r="L122" s="40"/>
      <c r="M122" s="40"/>
      <c r="N122" s="40"/>
      <c r="O122" s="40"/>
      <c r="P122" s="40"/>
      <c r="Q122" s="60"/>
      <c r="R122" s="39">
        <f>IF(M$11=2,2.5,IF(M$11=3,4,""))</f>
        <v>2.5</v>
      </c>
      <c r="S122" s="40"/>
      <c r="T122" s="41"/>
      <c r="U122" s="42"/>
      <c r="V122" s="43"/>
      <c r="W122" s="44"/>
    </row>
    <row r="123" spans="6:23" x14ac:dyDescent="0.25">
      <c r="F123" s="26" t="str">
        <f>IF($G$10="Directo","1 x Ib",IF($G$10="Indirecto","1 x In",""))</f>
        <v>1 x Ib</v>
      </c>
      <c r="G123" s="40">
        <f>IF((S$10*1)=0,"",IF($G$10="Directo",S$10*1,IF($G$10="Indirecto",S$10*1,)))</f>
        <v>5</v>
      </c>
      <c r="H123" s="41"/>
      <c r="I123" s="59">
        <v>0.02</v>
      </c>
      <c r="J123" s="40"/>
      <c r="K123" s="40"/>
      <c r="L123" s="40"/>
      <c r="M123" s="40"/>
      <c r="N123" s="40"/>
      <c r="O123" s="40"/>
      <c r="P123" s="40"/>
      <c r="Q123" s="60"/>
      <c r="R123" s="39">
        <f>IF(M$11=2,2.5,IF(M$11=3,4,""))</f>
        <v>2.5</v>
      </c>
      <c r="S123" s="40"/>
      <c r="T123" s="41"/>
      <c r="U123" s="42"/>
      <c r="V123" s="43"/>
      <c r="W123" s="44"/>
    </row>
    <row r="124" spans="6:23" x14ac:dyDescent="0.25">
      <c r="F124" s="26" t="str">
        <f>IF($G$10="Directo","0,5 x Ib",IF($G$10="Indirecto","0,5 x In",""))</f>
        <v>0,5 x Ib</v>
      </c>
      <c r="G124" s="40">
        <f>IF((S$10*0.5)=0,"",IF($G$10="Directo",S$10*0.5,IF($G$10="Indirecto",S$10*0.5,)))</f>
        <v>2.5</v>
      </c>
      <c r="H124" s="41"/>
      <c r="I124" s="59">
        <v>-0.04</v>
      </c>
      <c r="J124" s="40"/>
      <c r="K124" s="40"/>
      <c r="L124" s="40"/>
      <c r="M124" s="40"/>
      <c r="N124" s="40"/>
      <c r="O124" s="40"/>
      <c r="P124" s="40"/>
      <c r="Q124" s="60"/>
      <c r="R124" s="39">
        <f>IF(M$11=2,2.5,IF(M$11=3,4,""))</f>
        <v>2.5</v>
      </c>
      <c r="S124" s="40"/>
      <c r="T124" s="41"/>
      <c r="U124" s="42"/>
      <c r="V124" s="43"/>
      <c r="W124" s="44"/>
    </row>
    <row r="125" spans="6:23" x14ac:dyDescent="0.25">
      <c r="F125" s="26" t="str">
        <f>IF($G$10="Directo","0,2 x Ib",IF($G$10="Indirecto","-",""))</f>
        <v>0,2 x Ib</v>
      </c>
      <c r="G125" s="40">
        <f>IF((S$10*0.2)=0,"",IF($G$10="Directo",S$10*0.2,IF($G$10="Indirecto","-",)))</f>
        <v>1</v>
      </c>
      <c r="H125" s="41"/>
      <c r="I125" s="59">
        <v>-0.11</v>
      </c>
      <c r="J125" s="40"/>
      <c r="K125" s="40"/>
      <c r="L125" s="40"/>
      <c r="M125" s="40"/>
      <c r="N125" s="40"/>
      <c r="O125" s="40"/>
      <c r="P125" s="40"/>
      <c r="Q125" s="60"/>
      <c r="R125" s="39">
        <f>IF($G$10="Indirecto","-",IF(M$11=2,2.5,IF(M$11=3,4,"")))</f>
        <v>2.5</v>
      </c>
      <c r="S125" s="40"/>
      <c r="T125" s="41"/>
      <c r="U125" s="42"/>
      <c r="V125" s="43"/>
      <c r="W125" s="44"/>
    </row>
    <row r="126" spans="6:23" ht="15.75" thickBot="1" x14ac:dyDescent="0.3">
      <c r="F126" s="25" t="str">
        <f>IF($G$10="Directo","-",IF($G$10="Indirecto","0,1 x In",""))</f>
        <v>-</v>
      </c>
      <c r="G126" s="57" t="str">
        <f>IF((S$10*0.1)=0,"",IF($G$10="Directo","-",IF($G$10="Indirecto",S$10*0.1,)))</f>
        <v>-</v>
      </c>
      <c r="H126" s="58"/>
      <c r="I126" s="69"/>
      <c r="J126" s="57"/>
      <c r="K126" s="57"/>
      <c r="L126" s="57"/>
      <c r="M126" s="57"/>
      <c r="N126" s="57"/>
      <c r="O126" s="57"/>
      <c r="P126" s="57"/>
      <c r="Q126" s="70"/>
      <c r="R126" s="56">
        <f>IF(M$11=2,2.5,IF(M$11=3,4,""))</f>
        <v>2.5</v>
      </c>
      <c r="S126" s="57"/>
      <c r="T126" s="58"/>
      <c r="U126" s="45"/>
      <c r="V126" s="46"/>
      <c r="W126" s="47"/>
    </row>
    <row r="127" spans="6:23" x14ac:dyDescent="0.25">
      <c r="F127" s="26" t="str">
        <f>IF($G$10="Directo","16 x Ib",IF($G$10="Indirecto","-",""))</f>
        <v>16 x Ib</v>
      </c>
      <c r="G127" s="40">
        <f>IF((S$10*16)=0,"",IF($G$10="Directo",S$10*16,IF($G$10="Indirecto","-",)))</f>
        <v>80</v>
      </c>
      <c r="H127" s="41"/>
      <c r="I127" s="66">
        <v>0.06</v>
      </c>
      <c r="J127" s="67"/>
      <c r="K127" s="67"/>
      <c r="L127" s="67"/>
      <c r="M127" s="67"/>
      <c r="N127" s="67"/>
      <c r="O127" s="67"/>
      <c r="P127" s="67"/>
      <c r="Q127" s="68"/>
      <c r="R127" s="66">
        <f>IF($G$10="Indirecto","-",IF(M$11=2,2,IF(M$11=3,3,"")))</f>
        <v>2</v>
      </c>
      <c r="S127" s="67"/>
      <c r="T127" s="68"/>
      <c r="U127" s="61">
        <v>0.5</v>
      </c>
      <c r="V127" s="62"/>
      <c r="W127" s="63"/>
    </row>
    <row r="128" spans="6:23" x14ac:dyDescent="0.25">
      <c r="F128" s="26" t="str">
        <f>IF($G$10="Directo","12 x Ib",IF($G$10="Indirecto","-",""))</f>
        <v>12 x Ib</v>
      </c>
      <c r="G128" s="40">
        <f>IF((S$10*12)=0,"",IF($G$10="Directo",S$10*12,IF($G$10="Indirecto","-",)))</f>
        <v>60</v>
      </c>
      <c r="H128" s="41"/>
      <c r="I128" s="39">
        <v>0.08</v>
      </c>
      <c r="J128" s="40"/>
      <c r="K128" s="40"/>
      <c r="L128" s="40"/>
      <c r="M128" s="40"/>
      <c r="N128" s="40"/>
      <c r="O128" s="40"/>
      <c r="P128" s="40"/>
      <c r="Q128" s="41"/>
      <c r="R128" s="39">
        <f>IF($G$10="Indirecto","-",IF(M$11=2,2,IF(M$11=3,3,"")))</f>
        <v>2</v>
      </c>
      <c r="S128" s="40"/>
      <c r="T128" s="41"/>
      <c r="U128" s="64"/>
      <c r="V128" s="43"/>
      <c r="W128" s="44"/>
    </row>
    <row r="129" spans="6:23" x14ac:dyDescent="0.25">
      <c r="F129" s="26" t="str">
        <f>IF($G$10="Directo","8 x Ib",IF($G$10="Indirecto","-",""))</f>
        <v>8 x Ib</v>
      </c>
      <c r="G129" s="40">
        <f>IF((S$10*8)=0,"",IF($G$10="Directo",S$10*8,IF($G$10="Indirecto","-",)))</f>
        <v>40</v>
      </c>
      <c r="H129" s="41"/>
      <c r="I129" s="39">
        <v>7.0000000000000007E-2</v>
      </c>
      <c r="J129" s="40"/>
      <c r="K129" s="40"/>
      <c r="L129" s="40"/>
      <c r="M129" s="40"/>
      <c r="N129" s="40"/>
      <c r="O129" s="40"/>
      <c r="P129" s="40"/>
      <c r="Q129" s="41"/>
      <c r="R129" s="39">
        <f>IF($G$10="Indirecto","-",IF(M$11=2,2,IF(M$11=3,3,"")))</f>
        <v>2</v>
      </c>
      <c r="S129" s="40"/>
      <c r="T129" s="41"/>
      <c r="U129" s="64"/>
      <c r="V129" s="43"/>
      <c r="W129" s="44"/>
    </row>
    <row r="130" spans="6:23" x14ac:dyDescent="0.25">
      <c r="F130" s="26" t="str">
        <f>IF($G$10="Directo","4 x Ib",IF($G$10="Indirecto","-",""))</f>
        <v>4 x Ib</v>
      </c>
      <c r="G130" s="40">
        <f>IF((S$10*4)=0,"",IF($G$10="Directo",S$10*4,IF($G$10="Indirecto","-",)))</f>
        <v>20</v>
      </c>
      <c r="H130" s="41"/>
      <c r="I130" s="39">
        <v>0.05</v>
      </c>
      <c r="J130" s="40"/>
      <c r="K130" s="40"/>
      <c r="L130" s="40"/>
      <c r="M130" s="40"/>
      <c r="N130" s="40"/>
      <c r="O130" s="40"/>
      <c r="P130" s="40"/>
      <c r="Q130" s="41"/>
      <c r="R130" s="39">
        <f>IF($G$10="Indirecto","-",IF(M$11=2,2,IF(M$11=3,3,"")))</f>
        <v>2</v>
      </c>
      <c r="S130" s="40"/>
      <c r="T130" s="41"/>
      <c r="U130" s="64"/>
      <c r="V130" s="43"/>
      <c r="W130" s="44"/>
    </row>
    <row r="131" spans="6:23" x14ac:dyDescent="0.25">
      <c r="F131" s="26" t="str">
        <f>IF($G$10="Directo","2 x Ib",IF($G$10="Indirecto","2 x In",""))</f>
        <v>2 x Ib</v>
      </c>
      <c r="G131" s="40">
        <f>IF((S$10*2)=0,"",IF($G$10="Directo",S$10*2,IF($G$10="Indirecto",S$10*2,)))</f>
        <v>10</v>
      </c>
      <c r="H131" s="41"/>
      <c r="I131" s="39">
        <v>0.02</v>
      </c>
      <c r="J131" s="40"/>
      <c r="K131" s="40"/>
      <c r="L131" s="40"/>
      <c r="M131" s="40"/>
      <c r="N131" s="40"/>
      <c r="O131" s="40"/>
      <c r="P131" s="40"/>
      <c r="Q131" s="41"/>
      <c r="R131" s="39">
        <f>IF(M$11=2,2,IF(M$11=3,3,""))</f>
        <v>2</v>
      </c>
      <c r="S131" s="40"/>
      <c r="T131" s="41"/>
      <c r="U131" s="64"/>
      <c r="V131" s="43"/>
      <c r="W131" s="44"/>
    </row>
    <row r="132" spans="6:23" x14ac:dyDescent="0.25">
      <c r="F132" s="26" t="str">
        <f>IF($G$10="Directo","1 x Ib",IF($G$10="Indirecto","1 x In",""))</f>
        <v>1 x Ib</v>
      </c>
      <c r="G132" s="40">
        <f>IF((S$10*1)=0,"",IF($G$10="Directo",S$10*1,IF($G$10="Indirecto",S$10*1,)))</f>
        <v>5</v>
      </c>
      <c r="H132" s="41"/>
      <c r="I132" s="39">
        <v>0</v>
      </c>
      <c r="J132" s="40"/>
      <c r="K132" s="40"/>
      <c r="L132" s="40"/>
      <c r="M132" s="40"/>
      <c r="N132" s="40"/>
      <c r="O132" s="40"/>
      <c r="P132" s="40"/>
      <c r="Q132" s="41"/>
      <c r="R132" s="39">
        <f>IF(M$11=2,2,IF(M$11=3,3,""))</f>
        <v>2</v>
      </c>
      <c r="S132" s="40"/>
      <c r="T132" s="41"/>
      <c r="U132" s="64"/>
      <c r="V132" s="43"/>
      <c r="W132" s="44"/>
    </row>
    <row r="133" spans="6:23" x14ac:dyDescent="0.25">
      <c r="F133" s="26" t="str">
        <f>IF($G$10="Directo","0,5 x Ib",IF($G$10="Indirecto","0,5 x In",""))</f>
        <v>0,5 x Ib</v>
      </c>
      <c r="G133" s="40">
        <f>IF((S$10*0.5)=0,"",IF($G$10="Directo",S$10*0.5,IF($G$10="Indirecto",S$10*0.5,)))</f>
        <v>2.5</v>
      </c>
      <c r="H133" s="41"/>
      <c r="I133" s="39">
        <v>-0.02</v>
      </c>
      <c r="J133" s="40"/>
      <c r="K133" s="40"/>
      <c r="L133" s="40"/>
      <c r="M133" s="40"/>
      <c r="N133" s="40"/>
      <c r="O133" s="40"/>
      <c r="P133" s="40"/>
      <c r="Q133" s="41"/>
      <c r="R133" s="39">
        <f>IF(M$11=2,2,IF(M$11=3,3,""))</f>
        <v>2</v>
      </c>
      <c r="S133" s="40"/>
      <c r="T133" s="41"/>
      <c r="U133" s="64"/>
      <c r="V133" s="43"/>
      <c r="W133" s="44"/>
    </row>
    <row r="134" spans="6:23" x14ac:dyDescent="0.25">
      <c r="F134" s="26" t="str">
        <f>IF($G$10="Directo","0,2 x Ib",IF($G$10="Indirecto","-",""))</f>
        <v>0,2 x Ib</v>
      </c>
      <c r="G134" s="40">
        <f>IF((S$10*0.2)=0,"",IF($G$10="Directo",S$10*0.2,IF($G$10="Indirecto","-",)))</f>
        <v>1</v>
      </c>
      <c r="H134" s="41"/>
      <c r="I134" s="39">
        <v>-0.05</v>
      </c>
      <c r="J134" s="40"/>
      <c r="K134" s="40"/>
      <c r="L134" s="40"/>
      <c r="M134" s="40"/>
      <c r="N134" s="40"/>
      <c r="O134" s="40"/>
      <c r="P134" s="40"/>
      <c r="Q134" s="41"/>
      <c r="R134" s="39">
        <f>IF($G$10="Indirecto","-",IF(M$11=2,2,IF(M$11=3,3,"")))</f>
        <v>2</v>
      </c>
      <c r="S134" s="40"/>
      <c r="T134" s="41"/>
      <c r="U134" s="64"/>
      <c r="V134" s="43"/>
      <c r="W134" s="44"/>
    </row>
    <row r="135" spans="6:23" x14ac:dyDescent="0.25">
      <c r="F135" s="26" t="str">
        <f>IF($G$10="Directo","0,1 x Ib",IF($G$10="Indirecto","0,1 x In",""))</f>
        <v>0,1 x Ib</v>
      </c>
      <c r="G135" s="40">
        <f>IF((S$10*0.1)=0,"",IF($G$10="Directo",S$10*0.1,IF($G$10="Indirecto",S$10*0.1,)))</f>
        <v>0.5</v>
      </c>
      <c r="H135" s="41"/>
      <c r="I135" s="39">
        <v>-0.06</v>
      </c>
      <c r="J135" s="40"/>
      <c r="K135" s="40"/>
      <c r="L135" s="40"/>
      <c r="M135" s="40"/>
      <c r="N135" s="40"/>
      <c r="O135" s="40"/>
      <c r="P135" s="40"/>
      <c r="Q135" s="41"/>
      <c r="R135" s="39">
        <f>IF($G$10="Directo",IF(M$11=2,2.5,IF(M$11=3,"4","")),IF($G$10="Indirecto",IF(M$11=2,2,IF(M$11=3,"3","")),""))</f>
        <v>2.5</v>
      </c>
      <c r="S135" s="40"/>
      <c r="T135" s="41"/>
      <c r="U135" s="64"/>
      <c r="V135" s="43"/>
      <c r="W135" s="44"/>
    </row>
    <row r="136" spans="6:23" ht="15.75" thickBot="1" x14ac:dyDescent="0.3">
      <c r="F136" s="27" t="str">
        <f>IF($G$10="Directo","-",IF($G$10="Indirecto","0,05 x In","-"))</f>
        <v>-</v>
      </c>
      <c r="G136" s="54" t="str">
        <f>IF((S$10*0.05)=0,"",IF($G$10="Directo","-",IF($G$10="Indirecto",S$10*0.05,)))</f>
        <v>-</v>
      </c>
      <c r="H136" s="55"/>
      <c r="I136" s="56"/>
      <c r="J136" s="57"/>
      <c r="K136" s="57"/>
      <c r="L136" s="57"/>
      <c r="M136" s="57"/>
      <c r="N136" s="57"/>
      <c r="O136" s="57"/>
      <c r="P136" s="57"/>
      <c r="Q136" s="58"/>
      <c r="R136" s="56" t="str">
        <f>IF($G$10="Directo","-",IF(M$11=2,2.5,IF(M$11=3,4,"")))</f>
        <v>-</v>
      </c>
      <c r="S136" s="57"/>
      <c r="T136" s="58"/>
      <c r="U136" s="65"/>
      <c r="V136" s="46"/>
      <c r="W136" s="47"/>
    </row>
  </sheetData>
  <mergeCells count="497">
    <mergeCell ref="G40:H40"/>
    <mergeCell ref="R28:T28"/>
    <mergeCell ref="R40:T40"/>
    <mergeCell ref="U29:W40"/>
    <mergeCell ref="I28:K28"/>
    <mergeCell ref="L28:N28"/>
    <mergeCell ref="O28:Q28"/>
    <mergeCell ref="R39:T39"/>
    <mergeCell ref="O38:Q38"/>
    <mergeCell ref="O39:Q39"/>
    <mergeCell ref="G80:H80"/>
    <mergeCell ref="I80:Q80"/>
    <mergeCell ref="R80:T80"/>
    <mergeCell ref="G81:H81"/>
    <mergeCell ref="I81:Q81"/>
    <mergeCell ref="R81:T81"/>
    <mergeCell ref="G78:H78"/>
    <mergeCell ref="I78:Q78"/>
    <mergeCell ref="R78:T78"/>
    <mergeCell ref="G79:H79"/>
    <mergeCell ref="I79:Q79"/>
    <mergeCell ref="R79:T79"/>
    <mergeCell ref="G76:H76"/>
    <mergeCell ref="I76:Q76"/>
    <mergeCell ref="R76:T76"/>
    <mergeCell ref="G77:H77"/>
    <mergeCell ref="I77:Q77"/>
    <mergeCell ref="R77:T77"/>
    <mergeCell ref="G74:H74"/>
    <mergeCell ref="I74:Q74"/>
    <mergeCell ref="R74:T74"/>
    <mergeCell ref="G75:H75"/>
    <mergeCell ref="I75:Q75"/>
    <mergeCell ref="R75:T75"/>
    <mergeCell ref="G72:H72"/>
    <mergeCell ref="I72:Q72"/>
    <mergeCell ref="R72:T72"/>
    <mergeCell ref="G73:H73"/>
    <mergeCell ref="I73:Q73"/>
    <mergeCell ref="R73:T73"/>
    <mergeCell ref="R69:T69"/>
    <mergeCell ref="G71:H71"/>
    <mergeCell ref="I71:Q71"/>
    <mergeCell ref="R71:T71"/>
    <mergeCell ref="G70:H70"/>
    <mergeCell ref="I70:Q70"/>
    <mergeCell ref="R70:T70"/>
    <mergeCell ref="G69:H69"/>
    <mergeCell ref="I69:Q69"/>
    <mergeCell ref="I58:Q58"/>
    <mergeCell ref="I59:Q59"/>
    <mergeCell ref="I56:Q56"/>
    <mergeCell ref="R66:T66"/>
    <mergeCell ref="R67:T67"/>
    <mergeCell ref="R63:T63"/>
    <mergeCell ref="R64:T64"/>
    <mergeCell ref="I57:Q57"/>
    <mergeCell ref="R62:T62"/>
    <mergeCell ref="I60:Q60"/>
    <mergeCell ref="I54:Q54"/>
    <mergeCell ref="I47:Q47"/>
    <mergeCell ref="I45:Q45"/>
    <mergeCell ref="G57:H57"/>
    <mergeCell ref="G56:H56"/>
    <mergeCell ref="G53:H53"/>
    <mergeCell ref="G54:H54"/>
    <mergeCell ref="G55:H55"/>
    <mergeCell ref="G45:H45"/>
    <mergeCell ref="I55:Q55"/>
    <mergeCell ref="R43:T43"/>
    <mergeCell ref="R44:T44"/>
    <mergeCell ref="R45:T45"/>
    <mergeCell ref="R48:T48"/>
    <mergeCell ref="R57:T57"/>
    <mergeCell ref="R58:T58"/>
    <mergeCell ref="R53:T53"/>
    <mergeCell ref="R54:T54"/>
    <mergeCell ref="R55:T55"/>
    <mergeCell ref="R56:T56"/>
    <mergeCell ref="I61:Q61"/>
    <mergeCell ref="I62:Q62"/>
    <mergeCell ref="R59:T59"/>
    <mergeCell ref="R60:T60"/>
    <mergeCell ref="R61:T61"/>
    <mergeCell ref="G82:H82"/>
    <mergeCell ref="I82:Q82"/>
    <mergeCell ref="R82:T82"/>
    <mergeCell ref="I64:Q64"/>
    <mergeCell ref="I65:Q65"/>
    <mergeCell ref="I67:Q67"/>
    <mergeCell ref="I68:Q68"/>
    <mergeCell ref="R68:T68"/>
    <mergeCell ref="R65:T65"/>
    <mergeCell ref="I66:Q66"/>
    <mergeCell ref="G63:H63"/>
    <mergeCell ref="G64:H64"/>
    <mergeCell ref="G65:H65"/>
    <mergeCell ref="I63:Q63"/>
    <mergeCell ref="G58:H58"/>
    <mergeCell ref="G59:H59"/>
    <mergeCell ref="U70:W82"/>
    <mergeCell ref="G66:H66"/>
    <mergeCell ref="G67:H67"/>
    <mergeCell ref="G68:H68"/>
    <mergeCell ref="G60:H60"/>
    <mergeCell ref="G61:H61"/>
    <mergeCell ref="U57:W69"/>
    <mergeCell ref="G62:H62"/>
    <mergeCell ref="I48:Q48"/>
    <mergeCell ref="I49:Q49"/>
    <mergeCell ref="R47:T47"/>
    <mergeCell ref="R46:T46"/>
    <mergeCell ref="I53:Q53"/>
    <mergeCell ref="I50:Q50"/>
    <mergeCell ref="I51:Q51"/>
    <mergeCell ref="R50:T50"/>
    <mergeCell ref="R51:T51"/>
    <mergeCell ref="R52:T52"/>
    <mergeCell ref="G49:H49"/>
    <mergeCell ref="G50:H50"/>
    <mergeCell ref="R49:T49"/>
    <mergeCell ref="I52:Q52"/>
    <mergeCell ref="G51:H51"/>
    <mergeCell ref="G52:H52"/>
    <mergeCell ref="U43:W56"/>
    <mergeCell ref="G43:H43"/>
    <mergeCell ref="G44:H44"/>
    <mergeCell ref="L39:N39"/>
    <mergeCell ref="I43:Q43"/>
    <mergeCell ref="I46:Q46"/>
    <mergeCell ref="I44:Q44"/>
    <mergeCell ref="F42:H42"/>
    <mergeCell ref="G47:H47"/>
    <mergeCell ref="G48:H48"/>
    <mergeCell ref="I40:K40"/>
    <mergeCell ref="L40:N40"/>
    <mergeCell ref="O40:Q40"/>
    <mergeCell ref="I42:Q42"/>
    <mergeCell ref="R42:T42"/>
    <mergeCell ref="U42:W42"/>
    <mergeCell ref="G46:H46"/>
    <mergeCell ref="R33:T33"/>
    <mergeCell ref="R34:T34"/>
    <mergeCell ref="R35:T35"/>
    <mergeCell ref="R36:T36"/>
    <mergeCell ref="R37:T37"/>
    <mergeCell ref="R38:T38"/>
    <mergeCell ref="O36:Q36"/>
    <mergeCell ref="O37:Q37"/>
    <mergeCell ref="F41:W41"/>
    <mergeCell ref="O33:Q33"/>
    <mergeCell ref="O34:Q34"/>
    <mergeCell ref="O31:Q31"/>
    <mergeCell ref="O32:Q32"/>
    <mergeCell ref="R29:T29"/>
    <mergeCell ref="R30:T30"/>
    <mergeCell ref="R31:T31"/>
    <mergeCell ref="R32:T32"/>
    <mergeCell ref="L38:N38"/>
    <mergeCell ref="I36:K36"/>
    <mergeCell ref="I37:K37"/>
    <mergeCell ref="I38:K38"/>
    <mergeCell ref="I39:K39"/>
    <mergeCell ref="L29:N29"/>
    <mergeCell ref="L30:N30"/>
    <mergeCell ref="L31:N31"/>
    <mergeCell ref="L33:N33"/>
    <mergeCell ref="L34:N34"/>
    <mergeCell ref="L36:N36"/>
    <mergeCell ref="L37:N37"/>
    <mergeCell ref="R20:T20"/>
    <mergeCell ref="R21:T21"/>
    <mergeCell ref="L32:N32"/>
    <mergeCell ref="I30:K30"/>
    <mergeCell ref="I31:K31"/>
    <mergeCell ref="I32:K32"/>
    <mergeCell ref="O29:Q29"/>
    <mergeCell ref="O30:Q30"/>
    <mergeCell ref="R24:T24"/>
    <mergeCell ref="O23:Q23"/>
    <mergeCell ref="I35:K35"/>
    <mergeCell ref="F14:W14"/>
    <mergeCell ref="G29:H29"/>
    <mergeCell ref="G30:H30"/>
    <mergeCell ref="G31:H31"/>
    <mergeCell ref="R19:T19"/>
    <mergeCell ref="O35:Q35"/>
    <mergeCell ref="L35:N35"/>
    <mergeCell ref="G32:H32"/>
    <mergeCell ref="G33:H33"/>
    <mergeCell ref="G34:H34"/>
    <mergeCell ref="G35:H35"/>
    <mergeCell ref="G36:H36"/>
    <mergeCell ref="I27:K27"/>
    <mergeCell ref="I33:K33"/>
    <mergeCell ref="I34:K34"/>
    <mergeCell ref="G28:H28"/>
    <mergeCell ref="R22:T22"/>
    <mergeCell ref="R23:T23"/>
    <mergeCell ref="G37:H37"/>
    <mergeCell ref="G38:H38"/>
    <mergeCell ref="G39:H39"/>
    <mergeCell ref="R25:T25"/>
    <mergeCell ref="R26:T26"/>
    <mergeCell ref="R27:T27"/>
    <mergeCell ref="I29:K29"/>
    <mergeCell ref="O27:Q27"/>
    <mergeCell ref="I25:K25"/>
    <mergeCell ref="I26:K26"/>
    <mergeCell ref="O18:Q18"/>
    <mergeCell ref="O19:Q19"/>
    <mergeCell ref="O20:Q20"/>
    <mergeCell ref="O24:Q24"/>
    <mergeCell ref="O25:Q25"/>
    <mergeCell ref="O26:Q26"/>
    <mergeCell ref="O21:Q21"/>
    <mergeCell ref="O22:Q22"/>
    <mergeCell ref="L27:N27"/>
    <mergeCell ref="L24:N24"/>
    <mergeCell ref="L25:N25"/>
    <mergeCell ref="L26:N26"/>
    <mergeCell ref="L21:N21"/>
    <mergeCell ref="O16:Q16"/>
    <mergeCell ref="O17:Q17"/>
    <mergeCell ref="I22:K22"/>
    <mergeCell ref="I23:K23"/>
    <mergeCell ref="I24:K24"/>
    <mergeCell ref="L22:N22"/>
    <mergeCell ref="L20:N20"/>
    <mergeCell ref="L18:N18"/>
    <mergeCell ref="L19:N19"/>
    <mergeCell ref="L23:N23"/>
    <mergeCell ref="G26:H26"/>
    <mergeCell ref="G27:H27"/>
    <mergeCell ref="I15:K15"/>
    <mergeCell ref="L15:N15"/>
    <mergeCell ref="O15:Q15"/>
    <mergeCell ref="I16:K16"/>
    <mergeCell ref="I17:K17"/>
    <mergeCell ref="I19:K19"/>
    <mergeCell ref="I20:K20"/>
    <mergeCell ref="I21:K21"/>
    <mergeCell ref="G20:H20"/>
    <mergeCell ref="G21:H21"/>
    <mergeCell ref="G22:H22"/>
    <mergeCell ref="G23:H23"/>
    <mergeCell ref="G24:H24"/>
    <mergeCell ref="G25:H25"/>
    <mergeCell ref="R15:T15"/>
    <mergeCell ref="I18:K18"/>
    <mergeCell ref="F15:H15"/>
    <mergeCell ref="L16:N16"/>
    <mergeCell ref="L17:N17"/>
    <mergeCell ref="G19:H19"/>
    <mergeCell ref="R16:T16"/>
    <mergeCell ref="R17:T17"/>
    <mergeCell ref="R18:T18"/>
    <mergeCell ref="F6:I6"/>
    <mergeCell ref="O6:Q6"/>
    <mergeCell ref="F12:W12"/>
    <mergeCell ref="R6:W6"/>
    <mergeCell ref="R7:W7"/>
    <mergeCell ref="R8:W8"/>
    <mergeCell ref="M10:N10"/>
    <mergeCell ref="R9:W9"/>
    <mergeCell ref="O7:Q9"/>
    <mergeCell ref="O10:O11"/>
    <mergeCell ref="F1:G4"/>
    <mergeCell ref="J6:N6"/>
    <mergeCell ref="F9:I9"/>
    <mergeCell ref="J7:N7"/>
    <mergeCell ref="J8:N8"/>
    <mergeCell ref="F7:I7"/>
    <mergeCell ref="F8:I8"/>
    <mergeCell ref="M9:N9"/>
    <mergeCell ref="J9:K9"/>
    <mergeCell ref="F5:W5"/>
    <mergeCell ref="F13:W13"/>
    <mergeCell ref="F10:F11"/>
    <mergeCell ref="G10:H11"/>
    <mergeCell ref="I10:I11"/>
    <mergeCell ref="U15:W15"/>
    <mergeCell ref="U16:W28"/>
    <mergeCell ref="V10:W11"/>
    <mergeCell ref="G16:H16"/>
    <mergeCell ref="G17:H17"/>
    <mergeCell ref="G18:H18"/>
    <mergeCell ref="U86:W95"/>
    <mergeCell ref="F83:W83"/>
    <mergeCell ref="F84:W84"/>
    <mergeCell ref="F85:H85"/>
    <mergeCell ref="I85:K85"/>
    <mergeCell ref="L85:N85"/>
    <mergeCell ref="O85:Q85"/>
    <mergeCell ref="R85:T85"/>
    <mergeCell ref="U85:W85"/>
    <mergeCell ref="R87:T87"/>
    <mergeCell ref="G86:H86"/>
    <mergeCell ref="I86:K86"/>
    <mergeCell ref="L86:N86"/>
    <mergeCell ref="O86:Q86"/>
    <mergeCell ref="R86:T86"/>
    <mergeCell ref="R88:T88"/>
    <mergeCell ref="G87:H87"/>
    <mergeCell ref="I87:K87"/>
    <mergeCell ref="L87:N87"/>
    <mergeCell ref="O87:Q87"/>
    <mergeCell ref="R89:T89"/>
    <mergeCell ref="G88:H88"/>
    <mergeCell ref="I88:K88"/>
    <mergeCell ref="L88:N88"/>
    <mergeCell ref="O88:Q88"/>
    <mergeCell ref="R91:T91"/>
    <mergeCell ref="G89:H89"/>
    <mergeCell ref="I89:K89"/>
    <mergeCell ref="L89:N89"/>
    <mergeCell ref="O89:Q89"/>
    <mergeCell ref="R93:T93"/>
    <mergeCell ref="G90:H90"/>
    <mergeCell ref="I90:K90"/>
    <mergeCell ref="L90:N90"/>
    <mergeCell ref="O90:Q90"/>
    <mergeCell ref="R90:T90"/>
    <mergeCell ref="G91:H91"/>
    <mergeCell ref="I91:K91"/>
    <mergeCell ref="L91:N91"/>
    <mergeCell ref="O91:Q91"/>
    <mergeCell ref="R95:T95"/>
    <mergeCell ref="G92:H92"/>
    <mergeCell ref="I92:K92"/>
    <mergeCell ref="L92:N92"/>
    <mergeCell ref="O92:Q92"/>
    <mergeCell ref="R92:T92"/>
    <mergeCell ref="G93:H93"/>
    <mergeCell ref="I93:K93"/>
    <mergeCell ref="L93:N93"/>
    <mergeCell ref="O93:Q93"/>
    <mergeCell ref="U96:W104"/>
    <mergeCell ref="G94:H94"/>
    <mergeCell ref="I94:K94"/>
    <mergeCell ref="L94:N94"/>
    <mergeCell ref="O94:Q94"/>
    <mergeCell ref="R94:T94"/>
    <mergeCell ref="G95:H95"/>
    <mergeCell ref="I95:K95"/>
    <mergeCell ref="L95:N95"/>
    <mergeCell ref="O95:Q95"/>
    <mergeCell ref="R97:T97"/>
    <mergeCell ref="G96:H96"/>
    <mergeCell ref="I96:K96"/>
    <mergeCell ref="L96:N96"/>
    <mergeCell ref="O96:Q96"/>
    <mergeCell ref="R96:T96"/>
    <mergeCell ref="R98:T98"/>
    <mergeCell ref="G97:H97"/>
    <mergeCell ref="I97:K97"/>
    <mergeCell ref="L97:N97"/>
    <mergeCell ref="O97:Q97"/>
    <mergeCell ref="R99:T99"/>
    <mergeCell ref="G98:H98"/>
    <mergeCell ref="I98:K98"/>
    <mergeCell ref="L98:N98"/>
    <mergeCell ref="O98:Q98"/>
    <mergeCell ref="R101:T101"/>
    <mergeCell ref="G99:H99"/>
    <mergeCell ref="I99:K99"/>
    <mergeCell ref="L99:N99"/>
    <mergeCell ref="O99:Q99"/>
    <mergeCell ref="R103:T103"/>
    <mergeCell ref="G100:H100"/>
    <mergeCell ref="I100:K100"/>
    <mergeCell ref="L100:N100"/>
    <mergeCell ref="O100:Q100"/>
    <mergeCell ref="R100:T100"/>
    <mergeCell ref="G101:H101"/>
    <mergeCell ref="I101:K101"/>
    <mergeCell ref="L101:N101"/>
    <mergeCell ref="O101:Q101"/>
    <mergeCell ref="F105:W105"/>
    <mergeCell ref="G102:H102"/>
    <mergeCell ref="I102:K102"/>
    <mergeCell ref="L102:N102"/>
    <mergeCell ref="O102:Q102"/>
    <mergeCell ref="R102:T102"/>
    <mergeCell ref="G103:H103"/>
    <mergeCell ref="I103:K103"/>
    <mergeCell ref="L103:N103"/>
    <mergeCell ref="O103:Q103"/>
    <mergeCell ref="F106:H106"/>
    <mergeCell ref="I106:Q106"/>
    <mergeCell ref="R106:T106"/>
    <mergeCell ref="U106:W106"/>
    <mergeCell ref="U107:W117"/>
    <mergeCell ref="G104:H104"/>
    <mergeCell ref="I104:K104"/>
    <mergeCell ref="L104:N104"/>
    <mergeCell ref="O104:Q104"/>
    <mergeCell ref="R104:T104"/>
    <mergeCell ref="G107:H107"/>
    <mergeCell ref="I107:Q107"/>
    <mergeCell ref="R107:T107"/>
    <mergeCell ref="G108:H108"/>
    <mergeCell ref="I108:Q108"/>
    <mergeCell ref="R108:T108"/>
    <mergeCell ref="G109:H109"/>
    <mergeCell ref="I109:Q109"/>
    <mergeCell ref="R109:T109"/>
    <mergeCell ref="G110:H110"/>
    <mergeCell ref="I110:Q110"/>
    <mergeCell ref="R110:T110"/>
    <mergeCell ref="G111:H111"/>
    <mergeCell ref="I111:Q111"/>
    <mergeCell ref="R111:T111"/>
    <mergeCell ref="G112:H112"/>
    <mergeCell ref="I112:Q112"/>
    <mergeCell ref="R112:T112"/>
    <mergeCell ref="G113:H113"/>
    <mergeCell ref="I113:Q113"/>
    <mergeCell ref="R113:T113"/>
    <mergeCell ref="G114:H114"/>
    <mergeCell ref="I114:Q114"/>
    <mergeCell ref="R114:T114"/>
    <mergeCell ref="G115:H115"/>
    <mergeCell ref="I115:Q115"/>
    <mergeCell ref="R115:T115"/>
    <mergeCell ref="G118:H118"/>
    <mergeCell ref="I118:Q118"/>
    <mergeCell ref="R118:T118"/>
    <mergeCell ref="G116:H116"/>
    <mergeCell ref="I116:Q116"/>
    <mergeCell ref="R116:T116"/>
    <mergeCell ref="G117:H117"/>
    <mergeCell ref="I117:Q117"/>
    <mergeCell ref="R117:T117"/>
    <mergeCell ref="G119:H119"/>
    <mergeCell ref="I119:Q119"/>
    <mergeCell ref="R119:T119"/>
    <mergeCell ref="G120:H120"/>
    <mergeCell ref="I120:Q120"/>
    <mergeCell ref="R120:T120"/>
    <mergeCell ref="G121:H121"/>
    <mergeCell ref="I121:Q121"/>
    <mergeCell ref="R121:T121"/>
    <mergeCell ref="G122:H122"/>
    <mergeCell ref="I122:Q122"/>
    <mergeCell ref="R122:T122"/>
    <mergeCell ref="G123:H123"/>
    <mergeCell ref="I123:Q123"/>
    <mergeCell ref="R123:T123"/>
    <mergeCell ref="G124:H124"/>
    <mergeCell ref="I124:Q124"/>
    <mergeCell ref="R124:T124"/>
    <mergeCell ref="G125:H125"/>
    <mergeCell ref="I125:Q125"/>
    <mergeCell ref="R125:T125"/>
    <mergeCell ref="U127:W136"/>
    <mergeCell ref="G127:H127"/>
    <mergeCell ref="I127:Q127"/>
    <mergeCell ref="R127:T127"/>
    <mergeCell ref="G126:H126"/>
    <mergeCell ref="I126:Q126"/>
    <mergeCell ref="R126:T126"/>
    <mergeCell ref="G128:H128"/>
    <mergeCell ref="I128:Q128"/>
    <mergeCell ref="R128:T128"/>
    <mergeCell ref="G133:H133"/>
    <mergeCell ref="G130:H130"/>
    <mergeCell ref="I130:Q130"/>
    <mergeCell ref="R130:T130"/>
    <mergeCell ref="G129:H129"/>
    <mergeCell ref="I129:Q129"/>
    <mergeCell ref="G135:H135"/>
    <mergeCell ref="I135:Q135"/>
    <mergeCell ref="R135:T135"/>
    <mergeCell ref="G136:H136"/>
    <mergeCell ref="I136:Q136"/>
    <mergeCell ref="R136:T136"/>
    <mergeCell ref="G134:H134"/>
    <mergeCell ref="I134:Q134"/>
    <mergeCell ref="R134:T134"/>
    <mergeCell ref="H1:T4"/>
    <mergeCell ref="I133:Q133"/>
    <mergeCell ref="R10:R11"/>
    <mergeCell ref="G131:H131"/>
    <mergeCell ref="I131:Q131"/>
    <mergeCell ref="R131:T131"/>
    <mergeCell ref="G132:H132"/>
    <mergeCell ref="U10:U11"/>
    <mergeCell ref="J10:K11"/>
    <mergeCell ref="M11:N11"/>
    <mergeCell ref="P10:Q11"/>
    <mergeCell ref="S10:T11"/>
    <mergeCell ref="R133:T133"/>
    <mergeCell ref="I132:Q132"/>
    <mergeCell ref="R132:T132"/>
    <mergeCell ref="R129:T129"/>
    <mergeCell ref="U118:W126"/>
  </mergeCells>
  <conditionalFormatting sqref="I16:O40 I107:I136">
    <cfRule type="expression" dxfId="3" priority="7" stopIfTrue="1">
      <formula>AND(ABS(I16)&gt;$R16,I16&lt;&gt;"")</formula>
    </cfRule>
    <cfRule type="expression" dxfId="2" priority="8" stopIfTrue="1">
      <formula>AND(ABS(I16)&lt;=$R16,I16&lt;&gt;"")</formula>
    </cfRule>
  </conditionalFormatting>
  <conditionalFormatting sqref="I43:I82 I86:O104">
    <cfRule type="expression" dxfId="1" priority="5" stopIfTrue="1">
      <formula>AND(ABS(I43)&lt;=$R43,I43&lt;&gt;"")</formula>
    </cfRule>
    <cfRule type="expression" dxfId="0" priority="6" stopIfTrue="1">
      <formula>AND(ABS(I43)&gt;$R43,I43&lt;&gt;"")</formula>
    </cfRule>
  </conditionalFormatting>
  <dataValidations count="5">
    <dataValidation type="list" allowBlank="1" showInputMessage="1" showErrorMessage="1" sqref="G10">
      <formula1>Topología</formula1>
    </dataValidation>
    <dataValidation type="list" allowBlank="1" showInputMessage="1" showErrorMessage="1" sqref="J10">
      <formula1>Comunicación</formula1>
    </dataValidation>
    <dataValidation type="list" allowBlank="1" showInputMessage="1" showErrorMessage="1" sqref="R6">
      <formula1>Patrón</formula1>
    </dataValidation>
    <dataValidation type="list" allowBlank="1" showInputMessage="1" showErrorMessage="1" sqref="M10:N10">
      <formula1>Clasea</formula1>
    </dataValidation>
    <dataValidation type="list" allowBlank="1" showInputMessage="1" showErrorMessage="1" sqref="M11:N11">
      <formula1>Claser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49"/>
  <sheetViews>
    <sheetView zoomScaleNormal="100" workbookViewId="0">
      <selection activeCell="C5" sqref="C5"/>
    </sheetView>
  </sheetViews>
  <sheetFormatPr baseColWidth="10" defaultColWidth="9.140625" defaultRowHeight="15" x14ac:dyDescent="0.25"/>
  <cols>
    <col min="2" max="2" width="9.42578125" bestFit="1" customWidth="1"/>
    <col min="11" max="11" width="17.28515625" bestFit="1" customWidth="1"/>
    <col min="17" max="17" width="10.7109375" customWidth="1"/>
  </cols>
  <sheetData>
    <row r="2" spans="2:26" x14ac:dyDescent="0.25">
      <c r="B2" t="s">
        <v>7</v>
      </c>
      <c r="C2" t="s">
        <v>9</v>
      </c>
      <c r="D2" t="s">
        <v>12</v>
      </c>
      <c r="E2" t="s">
        <v>0</v>
      </c>
      <c r="F2" t="s">
        <v>47</v>
      </c>
      <c r="G2" t="s">
        <v>48</v>
      </c>
      <c r="H2" t="s">
        <v>52</v>
      </c>
      <c r="I2" t="s">
        <v>54</v>
      </c>
      <c r="J2" t="s">
        <v>55</v>
      </c>
      <c r="K2" t="s">
        <v>85</v>
      </c>
      <c r="L2" t="s">
        <v>56</v>
      </c>
      <c r="M2" t="s">
        <v>57</v>
      </c>
      <c r="N2" t="s">
        <v>58</v>
      </c>
      <c r="O2" t="s">
        <v>186</v>
      </c>
      <c r="P2" t="s">
        <v>59</v>
      </c>
      <c r="Q2" t="s">
        <v>60</v>
      </c>
      <c r="R2" t="s">
        <v>61</v>
      </c>
      <c r="S2" t="s">
        <v>91</v>
      </c>
      <c r="T2" t="s">
        <v>63</v>
      </c>
      <c r="U2" t="s">
        <v>150</v>
      </c>
      <c r="V2" t="s">
        <v>73</v>
      </c>
      <c r="W2" t="s">
        <v>74</v>
      </c>
      <c r="X2" t="s">
        <v>155</v>
      </c>
      <c r="Y2" t="s">
        <v>156</v>
      </c>
      <c r="Z2" t="s">
        <v>157</v>
      </c>
    </row>
    <row r="3" spans="2:26" x14ac:dyDescent="0.25">
      <c r="B3" t="s">
        <v>8</v>
      </c>
      <c r="C3" t="s">
        <v>10</v>
      </c>
      <c r="D3" t="s">
        <v>13</v>
      </c>
      <c r="E3" t="s">
        <v>19</v>
      </c>
      <c r="F3">
        <v>1</v>
      </c>
      <c r="G3">
        <v>2</v>
      </c>
      <c r="H3" t="s">
        <v>53</v>
      </c>
      <c r="I3" t="s">
        <v>65</v>
      </c>
      <c r="J3" t="s">
        <v>78</v>
      </c>
      <c r="K3" t="s">
        <v>135</v>
      </c>
      <c r="L3" t="s">
        <v>89</v>
      </c>
      <c r="M3" t="s">
        <v>102</v>
      </c>
      <c r="N3" t="s">
        <v>111</v>
      </c>
      <c r="O3" t="s">
        <v>112</v>
      </c>
      <c r="P3" t="s">
        <v>123</v>
      </c>
      <c r="Q3" t="s">
        <v>125</v>
      </c>
      <c r="R3" t="s">
        <v>136</v>
      </c>
      <c r="S3" t="s">
        <v>138</v>
      </c>
      <c r="T3" t="s">
        <v>144</v>
      </c>
      <c r="U3" t="s">
        <v>151</v>
      </c>
      <c r="V3" t="s">
        <v>158</v>
      </c>
      <c r="W3" t="s">
        <v>159</v>
      </c>
      <c r="X3" t="s">
        <v>164</v>
      </c>
      <c r="Y3" t="s">
        <v>171</v>
      </c>
      <c r="Z3" t="s">
        <v>180</v>
      </c>
    </row>
    <row r="4" spans="2:26" x14ac:dyDescent="0.25">
      <c r="B4" t="s">
        <v>4</v>
      </c>
      <c r="C4" t="s">
        <v>198</v>
      </c>
      <c r="E4" t="s">
        <v>20</v>
      </c>
      <c r="F4">
        <v>2</v>
      </c>
      <c r="G4">
        <v>3</v>
      </c>
      <c r="H4" t="s">
        <v>54</v>
      </c>
      <c r="I4" t="s">
        <v>69</v>
      </c>
      <c r="J4" t="s">
        <v>79</v>
      </c>
      <c r="K4" t="s">
        <v>88</v>
      </c>
      <c r="L4" t="s">
        <v>96</v>
      </c>
      <c r="M4" t="s">
        <v>106</v>
      </c>
      <c r="N4" t="s">
        <v>109</v>
      </c>
      <c r="O4" t="s">
        <v>120</v>
      </c>
      <c r="P4" t="s">
        <v>124</v>
      </c>
      <c r="Q4" t="s">
        <v>132</v>
      </c>
      <c r="R4" t="s">
        <v>137</v>
      </c>
      <c r="S4" t="s">
        <v>139</v>
      </c>
      <c r="T4" t="s">
        <v>145</v>
      </c>
      <c r="U4" t="s">
        <v>152</v>
      </c>
      <c r="W4" t="s">
        <v>160</v>
      </c>
      <c r="X4" t="s">
        <v>165</v>
      </c>
      <c r="Y4" t="s">
        <v>172</v>
      </c>
      <c r="Z4" t="s">
        <v>181</v>
      </c>
    </row>
    <row r="5" spans="2:26" x14ac:dyDescent="0.25">
      <c r="C5" t="s">
        <v>11</v>
      </c>
      <c r="E5" t="s">
        <v>21</v>
      </c>
      <c r="H5" t="s">
        <v>55</v>
      </c>
      <c r="I5" t="s">
        <v>70</v>
      </c>
      <c r="J5" t="s">
        <v>80</v>
      </c>
      <c r="K5" t="s">
        <v>82</v>
      </c>
      <c r="L5" t="s">
        <v>92</v>
      </c>
      <c r="M5" t="s">
        <v>103</v>
      </c>
      <c r="N5" t="s">
        <v>110</v>
      </c>
      <c r="O5" t="s">
        <v>113</v>
      </c>
      <c r="Q5" t="s">
        <v>133</v>
      </c>
      <c r="S5" t="s">
        <v>140</v>
      </c>
      <c r="T5" t="s">
        <v>146</v>
      </c>
      <c r="U5" t="s">
        <v>153</v>
      </c>
      <c r="W5" t="s">
        <v>161</v>
      </c>
      <c r="X5" t="s">
        <v>166</v>
      </c>
      <c r="Y5" t="s">
        <v>173</v>
      </c>
      <c r="Z5" t="s">
        <v>182</v>
      </c>
    </row>
    <row r="6" spans="2:26" x14ac:dyDescent="0.25">
      <c r="C6" t="s">
        <v>190</v>
      </c>
      <c r="E6" t="s">
        <v>22</v>
      </c>
      <c r="H6" t="s">
        <v>56</v>
      </c>
      <c r="I6" t="s">
        <v>71</v>
      </c>
      <c r="J6" t="s">
        <v>81</v>
      </c>
      <c r="K6" t="s">
        <v>83</v>
      </c>
      <c r="L6" t="s">
        <v>93</v>
      </c>
      <c r="M6" t="s">
        <v>104</v>
      </c>
      <c r="O6" t="s">
        <v>121</v>
      </c>
      <c r="Q6" t="s">
        <v>134</v>
      </c>
      <c r="S6" t="s">
        <v>141</v>
      </c>
      <c r="T6" t="s">
        <v>147</v>
      </c>
      <c r="U6" t="s">
        <v>154</v>
      </c>
      <c r="W6" t="s">
        <v>162</v>
      </c>
      <c r="X6" t="s">
        <v>167</v>
      </c>
      <c r="Y6" t="s">
        <v>174</v>
      </c>
      <c r="Z6" t="s">
        <v>183</v>
      </c>
    </row>
    <row r="7" spans="2:26" x14ac:dyDescent="0.25">
      <c r="E7" t="s">
        <v>23</v>
      </c>
      <c r="H7" t="s">
        <v>57</v>
      </c>
      <c r="I7" t="s">
        <v>72</v>
      </c>
      <c r="K7" t="s">
        <v>84</v>
      </c>
      <c r="L7" t="s">
        <v>92</v>
      </c>
      <c r="M7" t="s">
        <v>107</v>
      </c>
      <c r="O7" t="s">
        <v>114</v>
      </c>
      <c r="Q7" t="s">
        <v>131</v>
      </c>
      <c r="S7" t="s">
        <v>142</v>
      </c>
      <c r="T7" t="s">
        <v>148</v>
      </c>
      <c r="W7" t="s">
        <v>163</v>
      </c>
      <c r="X7" t="s">
        <v>168</v>
      </c>
      <c r="Y7" t="s">
        <v>175</v>
      </c>
      <c r="Z7" t="s">
        <v>184</v>
      </c>
    </row>
    <row r="8" spans="2:26" x14ac:dyDescent="0.25">
      <c r="E8" t="s">
        <v>24</v>
      </c>
      <c r="H8" t="s">
        <v>58</v>
      </c>
      <c r="I8" t="s">
        <v>68</v>
      </c>
      <c r="K8" t="s">
        <v>87</v>
      </c>
      <c r="L8" t="s">
        <v>94</v>
      </c>
      <c r="M8" t="s">
        <v>108</v>
      </c>
      <c r="O8" t="s">
        <v>122</v>
      </c>
      <c r="Q8" t="s">
        <v>126</v>
      </c>
      <c r="S8" t="s">
        <v>143</v>
      </c>
      <c r="T8" t="s">
        <v>149</v>
      </c>
      <c r="X8" t="s">
        <v>169</v>
      </c>
      <c r="Y8" t="s">
        <v>176</v>
      </c>
      <c r="Z8" t="s">
        <v>185</v>
      </c>
    </row>
    <row r="9" spans="2:26" x14ac:dyDescent="0.25">
      <c r="E9" t="s">
        <v>26</v>
      </c>
      <c r="H9" t="s">
        <v>186</v>
      </c>
      <c r="I9" t="s">
        <v>66</v>
      </c>
      <c r="K9" t="s">
        <v>86</v>
      </c>
      <c r="L9" t="s">
        <v>97</v>
      </c>
      <c r="M9" t="s">
        <v>105</v>
      </c>
      <c r="O9" t="s">
        <v>115</v>
      </c>
      <c r="Q9" t="s">
        <v>127</v>
      </c>
      <c r="X9" t="s">
        <v>170</v>
      </c>
      <c r="Y9" t="s">
        <v>177</v>
      </c>
    </row>
    <row r="10" spans="2:26" x14ac:dyDescent="0.25">
      <c r="E10" t="s">
        <v>25</v>
      </c>
      <c r="H10" t="s">
        <v>59</v>
      </c>
      <c r="I10" t="s">
        <v>67</v>
      </c>
      <c r="L10" t="s">
        <v>90</v>
      </c>
      <c r="O10" t="s">
        <v>116</v>
      </c>
      <c r="Q10" t="s">
        <v>128</v>
      </c>
      <c r="Y10" t="s">
        <v>178</v>
      </c>
    </row>
    <row r="11" spans="2:26" x14ac:dyDescent="0.25">
      <c r="E11" t="s">
        <v>27</v>
      </c>
      <c r="H11" t="s">
        <v>60</v>
      </c>
      <c r="I11" t="s">
        <v>64</v>
      </c>
      <c r="L11" t="s">
        <v>95</v>
      </c>
      <c r="O11" t="s">
        <v>117</v>
      </c>
      <c r="Q11" t="s">
        <v>129</v>
      </c>
      <c r="Y11" t="s">
        <v>179</v>
      </c>
    </row>
    <row r="12" spans="2:26" x14ac:dyDescent="0.25">
      <c r="E12" t="s">
        <v>28</v>
      </c>
      <c r="H12" t="s">
        <v>85</v>
      </c>
      <c r="L12" t="s">
        <v>98</v>
      </c>
      <c r="O12" t="s">
        <v>118</v>
      </c>
      <c r="Q12" t="s">
        <v>130</v>
      </c>
    </row>
    <row r="13" spans="2:26" x14ac:dyDescent="0.25">
      <c r="E13" t="s">
        <v>29</v>
      </c>
      <c r="H13" t="s">
        <v>61</v>
      </c>
      <c r="L13" t="s">
        <v>99</v>
      </c>
      <c r="O13" t="s">
        <v>119</v>
      </c>
    </row>
    <row r="14" spans="2:26" x14ac:dyDescent="0.25">
      <c r="E14" t="s">
        <v>30</v>
      </c>
      <c r="H14" t="s">
        <v>62</v>
      </c>
      <c r="L14" t="s">
        <v>100</v>
      </c>
    </row>
    <row r="15" spans="2:26" x14ac:dyDescent="0.25">
      <c r="E15" t="s">
        <v>31</v>
      </c>
      <c r="H15" t="s">
        <v>63</v>
      </c>
      <c r="L15" t="s">
        <v>101</v>
      </c>
    </row>
    <row r="16" spans="2:26" x14ac:dyDescent="0.25">
      <c r="E16" t="s">
        <v>49</v>
      </c>
      <c r="H16" t="s">
        <v>150</v>
      </c>
    </row>
    <row r="17" spans="8:28" x14ac:dyDescent="0.25">
      <c r="H17" t="s">
        <v>73</v>
      </c>
    </row>
    <row r="18" spans="8:28" x14ac:dyDescent="0.25">
      <c r="H18" t="s">
        <v>74</v>
      </c>
    </row>
    <row r="19" spans="8:28" x14ac:dyDescent="0.25">
      <c r="H19" t="s">
        <v>75</v>
      </c>
    </row>
    <row r="20" spans="8:28" x14ac:dyDescent="0.25">
      <c r="H20" t="s">
        <v>76</v>
      </c>
    </row>
    <row r="21" spans="8:28" x14ac:dyDescent="0.25">
      <c r="H21" t="s">
        <v>77</v>
      </c>
    </row>
    <row r="22" spans="8:28" x14ac:dyDescent="0.25">
      <c r="H22" t="s">
        <v>91</v>
      </c>
    </row>
    <row r="27" spans="8:28" x14ac:dyDescent="0.25">
      <c r="AB27" t="e">
        <f ca="1">OFFSET(Hoja3!E2,1,0,COUNTA(Hoja3!E:E)-1)</f>
        <v>#VALUE!</v>
      </c>
    </row>
    <row r="29" spans="8:28" x14ac:dyDescent="0.25">
      <c r="AB29" t="str">
        <f t="array" aca="1" ref="AB29" ca="1">OFFSET(Hoja3!I2,1,0,COUNTA(Hoja3!I:I)-1)</f>
        <v>ACE2000</v>
      </c>
    </row>
    <row r="31" spans="8:28" x14ac:dyDescent="0.25">
      <c r="AB31" t="str">
        <f t="array" aca="1" ref="AB31" ca="1">OFFSET(Hoja3!J2,1,0,COUNTA(Hoja3!J:J)-1)</f>
        <v>Omnia</v>
      </c>
    </row>
    <row r="33" spans="28:28" x14ac:dyDescent="0.25">
      <c r="AB33" t="str">
        <f t="array" aca="1" ref="AB33" ca="1">OFFSET(Hoja3!K2,1,0,COUNTA(Hoja3!K:K)-1)</f>
        <v>A3R</v>
      </c>
    </row>
    <row r="35" spans="28:28" x14ac:dyDescent="0.25">
      <c r="AB35" t="str">
        <f t="array" aca="1" ref="AB35" ca="1">OFFSET(Hoja3!L2,1,0,COUNTA(Hoja3!L:L)-1)</f>
        <v>HXE12</v>
      </c>
    </row>
    <row r="37" spans="28:28" x14ac:dyDescent="0.25">
      <c r="AB37" t="str">
        <f t="array" aca="1" ref="AB37" ca="1">OFFSET(Hoja3!M2,1,0,COUNTA(Hoja3!M:M)-1)</f>
        <v>DDS720</v>
      </c>
    </row>
    <row r="39" spans="28:28" x14ac:dyDescent="0.25">
      <c r="AB39" t="str">
        <f t="array" aca="1" ref="AB39" ca="1">OFFSET(Hoja3!N2,1,0,COUNTA(Hoja3!N:N)-1)</f>
        <v>E230-SP2301</v>
      </c>
    </row>
    <row r="41" spans="28:28" x14ac:dyDescent="0.25">
      <c r="AB41" t="str">
        <f t="array" aca="1" ref="AB41" ca="1">OFFSET(Hoja3!O2,1,0,COUNTA(Hoja3!O:O)-1)</f>
        <v>MT174</v>
      </c>
    </row>
    <row r="43" spans="28:28" x14ac:dyDescent="0.25">
      <c r="AB43" t="str">
        <f t="array" aca="1" ref="AB43" ca="1">OFFSET(Hoja3!P2,1,0,COUNTA(Hoja3!P:P)-1)</f>
        <v>AD21M</v>
      </c>
    </row>
    <row r="45" spans="28:28" x14ac:dyDescent="0.25">
      <c r="AB45" t="str">
        <f t="array" aca="1" ref="AB45" ca="1">OFFSET(Hoja3!H2,1,0,COUNTA(Hoja3!H:H)-1)</f>
        <v>Discar</v>
      </c>
    </row>
    <row r="47" spans="28:28" x14ac:dyDescent="0.25">
      <c r="AB47" t="str">
        <f t="array" aca="1" ref="AB47" ca="1">OFFSET(Hoja3!Q2,1,0,COUNTA(Hoja3!Q:Q)-1)</f>
        <v>CIRWATT D</v>
      </c>
    </row>
    <row r="49" spans="28:28" x14ac:dyDescent="0.25">
      <c r="AB49" t="str">
        <f t="array" aca="1" ref="AB49" ca="1">OFFSET(Hoja3!R2,1,0,COUNTA(Hoja3!R:R)-1)</f>
        <v>EEM-MA</v>
      </c>
    </row>
  </sheetData>
  <sheetCalcPr fullCalcOnLoa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Formulario de Procedimiento (excel)" ma:contentTypeID="0x01010012575A5EFC31944395CB438D7355DBCA060056F6E42DAF4A4245B04B7F2BD8C87A5A" ma:contentTypeVersion="1" ma:contentTypeDescription="Formato para formulario de procedimiento. Basado en excel." ma:contentTypeScope="" ma:versionID="9296ed9156014d48b9b62de87212f9f5">
  <xsd:schema xmlns:xsd="http://www.w3.org/2001/XMLSchema" xmlns:xs="http://www.w3.org/2001/XMLSchema" xmlns:p="http://schemas.microsoft.com/office/2006/metadata/properties" xmlns:ns2="21187082-b03e-496c-b451-6531afb800af" targetNamespace="http://schemas.microsoft.com/office/2006/metadata/properties" ma:root="true" ma:fieldsID="6bc5bf64094a2b07d8e42244db8674b6" ns2:_="">
    <xsd:import namespace="21187082-b03e-496c-b451-6531afb800a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TaxKeywordTaxHTField" minOccurs="0"/>
                <xsd:element ref="ns2:TaxCatchAll" minOccurs="0"/>
                <xsd:element ref="ns2:TaxCatchAllLabel" minOccurs="0"/>
                <xsd:element ref="ns2:Estado_x0020_de_x0020_Vigencia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187082-b03e-496c-b451-6531afb800a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or de Id. de documento" ma:description="El valor del identificador de documento asignado a este elemento." ma:internalName="_dlc_DocId" ma:readOnly="true">
      <xsd:simpleType>
        <xsd:restriction base="dms:Text"/>
      </xsd:simpleType>
    </xsd:element>
    <xsd:element name="_dlc_DocIdUrl" ma:index="9" nillable="true" ma:displayName="Id. de documento" ma:description="Vínculo permanente 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Identificador persistente" ma:description="Mantener el identificador al agregar." ma:hidden="true" ma:internalName="_dlc_DocIdPersistId" ma:readOnly="true">
      <xsd:simpleType>
        <xsd:restriction base="dms:Boolean"/>
      </xsd:simpleType>
    </xsd:element>
    <xsd:element name="TaxKeywordTaxHTField" ma:index="11" nillable="true" ma:taxonomy="true" ma:internalName="TaxKeywordTaxHTField" ma:taxonomyFieldName="TaxKeyword" ma:displayName="Palabras clave de empresa" ma:fieldId="{23f27201-bee3-471e-b2e7-b64fd8b7ca38}" ma:taxonomyMulti="true" ma:sspId="7fa64d75-fd03-4b32-8f07-51ed00ec88fe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2" nillable="true" ma:displayName="Columna global de taxonomía" ma:description="" ma:hidden="true" ma:list="{50a0613e-68b8-4108-a8be-092ffbf17004}" ma:internalName="TaxCatchAll" ma:showField="CatchAllData" ma:web="21187082-b03e-496c-b451-6531afb800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3" nillable="true" ma:displayName="Columna global de taxonomía1" ma:description="" ma:hidden="true" ma:list="{50a0613e-68b8-4108-a8be-092ffbf17004}" ma:internalName="TaxCatchAllLabel" ma:readOnly="true" ma:showField="CatchAllDataLabel" ma:web="21187082-b03e-496c-b451-6531afb800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Estado_x0020_de_x0020_Vigencia" ma:index="15" ma:displayName="Estado de Vigencia" ma:default="Vigente" ma:description="Estado de Vigencia del documento o archivo del SGC." ma:format="Dropdown" ma:internalName="Estado_x0020_de_x0020_Vigencia" ma:readOnly="false">
      <xsd:simpleType>
        <xsd:restriction base="dms:Choice">
          <xsd:enumeration value="Vigente"/>
          <xsd:enumeration value="Obsoleto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LongProperties xmlns="http://schemas.microsoft.com/office/2006/metadata/longProperties"/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1187082-b03e-496c-b451-6531afb800af"/>
    <Estado_x0020_de_x0020_Vigencia xmlns="21187082-b03e-496c-b451-6531afb800af">Vigente</Estado_x0020_de_x0020_Vigencia>
    <TaxKeywordTaxHTField xmlns="21187082-b03e-496c-b451-6531afb800af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B1541507-25F0-46E7-83BB-CBAF960868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187082-b03e-496c-b451-6531afb800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43DB382-C756-4FDA-A27E-4DF26CC04FE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E7962C5-96E4-4B02-90EC-AF4EE9CB4BCD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39C1D5D2-D028-498E-BBC3-6B9D89FB5705}">
  <ds:schemaRefs>
    <ds:schemaRef ds:uri="http://schemas.microsoft.com/office/2006/metadata/longProperties"/>
  </ds:schemaRefs>
</ds:datastoreItem>
</file>

<file path=customXml/itemProps5.xml><?xml version="1.0" encoding="utf-8"?>
<ds:datastoreItem xmlns:ds="http://schemas.openxmlformats.org/officeDocument/2006/customXml" ds:itemID="{A1A70713-F6FB-4CBA-B552-99377CFF103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6</vt:i4>
      </vt:variant>
    </vt:vector>
  </HeadingPairs>
  <TitlesOfParts>
    <vt:vector size="10" baseType="lpstr">
      <vt:lpstr>Hoja1</vt:lpstr>
      <vt:lpstr>Hoja2</vt:lpstr>
      <vt:lpstr>Hoja3</vt:lpstr>
      <vt:lpstr>Hoja4</vt:lpstr>
      <vt:lpstr>Clasea</vt:lpstr>
      <vt:lpstr>Claser</vt:lpstr>
      <vt:lpstr>Comunicación</vt:lpstr>
      <vt:lpstr>Nada</vt:lpstr>
      <vt:lpstr>Patrón</vt:lpstr>
      <vt:lpstr>Topología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ID_P4_F21 - Planilla de ensayo metrológico de medidores de clientes</dc:title>
  <dc:creator/>
  <cp:lastModifiedBy/>
  <dcterms:created xsi:type="dcterms:W3CDTF">2006-09-16T00:00:00Z</dcterms:created>
  <dcterms:modified xsi:type="dcterms:W3CDTF">2022-09-06T13:31:58Z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">
    <vt:lpwstr>INTRASGC-24-50</vt:lpwstr>
  </property>
  <property fmtid="{D5CDD505-2E9C-101B-9397-08002B2CF9AE}" pid="3" name="_dlc_DocIdItemGuid">
    <vt:lpwstr>2e3fecc8-8722-4235-ba08-a67bebaa82ac</vt:lpwstr>
  </property>
  <property fmtid="{D5CDD505-2E9C-101B-9397-08002B2CF9AE}" pid="4" name="_dlc_DocIdUrl">
    <vt:lpwstr>http://intranet.discar.org/sgc/id/_layouts/DocIdRedir.aspx?ID=INTRASGC-24-50, INTRASGC-24-50</vt:lpwstr>
  </property>
  <property fmtid="{D5CDD505-2E9C-101B-9397-08002B2CF9AE}" pid="5" name="TaxKeyword">
    <vt:lpwstr/>
  </property>
  <property fmtid="{D5CDD505-2E9C-101B-9397-08002B2CF9AE}" pid="6" name="ContentTypeId">
    <vt:lpwstr>0x01010012575A5EFC31944395CB438D7355DBCA060056F6E42DAF4A4245B04B7F2BD8C87A5A</vt:lpwstr>
  </property>
</Properties>
</file>