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kapitany\Desktop\GA3\"/>
    </mc:Choice>
  </mc:AlternateContent>
  <bookViews>
    <workbookView xWindow="0" yWindow="0" windowWidth="21333" windowHeight="8433" activeTab="1"/>
  </bookViews>
  <sheets>
    <sheet name="Objectives" sheetId="1" r:id="rId1"/>
    <sheet name="Utility Maps" sheetId="8" r:id="rId2"/>
    <sheet name="MAUT Matrix" sheetId="7" r:id="rId3"/>
    <sheet name="Probabilities" sheetId="3" r:id="rId4"/>
    <sheet name="Final Tree" sheetId="9" r:id="rId5"/>
    <sheet name="treeCalc_2" sheetId="10" state="hidden" r:id="rId6"/>
  </sheets>
  <definedNames>
    <definedName name="Cost_weight">Objectives!$B$4</definedName>
    <definedName name="Cost2_weight">Objectives!$B$5</definedName>
    <definedName name="Cost3_weight">Objectives!$B$6</definedName>
    <definedName name="Quality_no">'Utility Maps'!$B$5</definedName>
    <definedName name="Quality_weight">Objectives!$B$8</definedName>
    <definedName name="Quality_yes">'Utility Maps'!$B$4</definedName>
    <definedName name="Quantity_no">'Utility Maps'!$B$9</definedName>
    <definedName name="Quantity_weight">Objectives!$B$7</definedName>
    <definedName name="Quantity_yes">'Utility Maps'!$B$8</definedName>
    <definedName name="Score_NewWell">'MAUT Matrix'!$G$5</definedName>
    <definedName name="Score_Pipeline">'MAUT Matrix'!$G$7</definedName>
    <definedName name="Score_Ramney">'MAUT Matrix'!$G$8</definedName>
    <definedName name="treeList" hidden="1">"01000000000000000000000000000000000000000000000000000000000000000000000000000000000000000000000000000000000000000000000000000000000000000000000000000000000000000000000000000000000000000000000000000000"</definedName>
  </definedNames>
  <calcPr calcId="171027"/>
</workbook>
</file>

<file path=xl/calcChain.xml><?xml version="1.0" encoding="utf-8"?>
<calcChain xmlns="http://schemas.openxmlformats.org/spreadsheetml/2006/main">
  <c r="B17" i="8" l="1"/>
  <c r="I25" i="8"/>
  <c r="F146" i="9"/>
  <c r="F138" i="9"/>
  <c r="F142" i="9" s="1"/>
  <c r="K54" i="10" s="1"/>
  <c r="F130" i="9"/>
  <c r="F122" i="9"/>
  <c r="F126" i="9" s="1"/>
  <c r="K70" i="10" s="1"/>
  <c r="F114" i="9"/>
  <c r="K52" i="10" s="1"/>
  <c r="F106" i="9"/>
  <c r="K34" i="10" s="1"/>
  <c r="F98" i="9"/>
  <c r="K64" i="10" s="1"/>
  <c r="F90" i="9"/>
  <c r="F82" i="9"/>
  <c r="F74" i="9"/>
  <c r="F66" i="9"/>
  <c r="F58" i="9"/>
  <c r="F52" i="9"/>
  <c r="K60" i="10" s="1"/>
  <c r="F44" i="9"/>
  <c r="K18" i="10" s="1"/>
  <c r="F36" i="9"/>
  <c r="F28" i="9"/>
  <c r="E140" i="9"/>
  <c r="E124" i="9"/>
  <c r="K36" i="10" s="1"/>
  <c r="E108" i="9"/>
  <c r="K33" i="10" s="1"/>
  <c r="E92" i="9"/>
  <c r="K27" i="10" s="1"/>
  <c r="E76" i="9"/>
  <c r="K24" i="10" s="1"/>
  <c r="E60" i="9"/>
  <c r="E46" i="9"/>
  <c r="K17" i="10" s="1"/>
  <c r="E30" i="9"/>
  <c r="E38" i="9" s="1"/>
  <c r="O71" i="10"/>
  <c r="O36" i="10"/>
  <c r="O35" i="10"/>
  <c r="K72" i="10"/>
  <c r="O67" i="10"/>
  <c r="O20" i="10"/>
  <c r="O19" i="10"/>
  <c r="K68" i="10"/>
  <c r="K20" i="10"/>
  <c r="K21" i="10"/>
  <c r="O63" i="10"/>
  <c r="O27" i="10"/>
  <c r="O26" i="10"/>
  <c r="K28" i="10"/>
  <c r="O59" i="10"/>
  <c r="O17" i="10"/>
  <c r="O16" i="10"/>
  <c r="O55" i="10"/>
  <c r="O40" i="10"/>
  <c r="O39" i="10"/>
  <c r="K56" i="10"/>
  <c r="K40" i="10"/>
  <c r="O51" i="10"/>
  <c r="O33" i="10"/>
  <c r="O32" i="10"/>
  <c r="O47" i="10"/>
  <c r="O24" i="10"/>
  <c r="O23" i="10"/>
  <c r="K48" i="10"/>
  <c r="F78" i="9"/>
  <c r="K46" i="10" s="1"/>
  <c r="O43" i="10"/>
  <c r="O14" i="10"/>
  <c r="O13" i="10"/>
  <c r="K44" i="10"/>
  <c r="K14" i="10"/>
  <c r="K15" i="10"/>
  <c r="K37" i="10" l="1"/>
  <c r="E100" i="9"/>
  <c r="K63" i="10" s="1"/>
  <c r="E132" i="9"/>
  <c r="K71" i="10" s="1"/>
  <c r="E68" i="9"/>
  <c r="K67" i="10" s="1"/>
  <c r="F134" i="9"/>
  <c r="K73" i="10" s="1"/>
  <c r="F62" i="9"/>
  <c r="K66" i="10" s="1"/>
  <c r="F70" i="9"/>
  <c r="K69" i="10" s="1"/>
  <c r="F94" i="9"/>
  <c r="K62" i="10" s="1"/>
  <c r="F102" i="9"/>
  <c r="K65" i="10" s="1"/>
  <c r="E116" i="9"/>
  <c r="K51" i="10" s="1"/>
  <c r="F48" i="9"/>
  <c r="K58" i="10" s="1"/>
  <c r="E54" i="9"/>
  <c r="K59" i="10" s="1"/>
  <c r="K41" i="10"/>
  <c r="F56" i="9"/>
  <c r="K61" i="10" s="1"/>
  <c r="E148" i="9"/>
  <c r="K55" i="10" s="1"/>
  <c r="F150" i="9"/>
  <c r="K57" i="10" s="1"/>
  <c r="F110" i="9"/>
  <c r="K50" i="10" s="1"/>
  <c r="K25" i="10"/>
  <c r="F118" i="9"/>
  <c r="K53" i="10" s="1"/>
  <c r="K43" i="10"/>
  <c r="E84" i="9"/>
  <c r="K47" i="10" s="1"/>
  <c r="F86" i="9"/>
  <c r="K49" i="10" s="1"/>
  <c r="F32" i="9"/>
  <c r="K42" i="10" s="1"/>
  <c r="F40" i="9"/>
  <c r="K45" i="10" s="1"/>
  <c r="K38" i="10" l="1"/>
  <c r="J38" i="10"/>
  <c r="O38" i="10"/>
  <c r="K30" i="10"/>
  <c r="J30" i="10"/>
  <c r="O30" i="10"/>
  <c r="K29" i="10"/>
  <c r="J29" i="10"/>
  <c r="O29" i="10"/>
  <c r="K22" i="10"/>
  <c r="J22" i="10"/>
  <c r="O22" i="10"/>
  <c r="K12" i="10"/>
  <c r="J12" i="10"/>
  <c r="O12" i="10"/>
  <c r="K11" i="10"/>
  <c r="J11" i="10"/>
  <c r="O11" i="10"/>
  <c r="K31" i="10"/>
  <c r="J31" i="10"/>
  <c r="O31" i="10"/>
  <c r="I27" i="1" l="1"/>
  <c r="J25" i="1" s="1"/>
  <c r="B7" i="1" s="1"/>
  <c r="E3" i="7" l="1"/>
  <c r="E149" i="9"/>
  <c r="J55" i="10" s="1"/>
  <c r="E133" i="9"/>
  <c r="J71" i="10" s="1"/>
  <c r="E69" i="9"/>
  <c r="J67" i="10" s="1"/>
  <c r="E109" i="9"/>
  <c r="J33" i="10" s="1"/>
  <c r="E47" i="9"/>
  <c r="J17" i="10" s="1"/>
  <c r="E61" i="9"/>
  <c r="J20" i="10" s="1"/>
  <c r="E117" i="9"/>
  <c r="J51" i="10" s="1"/>
  <c r="E55" i="9"/>
  <c r="J59" i="10" s="1"/>
  <c r="E93" i="9"/>
  <c r="J27" i="10" s="1"/>
  <c r="E39" i="9"/>
  <c r="J43" i="10" s="1"/>
  <c r="E85" i="9"/>
  <c r="J47" i="10" s="1"/>
  <c r="E101" i="9"/>
  <c r="J63" i="10" s="1"/>
  <c r="E141" i="9"/>
  <c r="J40" i="10" s="1"/>
  <c r="E77" i="9"/>
  <c r="J24" i="10" s="1"/>
  <c r="E31" i="9"/>
  <c r="J14" i="10" s="1"/>
  <c r="E125" i="9"/>
  <c r="J36" i="10" s="1"/>
  <c r="J22" i="1"/>
  <c r="B4" i="1" s="1"/>
  <c r="J26" i="1"/>
  <c r="B8" i="1" s="1"/>
  <c r="J23" i="1"/>
  <c r="B5" i="1" s="1"/>
  <c r="C3" i="7" s="1"/>
  <c r="J24" i="1"/>
  <c r="B6" i="1" s="1"/>
  <c r="D3" i="7" s="1"/>
  <c r="J21" i="1"/>
  <c r="D65" i="9" l="1"/>
  <c r="D129" i="9"/>
  <c r="D97" i="9"/>
  <c r="D51" i="9"/>
  <c r="D113" i="9"/>
  <c r="D145" i="9"/>
  <c r="D81" i="9"/>
  <c r="D35" i="9"/>
  <c r="F127" i="9"/>
  <c r="J70" i="10" s="1"/>
  <c r="F63" i="9"/>
  <c r="J66" i="10" s="1"/>
  <c r="F91" i="9"/>
  <c r="J28" i="10" s="1"/>
  <c r="F139" i="9"/>
  <c r="J41" i="10" s="1"/>
  <c r="F111" i="9"/>
  <c r="J50" i="10" s="1"/>
  <c r="F83" i="9"/>
  <c r="J48" i="10" s="1"/>
  <c r="F75" i="9"/>
  <c r="J25" i="10" s="1"/>
  <c r="F33" i="9"/>
  <c r="J42" i="10" s="1"/>
  <c r="F87" i="9"/>
  <c r="J49" i="10" s="1"/>
  <c r="F29" i="9"/>
  <c r="J15" i="10" s="1"/>
  <c r="F135" i="9"/>
  <c r="J73" i="10" s="1"/>
  <c r="F123" i="9"/>
  <c r="J37" i="10" s="1"/>
  <c r="F71" i="9"/>
  <c r="J69" i="10" s="1"/>
  <c r="F99" i="9"/>
  <c r="J64" i="10" s="1"/>
  <c r="F57" i="9"/>
  <c r="J61" i="10" s="1"/>
  <c r="F45" i="9"/>
  <c r="J18" i="10" s="1"/>
  <c r="F151" i="9"/>
  <c r="J57" i="10" s="1"/>
  <c r="F143" i="9"/>
  <c r="J54" i="10" s="1"/>
  <c r="F119" i="9"/>
  <c r="J53" i="10" s="1"/>
  <c r="F41" i="9"/>
  <c r="J45" i="10" s="1"/>
  <c r="F103" i="9"/>
  <c r="J65" i="10" s="1"/>
  <c r="F49" i="9"/>
  <c r="J58" i="10" s="1"/>
  <c r="F131" i="9"/>
  <c r="J72" i="10" s="1"/>
  <c r="F67" i="9"/>
  <c r="J68" i="10" s="1"/>
  <c r="F59" i="9"/>
  <c r="J21" i="10" s="1"/>
  <c r="F95" i="9"/>
  <c r="J62" i="10" s="1"/>
  <c r="F53" i="9"/>
  <c r="J60" i="10" s="1"/>
  <c r="F115" i="9"/>
  <c r="J52" i="10" s="1"/>
  <c r="F107" i="9"/>
  <c r="J34" i="10" s="1"/>
  <c r="F79" i="9"/>
  <c r="J46" i="10" s="1"/>
  <c r="F37" i="9"/>
  <c r="J44" i="10" s="1"/>
  <c r="F147" i="9"/>
  <c r="J56" i="10" s="1"/>
  <c r="F3" i="7"/>
  <c r="B9" i="1"/>
  <c r="B3" i="7"/>
  <c r="G3" i="7" l="1"/>
  <c r="G7" i="7"/>
  <c r="G8" i="7"/>
  <c r="G5" i="7"/>
  <c r="G9" i="7"/>
  <c r="G6" i="7"/>
  <c r="B2" i="10"/>
  <c r="J26" i="10" l="1"/>
  <c r="J16" i="10"/>
  <c r="J23" i="10"/>
  <c r="J32" i="10"/>
  <c r="J13" i="10"/>
  <c r="J39" i="10"/>
  <c r="J19" i="10"/>
  <c r="J35" i="10"/>
  <c r="F2" i="10"/>
  <c r="B105" i="9"/>
  <c r="G32" i="9"/>
  <c r="G29" i="9"/>
  <c r="G41" i="9"/>
  <c r="G82" i="9"/>
  <c r="G75" i="9"/>
  <c r="G87" i="9"/>
  <c r="G110" i="9"/>
  <c r="G111" i="9"/>
  <c r="G106" i="9"/>
  <c r="G138" i="9"/>
  <c r="G139" i="9"/>
  <c r="G151" i="9"/>
  <c r="E51" i="9"/>
  <c r="G53" i="9"/>
  <c r="G52" i="9"/>
  <c r="E97" i="9"/>
  <c r="F101" i="9"/>
  <c r="G98" i="9"/>
  <c r="F61" i="9"/>
  <c r="G67" i="9"/>
  <c r="G66" i="9"/>
  <c r="G123" i="9"/>
  <c r="G135" i="9"/>
  <c r="G130" i="9"/>
  <c r="D89" i="9"/>
  <c r="E35" i="9"/>
  <c r="D34" i="9"/>
  <c r="F85" i="9"/>
  <c r="F109" i="9"/>
  <c r="G114" i="9"/>
  <c r="E145" i="9"/>
  <c r="D144" i="9"/>
  <c r="D50" i="9"/>
  <c r="G91" i="9"/>
  <c r="G63" i="9"/>
  <c r="E129" i="9"/>
  <c r="G122" i="9"/>
  <c r="C73" i="9"/>
  <c r="G37" i="9"/>
  <c r="G40" i="9"/>
  <c r="G83" i="9"/>
  <c r="G107" i="9"/>
  <c r="G118" i="9"/>
  <c r="G147" i="9"/>
  <c r="F55" i="9"/>
  <c r="G94" i="9"/>
  <c r="D96" i="9"/>
  <c r="F69" i="9"/>
  <c r="G58" i="9"/>
  <c r="G131" i="9"/>
  <c r="G126" i="9"/>
  <c r="D121" i="9"/>
  <c r="D153" i="9"/>
  <c r="G36" i="9"/>
  <c r="G33" i="9"/>
  <c r="G28" i="9"/>
  <c r="G86" i="9"/>
  <c r="G79" i="9"/>
  <c r="D80" i="9"/>
  <c r="E113" i="9"/>
  <c r="F117" i="9"/>
  <c r="D112" i="9"/>
  <c r="G142" i="9"/>
  <c r="G143" i="9"/>
  <c r="G146" i="9"/>
  <c r="G45" i="9"/>
  <c r="G57" i="9"/>
  <c r="G56" i="9"/>
  <c r="F93" i="9"/>
  <c r="G99" i="9"/>
  <c r="G102" i="9"/>
  <c r="G59" i="9"/>
  <c r="G71" i="9"/>
  <c r="G70" i="9"/>
  <c r="G127" i="9"/>
  <c r="D128" i="9"/>
  <c r="G134" i="9"/>
  <c r="C137" i="9"/>
  <c r="F39" i="9"/>
  <c r="E81" i="9"/>
  <c r="G74" i="9"/>
  <c r="G115" i="9"/>
  <c r="F149" i="9"/>
  <c r="G49" i="9"/>
  <c r="G90" i="9"/>
  <c r="G103" i="9"/>
  <c r="G62" i="9"/>
  <c r="D64" i="9"/>
  <c r="F133" i="9"/>
  <c r="G44" i="9"/>
  <c r="D43" i="9"/>
  <c r="F31" i="9"/>
  <c r="F77" i="9"/>
  <c r="G78" i="9"/>
  <c r="G119" i="9"/>
  <c r="F141" i="9"/>
  <c r="G150" i="9"/>
  <c r="G48" i="9"/>
  <c r="G95" i="9"/>
  <c r="E65" i="9"/>
  <c r="F125" i="9"/>
  <c r="F47" i="9"/>
  <c r="A73" i="10" l="1"/>
  <c r="A72" i="10"/>
  <c r="A71" i="10"/>
  <c r="A70" i="10"/>
  <c r="A37" i="10"/>
  <c r="A36" i="10"/>
  <c r="A35" i="10"/>
  <c r="A69" i="10"/>
  <c r="A68" i="10"/>
  <c r="A67" i="10"/>
  <c r="A66" i="10"/>
  <c r="A21" i="10"/>
  <c r="A20" i="10"/>
  <c r="A19" i="10"/>
  <c r="A65" i="10"/>
  <c r="A64" i="10"/>
  <c r="A63" i="10"/>
  <c r="A62" i="10"/>
  <c r="A28" i="10"/>
  <c r="A27" i="10"/>
  <c r="A26" i="10"/>
  <c r="A61" i="10"/>
  <c r="A60" i="10"/>
  <c r="A59" i="10"/>
  <c r="A58" i="10"/>
  <c r="A18" i="10"/>
  <c r="A17" i="10"/>
  <c r="A16" i="10"/>
  <c r="A57" i="10"/>
  <c r="A56" i="10"/>
  <c r="A55" i="10"/>
  <c r="A54" i="10"/>
  <c r="A41" i="10"/>
  <c r="A40" i="10"/>
  <c r="A39" i="10"/>
  <c r="A53" i="10"/>
  <c r="A52" i="10"/>
  <c r="A51" i="10"/>
  <c r="A50" i="10"/>
  <c r="A34" i="10"/>
  <c r="A33" i="10"/>
  <c r="A32" i="10"/>
  <c r="A49" i="10"/>
  <c r="A48" i="10"/>
  <c r="A47" i="10"/>
  <c r="A46" i="10"/>
  <c r="A25" i="10"/>
  <c r="A24" i="10"/>
  <c r="A23" i="10"/>
  <c r="A45" i="10"/>
  <c r="A44" i="10"/>
  <c r="A43" i="10"/>
  <c r="A42" i="10"/>
  <c r="A15" i="10"/>
  <c r="A14" i="10"/>
  <c r="A13" i="10"/>
  <c r="A11" i="10"/>
  <c r="A29" i="10"/>
  <c r="A38" i="10"/>
  <c r="A31" i="10"/>
  <c r="A12" i="10"/>
  <c r="A22" i="10"/>
  <c r="A30" i="10"/>
</calcChain>
</file>

<file path=xl/comments1.xml><?xml version="1.0" encoding="utf-8"?>
<comments xmlns="http://schemas.openxmlformats.org/spreadsheetml/2006/main">
  <authors>
    <author>Michael Brydon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Michael Brydon:</t>
        </r>
        <r>
          <rPr>
            <sz val="9"/>
            <color indexed="81"/>
            <rFont val="Tahoma"/>
            <family val="2"/>
          </rPr>
          <t xml:space="preserve">
The graph here is created using drawing objects (lines).</t>
        </r>
      </text>
    </comment>
  </commentList>
</comments>
</file>

<file path=xl/sharedStrings.xml><?xml version="1.0" encoding="utf-8"?>
<sst xmlns="http://schemas.openxmlformats.org/spreadsheetml/2006/main" count="501" uniqueCount="180">
  <si>
    <t>Cost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</si>
  <si>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</si>
  <si>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</si>
  <si>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</si>
  <si>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</si>
  <si>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</si>
  <si>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</si>
  <si>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</si>
  <si>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</si>
  <si>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</si>
  <si>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</si>
  <si>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</si>
  <si>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</si>
  <si>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</si>
  <si>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</si>
  <si>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</si>
  <si>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</si>
  <si>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</si>
  <si>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</si>
  <si>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</si>
  <si>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</si>
  <si>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</si>
  <si>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</si>
  <si>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</si>
  <si>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</si>
  <si>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</si>
  <si>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</si>
  <si>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</si>
  <si>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</si>
  <si>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</si>
  <si>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</si>
  <si>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</si>
  <si>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</si>
  <si>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</si>
  <si>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</si>
  <si>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</si>
  <si>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</si>
  <si>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5.0.0</t>
  </si>
  <si>
    <t>&lt;NF&gt;</t>
  </si>
  <si>
    <t>Automatic</t>
  </si>
  <si>
    <t/>
  </si>
  <si>
    <t>DEFAULT</t>
  </si>
  <si>
    <t>Decision</t>
  </si>
  <si>
    <t>New well</t>
  </si>
  <si>
    <t>Pipeline</t>
  </si>
  <si>
    <t>Ranney well</t>
  </si>
  <si>
    <t>yes</t>
  </si>
  <si>
    <t>no</t>
  </si>
  <si>
    <t>Safe water</t>
  </si>
  <si>
    <t>Attribute</t>
  </si>
  <si>
    <t>Total</t>
  </si>
  <si>
    <t>Alternative</t>
  </si>
  <si>
    <t>Ranney</t>
  </si>
  <si>
    <t>Do nothing</t>
  </si>
  <si>
    <t>Quantity_yes</t>
  </si>
  <si>
    <t>Quantity_no</t>
  </si>
  <si>
    <t>Quality_yes</t>
  </si>
  <si>
    <t>Quality_no</t>
  </si>
  <si>
    <t>Cost_weight</t>
  </si>
  <si>
    <t>Quanity_weight</t>
  </si>
  <si>
    <t>Quality_weight</t>
  </si>
  <si>
    <t>Event</t>
  </si>
  <si>
    <t>Weights</t>
  </si>
  <si>
    <t>Adequate water (Quantity)</t>
  </si>
  <si>
    <t>Safe water (Quality)</t>
  </si>
  <si>
    <t>Use Swing Weights to determine weights for each attribute</t>
  </si>
  <si>
    <t>Complete matrix to determine best choice using Multi-Attribute Utility Theory</t>
  </si>
  <si>
    <t>MOE grants approval for Ranney well</t>
  </si>
  <si>
    <t>Summerland agrees to sell filtered</t>
  </si>
  <si>
    <t>Below are some probability estimates for various events</t>
  </si>
  <si>
    <t>Utility</t>
  </si>
  <si>
    <t>Mapping from actual values to utilities on the interval [0,1]</t>
  </si>
  <si>
    <t>Water Quantity</t>
  </si>
  <si>
    <t>Water Quality</t>
  </si>
  <si>
    <t>Conditional Probability</t>
  </si>
  <si>
    <t>6.3.1</t>
  </si>
  <si>
    <t>0</t>
  </si>
  <si>
    <t>Summerland</t>
  </si>
  <si>
    <t>Approved</t>
  </si>
  <si>
    <t>Rejected</t>
  </si>
  <si>
    <t>Ministry Permit</t>
  </si>
  <si>
    <t>Granted</t>
  </si>
  <si>
    <t>Denied</t>
  </si>
  <si>
    <t>Faulder Final</t>
  </si>
  <si>
    <t>4,0,0,0,23,0,0</t>
  </si>
  <si>
    <t>Weight</t>
  </si>
  <si>
    <t>Cost2_weight</t>
  </si>
  <si>
    <t>Cost3_weight</t>
  </si>
  <si>
    <t>Option</t>
  </si>
  <si>
    <t>Quantity</t>
  </si>
  <si>
    <t>Quality</t>
  </si>
  <si>
    <t>Net Capital Cost</t>
  </si>
  <si>
    <t>Total Annual Cost Per Lot</t>
  </si>
  <si>
    <t>Potential Additional Ongoing Costs</t>
  </si>
  <si>
    <t>Capacity</t>
  </si>
  <si>
    <t>Treatment Conformance With IHA Requirements</t>
  </si>
  <si>
    <t>Average</t>
  </si>
  <si>
    <t>Good</t>
  </si>
  <si>
    <t>Excellent</t>
  </si>
  <si>
    <t>Poor</t>
  </si>
  <si>
    <t>Rank</t>
  </si>
  <si>
    <t>Rating</t>
  </si>
  <si>
    <t>Worst Combination 1</t>
  </si>
  <si>
    <t>Combination 2</t>
  </si>
  <si>
    <t>Best Net Capital Cost</t>
  </si>
  <si>
    <t>Combination 3</t>
  </si>
  <si>
    <t>Best Total Annual Cost per Lot</t>
  </si>
  <si>
    <t>Combination 4</t>
  </si>
  <si>
    <t>Best Potential Additional Ongoing Costs</t>
  </si>
  <si>
    <t>Potential ongoing costs require additional investigation</t>
  </si>
  <si>
    <t>Combination 5</t>
  </si>
  <si>
    <t>Best Capacity</t>
  </si>
  <si>
    <t>unswingable</t>
  </si>
  <si>
    <t>Combination 6</t>
  </si>
  <si>
    <t>Best Water Treatment Conformance with IHA</t>
  </si>
  <si>
    <t>Cost (net capital cost)</t>
  </si>
  <si>
    <t>Cost2 (total annual cost per lot)</t>
  </si>
  <si>
    <t>Cost3 (potential additional ongoing cost)</t>
  </si>
  <si>
    <t>New well (opt. 3)</t>
  </si>
  <si>
    <t>New well (opt. 4)</t>
  </si>
  <si>
    <t>0,2,21,0,0,Exponential, 0,0,-1,0,-1,-1,.0001</t>
  </si>
  <si>
    <t>4,0,0,0,4,0,0</t>
  </si>
  <si>
    <t>4,0,0,0,7,0,0</t>
  </si>
  <si>
    <t>4,0,0,0,10,0,0</t>
  </si>
  <si>
    <t>4,0,0,0,14,0,0</t>
  </si>
  <si>
    <t>4,0,0,0,17,0,0</t>
  </si>
  <si>
    <t>4,0,0,0,26,0,0</t>
  </si>
  <si>
    <t>4,0,0,0,30,0,0</t>
  </si>
  <si>
    <t>1,0,0,2,1,19,0,0,0</t>
  </si>
  <si>
    <t>1,0,0,2,2,12,21,0,0</t>
  </si>
  <si>
    <t>2,0,0,3,3,6,9,1,0,0</t>
  </si>
  <si>
    <t>2,0,0,2,13,16,1,0,0</t>
  </si>
  <si>
    <t>1,0,0,2,20,28,21,0,0</t>
  </si>
  <si>
    <t>2,0,0,2,22,25,19,0,0</t>
  </si>
  <si>
    <t>2,0,0,1,29,19,0,0</t>
  </si>
  <si>
    <t>Sustainable water</t>
  </si>
  <si>
    <t>1,0,0,2,4,33,2,0,0</t>
  </si>
  <si>
    <t>1,0,0,2,5,32,3,0,0</t>
  </si>
  <si>
    <t>1,0,0,2,34,35,3,0,0</t>
  </si>
  <si>
    <t>4,0,0,0,33,0,0</t>
  </si>
  <si>
    <t>1,0,0,2,14,37,12,0,0</t>
  </si>
  <si>
    <t>1,0,0,2,15,36,13,0,0</t>
  </si>
  <si>
    <t>1,0,0,2,38,39,13,0,0</t>
  </si>
  <si>
    <t>4,0,0,0,37,0,0</t>
  </si>
  <si>
    <t>1,0,0,2,23,41,20,0,0</t>
  </si>
  <si>
    <t>1,0,0,2,24,40,22,0,0</t>
  </si>
  <si>
    <t>1,0,0,2,42,43,22,0,0</t>
  </si>
  <si>
    <t>4,0,0,0,41,0,0</t>
  </si>
  <si>
    <t>1,0,0,2,30,45,28,0,0</t>
  </si>
  <si>
    <t>1,0,0,2,31,44,29,0,0</t>
  </si>
  <si>
    <t>1,0,0,2,46,47,29,0,0</t>
  </si>
  <si>
    <t>4,0,0,0,45,0,0</t>
  </si>
  <si>
    <t>1,0,0,2,7,49,2,0,0</t>
  </si>
  <si>
    <t>1,0,0,2,8,48,6,0,0</t>
  </si>
  <si>
    <t>1,0,0,2,50,51,6,0,0</t>
  </si>
  <si>
    <t>4,0,0,0,49,0,0</t>
  </si>
  <si>
    <t>1,0,0,2,17,53,12,0,0</t>
  </si>
  <si>
    <t>1,0,0,2,18,52,16,0,0</t>
  </si>
  <si>
    <t>1,0,0,2,54,55,16,0,0</t>
  </si>
  <si>
    <t>4,0,0,0,53,0,0</t>
  </si>
  <si>
    <t>1,0,0,2,10,57,2,0,0</t>
  </si>
  <si>
    <t>1,0,0,2,11,56,9,0,0</t>
  </si>
  <si>
    <t>1,0,0,2,58,59,9,0,0</t>
  </si>
  <si>
    <t>4,0,0,0,57,0,0</t>
  </si>
  <si>
    <t>1,0,0,2,26,61,20,0,0</t>
  </si>
  <si>
    <t>1,0,0,2,27,60,25,0,0</t>
  </si>
  <si>
    <t>1,0,0,2,62,63,25,0,0</t>
  </si>
  <si>
    <t>4,0,0,0,61,0,0</t>
  </si>
  <si>
    <t>High = Good</t>
  </si>
  <si>
    <t>Project</t>
  </si>
  <si>
    <t>New well (opt.3)</t>
  </si>
  <si>
    <t>Low</t>
  </si>
  <si>
    <t>Relative</t>
  </si>
  <si>
    <t>Medium</t>
  </si>
  <si>
    <t>High</t>
  </si>
  <si>
    <t>Net capital cost</t>
  </si>
  <si>
    <t>Total annual cost</t>
  </si>
  <si>
    <t>Ongoing cost</t>
  </si>
  <si>
    <t>2DCDC2EB</t>
  </si>
  <si>
    <t>7.5.0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</si>
</sst>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&gt;0.00001]0.0###%;[=0]0.0%;0.00E+00"/>
    <numFmt numFmtId="165" formatCode="0.0"/>
    <numFmt numFmtId="166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Fill="1" applyBorder="1"/>
    <xf numFmtId="0" fontId="1" fillId="0" borderId="1" xfId="0" applyFont="1" applyFill="1" applyBorder="1" applyAlignment="1">
      <alignment horizontal="center" wrapText="1"/>
    </xf>
    <xf numFmtId="0" fontId="0" fillId="0" borderId="1" xfId="0" applyFont="1" applyBorder="1"/>
    <xf numFmtId="0" fontId="0" fillId="0" borderId="0" xfId="0" applyFont="1" applyBorder="1"/>
    <xf numFmtId="165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0" fontId="1" fillId="0" borderId="0" xfId="0" applyFont="1" applyAlignment="1">
      <alignment wrapText="1"/>
    </xf>
    <xf numFmtId="2" fontId="0" fillId="0" borderId="1" xfId="0" applyNumberFormat="1" applyFill="1" applyBorder="1"/>
    <xf numFmtId="0" fontId="1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164" fontId="10" fillId="0" borderId="0" xfId="0" applyNumberFormat="1" applyFont="1" applyAlignment="1">
      <alignment horizontal="right"/>
    </xf>
    <xf numFmtId="0" fontId="0" fillId="2" borderId="1" xfId="0" applyFont="1" applyFill="1" applyBorder="1"/>
    <xf numFmtId="166" fontId="0" fillId="0" borderId="1" xfId="0" applyNumberFormat="1" applyBorder="1"/>
    <xf numFmtId="0" fontId="1" fillId="3" borderId="1" xfId="0" applyFont="1" applyFill="1" applyBorder="1"/>
    <xf numFmtId="166" fontId="1" fillId="3" borderId="1" xfId="0" applyNumberFormat="1" applyFont="1" applyFill="1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Alignment="1">
      <alignment wrapText="1"/>
    </xf>
    <xf numFmtId="2" fontId="0" fillId="0" borderId="0" xfId="0" applyNumberFormat="1" applyAlignment="1">
      <alignment horizontal="left"/>
    </xf>
    <xf numFmtId="0" fontId="3" fillId="0" borderId="0" xfId="0" applyNumberFormat="1" applyFont="1" applyAlignment="1">
      <alignment horizontal="right"/>
    </xf>
    <xf numFmtId="0" fontId="11" fillId="0" borderId="0" xfId="0" applyFont="1"/>
    <xf numFmtId="2" fontId="1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Utility: Water Quality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'Utility Maps'!$B$3</c:f>
              <c:strCache>
                <c:ptCount val="1"/>
                <c:pt idx="0">
                  <c:v>Utility</c:v>
                </c:pt>
              </c:strCache>
            </c:strRef>
          </c:tx>
          <c:spPr>
            <a:ln>
              <a:noFill/>
            </a:ln>
          </c:spPr>
          <c:cat>
            <c:strRef>
              <c:f>'Utility Maps'!$A$4:$A$5</c:f>
              <c:strCache>
                <c:ptCount val="2"/>
                <c:pt idx="0">
                  <c:v>Quality_yes</c:v>
                </c:pt>
                <c:pt idx="1">
                  <c:v>Quality_no</c:v>
                </c:pt>
              </c:strCache>
            </c:strRef>
          </c:cat>
          <c:val>
            <c:numRef>
              <c:f>'Utility Maps'!$B$4:$B$5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7-463D-BB90-09D47D33875E}"/>
            </c:ext>
          </c:extLst>
        </c:ser>
        <c:ser>
          <c:idx val="0"/>
          <c:order val="1"/>
          <c:tx>
            <c:strRef>
              <c:f>'Utility Maps'!$B$3</c:f>
              <c:strCache>
                <c:ptCount val="1"/>
                <c:pt idx="0">
                  <c:v>Utility</c:v>
                </c:pt>
              </c:strCache>
            </c:strRef>
          </c:tx>
          <c:spPr>
            <a:ln>
              <a:noFill/>
            </a:ln>
          </c:spPr>
          <c:cat>
            <c:strRef>
              <c:f>'Utility Maps'!$A$4:$A$5</c:f>
              <c:strCache>
                <c:ptCount val="2"/>
                <c:pt idx="0">
                  <c:v>Quality_yes</c:v>
                </c:pt>
                <c:pt idx="1">
                  <c:v>Quality_no</c:v>
                </c:pt>
              </c:strCache>
            </c:strRef>
          </c:cat>
          <c:val>
            <c:numRef>
              <c:f>'Utility Maps'!$B$4:$B$5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7-463D-BB90-09D47D33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089704"/>
        <c:axId val="305090096"/>
      </c:lineChart>
      <c:catAx>
        <c:axId val="30508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5090096"/>
        <c:crosses val="autoZero"/>
        <c:auto val="1"/>
        <c:lblAlgn val="ctr"/>
        <c:lblOffset val="100"/>
        <c:noMultiLvlLbl val="0"/>
      </c:catAx>
      <c:valAx>
        <c:axId val="30509009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8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Utility: Water Quantity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'Utility Maps'!$B$3</c:f>
              <c:strCache>
                <c:ptCount val="1"/>
                <c:pt idx="0">
                  <c:v>Utility</c:v>
                </c:pt>
              </c:strCache>
            </c:strRef>
          </c:tx>
          <c:spPr>
            <a:ln>
              <a:noFill/>
            </a:ln>
          </c:spPr>
          <c:cat>
            <c:strRef>
              <c:f>'Utility Maps'!$A$8:$A$9</c:f>
              <c:strCache>
                <c:ptCount val="2"/>
                <c:pt idx="0">
                  <c:v>Quantity_yes</c:v>
                </c:pt>
                <c:pt idx="1">
                  <c:v>Quantity_no</c:v>
                </c:pt>
              </c:strCache>
            </c:strRef>
          </c:cat>
          <c:val>
            <c:numRef>
              <c:f>'Utility Maps'!$B$4:$B$5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6-498D-A503-4AD601F7DF19}"/>
            </c:ext>
          </c:extLst>
        </c:ser>
        <c:ser>
          <c:idx val="0"/>
          <c:order val="1"/>
          <c:tx>
            <c:strRef>
              <c:f>'Utility Maps'!$B$3</c:f>
              <c:strCache>
                <c:ptCount val="1"/>
                <c:pt idx="0">
                  <c:v>Utility</c:v>
                </c:pt>
              </c:strCache>
            </c:strRef>
          </c:tx>
          <c:spPr>
            <a:ln>
              <a:noFill/>
            </a:ln>
          </c:spPr>
          <c:cat>
            <c:strRef>
              <c:f>'Utility Maps'!$A$8:$A$9</c:f>
              <c:strCache>
                <c:ptCount val="2"/>
                <c:pt idx="0">
                  <c:v>Quantity_yes</c:v>
                </c:pt>
                <c:pt idx="1">
                  <c:v>Quantity_no</c:v>
                </c:pt>
              </c:strCache>
            </c:strRef>
          </c:cat>
          <c:val>
            <c:numRef>
              <c:f>'Utility Maps'!$B$4:$B$5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6-498D-A503-4AD601F7D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404664"/>
        <c:axId val="305405056"/>
      </c:lineChart>
      <c:catAx>
        <c:axId val="305404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5405056"/>
        <c:crosses val="autoZero"/>
        <c:auto val="1"/>
        <c:lblAlgn val="ctr"/>
        <c:lblOffset val="100"/>
        <c:noMultiLvlLbl val="0"/>
      </c:catAx>
      <c:valAx>
        <c:axId val="30540505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40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Utility:</a:t>
            </a:r>
            <a:r>
              <a:rPr lang="en-US" baseline="0"/>
              <a:t> Net Capital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'Utility Maps'!$B$11</c:f>
              <c:strCache>
                <c:ptCount val="1"/>
                <c:pt idx="0">
                  <c:v>Utility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'Utility Maps'!$A$12:$A$14</c:f>
              <c:numCache>
                <c:formatCode>General</c:formatCode>
                <c:ptCount val="3"/>
                <c:pt idx="0">
                  <c:v>402000</c:v>
                </c:pt>
                <c:pt idx="1">
                  <c:v>342000</c:v>
                </c:pt>
                <c:pt idx="2">
                  <c:v>413000</c:v>
                </c:pt>
              </c:numCache>
            </c:numRef>
          </c:xVal>
          <c:yVal>
            <c:numRef>
              <c:f>'Utility Maps'!$B$12:$B$14</c:f>
              <c:numCache>
                <c:formatCode>General</c:formatCode>
                <c:ptCount val="3"/>
                <c:pt idx="0">
                  <c:v>0.15492957746478872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B-4515-84E2-51E5779C9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38672"/>
        <c:axId val="494175384"/>
      </c:scatterChart>
      <c:valAx>
        <c:axId val="454738672"/>
        <c:scaling>
          <c:orientation val="minMax"/>
          <c:max val="430000"/>
          <c:min val="32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75384"/>
        <c:crosses val="autoZero"/>
        <c:crossBetween val="midCat"/>
      </c:valAx>
      <c:valAx>
        <c:axId val="494175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3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Utility: Total Annual Cost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'Utility Maps'!$B$16</c:f>
              <c:strCache>
                <c:ptCount val="1"/>
                <c:pt idx="0">
                  <c:v>Utility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'Utility Maps'!$A$17:$A$19</c:f>
              <c:numCache>
                <c:formatCode>General</c:formatCode>
                <c:ptCount val="3"/>
                <c:pt idx="0">
                  <c:v>670</c:v>
                </c:pt>
                <c:pt idx="1">
                  <c:v>633</c:v>
                </c:pt>
                <c:pt idx="2">
                  <c:v>743</c:v>
                </c:pt>
              </c:numCache>
            </c:numRef>
          </c:xVal>
          <c:yVal>
            <c:numRef>
              <c:f>'Utility Maps'!$B$17:$B$19</c:f>
              <c:numCache>
                <c:formatCode>General</c:formatCode>
                <c:ptCount val="3"/>
                <c:pt idx="0">
                  <c:v>0.66363636363636369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E-4714-A246-9516D3865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5144"/>
        <c:axId val="299744752"/>
      </c:scatterChart>
      <c:valAx>
        <c:axId val="2997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4752"/>
        <c:crosses val="autoZero"/>
        <c:crossBetween val="midCat"/>
      </c:valAx>
      <c:valAx>
        <c:axId val="299744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Utility: Ongoing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'Utility Maps'!$B$21</c:f>
              <c:strCache>
                <c:ptCount val="1"/>
                <c:pt idx="0">
                  <c:v>Utility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'Utility Maps'!$A$22:$A$24</c:f>
              <c:strCache>
                <c:ptCount val="3"/>
                <c:pt idx="0">
                  <c:v>Average</c:v>
                </c:pt>
                <c:pt idx="1">
                  <c:v>Average</c:v>
                </c:pt>
                <c:pt idx="2">
                  <c:v>Average</c:v>
                </c:pt>
              </c:strCache>
            </c:strRef>
          </c:cat>
          <c:val>
            <c:numRef>
              <c:f>'Utility Maps'!$B$22:$B$24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14-4AE0-944F-3E32C7B3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48296"/>
        <c:axId val="497419624"/>
      </c:lineChart>
      <c:catAx>
        <c:axId val="49714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19624"/>
        <c:crosses val="autoZero"/>
        <c:auto val="1"/>
        <c:lblAlgn val="ctr"/>
        <c:lblOffset val="100"/>
        <c:noMultiLvlLbl val="0"/>
      </c:catAx>
      <c:valAx>
        <c:axId val="497419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4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114300</xdr:rowOff>
    </xdr:from>
    <xdr:to>
      <xdr:col>12</xdr:col>
      <xdr:colOff>66675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216694</xdr:colOff>
      <xdr:row>4</xdr:row>
      <xdr:rowOff>93599</xdr:rowOff>
    </xdr:from>
    <xdr:to>
      <xdr:col>8</xdr:col>
      <xdr:colOff>315754</xdr:colOff>
      <xdr:row>4</xdr:row>
      <xdr:rowOff>101219</xdr:rowOff>
    </xdr:to>
    <xdr:cxnSp macro="">
      <xdr:nvCxnSpPr>
        <xdr:cNvPr id="4" name="Straight Connector 3"/>
        <xdr:cNvCxnSpPr/>
      </xdr:nvCxnSpPr>
      <xdr:spPr>
        <a:xfrm flipV="1">
          <a:off x="4100777" y="827377"/>
          <a:ext cx="2025227" cy="76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303389</xdr:colOff>
      <xdr:row>4</xdr:row>
      <xdr:rowOff>84666</xdr:rowOff>
    </xdr:from>
    <xdr:to>
      <xdr:col>8</xdr:col>
      <xdr:colOff>305803</xdr:colOff>
      <xdr:row>11</xdr:row>
      <xdr:rowOff>80211</xdr:rowOff>
    </xdr:to>
    <xdr:cxnSp macro="">
      <xdr:nvCxnSpPr>
        <xdr:cNvPr id="6" name="Straight Connector 5"/>
        <xdr:cNvCxnSpPr/>
      </xdr:nvCxnSpPr>
      <xdr:spPr>
        <a:xfrm>
          <a:off x="6113639" y="818444"/>
          <a:ext cx="2414" cy="145957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235618</xdr:colOff>
      <xdr:row>14</xdr:row>
      <xdr:rowOff>130342</xdr:rowOff>
    </xdr:from>
    <xdr:to>
      <xdr:col>11</xdr:col>
      <xdr:colOff>542423</xdr:colOff>
      <xdr:row>29</xdr:row>
      <xdr:rowOff>16042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38301</xdr:colOff>
      <xdr:row>17</xdr:row>
      <xdr:rowOff>120316</xdr:rowOff>
    </xdr:from>
    <xdr:to>
      <xdr:col>8</xdr:col>
      <xdr:colOff>160421</xdr:colOff>
      <xdr:row>17</xdr:row>
      <xdr:rowOff>121719</xdr:rowOff>
    </xdr:to>
    <xdr:cxnSp macro="">
      <xdr:nvCxnSpPr>
        <xdr:cNvPr id="8" name="Straight Connector 7"/>
        <xdr:cNvCxnSpPr/>
      </xdr:nvCxnSpPr>
      <xdr:spPr>
        <a:xfrm flipV="1">
          <a:off x="3702919" y="3739816"/>
          <a:ext cx="1956936" cy="140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141371</xdr:colOff>
      <xdr:row>17</xdr:row>
      <xdr:rowOff>110289</xdr:rowOff>
    </xdr:from>
    <xdr:to>
      <xdr:col>8</xdr:col>
      <xdr:colOff>150395</xdr:colOff>
      <xdr:row>27</xdr:row>
      <xdr:rowOff>49330</xdr:rowOff>
    </xdr:to>
    <xdr:cxnSp macro="">
      <xdr:nvCxnSpPr>
        <xdr:cNvPr id="9" name="Straight Connector 8"/>
        <xdr:cNvCxnSpPr/>
      </xdr:nvCxnSpPr>
      <xdr:spPr>
        <a:xfrm flipH="1">
          <a:off x="5640805" y="3729789"/>
          <a:ext cx="9024" cy="184404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119113</xdr:colOff>
      <xdr:row>27</xdr:row>
      <xdr:rowOff>49330</xdr:rowOff>
    </xdr:from>
    <xdr:to>
      <xdr:col>11</xdr:col>
      <xdr:colOff>218173</xdr:colOff>
      <xdr:row>27</xdr:row>
      <xdr:rowOff>56950</xdr:rowOff>
    </xdr:to>
    <xdr:cxnSp macro="">
      <xdr:nvCxnSpPr>
        <xdr:cNvPr id="10" name="Straight Connector 9"/>
        <xdr:cNvCxnSpPr/>
      </xdr:nvCxnSpPr>
      <xdr:spPr>
        <a:xfrm flipV="1">
          <a:off x="5618547" y="5764330"/>
          <a:ext cx="1933876" cy="76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284547</xdr:colOff>
      <xdr:row>11</xdr:row>
      <xdr:rowOff>69383</xdr:rowOff>
    </xdr:from>
    <xdr:to>
      <xdr:col>11</xdr:col>
      <xdr:colOff>383607</xdr:colOff>
      <xdr:row>11</xdr:row>
      <xdr:rowOff>77003</xdr:rowOff>
    </xdr:to>
    <xdr:cxnSp macro="">
      <xdr:nvCxnSpPr>
        <xdr:cNvPr id="11" name="Straight Connector 10"/>
        <xdr:cNvCxnSpPr/>
      </xdr:nvCxnSpPr>
      <xdr:spPr>
        <a:xfrm flipV="1">
          <a:off x="5783981" y="2545883"/>
          <a:ext cx="1933876" cy="76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260683</xdr:colOff>
      <xdr:row>29</xdr:row>
      <xdr:rowOff>149678</xdr:rowOff>
    </xdr:from>
    <xdr:to>
      <xdr:col>9</xdr:col>
      <xdr:colOff>221734</xdr:colOff>
      <xdr:row>39</xdr:row>
      <xdr:rowOff>56003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384401</xdr:colOff>
      <xdr:row>29</xdr:row>
      <xdr:rowOff>148998</xdr:rowOff>
    </xdr:from>
    <xdr:to>
      <xdr:col>14</xdr:col>
      <xdr:colOff>340178</xdr:colOff>
      <xdr:row>39</xdr:row>
      <xdr:rowOff>54428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253999</xdr:colOff>
      <xdr:row>39</xdr:row>
      <xdr:rowOff>175758</xdr:rowOff>
    </xdr:from>
    <xdr:to>
      <xdr:col>9</xdr:col>
      <xdr:colOff>206375</xdr:colOff>
      <xdr:row>48</xdr:row>
      <xdr:rowOff>80591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242697</xdr:colOff>
      <xdr:row>133</xdr:row>
      <xdr:rowOff>185420</xdr:rowOff>
    </xdr:from>
    <xdr:to>
      <xdr:col>6</xdr:col>
      <xdr:colOff>127</xdr:colOff>
      <xdr:row>133</xdr:row>
      <xdr:rowOff>185420</xdr:rowOff>
    </xdr:to>
    <xdr:cxnSp macro="_xll.PtreeEvent_ObjectClick">
      <xdr:nvCxnSpPr>
        <xdr:cNvPr id="1614" name="PTObj_DBranchHLine_2_63"/>
        <xdr:cNvCxnSpPr/>
      </xdr:nvCxnSpPr>
      <xdr:spPr>
        <a:xfrm>
          <a:off x="8719947" y="25521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131</xdr:row>
      <xdr:rowOff>180339</xdr:rowOff>
    </xdr:from>
    <xdr:to>
      <xdr:col>5</xdr:col>
      <xdr:colOff>242697</xdr:colOff>
      <xdr:row>133</xdr:row>
      <xdr:rowOff>185420</xdr:rowOff>
    </xdr:to>
    <xdr:cxnSp macro="_xll.PtreeEvent_ObjectClick">
      <xdr:nvCxnSpPr>
        <xdr:cNvPr id="1613" name="PTObj_DBranchDLine_2_63"/>
        <xdr:cNvCxnSpPr/>
      </xdr:nvCxnSpPr>
      <xdr:spPr>
        <a:xfrm>
          <a:off x="8567547" y="25135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129</xdr:row>
      <xdr:rowOff>185420</xdr:rowOff>
    </xdr:from>
    <xdr:to>
      <xdr:col>6</xdr:col>
      <xdr:colOff>127</xdr:colOff>
      <xdr:row>129</xdr:row>
      <xdr:rowOff>185420</xdr:rowOff>
    </xdr:to>
    <xdr:cxnSp macro="_xll.PtreeEvent_ObjectClick">
      <xdr:nvCxnSpPr>
        <xdr:cNvPr id="1610" name="PTObj_DBranchHLine_2_62"/>
        <xdr:cNvCxnSpPr/>
      </xdr:nvCxnSpPr>
      <xdr:spPr>
        <a:xfrm>
          <a:off x="8719947" y="24759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129</xdr:row>
      <xdr:rowOff>185420</xdr:rowOff>
    </xdr:from>
    <xdr:to>
      <xdr:col>5</xdr:col>
      <xdr:colOff>242697</xdr:colOff>
      <xdr:row>131</xdr:row>
      <xdr:rowOff>180339</xdr:rowOff>
    </xdr:to>
    <xdr:cxnSp macro="_xll.PtreeEvent_ObjectClick">
      <xdr:nvCxnSpPr>
        <xdr:cNvPr id="1609" name="PTObj_DBranchDLine_2_62"/>
        <xdr:cNvCxnSpPr/>
      </xdr:nvCxnSpPr>
      <xdr:spPr>
        <a:xfrm flipV="1">
          <a:off x="8567547" y="24759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131</xdr:row>
      <xdr:rowOff>185420</xdr:rowOff>
    </xdr:from>
    <xdr:to>
      <xdr:col>5</xdr:col>
      <xdr:colOff>127</xdr:colOff>
      <xdr:row>131</xdr:row>
      <xdr:rowOff>185420</xdr:rowOff>
    </xdr:to>
    <xdr:cxnSp macro="_xll.PtreeEvent_ObjectClick">
      <xdr:nvCxnSpPr>
        <xdr:cNvPr id="1606" name="PTObj_DBranchHLine_2_61"/>
        <xdr:cNvCxnSpPr/>
      </xdr:nvCxnSpPr>
      <xdr:spPr>
        <a:xfrm>
          <a:off x="6910197" y="25140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127</xdr:row>
      <xdr:rowOff>180339</xdr:rowOff>
    </xdr:from>
    <xdr:to>
      <xdr:col>4</xdr:col>
      <xdr:colOff>242697</xdr:colOff>
      <xdr:row>131</xdr:row>
      <xdr:rowOff>185420</xdr:rowOff>
    </xdr:to>
    <xdr:cxnSp macro="_xll.PtreeEvent_ObjectClick">
      <xdr:nvCxnSpPr>
        <xdr:cNvPr id="1605" name="PTObj_DBranchDLine_2_61"/>
        <xdr:cNvCxnSpPr/>
      </xdr:nvCxnSpPr>
      <xdr:spPr>
        <a:xfrm>
          <a:off x="6757797" y="24373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125</xdr:row>
      <xdr:rowOff>185420</xdr:rowOff>
    </xdr:from>
    <xdr:to>
      <xdr:col>6</xdr:col>
      <xdr:colOff>127</xdr:colOff>
      <xdr:row>125</xdr:row>
      <xdr:rowOff>185420</xdr:rowOff>
    </xdr:to>
    <xdr:cxnSp macro="_xll.PtreeEvent_ObjectClick">
      <xdr:nvCxnSpPr>
        <xdr:cNvPr id="1602" name="PTObj_DBranchHLine_2_60"/>
        <xdr:cNvCxnSpPr/>
      </xdr:nvCxnSpPr>
      <xdr:spPr>
        <a:xfrm>
          <a:off x="8719947" y="23997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123</xdr:row>
      <xdr:rowOff>180339</xdr:rowOff>
    </xdr:from>
    <xdr:to>
      <xdr:col>5</xdr:col>
      <xdr:colOff>242697</xdr:colOff>
      <xdr:row>125</xdr:row>
      <xdr:rowOff>185420</xdr:rowOff>
    </xdr:to>
    <xdr:cxnSp macro="_xll.PtreeEvent_ObjectClick">
      <xdr:nvCxnSpPr>
        <xdr:cNvPr id="1601" name="PTObj_DBranchDLine_2_60"/>
        <xdr:cNvCxnSpPr/>
      </xdr:nvCxnSpPr>
      <xdr:spPr>
        <a:xfrm>
          <a:off x="8567547" y="23611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121</xdr:row>
      <xdr:rowOff>185420</xdr:rowOff>
    </xdr:from>
    <xdr:to>
      <xdr:col>6</xdr:col>
      <xdr:colOff>127</xdr:colOff>
      <xdr:row>121</xdr:row>
      <xdr:rowOff>185420</xdr:rowOff>
    </xdr:to>
    <xdr:cxnSp macro="_xll.PtreeEvent_ObjectClick">
      <xdr:nvCxnSpPr>
        <xdr:cNvPr id="1598" name="PTObj_DBranchHLine_2_27"/>
        <xdr:cNvCxnSpPr/>
      </xdr:nvCxnSpPr>
      <xdr:spPr>
        <a:xfrm>
          <a:off x="8719947" y="23235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121</xdr:row>
      <xdr:rowOff>185420</xdr:rowOff>
    </xdr:from>
    <xdr:to>
      <xdr:col>5</xdr:col>
      <xdr:colOff>242697</xdr:colOff>
      <xdr:row>123</xdr:row>
      <xdr:rowOff>180339</xdr:rowOff>
    </xdr:to>
    <xdr:cxnSp macro="_xll.PtreeEvent_ObjectClick">
      <xdr:nvCxnSpPr>
        <xdr:cNvPr id="1597" name="PTObj_DBranchDLine_2_27"/>
        <xdr:cNvCxnSpPr/>
      </xdr:nvCxnSpPr>
      <xdr:spPr>
        <a:xfrm flipV="1">
          <a:off x="8567547" y="23235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123</xdr:row>
      <xdr:rowOff>185420</xdr:rowOff>
    </xdr:from>
    <xdr:to>
      <xdr:col>5</xdr:col>
      <xdr:colOff>127</xdr:colOff>
      <xdr:row>123</xdr:row>
      <xdr:rowOff>185420</xdr:rowOff>
    </xdr:to>
    <xdr:cxnSp macro="_xll.PtreeEvent_ObjectClick">
      <xdr:nvCxnSpPr>
        <xdr:cNvPr id="1594" name="PTObj_DBranchHLine_2_26"/>
        <xdr:cNvCxnSpPr/>
      </xdr:nvCxnSpPr>
      <xdr:spPr>
        <a:xfrm>
          <a:off x="6910197" y="23616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123</xdr:row>
      <xdr:rowOff>185420</xdr:rowOff>
    </xdr:from>
    <xdr:to>
      <xdr:col>4</xdr:col>
      <xdr:colOff>242697</xdr:colOff>
      <xdr:row>127</xdr:row>
      <xdr:rowOff>180339</xdr:rowOff>
    </xdr:to>
    <xdr:cxnSp macro="_xll.PtreeEvent_ObjectClick">
      <xdr:nvCxnSpPr>
        <xdr:cNvPr id="1593" name="PTObj_DBranchDLine_2_26"/>
        <xdr:cNvCxnSpPr/>
      </xdr:nvCxnSpPr>
      <xdr:spPr>
        <a:xfrm flipV="1">
          <a:off x="6757797" y="236169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127</xdr:row>
      <xdr:rowOff>185420</xdr:rowOff>
    </xdr:from>
    <xdr:to>
      <xdr:col>4</xdr:col>
      <xdr:colOff>127</xdr:colOff>
      <xdr:row>127</xdr:row>
      <xdr:rowOff>185420</xdr:rowOff>
    </xdr:to>
    <xdr:cxnSp macro="_xll.PtreeEvent_ObjectClick">
      <xdr:nvCxnSpPr>
        <xdr:cNvPr id="1590" name="PTObj_DBranchHLine_2_25"/>
        <xdr:cNvCxnSpPr/>
      </xdr:nvCxnSpPr>
      <xdr:spPr>
        <a:xfrm>
          <a:off x="5100447" y="24378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119</xdr:row>
      <xdr:rowOff>180339</xdr:rowOff>
    </xdr:from>
    <xdr:to>
      <xdr:col>3</xdr:col>
      <xdr:colOff>242697</xdr:colOff>
      <xdr:row>127</xdr:row>
      <xdr:rowOff>185420</xdr:rowOff>
    </xdr:to>
    <xdr:cxnSp macro="_xll.PtreeEvent_ObjectClick">
      <xdr:nvCxnSpPr>
        <xdr:cNvPr id="1589" name="PTObj_DBranchDLine_2_25"/>
        <xdr:cNvCxnSpPr/>
      </xdr:nvCxnSpPr>
      <xdr:spPr>
        <a:xfrm>
          <a:off x="4948047" y="22849839"/>
          <a:ext cx="152400" cy="1529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69</xdr:row>
      <xdr:rowOff>185420</xdr:rowOff>
    </xdr:from>
    <xdr:to>
      <xdr:col>6</xdr:col>
      <xdr:colOff>127</xdr:colOff>
      <xdr:row>69</xdr:row>
      <xdr:rowOff>185420</xdr:rowOff>
    </xdr:to>
    <xdr:cxnSp macro="_xll.PtreeEvent_ObjectClick">
      <xdr:nvCxnSpPr>
        <xdr:cNvPr id="1586" name="PTObj_DBranchHLine_2_59"/>
        <xdr:cNvCxnSpPr/>
      </xdr:nvCxnSpPr>
      <xdr:spPr>
        <a:xfrm>
          <a:off x="8719947" y="13329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67</xdr:row>
      <xdr:rowOff>180339</xdr:rowOff>
    </xdr:from>
    <xdr:to>
      <xdr:col>5</xdr:col>
      <xdr:colOff>242697</xdr:colOff>
      <xdr:row>69</xdr:row>
      <xdr:rowOff>185420</xdr:rowOff>
    </xdr:to>
    <xdr:cxnSp macro="_xll.PtreeEvent_ObjectClick">
      <xdr:nvCxnSpPr>
        <xdr:cNvPr id="1585" name="PTObj_DBranchDLine_2_59"/>
        <xdr:cNvCxnSpPr/>
      </xdr:nvCxnSpPr>
      <xdr:spPr>
        <a:xfrm>
          <a:off x="8567547" y="12943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65</xdr:row>
      <xdr:rowOff>185420</xdr:rowOff>
    </xdr:from>
    <xdr:to>
      <xdr:col>6</xdr:col>
      <xdr:colOff>127</xdr:colOff>
      <xdr:row>65</xdr:row>
      <xdr:rowOff>185420</xdr:rowOff>
    </xdr:to>
    <xdr:cxnSp macro="_xll.PtreeEvent_ObjectClick">
      <xdr:nvCxnSpPr>
        <xdr:cNvPr id="1582" name="PTObj_DBranchHLine_2_58"/>
        <xdr:cNvCxnSpPr/>
      </xdr:nvCxnSpPr>
      <xdr:spPr>
        <a:xfrm>
          <a:off x="8719947" y="12567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65</xdr:row>
      <xdr:rowOff>185420</xdr:rowOff>
    </xdr:from>
    <xdr:to>
      <xdr:col>5</xdr:col>
      <xdr:colOff>242697</xdr:colOff>
      <xdr:row>67</xdr:row>
      <xdr:rowOff>180339</xdr:rowOff>
    </xdr:to>
    <xdr:cxnSp macro="_xll.PtreeEvent_ObjectClick">
      <xdr:nvCxnSpPr>
        <xdr:cNvPr id="1581" name="PTObj_DBranchDLine_2_58"/>
        <xdr:cNvCxnSpPr/>
      </xdr:nvCxnSpPr>
      <xdr:spPr>
        <a:xfrm flipV="1">
          <a:off x="8567547" y="12567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67</xdr:row>
      <xdr:rowOff>185420</xdr:rowOff>
    </xdr:from>
    <xdr:to>
      <xdr:col>5</xdr:col>
      <xdr:colOff>127</xdr:colOff>
      <xdr:row>67</xdr:row>
      <xdr:rowOff>185420</xdr:rowOff>
    </xdr:to>
    <xdr:cxnSp macro="_xll.PtreeEvent_ObjectClick">
      <xdr:nvCxnSpPr>
        <xdr:cNvPr id="1578" name="PTObj_DBranchHLine_2_57"/>
        <xdr:cNvCxnSpPr/>
      </xdr:nvCxnSpPr>
      <xdr:spPr>
        <a:xfrm>
          <a:off x="6910197" y="12948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63</xdr:row>
      <xdr:rowOff>180339</xdr:rowOff>
    </xdr:from>
    <xdr:to>
      <xdr:col>4</xdr:col>
      <xdr:colOff>242697</xdr:colOff>
      <xdr:row>67</xdr:row>
      <xdr:rowOff>185420</xdr:rowOff>
    </xdr:to>
    <xdr:cxnSp macro="_xll.PtreeEvent_ObjectClick">
      <xdr:nvCxnSpPr>
        <xdr:cNvPr id="1577" name="PTObj_DBranchDLine_2_57"/>
        <xdr:cNvCxnSpPr/>
      </xdr:nvCxnSpPr>
      <xdr:spPr>
        <a:xfrm>
          <a:off x="6757797" y="12181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61</xdr:row>
      <xdr:rowOff>185420</xdr:rowOff>
    </xdr:from>
    <xdr:to>
      <xdr:col>6</xdr:col>
      <xdr:colOff>127</xdr:colOff>
      <xdr:row>61</xdr:row>
      <xdr:rowOff>185420</xdr:rowOff>
    </xdr:to>
    <xdr:cxnSp macro="_xll.PtreeEvent_ObjectClick">
      <xdr:nvCxnSpPr>
        <xdr:cNvPr id="1574" name="PTObj_DBranchHLine_2_56"/>
        <xdr:cNvCxnSpPr/>
      </xdr:nvCxnSpPr>
      <xdr:spPr>
        <a:xfrm>
          <a:off x="8719947" y="11805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59</xdr:row>
      <xdr:rowOff>180339</xdr:rowOff>
    </xdr:from>
    <xdr:to>
      <xdr:col>5</xdr:col>
      <xdr:colOff>242697</xdr:colOff>
      <xdr:row>61</xdr:row>
      <xdr:rowOff>185420</xdr:rowOff>
    </xdr:to>
    <xdr:cxnSp macro="_xll.PtreeEvent_ObjectClick">
      <xdr:nvCxnSpPr>
        <xdr:cNvPr id="1573" name="PTObj_DBranchDLine_2_56"/>
        <xdr:cNvCxnSpPr/>
      </xdr:nvCxnSpPr>
      <xdr:spPr>
        <a:xfrm>
          <a:off x="8567547" y="11419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57</xdr:row>
      <xdr:rowOff>185420</xdr:rowOff>
    </xdr:from>
    <xdr:to>
      <xdr:col>6</xdr:col>
      <xdr:colOff>127</xdr:colOff>
      <xdr:row>57</xdr:row>
      <xdr:rowOff>185420</xdr:rowOff>
    </xdr:to>
    <xdr:cxnSp macro="_xll.PtreeEvent_ObjectClick">
      <xdr:nvCxnSpPr>
        <xdr:cNvPr id="1570" name="PTObj_DBranchHLine_2_11"/>
        <xdr:cNvCxnSpPr/>
      </xdr:nvCxnSpPr>
      <xdr:spPr>
        <a:xfrm>
          <a:off x="8719947" y="11043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57</xdr:row>
      <xdr:rowOff>185420</xdr:rowOff>
    </xdr:from>
    <xdr:to>
      <xdr:col>5</xdr:col>
      <xdr:colOff>242697</xdr:colOff>
      <xdr:row>59</xdr:row>
      <xdr:rowOff>180339</xdr:rowOff>
    </xdr:to>
    <xdr:cxnSp macro="_xll.PtreeEvent_ObjectClick">
      <xdr:nvCxnSpPr>
        <xdr:cNvPr id="1569" name="PTObj_DBranchDLine_2_11"/>
        <xdr:cNvCxnSpPr/>
      </xdr:nvCxnSpPr>
      <xdr:spPr>
        <a:xfrm flipV="1">
          <a:off x="8567547" y="11043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59</xdr:row>
      <xdr:rowOff>185420</xdr:rowOff>
    </xdr:from>
    <xdr:to>
      <xdr:col>5</xdr:col>
      <xdr:colOff>127</xdr:colOff>
      <xdr:row>59</xdr:row>
      <xdr:rowOff>185420</xdr:rowOff>
    </xdr:to>
    <xdr:cxnSp macro="_xll.PtreeEvent_ObjectClick">
      <xdr:nvCxnSpPr>
        <xdr:cNvPr id="1566" name="PTObj_DBranchHLine_2_10"/>
        <xdr:cNvCxnSpPr/>
      </xdr:nvCxnSpPr>
      <xdr:spPr>
        <a:xfrm>
          <a:off x="6910197" y="11424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59</xdr:row>
      <xdr:rowOff>185420</xdr:rowOff>
    </xdr:from>
    <xdr:to>
      <xdr:col>4</xdr:col>
      <xdr:colOff>242697</xdr:colOff>
      <xdr:row>63</xdr:row>
      <xdr:rowOff>180339</xdr:rowOff>
    </xdr:to>
    <xdr:cxnSp macro="_xll.PtreeEvent_ObjectClick">
      <xdr:nvCxnSpPr>
        <xdr:cNvPr id="1565" name="PTObj_DBranchDLine_2_10"/>
        <xdr:cNvCxnSpPr/>
      </xdr:nvCxnSpPr>
      <xdr:spPr>
        <a:xfrm flipV="1">
          <a:off x="6757797" y="114249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63</xdr:row>
      <xdr:rowOff>185420</xdr:rowOff>
    </xdr:from>
    <xdr:to>
      <xdr:col>4</xdr:col>
      <xdr:colOff>127</xdr:colOff>
      <xdr:row>63</xdr:row>
      <xdr:rowOff>185420</xdr:rowOff>
    </xdr:to>
    <xdr:cxnSp macro="_xll.PtreeEvent_ObjectClick">
      <xdr:nvCxnSpPr>
        <xdr:cNvPr id="1562" name="PTObj_DBranchHLine_2_9"/>
        <xdr:cNvCxnSpPr/>
      </xdr:nvCxnSpPr>
      <xdr:spPr>
        <a:xfrm>
          <a:off x="5100447" y="12186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41</xdr:row>
      <xdr:rowOff>180339</xdr:rowOff>
    </xdr:from>
    <xdr:to>
      <xdr:col>3</xdr:col>
      <xdr:colOff>242697</xdr:colOff>
      <xdr:row>63</xdr:row>
      <xdr:rowOff>185420</xdr:rowOff>
    </xdr:to>
    <xdr:cxnSp macro="_xll.PtreeEvent_ObjectClick">
      <xdr:nvCxnSpPr>
        <xdr:cNvPr id="1561" name="PTObj_DBranchDLine_2_9"/>
        <xdr:cNvCxnSpPr/>
      </xdr:nvCxnSpPr>
      <xdr:spPr>
        <a:xfrm>
          <a:off x="4948047" y="7990839"/>
          <a:ext cx="152400" cy="419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101</xdr:row>
      <xdr:rowOff>185420</xdr:rowOff>
    </xdr:from>
    <xdr:to>
      <xdr:col>6</xdr:col>
      <xdr:colOff>127</xdr:colOff>
      <xdr:row>101</xdr:row>
      <xdr:rowOff>185420</xdr:rowOff>
    </xdr:to>
    <xdr:cxnSp macro="_xll.PtreeEvent_ObjectClick">
      <xdr:nvCxnSpPr>
        <xdr:cNvPr id="1558" name="PTObj_DBranchHLine_2_55"/>
        <xdr:cNvCxnSpPr/>
      </xdr:nvCxnSpPr>
      <xdr:spPr>
        <a:xfrm>
          <a:off x="8719947" y="17901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99</xdr:row>
      <xdr:rowOff>180339</xdr:rowOff>
    </xdr:from>
    <xdr:to>
      <xdr:col>5</xdr:col>
      <xdr:colOff>242697</xdr:colOff>
      <xdr:row>101</xdr:row>
      <xdr:rowOff>185420</xdr:rowOff>
    </xdr:to>
    <xdr:cxnSp macro="_xll.PtreeEvent_ObjectClick">
      <xdr:nvCxnSpPr>
        <xdr:cNvPr id="1557" name="PTObj_DBranchDLine_2_55"/>
        <xdr:cNvCxnSpPr/>
      </xdr:nvCxnSpPr>
      <xdr:spPr>
        <a:xfrm>
          <a:off x="8567547" y="17515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97</xdr:row>
      <xdr:rowOff>185420</xdr:rowOff>
    </xdr:from>
    <xdr:to>
      <xdr:col>6</xdr:col>
      <xdr:colOff>127</xdr:colOff>
      <xdr:row>97</xdr:row>
      <xdr:rowOff>185420</xdr:rowOff>
    </xdr:to>
    <xdr:cxnSp macro="_xll.PtreeEvent_ObjectClick">
      <xdr:nvCxnSpPr>
        <xdr:cNvPr id="1554" name="PTObj_DBranchHLine_2_54"/>
        <xdr:cNvCxnSpPr/>
      </xdr:nvCxnSpPr>
      <xdr:spPr>
        <a:xfrm>
          <a:off x="8719947" y="17139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97</xdr:row>
      <xdr:rowOff>185420</xdr:rowOff>
    </xdr:from>
    <xdr:to>
      <xdr:col>5</xdr:col>
      <xdr:colOff>242697</xdr:colOff>
      <xdr:row>99</xdr:row>
      <xdr:rowOff>180339</xdr:rowOff>
    </xdr:to>
    <xdr:cxnSp macro="_xll.PtreeEvent_ObjectClick">
      <xdr:nvCxnSpPr>
        <xdr:cNvPr id="1553" name="PTObj_DBranchDLine_2_54"/>
        <xdr:cNvCxnSpPr/>
      </xdr:nvCxnSpPr>
      <xdr:spPr>
        <a:xfrm flipV="1">
          <a:off x="8567547" y="17139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99</xdr:row>
      <xdr:rowOff>185420</xdr:rowOff>
    </xdr:from>
    <xdr:to>
      <xdr:col>5</xdr:col>
      <xdr:colOff>127</xdr:colOff>
      <xdr:row>99</xdr:row>
      <xdr:rowOff>185420</xdr:rowOff>
    </xdr:to>
    <xdr:cxnSp macro="_xll.PtreeEvent_ObjectClick">
      <xdr:nvCxnSpPr>
        <xdr:cNvPr id="1550" name="PTObj_DBranchHLine_2_53"/>
        <xdr:cNvCxnSpPr/>
      </xdr:nvCxnSpPr>
      <xdr:spPr>
        <a:xfrm>
          <a:off x="6910197" y="17520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95</xdr:row>
      <xdr:rowOff>180339</xdr:rowOff>
    </xdr:from>
    <xdr:to>
      <xdr:col>4</xdr:col>
      <xdr:colOff>242697</xdr:colOff>
      <xdr:row>99</xdr:row>
      <xdr:rowOff>185420</xdr:rowOff>
    </xdr:to>
    <xdr:cxnSp macro="_xll.PtreeEvent_ObjectClick">
      <xdr:nvCxnSpPr>
        <xdr:cNvPr id="1549" name="PTObj_DBranchDLine_2_53"/>
        <xdr:cNvCxnSpPr/>
      </xdr:nvCxnSpPr>
      <xdr:spPr>
        <a:xfrm>
          <a:off x="6757797" y="16753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93</xdr:row>
      <xdr:rowOff>185420</xdr:rowOff>
    </xdr:from>
    <xdr:to>
      <xdr:col>6</xdr:col>
      <xdr:colOff>127</xdr:colOff>
      <xdr:row>93</xdr:row>
      <xdr:rowOff>185420</xdr:rowOff>
    </xdr:to>
    <xdr:cxnSp macro="_xll.PtreeEvent_ObjectClick">
      <xdr:nvCxnSpPr>
        <xdr:cNvPr id="1546" name="PTObj_DBranchHLine_2_52"/>
        <xdr:cNvCxnSpPr/>
      </xdr:nvCxnSpPr>
      <xdr:spPr>
        <a:xfrm>
          <a:off x="8719947" y="16377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91</xdr:row>
      <xdr:rowOff>180339</xdr:rowOff>
    </xdr:from>
    <xdr:to>
      <xdr:col>5</xdr:col>
      <xdr:colOff>242697</xdr:colOff>
      <xdr:row>93</xdr:row>
      <xdr:rowOff>185420</xdr:rowOff>
    </xdr:to>
    <xdr:cxnSp macro="_xll.PtreeEvent_ObjectClick">
      <xdr:nvCxnSpPr>
        <xdr:cNvPr id="1545" name="PTObj_DBranchDLine_2_52"/>
        <xdr:cNvCxnSpPr/>
      </xdr:nvCxnSpPr>
      <xdr:spPr>
        <a:xfrm>
          <a:off x="8567547" y="15991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89</xdr:row>
      <xdr:rowOff>185420</xdr:rowOff>
    </xdr:from>
    <xdr:to>
      <xdr:col>6</xdr:col>
      <xdr:colOff>127</xdr:colOff>
      <xdr:row>89</xdr:row>
      <xdr:rowOff>185420</xdr:rowOff>
    </xdr:to>
    <xdr:cxnSp macro="_xll.PtreeEvent_ObjectClick">
      <xdr:nvCxnSpPr>
        <xdr:cNvPr id="1542" name="PTObj_DBranchHLine_2_18"/>
        <xdr:cNvCxnSpPr/>
      </xdr:nvCxnSpPr>
      <xdr:spPr>
        <a:xfrm>
          <a:off x="8719947" y="15615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89</xdr:row>
      <xdr:rowOff>185420</xdr:rowOff>
    </xdr:from>
    <xdr:to>
      <xdr:col>5</xdr:col>
      <xdr:colOff>242697</xdr:colOff>
      <xdr:row>91</xdr:row>
      <xdr:rowOff>180339</xdr:rowOff>
    </xdr:to>
    <xdr:cxnSp macro="_xll.PtreeEvent_ObjectClick">
      <xdr:nvCxnSpPr>
        <xdr:cNvPr id="1541" name="PTObj_DBranchDLine_2_18"/>
        <xdr:cNvCxnSpPr/>
      </xdr:nvCxnSpPr>
      <xdr:spPr>
        <a:xfrm flipV="1">
          <a:off x="8567547" y="15615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91</xdr:row>
      <xdr:rowOff>185420</xdr:rowOff>
    </xdr:from>
    <xdr:to>
      <xdr:col>5</xdr:col>
      <xdr:colOff>127</xdr:colOff>
      <xdr:row>91</xdr:row>
      <xdr:rowOff>185420</xdr:rowOff>
    </xdr:to>
    <xdr:cxnSp macro="_xll.PtreeEvent_ObjectClick">
      <xdr:nvCxnSpPr>
        <xdr:cNvPr id="1538" name="PTObj_DBranchHLine_2_17"/>
        <xdr:cNvCxnSpPr/>
      </xdr:nvCxnSpPr>
      <xdr:spPr>
        <a:xfrm>
          <a:off x="6910197" y="15996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91</xdr:row>
      <xdr:rowOff>185420</xdr:rowOff>
    </xdr:from>
    <xdr:to>
      <xdr:col>4</xdr:col>
      <xdr:colOff>242697</xdr:colOff>
      <xdr:row>95</xdr:row>
      <xdr:rowOff>180339</xdr:rowOff>
    </xdr:to>
    <xdr:cxnSp macro="_xll.PtreeEvent_ObjectClick">
      <xdr:nvCxnSpPr>
        <xdr:cNvPr id="1537" name="PTObj_DBranchDLine_2_17"/>
        <xdr:cNvCxnSpPr/>
      </xdr:nvCxnSpPr>
      <xdr:spPr>
        <a:xfrm flipV="1">
          <a:off x="6757797" y="159969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95</xdr:row>
      <xdr:rowOff>185420</xdr:rowOff>
    </xdr:from>
    <xdr:to>
      <xdr:col>4</xdr:col>
      <xdr:colOff>127</xdr:colOff>
      <xdr:row>95</xdr:row>
      <xdr:rowOff>185420</xdr:rowOff>
    </xdr:to>
    <xdr:cxnSp macro="_xll.PtreeEvent_ObjectClick">
      <xdr:nvCxnSpPr>
        <xdr:cNvPr id="1534" name="PTObj_DBranchHLine_2_16"/>
        <xdr:cNvCxnSpPr/>
      </xdr:nvCxnSpPr>
      <xdr:spPr>
        <a:xfrm>
          <a:off x="5100447" y="16758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87</xdr:row>
      <xdr:rowOff>180339</xdr:rowOff>
    </xdr:from>
    <xdr:to>
      <xdr:col>3</xdr:col>
      <xdr:colOff>242697</xdr:colOff>
      <xdr:row>95</xdr:row>
      <xdr:rowOff>185420</xdr:rowOff>
    </xdr:to>
    <xdr:cxnSp macro="_xll.PtreeEvent_ObjectClick">
      <xdr:nvCxnSpPr>
        <xdr:cNvPr id="1533" name="PTObj_DBranchDLine_2_16"/>
        <xdr:cNvCxnSpPr/>
      </xdr:nvCxnSpPr>
      <xdr:spPr>
        <a:xfrm>
          <a:off x="4948047" y="15229839"/>
          <a:ext cx="152400" cy="1529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55</xdr:row>
      <xdr:rowOff>185420</xdr:rowOff>
    </xdr:from>
    <xdr:to>
      <xdr:col>6</xdr:col>
      <xdr:colOff>127</xdr:colOff>
      <xdr:row>55</xdr:row>
      <xdr:rowOff>185420</xdr:rowOff>
    </xdr:to>
    <xdr:cxnSp macro="_xll.PtreeEvent_ObjectClick">
      <xdr:nvCxnSpPr>
        <xdr:cNvPr id="1530" name="PTObj_DBranchHLine_2_51"/>
        <xdr:cNvCxnSpPr/>
      </xdr:nvCxnSpPr>
      <xdr:spPr>
        <a:xfrm>
          <a:off x="8719947" y="10662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53</xdr:row>
      <xdr:rowOff>180339</xdr:rowOff>
    </xdr:from>
    <xdr:to>
      <xdr:col>5</xdr:col>
      <xdr:colOff>242697</xdr:colOff>
      <xdr:row>55</xdr:row>
      <xdr:rowOff>185420</xdr:rowOff>
    </xdr:to>
    <xdr:cxnSp macro="_xll.PtreeEvent_ObjectClick">
      <xdr:nvCxnSpPr>
        <xdr:cNvPr id="1529" name="PTObj_DBranchDLine_2_51"/>
        <xdr:cNvCxnSpPr/>
      </xdr:nvCxnSpPr>
      <xdr:spPr>
        <a:xfrm>
          <a:off x="8567547" y="10276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51</xdr:row>
      <xdr:rowOff>185420</xdr:rowOff>
    </xdr:from>
    <xdr:to>
      <xdr:col>6</xdr:col>
      <xdr:colOff>127</xdr:colOff>
      <xdr:row>51</xdr:row>
      <xdr:rowOff>185420</xdr:rowOff>
    </xdr:to>
    <xdr:cxnSp macro="_xll.PtreeEvent_ObjectClick">
      <xdr:nvCxnSpPr>
        <xdr:cNvPr id="1526" name="PTObj_DBranchHLine_2_50"/>
        <xdr:cNvCxnSpPr/>
      </xdr:nvCxnSpPr>
      <xdr:spPr>
        <a:xfrm>
          <a:off x="8719947" y="9900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51</xdr:row>
      <xdr:rowOff>185420</xdr:rowOff>
    </xdr:from>
    <xdr:to>
      <xdr:col>5</xdr:col>
      <xdr:colOff>242697</xdr:colOff>
      <xdr:row>53</xdr:row>
      <xdr:rowOff>180339</xdr:rowOff>
    </xdr:to>
    <xdr:cxnSp macro="_xll.PtreeEvent_ObjectClick">
      <xdr:nvCxnSpPr>
        <xdr:cNvPr id="1525" name="PTObj_DBranchDLine_2_50"/>
        <xdr:cNvCxnSpPr/>
      </xdr:nvCxnSpPr>
      <xdr:spPr>
        <a:xfrm flipV="1">
          <a:off x="8567547" y="9900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53</xdr:row>
      <xdr:rowOff>185420</xdr:rowOff>
    </xdr:from>
    <xdr:to>
      <xdr:col>5</xdr:col>
      <xdr:colOff>127</xdr:colOff>
      <xdr:row>53</xdr:row>
      <xdr:rowOff>185420</xdr:rowOff>
    </xdr:to>
    <xdr:cxnSp macro="_xll.PtreeEvent_ObjectClick">
      <xdr:nvCxnSpPr>
        <xdr:cNvPr id="1522" name="PTObj_DBranchHLine_2_49"/>
        <xdr:cNvCxnSpPr/>
      </xdr:nvCxnSpPr>
      <xdr:spPr>
        <a:xfrm>
          <a:off x="6910197" y="10281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49</xdr:row>
      <xdr:rowOff>180339</xdr:rowOff>
    </xdr:from>
    <xdr:to>
      <xdr:col>4</xdr:col>
      <xdr:colOff>242697</xdr:colOff>
      <xdr:row>53</xdr:row>
      <xdr:rowOff>185420</xdr:rowOff>
    </xdr:to>
    <xdr:cxnSp macro="_xll.PtreeEvent_ObjectClick">
      <xdr:nvCxnSpPr>
        <xdr:cNvPr id="1521" name="PTObj_DBranchDLine_2_49"/>
        <xdr:cNvCxnSpPr/>
      </xdr:nvCxnSpPr>
      <xdr:spPr>
        <a:xfrm>
          <a:off x="6757797" y="9514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47</xdr:row>
      <xdr:rowOff>185420</xdr:rowOff>
    </xdr:from>
    <xdr:to>
      <xdr:col>6</xdr:col>
      <xdr:colOff>127</xdr:colOff>
      <xdr:row>47</xdr:row>
      <xdr:rowOff>185420</xdr:rowOff>
    </xdr:to>
    <xdr:cxnSp macro="_xll.PtreeEvent_ObjectClick">
      <xdr:nvCxnSpPr>
        <xdr:cNvPr id="1518" name="PTObj_DBranchHLine_2_48"/>
        <xdr:cNvCxnSpPr/>
      </xdr:nvCxnSpPr>
      <xdr:spPr>
        <a:xfrm>
          <a:off x="8719947" y="9138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45</xdr:row>
      <xdr:rowOff>180339</xdr:rowOff>
    </xdr:from>
    <xdr:to>
      <xdr:col>5</xdr:col>
      <xdr:colOff>242697</xdr:colOff>
      <xdr:row>47</xdr:row>
      <xdr:rowOff>185420</xdr:rowOff>
    </xdr:to>
    <xdr:cxnSp macro="_xll.PtreeEvent_ObjectClick">
      <xdr:nvCxnSpPr>
        <xdr:cNvPr id="1517" name="PTObj_DBranchDLine_2_48"/>
        <xdr:cNvCxnSpPr/>
      </xdr:nvCxnSpPr>
      <xdr:spPr>
        <a:xfrm>
          <a:off x="8567547" y="8752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43</xdr:row>
      <xdr:rowOff>185420</xdr:rowOff>
    </xdr:from>
    <xdr:to>
      <xdr:col>6</xdr:col>
      <xdr:colOff>127</xdr:colOff>
      <xdr:row>43</xdr:row>
      <xdr:rowOff>185420</xdr:rowOff>
    </xdr:to>
    <xdr:cxnSp macro="_xll.PtreeEvent_ObjectClick">
      <xdr:nvCxnSpPr>
        <xdr:cNvPr id="1514" name="PTObj_DBranchHLine_2_8"/>
        <xdr:cNvCxnSpPr/>
      </xdr:nvCxnSpPr>
      <xdr:spPr>
        <a:xfrm>
          <a:off x="8719947" y="8376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43</xdr:row>
      <xdr:rowOff>185420</xdr:rowOff>
    </xdr:from>
    <xdr:to>
      <xdr:col>5</xdr:col>
      <xdr:colOff>242697</xdr:colOff>
      <xdr:row>45</xdr:row>
      <xdr:rowOff>180339</xdr:rowOff>
    </xdr:to>
    <xdr:cxnSp macro="_xll.PtreeEvent_ObjectClick">
      <xdr:nvCxnSpPr>
        <xdr:cNvPr id="1513" name="PTObj_DBranchDLine_2_8"/>
        <xdr:cNvCxnSpPr/>
      </xdr:nvCxnSpPr>
      <xdr:spPr>
        <a:xfrm flipV="1">
          <a:off x="8567547" y="8376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45</xdr:row>
      <xdr:rowOff>185420</xdr:rowOff>
    </xdr:from>
    <xdr:to>
      <xdr:col>5</xdr:col>
      <xdr:colOff>127</xdr:colOff>
      <xdr:row>45</xdr:row>
      <xdr:rowOff>185420</xdr:rowOff>
    </xdr:to>
    <xdr:cxnSp macro="_xll.PtreeEvent_ObjectClick">
      <xdr:nvCxnSpPr>
        <xdr:cNvPr id="1510" name="PTObj_DBranchHLine_2_7"/>
        <xdr:cNvCxnSpPr/>
      </xdr:nvCxnSpPr>
      <xdr:spPr>
        <a:xfrm>
          <a:off x="6910197" y="8757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45</xdr:row>
      <xdr:rowOff>185420</xdr:rowOff>
    </xdr:from>
    <xdr:to>
      <xdr:col>4</xdr:col>
      <xdr:colOff>242697</xdr:colOff>
      <xdr:row>49</xdr:row>
      <xdr:rowOff>180339</xdr:rowOff>
    </xdr:to>
    <xdr:cxnSp macro="_xll.PtreeEvent_ObjectClick">
      <xdr:nvCxnSpPr>
        <xdr:cNvPr id="1509" name="PTObj_DBranchDLine_2_7"/>
        <xdr:cNvCxnSpPr/>
      </xdr:nvCxnSpPr>
      <xdr:spPr>
        <a:xfrm flipV="1">
          <a:off x="6757797" y="87579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49</xdr:row>
      <xdr:rowOff>185420</xdr:rowOff>
    </xdr:from>
    <xdr:to>
      <xdr:col>4</xdr:col>
      <xdr:colOff>127</xdr:colOff>
      <xdr:row>49</xdr:row>
      <xdr:rowOff>185420</xdr:rowOff>
    </xdr:to>
    <xdr:cxnSp macro="_xll.PtreeEvent_ObjectClick">
      <xdr:nvCxnSpPr>
        <xdr:cNvPr id="1506" name="PTObj_DBranchHLine_2_6"/>
        <xdr:cNvCxnSpPr/>
      </xdr:nvCxnSpPr>
      <xdr:spPr>
        <a:xfrm>
          <a:off x="5100447" y="9519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41</xdr:row>
      <xdr:rowOff>180339</xdr:rowOff>
    </xdr:from>
    <xdr:to>
      <xdr:col>3</xdr:col>
      <xdr:colOff>242697</xdr:colOff>
      <xdr:row>49</xdr:row>
      <xdr:rowOff>185420</xdr:rowOff>
    </xdr:to>
    <xdr:cxnSp macro="_xll.PtreeEvent_ObjectClick">
      <xdr:nvCxnSpPr>
        <xdr:cNvPr id="1505" name="PTObj_DBranchDLine_2_6"/>
        <xdr:cNvCxnSpPr/>
      </xdr:nvCxnSpPr>
      <xdr:spPr>
        <a:xfrm>
          <a:off x="4948047" y="7990839"/>
          <a:ext cx="152400" cy="1529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149</xdr:row>
      <xdr:rowOff>185420</xdr:rowOff>
    </xdr:from>
    <xdr:to>
      <xdr:col>6</xdr:col>
      <xdr:colOff>127</xdr:colOff>
      <xdr:row>149</xdr:row>
      <xdr:rowOff>185420</xdr:rowOff>
    </xdr:to>
    <xdr:cxnSp macro="_xll.PtreeEvent_ObjectClick">
      <xdr:nvCxnSpPr>
        <xdr:cNvPr id="1502" name="PTObj_DBranchHLine_2_47"/>
        <xdr:cNvCxnSpPr/>
      </xdr:nvCxnSpPr>
      <xdr:spPr>
        <a:xfrm>
          <a:off x="8719947" y="22473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147</xdr:row>
      <xdr:rowOff>180339</xdr:rowOff>
    </xdr:from>
    <xdr:to>
      <xdr:col>5</xdr:col>
      <xdr:colOff>242697</xdr:colOff>
      <xdr:row>149</xdr:row>
      <xdr:rowOff>185420</xdr:rowOff>
    </xdr:to>
    <xdr:cxnSp macro="_xll.PtreeEvent_ObjectClick">
      <xdr:nvCxnSpPr>
        <xdr:cNvPr id="1501" name="PTObj_DBranchDLine_2_47"/>
        <xdr:cNvCxnSpPr/>
      </xdr:nvCxnSpPr>
      <xdr:spPr>
        <a:xfrm>
          <a:off x="8567547" y="22087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145</xdr:row>
      <xdr:rowOff>185420</xdr:rowOff>
    </xdr:from>
    <xdr:to>
      <xdr:col>6</xdr:col>
      <xdr:colOff>127</xdr:colOff>
      <xdr:row>145</xdr:row>
      <xdr:rowOff>185420</xdr:rowOff>
    </xdr:to>
    <xdr:cxnSp macro="_xll.PtreeEvent_ObjectClick">
      <xdr:nvCxnSpPr>
        <xdr:cNvPr id="1498" name="PTObj_DBranchHLine_2_46"/>
        <xdr:cNvCxnSpPr/>
      </xdr:nvCxnSpPr>
      <xdr:spPr>
        <a:xfrm>
          <a:off x="8719947" y="21711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145</xdr:row>
      <xdr:rowOff>185420</xdr:rowOff>
    </xdr:from>
    <xdr:to>
      <xdr:col>5</xdr:col>
      <xdr:colOff>242697</xdr:colOff>
      <xdr:row>147</xdr:row>
      <xdr:rowOff>180339</xdr:rowOff>
    </xdr:to>
    <xdr:cxnSp macro="_xll.PtreeEvent_ObjectClick">
      <xdr:nvCxnSpPr>
        <xdr:cNvPr id="1497" name="PTObj_DBranchDLine_2_46"/>
        <xdr:cNvCxnSpPr/>
      </xdr:nvCxnSpPr>
      <xdr:spPr>
        <a:xfrm flipV="1">
          <a:off x="8567547" y="21711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147</xdr:row>
      <xdr:rowOff>185420</xdr:rowOff>
    </xdr:from>
    <xdr:to>
      <xdr:col>5</xdr:col>
      <xdr:colOff>127</xdr:colOff>
      <xdr:row>147</xdr:row>
      <xdr:rowOff>185420</xdr:rowOff>
    </xdr:to>
    <xdr:cxnSp macro="_xll.PtreeEvent_ObjectClick">
      <xdr:nvCxnSpPr>
        <xdr:cNvPr id="1494" name="PTObj_DBranchHLine_2_45"/>
        <xdr:cNvCxnSpPr/>
      </xdr:nvCxnSpPr>
      <xdr:spPr>
        <a:xfrm>
          <a:off x="6910197" y="22092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143</xdr:row>
      <xdr:rowOff>180339</xdr:rowOff>
    </xdr:from>
    <xdr:to>
      <xdr:col>4</xdr:col>
      <xdr:colOff>242697</xdr:colOff>
      <xdr:row>147</xdr:row>
      <xdr:rowOff>185420</xdr:rowOff>
    </xdr:to>
    <xdr:cxnSp macro="_xll.PtreeEvent_ObjectClick">
      <xdr:nvCxnSpPr>
        <xdr:cNvPr id="1493" name="PTObj_DBranchDLine_2_45"/>
        <xdr:cNvCxnSpPr/>
      </xdr:nvCxnSpPr>
      <xdr:spPr>
        <a:xfrm>
          <a:off x="6757797" y="21325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141</xdr:row>
      <xdr:rowOff>185420</xdr:rowOff>
    </xdr:from>
    <xdr:to>
      <xdr:col>6</xdr:col>
      <xdr:colOff>127</xdr:colOff>
      <xdr:row>141</xdr:row>
      <xdr:rowOff>185420</xdr:rowOff>
    </xdr:to>
    <xdr:cxnSp macro="_xll.PtreeEvent_ObjectClick">
      <xdr:nvCxnSpPr>
        <xdr:cNvPr id="1490" name="PTObj_DBranchHLine_2_44"/>
        <xdr:cNvCxnSpPr/>
      </xdr:nvCxnSpPr>
      <xdr:spPr>
        <a:xfrm>
          <a:off x="8719947" y="20949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139</xdr:row>
      <xdr:rowOff>180339</xdr:rowOff>
    </xdr:from>
    <xdr:to>
      <xdr:col>5</xdr:col>
      <xdr:colOff>242697</xdr:colOff>
      <xdr:row>141</xdr:row>
      <xdr:rowOff>185420</xdr:rowOff>
    </xdr:to>
    <xdr:cxnSp macro="_xll.PtreeEvent_ObjectClick">
      <xdr:nvCxnSpPr>
        <xdr:cNvPr id="1489" name="PTObj_DBranchDLine_2_44"/>
        <xdr:cNvCxnSpPr/>
      </xdr:nvCxnSpPr>
      <xdr:spPr>
        <a:xfrm>
          <a:off x="8567547" y="20563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137</xdr:row>
      <xdr:rowOff>185420</xdr:rowOff>
    </xdr:from>
    <xdr:to>
      <xdr:col>6</xdr:col>
      <xdr:colOff>127</xdr:colOff>
      <xdr:row>137</xdr:row>
      <xdr:rowOff>185420</xdr:rowOff>
    </xdr:to>
    <xdr:cxnSp macro="_xll.PtreeEvent_ObjectClick">
      <xdr:nvCxnSpPr>
        <xdr:cNvPr id="1486" name="PTObj_DBranchHLine_2_31"/>
        <xdr:cNvCxnSpPr/>
      </xdr:nvCxnSpPr>
      <xdr:spPr>
        <a:xfrm>
          <a:off x="8719947" y="20187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137</xdr:row>
      <xdr:rowOff>185420</xdr:rowOff>
    </xdr:from>
    <xdr:to>
      <xdr:col>5</xdr:col>
      <xdr:colOff>242697</xdr:colOff>
      <xdr:row>139</xdr:row>
      <xdr:rowOff>180339</xdr:rowOff>
    </xdr:to>
    <xdr:cxnSp macro="_xll.PtreeEvent_ObjectClick">
      <xdr:nvCxnSpPr>
        <xdr:cNvPr id="1485" name="PTObj_DBranchDLine_2_31"/>
        <xdr:cNvCxnSpPr/>
      </xdr:nvCxnSpPr>
      <xdr:spPr>
        <a:xfrm flipV="1">
          <a:off x="8567547" y="20187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139</xdr:row>
      <xdr:rowOff>185420</xdr:rowOff>
    </xdr:from>
    <xdr:to>
      <xdr:col>5</xdr:col>
      <xdr:colOff>127</xdr:colOff>
      <xdr:row>139</xdr:row>
      <xdr:rowOff>185420</xdr:rowOff>
    </xdr:to>
    <xdr:cxnSp macro="_xll.PtreeEvent_ObjectClick">
      <xdr:nvCxnSpPr>
        <xdr:cNvPr id="1482" name="PTObj_DBranchHLine_2_30"/>
        <xdr:cNvCxnSpPr/>
      </xdr:nvCxnSpPr>
      <xdr:spPr>
        <a:xfrm>
          <a:off x="6910197" y="20568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139</xdr:row>
      <xdr:rowOff>185420</xdr:rowOff>
    </xdr:from>
    <xdr:to>
      <xdr:col>4</xdr:col>
      <xdr:colOff>242697</xdr:colOff>
      <xdr:row>143</xdr:row>
      <xdr:rowOff>180339</xdr:rowOff>
    </xdr:to>
    <xdr:cxnSp macro="_xll.PtreeEvent_ObjectClick">
      <xdr:nvCxnSpPr>
        <xdr:cNvPr id="1481" name="PTObj_DBranchDLine_2_30"/>
        <xdr:cNvCxnSpPr/>
      </xdr:nvCxnSpPr>
      <xdr:spPr>
        <a:xfrm flipV="1">
          <a:off x="6757797" y="205689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143</xdr:row>
      <xdr:rowOff>185420</xdr:rowOff>
    </xdr:from>
    <xdr:to>
      <xdr:col>4</xdr:col>
      <xdr:colOff>127</xdr:colOff>
      <xdr:row>143</xdr:row>
      <xdr:rowOff>185420</xdr:rowOff>
    </xdr:to>
    <xdr:cxnSp macro="_xll.PtreeEvent_ObjectClick">
      <xdr:nvCxnSpPr>
        <xdr:cNvPr id="1478" name="PTObj_DBranchHLine_2_29"/>
        <xdr:cNvCxnSpPr/>
      </xdr:nvCxnSpPr>
      <xdr:spPr>
        <a:xfrm>
          <a:off x="5100447" y="21330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143</xdr:row>
      <xdr:rowOff>185420</xdr:rowOff>
    </xdr:from>
    <xdr:to>
      <xdr:col>3</xdr:col>
      <xdr:colOff>242697</xdr:colOff>
      <xdr:row>151</xdr:row>
      <xdr:rowOff>180339</xdr:rowOff>
    </xdr:to>
    <xdr:cxnSp macro="_xll.PtreeEvent_ObjectClick">
      <xdr:nvCxnSpPr>
        <xdr:cNvPr id="1477" name="PTObj_DBranchDLine_2_29"/>
        <xdr:cNvCxnSpPr/>
      </xdr:nvCxnSpPr>
      <xdr:spPr>
        <a:xfrm flipV="1">
          <a:off x="4948047" y="21330920"/>
          <a:ext cx="152400" cy="1518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117</xdr:row>
      <xdr:rowOff>185420</xdr:rowOff>
    </xdr:from>
    <xdr:to>
      <xdr:col>6</xdr:col>
      <xdr:colOff>127</xdr:colOff>
      <xdr:row>117</xdr:row>
      <xdr:rowOff>185420</xdr:rowOff>
    </xdr:to>
    <xdr:cxnSp macro="_xll.PtreeEvent_ObjectClick">
      <xdr:nvCxnSpPr>
        <xdr:cNvPr id="1474" name="PTObj_DBranchHLine_2_43"/>
        <xdr:cNvCxnSpPr/>
      </xdr:nvCxnSpPr>
      <xdr:spPr>
        <a:xfrm>
          <a:off x="8719947" y="17901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115</xdr:row>
      <xdr:rowOff>180339</xdr:rowOff>
    </xdr:from>
    <xdr:to>
      <xdr:col>5</xdr:col>
      <xdr:colOff>242697</xdr:colOff>
      <xdr:row>117</xdr:row>
      <xdr:rowOff>185420</xdr:rowOff>
    </xdr:to>
    <xdr:cxnSp macro="_xll.PtreeEvent_ObjectClick">
      <xdr:nvCxnSpPr>
        <xdr:cNvPr id="1473" name="PTObj_DBranchDLine_2_43"/>
        <xdr:cNvCxnSpPr/>
      </xdr:nvCxnSpPr>
      <xdr:spPr>
        <a:xfrm>
          <a:off x="8567547" y="17515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113</xdr:row>
      <xdr:rowOff>185420</xdr:rowOff>
    </xdr:from>
    <xdr:to>
      <xdr:col>6</xdr:col>
      <xdr:colOff>127</xdr:colOff>
      <xdr:row>113</xdr:row>
      <xdr:rowOff>185420</xdr:rowOff>
    </xdr:to>
    <xdr:cxnSp macro="_xll.PtreeEvent_ObjectClick">
      <xdr:nvCxnSpPr>
        <xdr:cNvPr id="1470" name="PTObj_DBranchHLine_2_42"/>
        <xdr:cNvCxnSpPr/>
      </xdr:nvCxnSpPr>
      <xdr:spPr>
        <a:xfrm>
          <a:off x="8719947" y="17139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113</xdr:row>
      <xdr:rowOff>185420</xdr:rowOff>
    </xdr:from>
    <xdr:to>
      <xdr:col>5</xdr:col>
      <xdr:colOff>242697</xdr:colOff>
      <xdr:row>115</xdr:row>
      <xdr:rowOff>180339</xdr:rowOff>
    </xdr:to>
    <xdr:cxnSp macro="_xll.PtreeEvent_ObjectClick">
      <xdr:nvCxnSpPr>
        <xdr:cNvPr id="1469" name="PTObj_DBranchDLine_2_42"/>
        <xdr:cNvCxnSpPr/>
      </xdr:nvCxnSpPr>
      <xdr:spPr>
        <a:xfrm flipV="1">
          <a:off x="8567547" y="17139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115</xdr:row>
      <xdr:rowOff>185420</xdr:rowOff>
    </xdr:from>
    <xdr:to>
      <xdr:col>5</xdr:col>
      <xdr:colOff>127</xdr:colOff>
      <xdr:row>115</xdr:row>
      <xdr:rowOff>185420</xdr:rowOff>
    </xdr:to>
    <xdr:cxnSp macro="_xll.PtreeEvent_ObjectClick">
      <xdr:nvCxnSpPr>
        <xdr:cNvPr id="1466" name="PTObj_DBranchHLine_2_41"/>
        <xdr:cNvCxnSpPr/>
      </xdr:nvCxnSpPr>
      <xdr:spPr>
        <a:xfrm>
          <a:off x="6910197" y="17520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111</xdr:row>
      <xdr:rowOff>180339</xdr:rowOff>
    </xdr:from>
    <xdr:to>
      <xdr:col>4</xdr:col>
      <xdr:colOff>242697</xdr:colOff>
      <xdr:row>115</xdr:row>
      <xdr:rowOff>185420</xdr:rowOff>
    </xdr:to>
    <xdr:cxnSp macro="_xll.PtreeEvent_ObjectClick">
      <xdr:nvCxnSpPr>
        <xdr:cNvPr id="1465" name="PTObj_DBranchDLine_2_41"/>
        <xdr:cNvCxnSpPr/>
      </xdr:nvCxnSpPr>
      <xdr:spPr>
        <a:xfrm>
          <a:off x="6757797" y="16753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109</xdr:row>
      <xdr:rowOff>185420</xdr:rowOff>
    </xdr:from>
    <xdr:to>
      <xdr:col>6</xdr:col>
      <xdr:colOff>127</xdr:colOff>
      <xdr:row>109</xdr:row>
      <xdr:rowOff>185420</xdr:rowOff>
    </xdr:to>
    <xdr:cxnSp macro="_xll.PtreeEvent_ObjectClick">
      <xdr:nvCxnSpPr>
        <xdr:cNvPr id="1462" name="PTObj_DBranchHLine_2_40"/>
        <xdr:cNvCxnSpPr/>
      </xdr:nvCxnSpPr>
      <xdr:spPr>
        <a:xfrm>
          <a:off x="8719947" y="16377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107</xdr:row>
      <xdr:rowOff>180339</xdr:rowOff>
    </xdr:from>
    <xdr:to>
      <xdr:col>5</xdr:col>
      <xdr:colOff>242697</xdr:colOff>
      <xdr:row>109</xdr:row>
      <xdr:rowOff>185420</xdr:rowOff>
    </xdr:to>
    <xdr:cxnSp macro="_xll.PtreeEvent_ObjectClick">
      <xdr:nvCxnSpPr>
        <xdr:cNvPr id="1461" name="PTObj_DBranchDLine_2_40"/>
        <xdr:cNvCxnSpPr/>
      </xdr:nvCxnSpPr>
      <xdr:spPr>
        <a:xfrm>
          <a:off x="8567547" y="15991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105</xdr:row>
      <xdr:rowOff>185420</xdr:rowOff>
    </xdr:from>
    <xdr:to>
      <xdr:col>6</xdr:col>
      <xdr:colOff>127</xdr:colOff>
      <xdr:row>105</xdr:row>
      <xdr:rowOff>185420</xdr:rowOff>
    </xdr:to>
    <xdr:cxnSp macro="_xll.PtreeEvent_ObjectClick">
      <xdr:nvCxnSpPr>
        <xdr:cNvPr id="1458" name="PTObj_DBranchHLine_2_24"/>
        <xdr:cNvCxnSpPr/>
      </xdr:nvCxnSpPr>
      <xdr:spPr>
        <a:xfrm>
          <a:off x="8719947" y="15615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105</xdr:row>
      <xdr:rowOff>185420</xdr:rowOff>
    </xdr:from>
    <xdr:to>
      <xdr:col>5</xdr:col>
      <xdr:colOff>242697</xdr:colOff>
      <xdr:row>107</xdr:row>
      <xdr:rowOff>180339</xdr:rowOff>
    </xdr:to>
    <xdr:cxnSp macro="_xll.PtreeEvent_ObjectClick">
      <xdr:nvCxnSpPr>
        <xdr:cNvPr id="1457" name="PTObj_DBranchDLine_2_24"/>
        <xdr:cNvCxnSpPr/>
      </xdr:nvCxnSpPr>
      <xdr:spPr>
        <a:xfrm flipV="1">
          <a:off x="8567547" y="15615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107</xdr:row>
      <xdr:rowOff>185420</xdr:rowOff>
    </xdr:from>
    <xdr:to>
      <xdr:col>5</xdr:col>
      <xdr:colOff>127</xdr:colOff>
      <xdr:row>107</xdr:row>
      <xdr:rowOff>185420</xdr:rowOff>
    </xdr:to>
    <xdr:cxnSp macro="_xll.PtreeEvent_ObjectClick">
      <xdr:nvCxnSpPr>
        <xdr:cNvPr id="1454" name="PTObj_DBranchHLine_2_23"/>
        <xdr:cNvCxnSpPr/>
      </xdr:nvCxnSpPr>
      <xdr:spPr>
        <a:xfrm>
          <a:off x="6910197" y="15996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107</xdr:row>
      <xdr:rowOff>185420</xdr:rowOff>
    </xdr:from>
    <xdr:to>
      <xdr:col>4</xdr:col>
      <xdr:colOff>242697</xdr:colOff>
      <xdr:row>111</xdr:row>
      <xdr:rowOff>180339</xdr:rowOff>
    </xdr:to>
    <xdr:cxnSp macro="_xll.PtreeEvent_ObjectClick">
      <xdr:nvCxnSpPr>
        <xdr:cNvPr id="1453" name="PTObj_DBranchDLine_2_23"/>
        <xdr:cNvCxnSpPr/>
      </xdr:nvCxnSpPr>
      <xdr:spPr>
        <a:xfrm flipV="1">
          <a:off x="6757797" y="159969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111</xdr:row>
      <xdr:rowOff>185420</xdr:rowOff>
    </xdr:from>
    <xdr:to>
      <xdr:col>4</xdr:col>
      <xdr:colOff>127</xdr:colOff>
      <xdr:row>111</xdr:row>
      <xdr:rowOff>185420</xdr:rowOff>
    </xdr:to>
    <xdr:cxnSp macro="_xll.PtreeEvent_ObjectClick">
      <xdr:nvCxnSpPr>
        <xdr:cNvPr id="1450" name="PTObj_DBranchHLine_2_22"/>
        <xdr:cNvCxnSpPr/>
      </xdr:nvCxnSpPr>
      <xdr:spPr>
        <a:xfrm>
          <a:off x="5100447" y="16758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111</xdr:row>
      <xdr:rowOff>185420</xdr:rowOff>
    </xdr:from>
    <xdr:to>
      <xdr:col>3</xdr:col>
      <xdr:colOff>242697</xdr:colOff>
      <xdr:row>119</xdr:row>
      <xdr:rowOff>180339</xdr:rowOff>
    </xdr:to>
    <xdr:cxnSp macro="_xll.PtreeEvent_ObjectClick">
      <xdr:nvCxnSpPr>
        <xdr:cNvPr id="1449" name="PTObj_DBranchDLine_2_22"/>
        <xdr:cNvCxnSpPr/>
      </xdr:nvCxnSpPr>
      <xdr:spPr>
        <a:xfrm flipV="1">
          <a:off x="4948047" y="16758920"/>
          <a:ext cx="152400" cy="1518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85</xdr:row>
      <xdr:rowOff>185420</xdr:rowOff>
    </xdr:from>
    <xdr:to>
      <xdr:col>6</xdr:col>
      <xdr:colOff>127</xdr:colOff>
      <xdr:row>85</xdr:row>
      <xdr:rowOff>185420</xdr:rowOff>
    </xdr:to>
    <xdr:cxnSp macro="_xll.PtreeEvent_ObjectClick">
      <xdr:nvCxnSpPr>
        <xdr:cNvPr id="1446" name="PTObj_DBranchHLine_2_39"/>
        <xdr:cNvCxnSpPr/>
      </xdr:nvCxnSpPr>
      <xdr:spPr>
        <a:xfrm>
          <a:off x="8719947" y="13329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83</xdr:row>
      <xdr:rowOff>180339</xdr:rowOff>
    </xdr:from>
    <xdr:to>
      <xdr:col>5</xdr:col>
      <xdr:colOff>242697</xdr:colOff>
      <xdr:row>85</xdr:row>
      <xdr:rowOff>185420</xdr:rowOff>
    </xdr:to>
    <xdr:cxnSp macro="_xll.PtreeEvent_ObjectClick">
      <xdr:nvCxnSpPr>
        <xdr:cNvPr id="1445" name="PTObj_DBranchDLine_2_39"/>
        <xdr:cNvCxnSpPr/>
      </xdr:nvCxnSpPr>
      <xdr:spPr>
        <a:xfrm>
          <a:off x="8567547" y="12943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81</xdr:row>
      <xdr:rowOff>185420</xdr:rowOff>
    </xdr:from>
    <xdr:to>
      <xdr:col>6</xdr:col>
      <xdr:colOff>127</xdr:colOff>
      <xdr:row>81</xdr:row>
      <xdr:rowOff>185420</xdr:rowOff>
    </xdr:to>
    <xdr:cxnSp macro="_xll.PtreeEvent_ObjectClick">
      <xdr:nvCxnSpPr>
        <xdr:cNvPr id="1442" name="PTObj_DBranchHLine_2_38"/>
        <xdr:cNvCxnSpPr/>
      </xdr:nvCxnSpPr>
      <xdr:spPr>
        <a:xfrm>
          <a:off x="8719947" y="12567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81</xdr:row>
      <xdr:rowOff>185420</xdr:rowOff>
    </xdr:from>
    <xdr:to>
      <xdr:col>5</xdr:col>
      <xdr:colOff>242697</xdr:colOff>
      <xdr:row>83</xdr:row>
      <xdr:rowOff>180339</xdr:rowOff>
    </xdr:to>
    <xdr:cxnSp macro="_xll.PtreeEvent_ObjectClick">
      <xdr:nvCxnSpPr>
        <xdr:cNvPr id="1441" name="PTObj_DBranchDLine_2_38"/>
        <xdr:cNvCxnSpPr/>
      </xdr:nvCxnSpPr>
      <xdr:spPr>
        <a:xfrm flipV="1">
          <a:off x="8567547" y="12567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83</xdr:row>
      <xdr:rowOff>185420</xdr:rowOff>
    </xdr:from>
    <xdr:to>
      <xdr:col>5</xdr:col>
      <xdr:colOff>127</xdr:colOff>
      <xdr:row>83</xdr:row>
      <xdr:rowOff>185420</xdr:rowOff>
    </xdr:to>
    <xdr:cxnSp macro="_xll.PtreeEvent_ObjectClick">
      <xdr:nvCxnSpPr>
        <xdr:cNvPr id="1438" name="PTObj_DBranchHLine_2_37"/>
        <xdr:cNvCxnSpPr/>
      </xdr:nvCxnSpPr>
      <xdr:spPr>
        <a:xfrm>
          <a:off x="6910197" y="12948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79</xdr:row>
      <xdr:rowOff>180339</xdr:rowOff>
    </xdr:from>
    <xdr:to>
      <xdr:col>4</xdr:col>
      <xdr:colOff>242697</xdr:colOff>
      <xdr:row>83</xdr:row>
      <xdr:rowOff>185420</xdr:rowOff>
    </xdr:to>
    <xdr:cxnSp macro="_xll.PtreeEvent_ObjectClick">
      <xdr:nvCxnSpPr>
        <xdr:cNvPr id="1437" name="PTObj_DBranchDLine_2_37"/>
        <xdr:cNvCxnSpPr/>
      </xdr:nvCxnSpPr>
      <xdr:spPr>
        <a:xfrm>
          <a:off x="6757797" y="12181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77</xdr:row>
      <xdr:rowOff>185420</xdr:rowOff>
    </xdr:from>
    <xdr:to>
      <xdr:col>6</xdr:col>
      <xdr:colOff>127</xdr:colOff>
      <xdr:row>77</xdr:row>
      <xdr:rowOff>185420</xdr:rowOff>
    </xdr:to>
    <xdr:cxnSp macro="_xll.PtreeEvent_ObjectClick">
      <xdr:nvCxnSpPr>
        <xdr:cNvPr id="1434" name="PTObj_DBranchHLine_2_36"/>
        <xdr:cNvCxnSpPr/>
      </xdr:nvCxnSpPr>
      <xdr:spPr>
        <a:xfrm>
          <a:off x="8719947" y="11805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75</xdr:row>
      <xdr:rowOff>180339</xdr:rowOff>
    </xdr:from>
    <xdr:to>
      <xdr:col>5</xdr:col>
      <xdr:colOff>242697</xdr:colOff>
      <xdr:row>77</xdr:row>
      <xdr:rowOff>185420</xdr:rowOff>
    </xdr:to>
    <xdr:cxnSp macro="_xll.PtreeEvent_ObjectClick">
      <xdr:nvCxnSpPr>
        <xdr:cNvPr id="1433" name="PTObj_DBranchDLine_2_36"/>
        <xdr:cNvCxnSpPr/>
      </xdr:nvCxnSpPr>
      <xdr:spPr>
        <a:xfrm>
          <a:off x="8567547" y="11419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73</xdr:row>
      <xdr:rowOff>185420</xdr:rowOff>
    </xdr:from>
    <xdr:to>
      <xdr:col>6</xdr:col>
      <xdr:colOff>127</xdr:colOff>
      <xdr:row>73</xdr:row>
      <xdr:rowOff>185420</xdr:rowOff>
    </xdr:to>
    <xdr:cxnSp macro="_xll.PtreeEvent_ObjectClick">
      <xdr:nvCxnSpPr>
        <xdr:cNvPr id="1430" name="PTObj_DBranchHLine_2_15"/>
        <xdr:cNvCxnSpPr/>
      </xdr:nvCxnSpPr>
      <xdr:spPr>
        <a:xfrm>
          <a:off x="8719947" y="11043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73</xdr:row>
      <xdr:rowOff>185420</xdr:rowOff>
    </xdr:from>
    <xdr:to>
      <xdr:col>5</xdr:col>
      <xdr:colOff>242697</xdr:colOff>
      <xdr:row>75</xdr:row>
      <xdr:rowOff>180339</xdr:rowOff>
    </xdr:to>
    <xdr:cxnSp macro="_xll.PtreeEvent_ObjectClick">
      <xdr:nvCxnSpPr>
        <xdr:cNvPr id="1429" name="PTObj_DBranchDLine_2_15"/>
        <xdr:cNvCxnSpPr/>
      </xdr:nvCxnSpPr>
      <xdr:spPr>
        <a:xfrm flipV="1">
          <a:off x="8567547" y="11043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75</xdr:row>
      <xdr:rowOff>185420</xdr:rowOff>
    </xdr:from>
    <xdr:to>
      <xdr:col>5</xdr:col>
      <xdr:colOff>127</xdr:colOff>
      <xdr:row>75</xdr:row>
      <xdr:rowOff>185420</xdr:rowOff>
    </xdr:to>
    <xdr:cxnSp macro="_xll.PtreeEvent_ObjectClick">
      <xdr:nvCxnSpPr>
        <xdr:cNvPr id="1426" name="PTObj_DBranchHLine_2_14"/>
        <xdr:cNvCxnSpPr/>
      </xdr:nvCxnSpPr>
      <xdr:spPr>
        <a:xfrm>
          <a:off x="6910197" y="11424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75</xdr:row>
      <xdr:rowOff>185420</xdr:rowOff>
    </xdr:from>
    <xdr:to>
      <xdr:col>4</xdr:col>
      <xdr:colOff>242697</xdr:colOff>
      <xdr:row>79</xdr:row>
      <xdr:rowOff>180339</xdr:rowOff>
    </xdr:to>
    <xdr:cxnSp macro="_xll.PtreeEvent_ObjectClick">
      <xdr:nvCxnSpPr>
        <xdr:cNvPr id="1425" name="PTObj_DBranchDLine_2_14"/>
        <xdr:cNvCxnSpPr/>
      </xdr:nvCxnSpPr>
      <xdr:spPr>
        <a:xfrm flipV="1">
          <a:off x="6757797" y="114249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79</xdr:row>
      <xdr:rowOff>185420</xdr:rowOff>
    </xdr:from>
    <xdr:to>
      <xdr:col>4</xdr:col>
      <xdr:colOff>127</xdr:colOff>
      <xdr:row>79</xdr:row>
      <xdr:rowOff>185420</xdr:rowOff>
    </xdr:to>
    <xdr:cxnSp macro="_xll.PtreeEvent_ObjectClick">
      <xdr:nvCxnSpPr>
        <xdr:cNvPr id="1422" name="PTObj_DBranchHLine_2_13"/>
        <xdr:cNvCxnSpPr/>
      </xdr:nvCxnSpPr>
      <xdr:spPr>
        <a:xfrm>
          <a:off x="5100447" y="12186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79</xdr:row>
      <xdr:rowOff>185420</xdr:rowOff>
    </xdr:from>
    <xdr:to>
      <xdr:col>3</xdr:col>
      <xdr:colOff>242697</xdr:colOff>
      <xdr:row>87</xdr:row>
      <xdr:rowOff>180339</xdr:rowOff>
    </xdr:to>
    <xdr:cxnSp macro="_xll.PtreeEvent_ObjectClick">
      <xdr:nvCxnSpPr>
        <xdr:cNvPr id="1421" name="PTObj_DBranchDLine_2_13"/>
        <xdr:cNvCxnSpPr/>
      </xdr:nvCxnSpPr>
      <xdr:spPr>
        <a:xfrm flipV="1">
          <a:off x="4948047" y="12186920"/>
          <a:ext cx="152400" cy="1518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39</xdr:row>
      <xdr:rowOff>185420</xdr:rowOff>
    </xdr:from>
    <xdr:to>
      <xdr:col>6</xdr:col>
      <xdr:colOff>127</xdr:colOff>
      <xdr:row>39</xdr:row>
      <xdr:rowOff>185420</xdr:rowOff>
    </xdr:to>
    <xdr:cxnSp macro="_xll.PtreeEvent_ObjectClick">
      <xdr:nvCxnSpPr>
        <xdr:cNvPr id="1418" name="PTObj_DBranchHLine_2_35"/>
        <xdr:cNvCxnSpPr/>
      </xdr:nvCxnSpPr>
      <xdr:spPr>
        <a:xfrm>
          <a:off x="8719947" y="7614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37</xdr:row>
      <xdr:rowOff>180339</xdr:rowOff>
    </xdr:from>
    <xdr:to>
      <xdr:col>5</xdr:col>
      <xdr:colOff>242697</xdr:colOff>
      <xdr:row>39</xdr:row>
      <xdr:rowOff>185420</xdr:rowOff>
    </xdr:to>
    <xdr:cxnSp macro="_xll.PtreeEvent_ObjectClick">
      <xdr:nvCxnSpPr>
        <xdr:cNvPr id="1417" name="PTObj_DBranchDLine_2_35"/>
        <xdr:cNvCxnSpPr/>
      </xdr:nvCxnSpPr>
      <xdr:spPr>
        <a:xfrm>
          <a:off x="8567547" y="7228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35</xdr:row>
      <xdr:rowOff>185420</xdr:rowOff>
    </xdr:from>
    <xdr:to>
      <xdr:col>6</xdr:col>
      <xdr:colOff>127</xdr:colOff>
      <xdr:row>35</xdr:row>
      <xdr:rowOff>185420</xdr:rowOff>
    </xdr:to>
    <xdr:cxnSp macro="_xll.PtreeEvent_ObjectClick">
      <xdr:nvCxnSpPr>
        <xdr:cNvPr id="1414" name="PTObj_DBranchHLine_2_34"/>
        <xdr:cNvCxnSpPr/>
      </xdr:nvCxnSpPr>
      <xdr:spPr>
        <a:xfrm>
          <a:off x="8719947" y="6852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35</xdr:row>
      <xdr:rowOff>185420</xdr:rowOff>
    </xdr:from>
    <xdr:to>
      <xdr:col>5</xdr:col>
      <xdr:colOff>242697</xdr:colOff>
      <xdr:row>37</xdr:row>
      <xdr:rowOff>180339</xdr:rowOff>
    </xdr:to>
    <xdr:cxnSp macro="_xll.PtreeEvent_ObjectClick">
      <xdr:nvCxnSpPr>
        <xdr:cNvPr id="1413" name="PTObj_DBranchDLine_2_34"/>
        <xdr:cNvCxnSpPr/>
      </xdr:nvCxnSpPr>
      <xdr:spPr>
        <a:xfrm flipV="1">
          <a:off x="8567547" y="6852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37</xdr:row>
      <xdr:rowOff>185420</xdr:rowOff>
    </xdr:from>
    <xdr:to>
      <xdr:col>5</xdr:col>
      <xdr:colOff>127</xdr:colOff>
      <xdr:row>37</xdr:row>
      <xdr:rowOff>185420</xdr:rowOff>
    </xdr:to>
    <xdr:cxnSp macro="_xll.PtreeEvent_ObjectClick">
      <xdr:nvCxnSpPr>
        <xdr:cNvPr id="1410" name="PTObj_DBranchHLine_2_33"/>
        <xdr:cNvCxnSpPr/>
      </xdr:nvCxnSpPr>
      <xdr:spPr>
        <a:xfrm>
          <a:off x="6910197" y="7233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33</xdr:row>
      <xdr:rowOff>180340</xdr:rowOff>
    </xdr:from>
    <xdr:to>
      <xdr:col>4</xdr:col>
      <xdr:colOff>242697</xdr:colOff>
      <xdr:row>37</xdr:row>
      <xdr:rowOff>185420</xdr:rowOff>
    </xdr:to>
    <xdr:cxnSp macro="_xll.PtreeEvent_ObjectClick">
      <xdr:nvCxnSpPr>
        <xdr:cNvPr id="1409" name="PTObj_DBranchDLine_2_33"/>
        <xdr:cNvCxnSpPr/>
      </xdr:nvCxnSpPr>
      <xdr:spPr>
        <a:xfrm>
          <a:off x="6757797" y="64668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31</xdr:row>
      <xdr:rowOff>185420</xdr:rowOff>
    </xdr:from>
    <xdr:to>
      <xdr:col>6</xdr:col>
      <xdr:colOff>127</xdr:colOff>
      <xdr:row>31</xdr:row>
      <xdr:rowOff>185420</xdr:rowOff>
    </xdr:to>
    <xdr:cxnSp macro="_xll.PtreeEvent_ObjectClick">
      <xdr:nvCxnSpPr>
        <xdr:cNvPr id="213" name="PTObj_DBranchHLine_2_32"/>
        <xdr:cNvCxnSpPr/>
      </xdr:nvCxnSpPr>
      <xdr:spPr>
        <a:xfrm>
          <a:off x="8719947" y="6090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29</xdr:row>
      <xdr:rowOff>180340</xdr:rowOff>
    </xdr:from>
    <xdr:to>
      <xdr:col>5</xdr:col>
      <xdr:colOff>242697</xdr:colOff>
      <xdr:row>31</xdr:row>
      <xdr:rowOff>185420</xdr:rowOff>
    </xdr:to>
    <xdr:cxnSp macro="_xll.PtreeEvent_ObjectClick">
      <xdr:nvCxnSpPr>
        <xdr:cNvPr id="212" name="PTObj_DBranchDLine_2_32"/>
        <xdr:cNvCxnSpPr/>
      </xdr:nvCxnSpPr>
      <xdr:spPr>
        <a:xfrm>
          <a:off x="8567547" y="5704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27</xdr:row>
      <xdr:rowOff>185420</xdr:rowOff>
    </xdr:from>
    <xdr:to>
      <xdr:col>6</xdr:col>
      <xdr:colOff>127</xdr:colOff>
      <xdr:row>27</xdr:row>
      <xdr:rowOff>185420</xdr:rowOff>
    </xdr:to>
    <xdr:cxnSp macro="_xll.PtreeEvent_ObjectClick">
      <xdr:nvCxnSpPr>
        <xdr:cNvPr id="197" name="PTObj_DBranchHLine_2_5"/>
        <xdr:cNvCxnSpPr/>
      </xdr:nvCxnSpPr>
      <xdr:spPr>
        <a:xfrm>
          <a:off x="8719947" y="5328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27</xdr:row>
      <xdr:rowOff>185420</xdr:rowOff>
    </xdr:from>
    <xdr:to>
      <xdr:col>5</xdr:col>
      <xdr:colOff>242697</xdr:colOff>
      <xdr:row>29</xdr:row>
      <xdr:rowOff>180340</xdr:rowOff>
    </xdr:to>
    <xdr:cxnSp macro="_xll.PtreeEvent_ObjectClick">
      <xdr:nvCxnSpPr>
        <xdr:cNvPr id="196" name="PTObj_DBranchDLine_2_5"/>
        <xdr:cNvCxnSpPr/>
      </xdr:nvCxnSpPr>
      <xdr:spPr>
        <a:xfrm flipV="1">
          <a:off x="8567547" y="5328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29</xdr:row>
      <xdr:rowOff>185420</xdr:rowOff>
    </xdr:from>
    <xdr:to>
      <xdr:col>5</xdr:col>
      <xdr:colOff>127</xdr:colOff>
      <xdr:row>29</xdr:row>
      <xdr:rowOff>185420</xdr:rowOff>
    </xdr:to>
    <xdr:cxnSp macro="_xll.PtreeEvent_ObjectClick">
      <xdr:nvCxnSpPr>
        <xdr:cNvPr id="1065" name="PTObj_DBranchHLine_2_4"/>
        <xdr:cNvCxnSpPr/>
      </xdr:nvCxnSpPr>
      <xdr:spPr>
        <a:xfrm>
          <a:off x="6910197" y="5709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29</xdr:row>
      <xdr:rowOff>185420</xdr:rowOff>
    </xdr:from>
    <xdr:to>
      <xdr:col>4</xdr:col>
      <xdr:colOff>242697</xdr:colOff>
      <xdr:row>33</xdr:row>
      <xdr:rowOff>180340</xdr:rowOff>
    </xdr:to>
    <xdr:cxnSp macro="_xll.PtreeEvent_ObjectClick">
      <xdr:nvCxnSpPr>
        <xdr:cNvPr id="1064" name="PTObj_DBranchDLine_2_4"/>
        <xdr:cNvCxnSpPr/>
      </xdr:nvCxnSpPr>
      <xdr:spPr>
        <a:xfrm flipV="1">
          <a:off x="6757797" y="5709920"/>
          <a:ext cx="152400" cy="756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33</xdr:row>
      <xdr:rowOff>185420</xdr:rowOff>
    </xdr:from>
    <xdr:to>
      <xdr:col>4</xdr:col>
      <xdr:colOff>127</xdr:colOff>
      <xdr:row>33</xdr:row>
      <xdr:rowOff>185420</xdr:rowOff>
    </xdr:to>
    <xdr:cxnSp macro="_xll.PtreeEvent_ObjectClick">
      <xdr:nvCxnSpPr>
        <xdr:cNvPr id="177" name="PTObj_DBranchHLine_2_3"/>
        <xdr:cNvCxnSpPr/>
      </xdr:nvCxnSpPr>
      <xdr:spPr>
        <a:xfrm>
          <a:off x="5100447" y="6471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33</xdr:row>
      <xdr:rowOff>185420</xdr:rowOff>
    </xdr:from>
    <xdr:to>
      <xdr:col>3</xdr:col>
      <xdr:colOff>242697</xdr:colOff>
      <xdr:row>41</xdr:row>
      <xdr:rowOff>180339</xdr:rowOff>
    </xdr:to>
    <xdr:cxnSp macro="_xll.PtreeEvent_ObjectClick">
      <xdr:nvCxnSpPr>
        <xdr:cNvPr id="176" name="PTObj_DBranchDLine_2_3"/>
        <xdr:cNvCxnSpPr/>
      </xdr:nvCxnSpPr>
      <xdr:spPr>
        <a:xfrm flipV="1">
          <a:off x="4948047" y="6471920"/>
          <a:ext cx="152400" cy="1518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151</xdr:row>
      <xdr:rowOff>185420</xdr:rowOff>
    </xdr:from>
    <xdr:to>
      <xdr:col>3</xdr:col>
      <xdr:colOff>127</xdr:colOff>
      <xdr:row>151</xdr:row>
      <xdr:rowOff>185420</xdr:rowOff>
    </xdr:to>
    <xdr:cxnSp macro="_xll.PtreeEvent_ObjectClick">
      <xdr:nvCxnSpPr>
        <xdr:cNvPr id="1037" name="PTObj_DBranchHLine_2_28"/>
        <xdr:cNvCxnSpPr/>
      </xdr:nvCxnSpPr>
      <xdr:spPr>
        <a:xfrm>
          <a:off x="3290697" y="16758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135</xdr:row>
      <xdr:rowOff>180339</xdr:rowOff>
    </xdr:from>
    <xdr:to>
      <xdr:col>2</xdr:col>
      <xdr:colOff>242697</xdr:colOff>
      <xdr:row>151</xdr:row>
      <xdr:rowOff>185420</xdr:rowOff>
    </xdr:to>
    <xdr:cxnSp macro="_xll.PtreeEvent_ObjectClick">
      <xdr:nvCxnSpPr>
        <xdr:cNvPr id="1036" name="PTObj_DBranchDLine_2_28"/>
        <xdr:cNvCxnSpPr/>
      </xdr:nvCxnSpPr>
      <xdr:spPr>
        <a:xfrm>
          <a:off x="3138297" y="15229839"/>
          <a:ext cx="152400" cy="1529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119</xdr:row>
      <xdr:rowOff>185420</xdr:rowOff>
    </xdr:from>
    <xdr:to>
      <xdr:col>3</xdr:col>
      <xdr:colOff>127</xdr:colOff>
      <xdr:row>119</xdr:row>
      <xdr:rowOff>185420</xdr:rowOff>
    </xdr:to>
    <xdr:cxnSp macro="_xll.PtreeEvent_ObjectClick">
      <xdr:nvCxnSpPr>
        <xdr:cNvPr id="1202" name="PTObj_DBranchHLine_2_20"/>
        <xdr:cNvCxnSpPr/>
      </xdr:nvCxnSpPr>
      <xdr:spPr>
        <a:xfrm>
          <a:off x="3290697" y="13710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119</xdr:row>
      <xdr:rowOff>185420</xdr:rowOff>
    </xdr:from>
    <xdr:to>
      <xdr:col>2</xdr:col>
      <xdr:colOff>242697</xdr:colOff>
      <xdr:row>135</xdr:row>
      <xdr:rowOff>180339</xdr:rowOff>
    </xdr:to>
    <xdr:cxnSp macro="_xll.PtreeEvent_ObjectClick">
      <xdr:nvCxnSpPr>
        <xdr:cNvPr id="1201" name="PTObj_DBranchDLine_2_20"/>
        <xdr:cNvCxnSpPr/>
      </xdr:nvCxnSpPr>
      <xdr:spPr>
        <a:xfrm flipV="1">
          <a:off x="3138297" y="13710920"/>
          <a:ext cx="152400" cy="1518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135</xdr:row>
      <xdr:rowOff>185420</xdr:rowOff>
    </xdr:from>
    <xdr:to>
      <xdr:col>2</xdr:col>
      <xdr:colOff>127</xdr:colOff>
      <xdr:row>135</xdr:row>
      <xdr:rowOff>185420</xdr:rowOff>
    </xdr:to>
    <xdr:cxnSp macro="_xll.PtreeEvent_ObjectClick">
      <xdr:nvCxnSpPr>
        <xdr:cNvPr id="1198" name="PTObj_DBranchHLine_2_19"/>
        <xdr:cNvCxnSpPr/>
      </xdr:nvCxnSpPr>
      <xdr:spPr>
        <a:xfrm>
          <a:off x="1480947" y="15234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103</xdr:row>
      <xdr:rowOff>180339</xdr:rowOff>
    </xdr:from>
    <xdr:to>
      <xdr:col>1</xdr:col>
      <xdr:colOff>242697</xdr:colOff>
      <xdr:row>135</xdr:row>
      <xdr:rowOff>185420</xdr:rowOff>
    </xdr:to>
    <xdr:cxnSp macro="_xll.PtreeEvent_ObjectClick">
      <xdr:nvCxnSpPr>
        <xdr:cNvPr id="1197" name="PTObj_DBranchDLine_2_19"/>
        <xdr:cNvCxnSpPr/>
      </xdr:nvCxnSpPr>
      <xdr:spPr>
        <a:xfrm>
          <a:off x="1328547" y="12181839"/>
          <a:ext cx="152400" cy="3053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87</xdr:row>
      <xdr:rowOff>185420</xdr:rowOff>
    </xdr:from>
    <xdr:to>
      <xdr:col>3</xdr:col>
      <xdr:colOff>127</xdr:colOff>
      <xdr:row>87</xdr:row>
      <xdr:rowOff>185420</xdr:rowOff>
    </xdr:to>
    <xdr:cxnSp macro="_xll.PtreeEvent_ObjectClick">
      <xdr:nvCxnSpPr>
        <xdr:cNvPr id="506" name="PTObj_DBranchHLine_2_12"/>
        <xdr:cNvCxnSpPr/>
      </xdr:nvCxnSpPr>
      <xdr:spPr>
        <a:xfrm>
          <a:off x="3290697" y="10662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71</xdr:row>
      <xdr:rowOff>180339</xdr:rowOff>
    </xdr:from>
    <xdr:to>
      <xdr:col>2</xdr:col>
      <xdr:colOff>242697</xdr:colOff>
      <xdr:row>87</xdr:row>
      <xdr:rowOff>185420</xdr:rowOff>
    </xdr:to>
    <xdr:cxnSp macro="_xll.PtreeEvent_ObjectClick">
      <xdr:nvCxnSpPr>
        <xdr:cNvPr id="505" name="PTObj_DBranchDLine_2_12"/>
        <xdr:cNvCxnSpPr/>
      </xdr:nvCxnSpPr>
      <xdr:spPr>
        <a:xfrm>
          <a:off x="3138297" y="9133839"/>
          <a:ext cx="152400" cy="1529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41</xdr:row>
      <xdr:rowOff>185420</xdr:rowOff>
    </xdr:from>
    <xdr:to>
      <xdr:col>3</xdr:col>
      <xdr:colOff>127</xdr:colOff>
      <xdr:row>41</xdr:row>
      <xdr:rowOff>185420</xdr:rowOff>
    </xdr:to>
    <xdr:cxnSp macro="_xll.PtreeEvent_ObjectClick">
      <xdr:nvCxnSpPr>
        <xdr:cNvPr id="11" name="PTObj_DBranchHLine_2_2"/>
        <xdr:cNvCxnSpPr/>
      </xdr:nvCxnSpPr>
      <xdr:spPr>
        <a:xfrm>
          <a:off x="3290697" y="6471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41</xdr:row>
      <xdr:rowOff>185420</xdr:rowOff>
    </xdr:from>
    <xdr:to>
      <xdr:col>2</xdr:col>
      <xdr:colOff>242697</xdr:colOff>
      <xdr:row>71</xdr:row>
      <xdr:rowOff>180339</xdr:rowOff>
    </xdr:to>
    <xdr:cxnSp macro="_xll.PtreeEvent_ObjectClick">
      <xdr:nvCxnSpPr>
        <xdr:cNvPr id="10" name="PTObj_DBranchDLine_2_2"/>
        <xdr:cNvCxnSpPr/>
      </xdr:nvCxnSpPr>
      <xdr:spPr>
        <a:xfrm flipV="1">
          <a:off x="3138297" y="6471920"/>
          <a:ext cx="152400" cy="2661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71</xdr:row>
      <xdr:rowOff>185420</xdr:rowOff>
    </xdr:from>
    <xdr:to>
      <xdr:col>2</xdr:col>
      <xdr:colOff>127</xdr:colOff>
      <xdr:row>71</xdr:row>
      <xdr:rowOff>185420</xdr:rowOff>
    </xdr:to>
    <xdr:cxnSp macro="_xll.PtreeEvent_ObjectClick">
      <xdr:nvCxnSpPr>
        <xdr:cNvPr id="7" name="PTObj_DBranchHLine_2_1"/>
        <xdr:cNvCxnSpPr/>
      </xdr:nvCxnSpPr>
      <xdr:spPr>
        <a:xfrm>
          <a:off x="1480947" y="9138920"/>
          <a:ext cx="1567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71</xdr:row>
      <xdr:rowOff>185420</xdr:rowOff>
    </xdr:from>
    <xdr:to>
      <xdr:col>1</xdr:col>
      <xdr:colOff>242697</xdr:colOff>
      <xdr:row>103</xdr:row>
      <xdr:rowOff>180339</xdr:rowOff>
    </xdr:to>
    <xdr:cxnSp macro="_xll.PtreeEvent_ObjectClick">
      <xdr:nvCxnSpPr>
        <xdr:cNvPr id="6" name="PTObj_DBranchDLine_2_1"/>
        <xdr:cNvCxnSpPr/>
      </xdr:nvCxnSpPr>
      <xdr:spPr>
        <a:xfrm flipV="1">
          <a:off x="1328547" y="9138920"/>
          <a:ext cx="152400" cy="3042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103</xdr:row>
      <xdr:rowOff>185420</xdr:rowOff>
    </xdr:from>
    <xdr:to>
      <xdr:col>1</xdr:col>
      <xdr:colOff>127</xdr:colOff>
      <xdr:row>103</xdr:row>
      <xdr:rowOff>185420</xdr:rowOff>
    </xdr:to>
    <xdr:cxnSp macro="_xll.PtreeEvent_ObjectClick">
      <xdr:nvCxnSpPr>
        <xdr:cNvPr id="3" name="PTObj_DBranchHLine_2_21"/>
        <xdr:cNvCxnSpPr/>
      </xdr:nvCxnSpPr>
      <xdr:spPr>
        <a:xfrm>
          <a:off x="177800" y="12186920"/>
          <a:ext cx="106057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103</xdr:row>
      <xdr:rowOff>90170</xdr:rowOff>
    </xdr:from>
    <xdr:to>
      <xdr:col>1</xdr:col>
      <xdr:colOff>190627</xdr:colOff>
      <xdr:row>104</xdr:row>
      <xdr:rowOff>90170</xdr:rowOff>
    </xdr:to>
    <xdr:sp macro="_xll.PtreeEvent_ObjectClick" textlink="">
      <xdr:nvSpPr>
        <xdr:cNvPr id="2" name="PTObj_DNode_2_21"/>
        <xdr:cNvSpPr/>
      </xdr:nvSpPr>
      <xdr:spPr>
        <a:xfrm>
          <a:off x="1238377" y="12091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103</xdr:row>
      <xdr:rowOff>95107</xdr:rowOff>
    </xdr:from>
    <xdr:ext cx="590290" cy="180627"/>
    <xdr:sp macro="_xll.PtreeEvent_ObjectClick" textlink="">
      <xdr:nvSpPr>
        <xdr:cNvPr id="4" name="PTObj_DBranchName_2_21"/>
        <xdr:cNvSpPr txBox="1"/>
      </xdr:nvSpPr>
      <xdr:spPr>
        <a:xfrm>
          <a:off x="215900" y="12096607"/>
          <a:ext cx="5902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Faulder Final</a:t>
          </a:r>
        </a:p>
      </xdr:txBody>
    </xdr:sp>
    <xdr:clientData/>
  </xdr:oneCellAnchor>
  <xdr:twoCellAnchor editAs="oneCell">
    <xdr:from>
      <xdr:col>2</xdr:col>
      <xdr:colOff>127</xdr:colOff>
      <xdr:row>71</xdr:row>
      <xdr:rowOff>90170</xdr:rowOff>
    </xdr:from>
    <xdr:to>
      <xdr:col>2</xdr:col>
      <xdr:colOff>190627</xdr:colOff>
      <xdr:row>72</xdr:row>
      <xdr:rowOff>90170</xdr:rowOff>
    </xdr:to>
    <xdr:sp macro="_xll.PtreeEvent_ObjectClick" textlink="">
      <xdr:nvSpPr>
        <xdr:cNvPr id="5" name="PTObj_DNode_2_1"/>
        <xdr:cNvSpPr/>
      </xdr:nvSpPr>
      <xdr:spPr>
        <a:xfrm>
          <a:off x="3048127" y="9043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71</xdr:row>
      <xdr:rowOff>95107</xdr:rowOff>
    </xdr:from>
    <xdr:ext cx="463845" cy="180627"/>
    <xdr:sp macro="_xll.PtreeEvent_ObjectClick" textlink="">
      <xdr:nvSpPr>
        <xdr:cNvPr id="8" name="PTObj_DBranchName_2_1"/>
        <xdr:cNvSpPr txBox="1"/>
      </xdr:nvSpPr>
      <xdr:spPr>
        <a:xfrm>
          <a:off x="1519047" y="9048607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twoCellAnchor editAs="oneCell">
    <xdr:from>
      <xdr:col>3</xdr:col>
      <xdr:colOff>127</xdr:colOff>
      <xdr:row>41</xdr:row>
      <xdr:rowOff>90170</xdr:rowOff>
    </xdr:from>
    <xdr:to>
      <xdr:col>3</xdr:col>
      <xdr:colOff>190627</xdr:colOff>
      <xdr:row>42</xdr:row>
      <xdr:rowOff>90170</xdr:rowOff>
    </xdr:to>
    <xdr:sp macro="_xll.PtreeEvent_ObjectClick" textlink="">
      <xdr:nvSpPr>
        <xdr:cNvPr id="9" name="PTObj_DNode_2_2"/>
        <xdr:cNvSpPr/>
      </xdr:nvSpPr>
      <xdr:spPr>
        <a:xfrm>
          <a:off x="4857877" y="6376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41</xdr:row>
      <xdr:rowOff>95107</xdr:rowOff>
    </xdr:from>
    <xdr:ext cx="398251" cy="180627"/>
    <xdr:sp macro="_xll.PtreeEvent_ObjectClick" textlink="">
      <xdr:nvSpPr>
        <xdr:cNvPr id="12" name="PTObj_DBranchName_2_2"/>
        <xdr:cNvSpPr txBox="1"/>
      </xdr:nvSpPr>
      <xdr:spPr>
        <a:xfrm>
          <a:off x="3328797" y="6381607"/>
          <a:ext cx="39825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Granted</a:t>
          </a:r>
        </a:p>
      </xdr:txBody>
    </xdr:sp>
    <xdr:clientData/>
  </xdr:oneCellAnchor>
  <xdr:twoCellAnchor editAs="oneCell">
    <xdr:from>
      <xdr:col>3</xdr:col>
      <xdr:colOff>127</xdr:colOff>
      <xdr:row>87</xdr:row>
      <xdr:rowOff>90170</xdr:rowOff>
    </xdr:from>
    <xdr:to>
      <xdr:col>3</xdr:col>
      <xdr:colOff>190627</xdr:colOff>
      <xdr:row>88</xdr:row>
      <xdr:rowOff>90170</xdr:rowOff>
    </xdr:to>
    <xdr:sp macro="_xll.PtreeEvent_ObjectClick" textlink="">
      <xdr:nvSpPr>
        <xdr:cNvPr id="504" name="PTObj_DNode_2_12"/>
        <xdr:cNvSpPr/>
      </xdr:nvSpPr>
      <xdr:spPr>
        <a:xfrm>
          <a:off x="4857877" y="10567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87</xdr:row>
      <xdr:rowOff>95107</xdr:rowOff>
    </xdr:from>
    <xdr:ext cx="351955" cy="180627"/>
    <xdr:sp macro="_xll.PtreeEvent_ObjectClick" textlink="">
      <xdr:nvSpPr>
        <xdr:cNvPr id="507" name="PTObj_DBranchName_2_12"/>
        <xdr:cNvSpPr txBox="1"/>
      </xdr:nvSpPr>
      <xdr:spPr>
        <a:xfrm>
          <a:off x="3328797" y="10572607"/>
          <a:ext cx="35195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Denied</a:t>
          </a:r>
        </a:p>
      </xdr:txBody>
    </xdr:sp>
    <xdr:clientData/>
  </xdr:oneCellAnchor>
  <xdr:twoCellAnchor editAs="oneCell">
    <xdr:from>
      <xdr:col>2</xdr:col>
      <xdr:colOff>127</xdr:colOff>
      <xdr:row>135</xdr:row>
      <xdr:rowOff>90170</xdr:rowOff>
    </xdr:from>
    <xdr:to>
      <xdr:col>2</xdr:col>
      <xdr:colOff>190627</xdr:colOff>
      <xdr:row>136</xdr:row>
      <xdr:rowOff>90170</xdr:rowOff>
    </xdr:to>
    <xdr:sp macro="_xll.PtreeEvent_ObjectClick" textlink="">
      <xdr:nvSpPr>
        <xdr:cNvPr id="1196" name="PTObj_DNode_2_19"/>
        <xdr:cNvSpPr/>
      </xdr:nvSpPr>
      <xdr:spPr>
        <a:xfrm>
          <a:off x="3048127" y="15139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135</xdr:row>
      <xdr:rowOff>95106</xdr:rowOff>
    </xdr:from>
    <xdr:ext cx="420500" cy="180627"/>
    <xdr:sp macro="_xll.PtreeEvent_ObjectClick" textlink="">
      <xdr:nvSpPr>
        <xdr:cNvPr id="1199" name="PTObj_DBranchName_2_19"/>
        <xdr:cNvSpPr txBox="1"/>
      </xdr:nvSpPr>
      <xdr:spPr>
        <a:xfrm>
          <a:off x="1519047" y="15144606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twoCellAnchor editAs="oneCell">
    <xdr:from>
      <xdr:col>3</xdr:col>
      <xdr:colOff>127</xdr:colOff>
      <xdr:row>119</xdr:row>
      <xdr:rowOff>90170</xdr:rowOff>
    </xdr:from>
    <xdr:to>
      <xdr:col>3</xdr:col>
      <xdr:colOff>190627</xdr:colOff>
      <xdr:row>120</xdr:row>
      <xdr:rowOff>90170</xdr:rowOff>
    </xdr:to>
    <xdr:sp macro="_xll.PtreeEvent_ObjectClick" textlink="">
      <xdr:nvSpPr>
        <xdr:cNvPr id="1200" name="PTObj_DNode_2_20"/>
        <xdr:cNvSpPr/>
      </xdr:nvSpPr>
      <xdr:spPr>
        <a:xfrm>
          <a:off x="4857877" y="13615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119</xdr:row>
      <xdr:rowOff>95106</xdr:rowOff>
    </xdr:from>
    <xdr:ext cx="398251" cy="180627"/>
    <xdr:sp macro="_xll.PtreeEvent_ObjectClick" textlink="">
      <xdr:nvSpPr>
        <xdr:cNvPr id="1203" name="PTObj_DBranchName_2_20"/>
        <xdr:cNvSpPr txBox="1"/>
      </xdr:nvSpPr>
      <xdr:spPr>
        <a:xfrm>
          <a:off x="3328797" y="13620606"/>
          <a:ext cx="39825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Granted</a:t>
          </a:r>
        </a:p>
      </xdr:txBody>
    </xdr:sp>
    <xdr:clientData/>
  </xdr:oneCellAnchor>
  <xdr:twoCellAnchor editAs="oneCell">
    <xdr:from>
      <xdr:col>3</xdr:col>
      <xdr:colOff>127</xdr:colOff>
      <xdr:row>151</xdr:row>
      <xdr:rowOff>90170</xdr:rowOff>
    </xdr:from>
    <xdr:to>
      <xdr:col>3</xdr:col>
      <xdr:colOff>190627</xdr:colOff>
      <xdr:row>152</xdr:row>
      <xdr:rowOff>90170</xdr:rowOff>
    </xdr:to>
    <xdr:sp macro="_xll.PtreeEvent_ObjectClick" textlink="">
      <xdr:nvSpPr>
        <xdr:cNvPr id="1035" name="PTObj_DNode_2_28"/>
        <xdr:cNvSpPr/>
      </xdr:nvSpPr>
      <xdr:spPr>
        <a:xfrm>
          <a:off x="4857877" y="16663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151</xdr:row>
      <xdr:rowOff>95106</xdr:rowOff>
    </xdr:from>
    <xdr:ext cx="351955" cy="180627"/>
    <xdr:sp macro="_xll.PtreeEvent_ObjectClick" textlink="">
      <xdr:nvSpPr>
        <xdr:cNvPr id="1038" name="PTObj_DBranchName_2_28"/>
        <xdr:cNvSpPr txBox="1"/>
      </xdr:nvSpPr>
      <xdr:spPr>
        <a:xfrm>
          <a:off x="3328797" y="16668606"/>
          <a:ext cx="35195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Denied</a:t>
          </a:r>
        </a:p>
      </xdr:txBody>
    </xdr:sp>
    <xdr:clientData/>
  </xdr:oneCellAnchor>
  <xdr:twoCellAnchor editAs="oneCell">
    <xdr:from>
      <xdr:col>4</xdr:col>
      <xdr:colOff>127</xdr:colOff>
      <xdr:row>33</xdr:row>
      <xdr:rowOff>90170</xdr:rowOff>
    </xdr:from>
    <xdr:to>
      <xdr:col>4</xdr:col>
      <xdr:colOff>190627</xdr:colOff>
      <xdr:row>34</xdr:row>
      <xdr:rowOff>90170</xdr:rowOff>
    </xdr:to>
    <xdr:sp macro="_xll.PtreeEvent_ObjectClick" textlink="">
      <xdr:nvSpPr>
        <xdr:cNvPr id="175" name="PTObj_DNode_2_3"/>
        <xdr:cNvSpPr/>
      </xdr:nvSpPr>
      <xdr:spPr>
        <a:xfrm>
          <a:off x="6667627" y="6376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33</xdr:row>
      <xdr:rowOff>95107</xdr:rowOff>
    </xdr:from>
    <xdr:ext cx="440697" cy="180627"/>
    <xdr:sp macro="_xll.PtreeEvent_ObjectClick" textlink="">
      <xdr:nvSpPr>
        <xdr:cNvPr id="178" name="PTObj_DBranchName_2_3"/>
        <xdr:cNvSpPr txBox="1"/>
      </xdr:nvSpPr>
      <xdr:spPr>
        <a:xfrm>
          <a:off x="5138547" y="6381607"/>
          <a:ext cx="44069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well</a:t>
          </a:r>
        </a:p>
      </xdr:txBody>
    </xdr:sp>
    <xdr:clientData/>
  </xdr:oneCellAnchor>
  <xdr:twoCellAnchor editAs="oneCell">
    <xdr:from>
      <xdr:col>5</xdr:col>
      <xdr:colOff>127</xdr:colOff>
      <xdr:row>29</xdr:row>
      <xdr:rowOff>90170</xdr:rowOff>
    </xdr:from>
    <xdr:to>
      <xdr:col>5</xdr:col>
      <xdr:colOff>190627</xdr:colOff>
      <xdr:row>30</xdr:row>
      <xdr:rowOff>90170</xdr:rowOff>
    </xdr:to>
    <xdr:sp macro="_xll.PtreeEvent_ObjectClick" textlink="">
      <xdr:nvSpPr>
        <xdr:cNvPr id="1063" name="PTObj_DNode_2_4"/>
        <xdr:cNvSpPr/>
      </xdr:nvSpPr>
      <xdr:spPr>
        <a:xfrm>
          <a:off x="8477377" y="5614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29</xdr:row>
      <xdr:rowOff>95107</xdr:rowOff>
    </xdr:from>
    <xdr:ext cx="193002" cy="180627"/>
    <xdr:sp macro="_xll.PtreeEvent_ObjectClick" textlink="">
      <xdr:nvSpPr>
        <xdr:cNvPr id="1066" name="PTObj_DBranchName_2_4"/>
        <xdr:cNvSpPr txBox="1"/>
      </xdr:nvSpPr>
      <xdr:spPr>
        <a:xfrm>
          <a:off x="6948297" y="5619607"/>
          <a:ext cx="193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27</xdr:row>
      <xdr:rowOff>90170</xdr:rowOff>
    </xdr:from>
    <xdr:to>
      <xdr:col>6</xdr:col>
      <xdr:colOff>190627</xdr:colOff>
      <xdr:row>28</xdr:row>
      <xdr:rowOff>90170</xdr:rowOff>
    </xdr:to>
    <xdr:sp macro="_xll.PtreeEvent_ObjectClick" textlink="">
      <xdr:nvSpPr>
        <xdr:cNvPr id="195" name="PTObj_DNode_2_5"/>
        <xdr:cNvSpPr/>
      </xdr:nvSpPr>
      <xdr:spPr>
        <a:xfrm rot="-5400000">
          <a:off x="10287127" y="5233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27</xdr:row>
      <xdr:rowOff>95107</xdr:rowOff>
    </xdr:from>
    <xdr:ext cx="193002" cy="180627"/>
    <xdr:sp macro="_xll.PtreeEvent_ObjectClick" textlink="">
      <xdr:nvSpPr>
        <xdr:cNvPr id="198" name="PTObj_DBranchName_2_5"/>
        <xdr:cNvSpPr txBox="1"/>
      </xdr:nvSpPr>
      <xdr:spPr>
        <a:xfrm>
          <a:off x="8758047" y="5238607"/>
          <a:ext cx="193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31</xdr:row>
      <xdr:rowOff>90170</xdr:rowOff>
    </xdr:from>
    <xdr:to>
      <xdr:col>6</xdr:col>
      <xdr:colOff>190627</xdr:colOff>
      <xdr:row>32</xdr:row>
      <xdr:rowOff>90170</xdr:rowOff>
    </xdr:to>
    <xdr:sp macro="_xll.PtreeEvent_ObjectClick" textlink="">
      <xdr:nvSpPr>
        <xdr:cNvPr id="211" name="PTObj_DNode_2_32"/>
        <xdr:cNvSpPr/>
      </xdr:nvSpPr>
      <xdr:spPr>
        <a:xfrm rot="-5400000">
          <a:off x="10287127" y="5995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31</xdr:row>
      <xdr:rowOff>95107</xdr:rowOff>
    </xdr:from>
    <xdr:ext cx="163442" cy="180627"/>
    <xdr:sp macro="_xll.PtreeEvent_ObjectClick" textlink="">
      <xdr:nvSpPr>
        <xdr:cNvPr id="214" name="PTObj_DBranchName_2_32"/>
        <xdr:cNvSpPr txBox="1"/>
      </xdr:nvSpPr>
      <xdr:spPr>
        <a:xfrm>
          <a:off x="8758047" y="6000607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37</xdr:row>
      <xdr:rowOff>90170</xdr:rowOff>
    </xdr:from>
    <xdr:to>
      <xdr:col>5</xdr:col>
      <xdr:colOff>190627</xdr:colOff>
      <xdr:row>38</xdr:row>
      <xdr:rowOff>90170</xdr:rowOff>
    </xdr:to>
    <xdr:sp macro="_xll.PtreeEvent_ObjectClick" textlink="">
      <xdr:nvSpPr>
        <xdr:cNvPr id="1408" name="PTObj_DNode_2_33"/>
        <xdr:cNvSpPr/>
      </xdr:nvSpPr>
      <xdr:spPr>
        <a:xfrm>
          <a:off x="8477377" y="7138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37</xdr:row>
      <xdr:rowOff>95107</xdr:rowOff>
    </xdr:from>
    <xdr:ext cx="163442" cy="180627"/>
    <xdr:sp macro="_xll.PtreeEvent_ObjectClick" textlink="">
      <xdr:nvSpPr>
        <xdr:cNvPr id="1411" name="PTObj_DBranchName_2_33"/>
        <xdr:cNvSpPr txBox="1"/>
      </xdr:nvSpPr>
      <xdr:spPr>
        <a:xfrm>
          <a:off x="6948297" y="7143607"/>
          <a:ext cx="16344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35</xdr:row>
      <xdr:rowOff>90170</xdr:rowOff>
    </xdr:from>
    <xdr:to>
      <xdr:col>6</xdr:col>
      <xdr:colOff>190627</xdr:colOff>
      <xdr:row>36</xdr:row>
      <xdr:rowOff>90170</xdr:rowOff>
    </xdr:to>
    <xdr:sp macro="_xll.PtreeEvent_ObjectClick" textlink="">
      <xdr:nvSpPr>
        <xdr:cNvPr id="1412" name="PTObj_DNode_2_34"/>
        <xdr:cNvSpPr/>
      </xdr:nvSpPr>
      <xdr:spPr>
        <a:xfrm rot="-5400000">
          <a:off x="10287127" y="6757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35</xdr:row>
      <xdr:rowOff>95107</xdr:rowOff>
    </xdr:from>
    <xdr:ext cx="193002" cy="180627"/>
    <xdr:sp macro="_xll.PtreeEvent_ObjectClick" textlink="">
      <xdr:nvSpPr>
        <xdr:cNvPr id="1415" name="PTObj_DBranchName_2_34"/>
        <xdr:cNvSpPr txBox="1"/>
      </xdr:nvSpPr>
      <xdr:spPr>
        <a:xfrm>
          <a:off x="8758047" y="6762607"/>
          <a:ext cx="193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39</xdr:row>
      <xdr:rowOff>90170</xdr:rowOff>
    </xdr:from>
    <xdr:to>
      <xdr:col>6</xdr:col>
      <xdr:colOff>190627</xdr:colOff>
      <xdr:row>40</xdr:row>
      <xdr:rowOff>90170</xdr:rowOff>
    </xdr:to>
    <xdr:sp macro="_xll.PtreeEvent_ObjectClick" textlink="">
      <xdr:nvSpPr>
        <xdr:cNvPr id="1416" name="PTObj_DNode_2_35"/>
        <xdr:cNvSpPr/>
      </xdr:nvSpPr>
      <xdr:spPr>
        <a:xfrm rot="-5400000">
          <a:off x="10287127" y="7519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39</xdr:row>
      <xdr:rowOff>95107</xdr:rowOff>
    </xdr:from>
    <xdr:ext cx="163442" cy="180627"/>
    <xdr:sp macro="_xll.PtreeEvent_ObjectClick" textlink="">
      <xdr:nvSpPr>
        <xdr:cNvPr id="1419" name="PTObj_DBranchName_2_35"/>
        <xdr:cNvSpPr txBox="1"/>
      </xdr:nvSpPr>
      <xdr:spPr>
        <a:xfrm>
          <a:off x="8758047" y="7524607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79</xdr:row>
      <xdr:rowOff>90170</xdr:rowOff>
    </xdr:from>
    <xdr:to>
      <xdr:col>4</xdr:col>
      <xdr:colOff>190627</xdr:colOff>
      <xdr:row>80</xdr:row>
      <xdr:rowOff>90170</xdr:rowOff>
    </xdr:to>
    <xdr:sp macro="_xll.PtreeEvent_ObjectClick" textlink="">
      <xdr:nvSpPr>
        <xdr:cNvPr id="1420" name="PTObj_DNode_2_13"/>
        <xdr:cNvSpPr/>
      </xdr:nvSpPr>
      <xdr:spPr>
        <a:xfrm>
          <a:off x="6667627" y="12091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79</xdr:row>
      <xdr:rowOff>95107</xdr:rowOff>
    </xdr:from>
    <xdr:ext cx="440697" cy="180627"/>
    <xdr:sp macro="_xll.PtreeEvent_ObjectClick" textlink="">
      <xdr:nvSpPr>
        <xdr:cNvPr id="1423" name="PTObj_DBranchName_2_13"/>
        <xdr:cNvSpPr txBox="1"/>
      </xdr:nvSpPr>
      <xdr:spPr>
        <a:xfrm>
          <a:off x="5138547" y="12096607"/>
          <a:ext cx="44069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well</a:t>
          </a:r>
        </a:p>
      </xdr:txBody>
    </xdr:sp>
    <xdr:clientData/>
  </xdr:oneCellAnchor>
  <xdr:twoCellAnchor editAs="oneCell">
    <xdr:from>
      <xdr:col>5</xdr:col>
      <xdr:colOff>127</xdr:colOff>
      <xdr:row>75</xdr:row>
      <xdr:rowOff>90170</xdr:rowOff>
    </xdr:from>
    <xdr:to>
      <xdr:col>5</xdr:col>
      <xdr:colOff>190627</xdr:colOff>
      <xdr:row>76</xdr:row>
      <xdr:rowOff>90170</xdr:rowOff>
    </xdr:to>
    <xdr:sp macro="_xll.PtreeEvent_ObjectClick" textlink="">
      <xdr:nvSpPr>
        <xdr:cNvPr id="1424" name="PTObj_DNode_2_14"/>
        <xdr:cNvSpPr/>
      </xdr:nvSpPr>
      <xdr:spPr>
        <a:xfrm>
          <a:off x="8477377" y="11329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75</xdr:row>
      <xdr:rowOff>95107</xdr:rowOff>
    </xdr:from>
    <xdr:ext cx="193002" cy="180627"/>
    <xdr:sp macro="_xll.PtreeEvent_ObjectClick" textlink="">
      <xdr:nvSpPr>
        <xdr:cNvPr id="1427" name="PTObj_DBranchName_2_14"/>
        <xdr:cNvSpPr txBox="1"/>
      </xdr:nvSpPr>
      <xdr:spPr>
        <a:xfrm>
          <a:off x="6948297" y="11334607"/>
          <a:ext cx="19300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73</xdr:row>
      <xdr:rowOff>90170</xdr:rowOff>
    </xdr:from>
    <xdr:to>
      <xdr:col>6</xdr:col>
      <xdr:colOff>190627</xdr:colOff>
      <xdr:row>74</xdr:row>
      <xdr:rowOff>90170</xdr:rowOff>
    </xdr:to>
    <xdr:sp macro="_xll.PtreeEvent_ObjectClick" textlink="">
      <xdr:nvSpPr>
        <xdr:cNvPr id="1428" name="PTObj_DNode_2_15"/>
        <xdr:cNvSpPr/>
      </xdr:nvSpPr>
      <xdr:spPr>
        <a:xfrm rot="-5400000">
          <a:off x="10287127" y="10948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73</xdr:row>
      <xdr:rowOff>95107</xdr:rowOff>
    </xdr:from>
    <xdr:ext cx="193002" cy="180627"/>
    <xdr:sp macro="_xll.PtreeEvent_ObjectClick" textlink="">
      <xdr:nvSpPr>
        <xdr:cNvPr id="1431" name="PTObj_DBranchName_2_15"/>
        <xdr:cNvSpPr txBox="1"/>
      </xdr:nvSpPr>
      <xdr:spPr>
        <a:xfrm>
          <a:off x="8758047" y="10953607"/>
          <a:ext cx="193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77</xdr:row>
      <xdr:rowOff>90170</xdr:rowOff>
    </xdr:from>
    <xdr:to>
      <xdr:col>6</xdr:col>
      <xdr:colOff>190627</xdr:colOff>
      <xdr:row>78</xdr:row>
      <xdr:rowOff>90170</xdr:rowOff>
    </xdr:to>
    <xdr:sp macro="_xll.PtreeEvent_ObjectClick" textlink="">
      <xdr:nvSpPr>
        <xdr:cNvPr id="1432" name="PTObj_DNode_2_36"/>
        <xdr:cNvSpPr/>
      </xdr:nvSpPr>
      <xdr:spPr>
        <a:xfrm rot="-5400000">
          <a:off x="10287127" y="11710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77</xdr:row>
      <xdr:rowOff>95107</xdr:rowOff>
    </xdr:from>
    <xdr:ext cx="163442" cy="180627"/>
    <xdr:sp macro="_xll.PtreeEvent_ObjectClick" textlink="">
      <xdr:nvSpPr>
        <xdr:cNvPr id="1435" name="PTObj_DBranchName_2_36"/>
        <xdr:cNvSpPr txBox="1"/>
      </xdr:nvSpPr>
      <xdr:spPr>
        <a:xfrm>
          <a:off x="8758047" y="11715607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83</xdr:row>
      <xdr:rowOff>90170</xdr:rowOff>
    </xdr:from>
    <xdr:to>
      <xdr:col>5</xdr:col>
      <xdr:colOff>190627</xdr:colOff>
      <xdr:row>84</xdr:row>
      <xdr:rowOff>90170</xdr:rowOff>
    </xdr:to>
    <xdr:sp macro="_xll.PtreeEvent_ObjectClick" textlink="">
      <xdr:nvSpPr>
        <xdr:cNvPr id="1436" name="PTObj_DNode_2_37"/>
        <xdr:cNvSpPr/>
      </xdr:nvSpPr>
      <xdr:spPr>
        <a:xfrm>
          <a:off x="8477377" y="12853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83</xdr:row>
      <xdr:rowOff>95107</xdr:rowOff>
    </xdr:from>
    <xdr:ext cx="163442" cy="180627"/>
    <xdr:sp macro="_xll.PtreeEvent_ObjectClick" textlink="">
      <xdr:nvSpPr>
        <xdr:cNvPr id="1439" name="PTObj_DBranchName_2_37"/>
        <xdr:cNvSpPr txBox="1"/>
      </xdr:nvSpPr>
      <xdr:spPr>
        <a:xfrm>
          <a:off x="6948297" y="12858607"/>
          <a:ext cx="16344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81</xdr:row>
      <xdr:rowOff>90170</xdr:rowOff>
    </xdr:from>
    <xdr:to>
      <xdr:col>6</xdr:col>
      <xdr:colOff>190627</xdr:colOff>
      <xdr:row>82</xdr:row>
      <xdr:rowOff>90170</xdr:rowOff>
    </xdr:to>
    <xdr:sp macro="_xll.PtreeEvent_ObjectClick" textlink="">
      <xdr:nvSpPr>
        <xdr:cNvPr id="1440" name="PTObj_DNode_2_38"/>
        <xdr:cNvSpPr/>
      </xdr:nvSpPr>
      <xdr:spPr>
        <a:xfrm rot="-5400000">
          <a:off x="10287127" y="12472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81</xdr:row>
      <xdr:rowOff>95107</xdr:rowOff>
    </xdr:from>
    <xdr:ext cx="193002" cy="180627"/>
    <xdr:sp macro="_xll.PtreeEvent_ObjectClick" textlink="">
      <xdr:nvSpPr>
        <xdr:cNvPr id="1443" name="PTObj_DBranchName_2_38"/>
        <xdr:cNvSpPr txBox="1"/>
      </xdr:nvSpPr>
      <xdr:spPr>
        <a:xfrm>
          <a:off x="8758047" y="12477607"/>
          <a:ext cx="19300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85</xdr:row>
      <xdr:rowOff>90170</xdr:rowOff>
    </xdr:from>
    <xdr:to>
      <xdr:col>6</xdr:col>
      <xdr:colOff>190627</xdr:colOff>
      <xdr:row>86</xdr:row>
      <xdr:rowOff>90170</xdr:rowOff>
    </xdr:to>
    <xdr:sp macro="_xll.PtreeEvent_ObjectClick" textlink="">
      <xdr:nvSpPr>
        <xdr:cNvPr id="1444" name="PTObj_DNode_2_39"/>
        <xdr:cNvSpPr/>
      </xdr:nvSpPr>
      <xdr:spPr>
        <a:xfrm rot="-5400000">
          <a:off x="10287127" y="1323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85</xdr:row>
      <xdr:rowOff>95106</xdr:rowOff>
    </xdr:from>
    <xdr:ext cx="163442" cy="180627"/>
    <xdr:sp macro="_xll.PtreeEvent_ObjectClick" textlink="">
      <xdr:nvSpPr>
        <xdr:cNvPr id="1447" name="PTObj_DBranchName_2_39"/>
        <xdr:cNvSpPr txBox="1"/>
      </xdr:nvSpPr>
      <xdr:spPr>
        <a:xfrm>
          <a:off x="8758047" y="13239606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111</xdr:row>
      <xdr:rowOff>90170</xdr:rowOff>
    </xdr:from>
    <xdr:to>
      <xdr:col>4</xdr:col>
      <xdr:colOff>190627</xdr:colOff>
      <xdr:row>112</xdr:row>
      <xdr:rowOff>90170</xdr:rowOff>
    </xdr:to>
    <xdr:sp macro="_xll.PtreeEvent_ObjectClick" textlink="">
      <xdr:nvSpPr>
        <xdr:cNvPr id="1448" name="PTObj_DNode_2_22"/>
        <xdr:cNvSpPr/>
      </xdr:nvSpPr>
      <xdr:spPr>
        <a:xfrm>
          <a:off x="6667627" y="16663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111</xdr:row>
      <xdr:rowOff>95106</xdr:rowOff>
    </xdr:from>
    <xdr:ext cx="440697" cy="180627"/>
    <xdr:sp macro="_xll.PtreeEvent_ObjectClick" textlink="">
      <xdr:nvSpPr>
        <xdr:cNvPr id="1451" name="PTObj_DBranchName_2_22"/>
        <xdr:cNvSpPr txBox="1"/>
      </xdr:nvSpPr>
      <xdr:spPr>
        <a:xfrm>
          <a:off x="5138547" y="16668606"/>
          <a:ext cx="44069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well</a:t>
          </a:r>
        </a:p>
      </xdr:txBody>
    </xdr:sp>
    <xdr:clientData/>
  </xdr:oneCellAnchor>
  <xdr:twoCellAnchor editAs="oneCell">
    <xdr:from>
      <xdr:col>5</xdr:col>
      <xdr:colOff>127</xdr:colOff>
      <xdr:row>107</xdr:row>
      <xdr:rowOff>90170</xdr:rowOff>
    </xdr:from>
    <xdr:to>
      <xdr:col>5</xdr:col>
      <xdr:colOff>190627</xdr:colOff>
      <xdr:row>108</xdr:row>
      <xdr:rowOff>90170</xdr:rowOff>
    </xdr:to>
    <xdr:sp macro="_xll.PtreeEvent_ObjectClick" textlink="">
      <xdr:nvSpPr>
        <xdr:cNvPr id="1452" name="PTObj_DNode_2_23"/>
        <xdr:cNvSpPr/>
      </xdr:nvSpPr>
      <xdr:spPr>
        <a:xfrm>
          <a:off x="8477377" y="15901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107</xdr:row>
      <xdr:rowOff>95106</xdr:rowOff>
    </xdr:from>
    <xdr:ext cx="193002" cy="180627"/>
    <xdr:sp macro="_xll.PtreeEvent_ObjectClick" textlink="">
      <xdr:nvSpPr>
        <xdr:cNvPr id="1455" name="PTObj_DBranchName_2_23"/>
        <xdr:cNvSpPr txBox="1"/>
      </xdr:nvSpPr>
      <xdr:spPr>
        <a:xfrm>
          <a:off x="6948297" y="15906606"/>
          <a:ext cx="19300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105</xdr:row>
      <xdr:rowOff>90170</xdr:rowOff>
    </xdr:from>
    <xdr:to>
      <xdr:col>6</xdr:col>
      <xdr:colOff>190627</xdr:colOff>
      <xdr:row>106</xdr:row>
      <xdr:rowOff>90170</xdr:rowOff>
    </xdr:to>
    <xdr:sp macro="_xll.PtreeEvent_ObjectClick" textlink="">
      <xdr:nvSpPr>
        <xdr:cNvPr id="1456" name="PTObj_DNode_2_24"/>
        <xdr:cNvSpPr/>
      </xdr:nvSpPr>
      <xdr:spPr>
        <a:xfrm rot="-5400000">
          <a:off x="10287127" y="15520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105</xdr:row>
      <xdr:rowOff>95106</xdr:rowOff>
    </xdr:from>
    <xdr:ext cx="193002" cy="180627"/>
    <xdr:sp macro="_xll.PtreeEvent_ObjectClick" textlink="">
      <xdr:nvSpPr>
        <xdr:cNvPr id="1459" name="PTObj_DBranchName_2_24"/>
        <xdr:cNvSpPr txBox="1"/>
      </xdr:nvSpPr>
      <xdr:spPr>
        <a:xfrm>
          <a:off x="8758047" y="15525606"/>
          <a:ext cx="19300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109</xdr:row>
      <xdr:rowOff>90170</xdr:rowOff>
    </xdr:from>
    <xdr:to>
      <xdr:col>6</xdr:col>
      <xdr:colOff>190627</xdr:colOff>
      <xdr:row>110</xdr:row>
      <xdr:rowOff>90170</xdr:rowOff>
    </xdr:to>
    <xdr:sp macro="_xll.PtreeEvent_ObjectClick" textlink="">
      <xdr:nvSpPr>
        <xdr:cNvPr id="1460" name="PTObj_DNode_2_40"/>
        <xdr:cNvSpPr/>
      </xdr:nvSpPr>
      <xdr:spPr>
        <a:xfrm rot="-5400000">
          <a:off x="10287127" y="16282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109</xdr:row>
      <xdr:rowOff>95106</xdr:rowOff>
    </xdr:from>
    <xdr:ext cx="163442" cy="180627"/>
    <xdr:sp macro="_xll.PtreeEvent_ObjectClick" textlink="">
      <xdr:nvSpPr>
        <xdr:cNvPr id="1463" name="PTObj_DBranchName_2_40"/>
        <xdr:cNvSpPr txBox="1"/>
      </xdr:nvSpPr>
      <xdr:spPr>
        <a:xfrm>
          <a:off x="8758047" y="16287606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115</xdr:row>
      <xdr:rowOff>90170</xdr:rowOff>
    </xdr:from>
    <xdr:to>
      <xdr:col>5</xdr:col>
      <xdr:colOff>190627</xdr:colOff>
      <xdr:row>116</xdr:row>
      <xdr:rowOff>90170</xdr:rowOff>
    </xdr:to>
    <xdr:sp macro="_xll.PtreeEvent_ObjectClick" textlink="">
      <xdr:nvSpPr>
        <xdr:cNvPr id="1464" name="PTObj_DNode_2_41"/>
        <xdr:cNvSpPr/>
      </xdr:nvSpPr>
      <xdr:spPr>
        <a:xfrm>
          <a:off x="8477377" y="17425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115</xdr:row>
      <xdr:rowOff>95106</xdr:rowOff>
    </xdr:from>
    <xdr:ext cx="163442" cy="180627"/>
    <xdr:sp macro="_xll.PtreeEvent_ObjectClick" textlink="">
      <xdr:nvSpPr>
        <xdr:cNvPr id="1467" name="PTObj_DBranchName_2_41"/>
        <xdr:cNvSpPr txBox="1"/>
      </xdr:nvSpPr>
      <xdr:spPr>
        <a:xfrm>
          <a:off x="6948297" y="17430606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113</xdr:row>
      <xdr:rowOff>90170</xdr:rowOff>
    </xdr:from>
    <xdr:to>
      <xdr:col>6</xdr:col>
      <xdr:colOff>190627</xdr:colOff>
      <xdr:row>114</xdr:row>
      <xdr:rowOff>90170</xdr:rowOff>
    </xdr:to>
    <xdr:sp macro="_xll.PtreeEvent_ObjectClick" textlink="">
      <xdr:nvSpPr>
        <xdr:cNvPr id="1468" name="PTObj_DNode_2_42"/>
        <xdr:cNvSpPr/>
      </xdr:nvSpPr>
      <xdr:spPr>
        <a:xfrm rot="-5400000">
          <a:off x="10287127" y="1704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113</xdr:row>
      <xdr:rowOff>95106</xdr:rowOff>
    </xdr:from>
    <xdr:ext cx="193002" cy="180627"/>
    <xdr:sp macro="_xll.PtreeEvent_ObjectClick" textlink="">
      <xdr:nvSpPr>
        <xdr:cNvPr id="1471" name="PTObj_DBranchName_2_42"/>
        <xdr:cNvSpPr txBox="1"/>
      </xdr:nvSpPr>
      <xdr:spPr>
        <a:xfrm>
          <a:off x="8758047" y="17049606"/>
          <a:ext cx="193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117</xdr:row>
      <xdr:rowOff>90170</xdr:rowOff>
    </xdr:from>
    <xdr:to>
      <xdr:col>6</xdr:col>
      <xdr:colOff>190627</xdr:colOff>
      <xdr:row>118</xdr:row>
      <xdr:rowOff>90170</xdr:rowOff>
    </xdr:to>
    <xdr:sp macro="_xll.PtreeEvent_ObjectClick" textlink="">
      <xdr:nvSpPr>
        <xdr:cNvPr id="1472" name="PTObj_DNode_2_43"/>
        <xdr:cNvSpPr/>
      </xdr:nvSpPr>
      <xdr:spPr>
        <a:xfrm rot="-5400000">
          <a:off x="10287127" y="1780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117</xdr:row>
      <xdr:rowOff>95106</xdr:rowOff>
    </xdr:from>
    <xdr:ext cx="163442" cy="180627"/>
    <xdr:sp macro="_xll.PtreeEvent_ObjectClick" textlink="">
      <xdr:nvSpPr>
        <xdr:cNvPr id="1475" name="PTObj_DBranchName_2_43"/>
        <xdr:cNvSpPr txBox="1"/>
      </xdr:nvSpPr>
      <xdr:spPr>
        <a:xfrm>
          <a:off x="8758047" y="17811606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143</xdr:row>
      <xdr:rowOff>90170</xdr:rowOff>
    </xdr:from>
    <xdr:to>
      <xdr:col>4</xdr:col>
      <xdr:colOff>190627</xdr:colOff>
      <xdr:row>144</xdr:row>
      <xdr:rowOff>90170</xdr:rowOff>
    </xdr:to>
    <xdr:sp macro="_xll.PtreeEvent_ObjectClick" textlink="">
      <xdr:nvSpPr>
        <xdr:cNvPr id="1476" name="PTObj_DNode_2_29"/>
        <xdr:cNvSpPr/>
      </xdr:nvSpPr>
      <xdr:spPr>
        <a:xfrm>
          <a:off x="6667627" y="21235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143</xdr:row>
      <xdr:rowOff>95106</xdr:rowOff>
    </xdr:from>
    <xdr:ext cx="440697" cy="180627"/>
    <xdr:sp macro="_xll.PtreeEvent_ObjectClick" textlink="">
      <xdr:nvSpPr>
        <xdr:cNvPr id="1479" name="PTObj_DBranchName_2_29"/>
        <xdr:cNvSpPr txBox="1"/>
      </xdr:nvSpPr>
      <xdr:spPr>
        <a:xfrm>
          <a:off x="5138547" y="21240606"/>
          <a:ext cx="44069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well</a:t>
          </a:r>
        </a:p>
      </xdr:txBody>
    </xdr:sp>
    <xdr:clientData/>
  </xdr:oneCellAnchor>
  <xdr:twoCellAnchor editAs="oneCell">
    <xdr:from>
      <xdr:col>5</xdr:col>
      <xdr:colOff>127</xdr:colOff>
      <xdr:row>139</xdr:row>
      <xdr:rowOff>90170</xdr:rowOff>
    </xdr:from>
    <xdr:to>
      <xdr:col>5</xdr:col>
      <xdr:colOff>190627</xdr:colOff>
      <xdr:row>140</xdr:row>
      <xdr:rowOff>90170</xdr:rowOff>
    </xdr:to>
    <xdr:sp macro="_xll.PtreeEvent_ObjectClick" textlink="">
      <xdr:nvSpPr>
        <xdr:cNvPr id="1480" name="PTObj_DNode_2_30"/>
        <xdr:cNvSpPr/>
      </xdr:nvSpPr>
      <xdr:spPr>
        <a:xfrm>
          <a:off x="8477377" y="20473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139</xdr:row>
      <xdr:rowOff>95106</xdr:rowOff>
    </xdr:from>
    <xdr:ext cx="193002" cy="180627"/>
    <xdr:sp macro="_xll.PtreeEvent_ObjectClick" textlink="">
      <xdr:nvSpPr>
        <xdr:cNvPr id="1483" name="PTObj_DBranchName_2_30"/>
        <xdr:cNvSpPr txBox="1"/>
      </xdr:nvSpPr>
      <xdr:spPr>
        <a:xfrm>
          <a:off x="6948297" y="20478606"/>
          <a:ext cx="193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137</xdr:row>
      <xdr:rowOff>90170</xdr:rowOff>
    </xdr:from>
    <xdr:to>
      <xdr:col>6</xdr:col>
      <xdr:colOff>190627</xdr:colOff>
      <xdr:row>138</xdr:row>
      <xdr:rowOff>90170</xdr:rowOff>
    </xdr:to>
    <xdr:sp macro="_xll.PtreeEvent_ObjectClick" textlink="">
      <xdr:nvSpPr>
        <xdr:cNvPr id="1484" name="PTObj_DNode_2_31"/>
        <xdr:cNvSpPr/>
      </xdr:nvSpPr>
      <xdr:spPr>
        <a:xfrm rot="-5400000">
          <a:off x="10287127" y="20092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137</xdr:row>
      <xdr:rowOff>95106</xdr:rowOff>
    </xdr:from>
    <xdr:ext cx="193002" cy="180627"/>
    <xdr:sp macro="_xll.PtreeEvent_ObjectClick" textlink="">
      <xdr:nvSpPr>
        <xdr:cNvPr id="1487" name="PTObj_DBranchName_2_31"/>
        <xdr:cNvSpPr txBox="1"/>
      </xdr:nvSpPr>
      <xdr:spPr>
        <a:xfrm>
          <a:off x="8758047" y="20097606"/>
          <a:ext cx="19300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141</xdr:row>
      <xdr:rowOff>90170</xdr:rowOff>
    </xdr:from>
    <xdr:to>
      <xdr:col>6</xdr:col>
      <xdr:colOff>190627</xdr:colOff>
      <xdr:row>142</xdr:row>
      <xdr:rowOff>90170</xdr:rowOff>
    </xdr:to>
    <xdr:sp macro="_xll.PtreeEvent_ObjectClick" textlink="">
      <xdr:nvSpPr>
        <xdr:cNvPr id="1488" name="PTObj_DNode_2_44"/>
        <xdr:cNvSpPr/>
      </xdr:nvSpPr>
      <xdr:spPr>
        <a:xfrm rot="-5400000">
          <a:off x="10287127" y="2085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141</xdr:row>
      <xdr:rowOff>95106</xdr:rowOff>
    </xdr:from>
    <xdr:ext cx="163442" cy="180627"/>
    <xdr:sp macro="_xll.PtreeEvent_ObjectClick" textlink="">
      <xdr:nvSpPr>
        <xdr:cNvPr id="1491" name="PTObj_DBranchName_2_44"/>
        <xdr:cNvSpPr txBox="1"/>
      </xdr:nvSpPr>
      <xdr:spPr>
        <a:xfrm>
          <a:off x="8758047" y="20859606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147</xdr:row>
      <xdr:rowOff>90170</xdr:rowOff>
    </xdr:from>
    <xdr:to>
      <xdr:col>5</xdr:col>
      <xdr:colOff>190627</xdr:colOff>
      <xdr:row>148</xdr:row>
      <xdr:rowOff>90170</xdr:rowOff>
    </xdr:to>
    <xdr:sp macro="_xll.PtreeEvent_ObjectClick" textlink="">
      <xdr:nvSpPr>
        <xdr:cNvPr id="1492" name="PTObj_DNode_2_45"/>
        <xdr:cNvSpPr/>
      </xdr:nvSpPr>
      <xdr:spPr>
        <a:xfrm>
          <a:off x="8477377" y="21997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147</xdr:row>
      <xdr:rowOff>95106</xdr:rowOff>
    </xdr:from>
    <xdr:ext cx="163442" cy="180627"/>
    <xdr:sp macro="_xll.PtreeEvent_ObjectClick" textlink="">
      <xdr:nvSpPr>
        <xdr:cNvPr id="1495" name="PTObj_DBranchName_2_45"/>
        <xdr:cNvSpPr txBox="1"/>
      </xdr:nvSpPr>
      <xdr:spPr>
        <a:xfrm>
          <a:off x="6948297" y="22002606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145</xdr:row>
      <xdr:rowOff>90170</xdr:rowOff>
    </xdr:from>
    <xdr:to>
      <xdr:col>6</xdr:col>
      <xdr:colOff>190627</xdr:colOff>
      <xdr:row>146</xdr:row>
      <xdr:rowOff>90170</xdr:rowOff>
    </xdr:to>
    <xdr:sp macro="_xll.PtreeEvent_ObjectClick" textlink="">
      <xdr:nvSpPr>
        <xdr:cNvPr id="1496" name="PTObj_DNode_2_46"/>
        <xdr:cNvSpPr/>
      </xdr:nvSpPr>
      <xdr:spPr>
        <a:xfrm rot="-5400000">
          <a:off x="10287127" y="2161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145</xdr:row>
      <xdr:rowOff>95106</xdr:rowOff>
    </xdr:from>
    <xdr:ext cx="193002" cy="180627"/>
    <xdr:sp macro="_xll.PtreeEvent_ObjectClick" textlink="">
      <xdr:nvSpPr>
        <xdr:cNvPr id="1499" name="PTObj_DBranchName_2_46"/>
        <xdr:cNvSpPr txBox="1"/>
      </xdr:nvSpPr>
      <xdr:spPr>
        <a:xfrm>
          <a:off x="8758047" y="21621606"/>
          <a:ext cx="193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149</xdr:row>
      <xdr:rowOff>90170</xdr:rowOff>
    </xdr:from>
    <xdr:to>
      <xdr:col>6</xdr:col>
      <xdr:colOff>190627</xdr:colOff>
      <xdr:row>150</xdr:row>
      <xdr:rowOff>90170</xdr:rowOff>
    </xdr:to>
    <xdr:sp macro="_xll.PtreeEvent_ObjectClick" textlink="">
      <xdr:nvSpPr>
        <xdr:cNvPr id="1500" name="PTObj_DNode_2_47"/>
        <xdr:cNvSpPr/>
      </xdr:nvSpPr>
      <xdr:spPr>
        <a:xfrm rot="-5400000">
          <a:off x="10287127" y="22378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149</xdr:row>
      <xdr:rowOff>95106</xdr:rowOff>
    </xdr:from>
    <xdr:ext cx="163442" cy="180627"/>
    <xdr:sp macro="_xll.PtreeEvent_ObjectClick" textlink="">
      <xdr:nvSpPr>
        <xdr:cNvPr id="1503" name="PTObj_DBranchName_2_47"/>
        <xdr:cNvSpPr txBox="1"/>
      </xdr:nvSpPr>
      <xdr:spPr>
        <a:xfrm>
          <a:off x="8758047" y="22383606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49</xdr:row>
      <xdr:rowOff>90170</xdr:rowOff>
    </xdr:from>
    <xdr:to>
      <xdr:col>4</xdr:col>
      <xdr:colOff>190627</xdr:colOff>
      <xdr:row>50</xdr:row>
      <xdr:rowOff>90170</xdr:rowOff>
    </xdr:to>
    <xdr:sp macro="_xll.PtreeEvent_ObjectClick" textlink="">
      <xdr:nvSpPr>
        <xdr:cNvPr id="1504" name="PTObj_DNode_2_6"/>
        <xdr:cNvSpPr/>
      </xdr:nvSpPr>
      <xdr:spPr>
        <a:xfrm>
          <a:off x="6667627" y="9424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49</xdr:row>
      <xdr:rowOff>95107</xdr:rowOff>
    </xdr:from>
    <xdr:ext cx="388953" cy="180627"/>
    <xdr:sp macro="_xll.PtreeEvent_ObjectClick" textlink="">
      <xdr:nvSpPr>
        <xdr:cNvPr id="1507" name="PTObj_DBranchName_2_6"/>
        <xdr:cNvSpPr txBox="1"/>
      </xdr:nvSpPr>
      <xdr:spPr>
        <a:xfrm>
          <a:off x="5138547" y="9429607"/>
          <a:ext cx="3889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Pipeline</a:t>
          </a:r>
        </a:p>
      </xdr:txBody>
    </xdr:sp>
    <xdr:clientData/>
  </xdr:oneCellAnchor>
  <xdr:twoCellAnchor editAs="oneCell">
    <xdr:from>
      <xdr:col>5</xdr:col>
      <xdr:colOff>127</xdr:colOff>
      <xdr:row>45</xdr:row>
      <xdr:rowOff>90170</xdr:rowOff>
    </xdr:from>
    <xdr:to>
      <xdr:col>5</xdr:col>
      <xdr:colOff>190627</xdr:colOff>
      <xdr:row>46</xdr:row>
      <xdr:rowOff>90170</xdr:rowOff>
    </xdr:to>
    <xdr:sp macro="_xll.PtreeEvent_ObjectClick" textlink="">
      <xdr:nvSpPr>
        <xdr:cNvPr id="1508" name="PTObj_DNode_2_7"/>
        <xdr:cNvSpPr/>
      </xdr:nvSpPr>
      <xdr:spPr>
        <a:xfrm>
          <a:off x="8477377" y="8662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45</xdr:row>
      <xdr:rowOff>95107</xdr:rowOff>
    </xdr:from>
    <xdr:ext cx="193002" cy="180627"/>
    <xdr:sp macro="_xll.PtreeEvent_ObjectClick" textlink="">
      <xdr:nvSpPr>
        <xdr:cNvPr id="1511" name="PTObj_DBranchName_2_7"/>
        <xdr:cNvSpPr txBox="1"/>
      </xdr:nvSpPr>
      <xdr:spPr>
        <a:xfrm>
          <a:off x="6948297" y="8667607"/>
          <a:ext cx="193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43</xdr:row>
      <xdr:rowOff>90170</xdr:rowOff>
    </xdr:from>
    <xdr:to>
      <xdr:col>6</xdr:col>
      <xdr:colOff>190627</xdr:colOff>
      <xdr:row>44</xdr:row>
      <xdr:rowOff>90170</xdr:rowOff>
    </xdr:to>
    <xdr:sp macro="_xll.PtreeEvent_ObjectClick" textlink="">
      <xdr:nvSpPr>
        <xdr:cNvPr id="1512" name="PTObj_DNode_2_8"/>
        <xdr:cNvSpPr/>
      </xdr:nvSpPr>
      <xdr:spPr>
        <a:xfrm rot="-5400000">
          <a:off x="10287127" y="8281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43</xdr:row>
      <xdr:rowOff>95107</xdr:rowOff>
    </xdr:from>
    <xdr:ext cx="193002" cy="180627"/>
    <xdr:sp macro="_xll.PtreeEvent_ObjectClick" textlink="">
      <xdr:nvSpPr>
        <xdr:cNvPr id="1515" name="PTObj_DBranchName_2_8"/>
        <xdr:cNvSpPr txBox="1"/>
      </xdr:nvSpPr>
      <xdr:spPr>
        <a:xfrm>
          <a:off x="8758047" y="8286607"/>
          <a:ext cx="193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47</xdr:row>
      <xdr:rowOff>90170</xdr:rowOff>
    </xdr:from>
    <xdr:to>
      <xdr:col>6</xdr:col>
      <xdr:colOff>190627</xdr:colOff>
      <xdr:row>48</xdr:row>
      <xdr:rowOff>90170</xdr:rowOff>
    </xdr:to>
    <xdr:sp macro="_xll.PtreeEvent_ObjectClick" textlink="">
      <xdr:nvSpPr>
        <xdr:cNvPr id="1516" name="PTObj_DNode_2_48"/>
        <xdr:cNvSpPr/>
      </xdr:nvSpPr>
      <xdr:spPr>
        <a:xfrm rot="-5400000">
          <a:off x="10287127" y="9043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47</xdr:row>
      <xdr:rowOff>95107</xdr:rowOff>
    </xdr:from>
    <xdr:ext cx="163442" cy="180627"/>
    <xdr:sp macro="_xll.PtreeEvent_ObjectClick" textlink="">
      <xdr:nvSpPr>
        <xdr:cNvPr id="1519" name="PTObj_DBranchName_2_48"/>
        <xdr:cNvSpPr txBox="1"/>
      </xdr:nvSpPr>
      <xdr:spPr>
        <a:xfrm>
          <a:off x="8758047" y="9048607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53</xdr:row>
      <xdr:rowOff>90170</xdr:rowOff>
    </xdr:from>
    <xdr:to>
      <xdr:col>5</xdr:col>
      <xdr:colOff>190627</xdr:colOff>
      <xdr:row>54</xdr:row>
      <xdr:rowOff>90170</xdr:rowOff>
    </xdr:to>
    <xdr:sp macro="_xll.PtreeEvent_ObjectClick" textlink="">
      <xdr:nvSpPr>
        <xdr:cNvPr id="1520" name="PTObj_DNode_2_49"/>
        <xdr:cNvSpPr/>
      </xdr:nvSpPr>
      <xdr:spPr>
        <a:xfrm>
          <a:off x="8477377" y="10186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53</xdr:row>
      <xdr:rowOff>95107</xdr:rowOff>
    </xdr:from>
    <xdr:ext cx="163442" cy="180627"/>
    <xdr:sp macro="_xll.PtreeEvent_ObjectClick" textlink="">
      <xdr:nvSpPr>
        <xdr:cNvPr id="1523" name="PTObj_DBranchName_2_49"/>
        <xdr:cNvSpPr txBox="1"/>
      </xdr:nvSpPr>
      <xdr:spPr>
        <a:xfrm>
          <a:off x="6948297" y="10191607"/>
          <a:ext cx="16344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51</xdr:row>
      <xdr:rowOff>90170</xdr:rowOff>
    </xdr:from>
    <xdr:to>
      <xdr:col>6</xdr:col>
      <xdr:colOff>190627</xdr:colOff>
      <xdr:row>52</xdr:row>
      <xdr:rowOff>90170</xdr:rowOff>
    </xdr:to>
    <xdr:sp macro="_xll.PtreeEvent_ObjectClick" textlink="">
      <xdr:nvSpPr>
        <xdr:cNvPr id="1524" name="PTObj_DNode_2_50"/>
        <xdr:cNvSpPr/>
      </xdr:nvSpPr>
      <xdr:spPr>
        <a:xfrm rot="-5400000">
          <a:off x="10287127" y="9805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51</xdr:row>
      <xdr:rowOff>95107</xdr:rowOff>
    </xdr:from>
    <xdr:ext cx="193002" cy="180627"/>
    <xdr:sp macro="_xll.PtreeEvent_ObjectClick" textlink="">
      <xdr:nvSpPr>
        <xdr:cNvPr id="1527" name="PTObj_DBranchName_2_50"/>
        <xdr:cNvSpPr txBox="1"/>
      </xdr:nvSpPr>
      <xdr:spPr>
        <a:xfrm>
          <a:off x="8758047" y="9810607"/>
          <a:ext cx="193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55</xdr:row>
      <xdr:rowOff>90170</xdr:rowOff>
    </xdr:from>
    <xdr:to>
      <xdr:col>6</xdr:col>
      <xdr:colOff>190627</xdr:colOff>
      <xdr:row>56</xdr:row>
      <xdr:rowOff>90170</xdr:rowOff>
    </xdr:to>
    <xdr:sp macro="_xll.PtreeEvent_ObjectClick" textlink="">
      <xdr:nvSpPr>
        <xdr:cNvPr id="1528" name="PTObj_DNode_2_51"/>
        <xdr:cNvSpPr/>
      </xdr:nvSpPr>
      <xdr:spPr>
        <a:xfrm rot="-5400000">
          <a:off x="10287127" y="10567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55</xdr:row>
      <xdr:rowOff>95107</xdr:rowOff>
    </xdr:from>
    <xdr:ext cx="163442" cy="180627"/>
    <xdr:sp macro="_xll.PtreeEvent_ObjectClick" textlink="">
      <xdr:nvSpPr>
        <xdr:cNvPr id="1531" name="PTObj_DBranchName_2_51"/>
        <xdr:cNvSpPr txBox="1"/>
      </xdr:nvSpPr>
      <xdr:spPr>
        <a:xfrm>
          <a:off x="8758047" y="10572607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95</xdr:row>
      <xdr:rowOff>90170</xdr:rowOff>
    </xdr:from>
    <xdr:to>
      <xdr:col>4</xdr:col>
      <xdr:colOff>190627</xdr:colOff>
      <xdr:row>96</xdr:row>
      <xdr:rowOff>90170</xdr:rowOff>
    </xdr:to>
    <xdr:sp macro="_xll.PtreeEvent_ObjectClick" textlink="">
      <xdr:nvSpPr>
        <xdr:cNvPr id="1532" name="PTObj_DNode_2_16"/>
        <xdr:cNvSpPr/>
      </xdr:nvSpPr>
      <xdr:spPr>
        <a:xfrm>
          <a:off x="6667627" y="16663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95</xdr:row>
      <xdr:rowOff>95106</xdr:rowOff>
    </xdr:from>
    <xdr:ext cx="388953" cy="180627"/>
    <xdr:sp macro="_xll.PtreeEvent_ObjectClick" textlink="">
      <xdr:nvSpPr>
        <xdr:cNvPr id="1535" name="PTObj_DBranchName_2_16"/>
        <xdr:cNvSpPr txBox="1"/>
      </xdr:nvSpPr>
      <xdr:spPr>
        <a:xfrm>
          <a:off x="5138547" y="16668606"/>
          <a:ext cx="3889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Pipeline</a:t>
          </a:r>
        </a:p>
      </xdr:txBody>
    </xdr:sp>
    <xdr:clientData/>
  </xdr:oneCellAnchor>
  <xdr:twoCellAnchor editAs="oneCell">
    <xdr:from>
      <xdr:col>5</xdr:col>
      <xdr:colOff>127</xdr:colOff>
      <xdr:row>91</xdr:row>
      <xdr:rowOff>90170</xdr:rowOff>
    </xdr:from>
    <xdr:to>
      <xdr:col>5</xdr:col>
      <xdr:colOff>190627</xdr:colOff>
      <xdr:row>92</xdr:row>
      <xdr:rowOff>90170</xdr:rowOff>
    </xdr:to>
    <xdr:sp macro="_xll.PtreeEvent_ObjectClick" textlink="">
      <xdr:nvSpPr>
        <xdr:cNvPr id="1536" name="PTObj_DNode_2_17"/>
        <xdr:cNvSpPr/>
      </xdr:nvSpPr>
      <xdr:spPr>
        <a:xfrm>
          <a:off x="8477377" y="15901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91</xdr:row>
      <xdr:rowOff>95106</xdr:rowOff>
    </xdr:from>
    <xdr:ext cx="193002" cy="180627"/>
    <xdr:sp macro="_xll.PtreeEvent_ObjectClick" textlink="">
      <xdr:nvSpPr>
        <xdr:cNvPr id="1539" name="PTObj_DBranchName_2_17"/>
        <xdr:cNvSpPr txBox="1"/>
      </xdr:nvSpPr>
      <xdr:spPr>
        <a:xfrm>
          <a:off x="6948297" y="15906606"/>
          <a:ext cx="19300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89</xdr:row>
      <xdr:rowOff>90170</xdr:rowOff>
    </xdr:from>
    <xdr:to>
      <xdr:col>6</xdr:col>
      <xdr:colOff>190627</xdr:colOff>
      <xdr:row>90</xdr:row>
      <xdr:rowOff>90170</xdr:rowOff>
    </xdr:to>
    <xdr:sp macro="_xll.PtreeEvent_ObjectClick" textlink="">
      <xdr:nvSpPr>
        <xdr:cNvPr id="1540" name="PTObj_DNode_2_18"/>
        <xdr:cNvSpPr/>
      </xdr:nvSpPr>
      <xdr:spPr>
        <a:xfrm rot="-5400000">
          <a:off x="10287127" y="15520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89</xdr:row>
      <xdr:rowOff>95106</xdr:rowOff>
    </xdr:from>
    <xdr:ext cx="193002" cy="180627"/>
    <xdr:sp macro="_xll.PtreeEvent_ObjectClick" textlink="">
      <xdr:nvSpPr>
        <xdr:cNvPr id="1543" name="PTObj_DBranchName_2_18"/>
        <xdr:cNvSpPr txBox="1"/>
      </xdr:nvSpPr>
      <xdr:spPr>
        <a:xfrm>
          <a:off x="8758047" y="15525606"/>
          <a:ext cx="193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93</xdr:row>
      <xdr:rowOff>90170</xdr:rowOff>
    </xdr:from>
    <xdr:to>
      <xdr:col>6</xdr:col>
      <xdr:colOff>190627</xdr:colOff>
      <xdr:row>94</xdr:row>
      <xdr:rowOff>90170</xdr:rowOff>
    </xdr:to>
    <xdr:sp macro="_xll.PtreeEvent_ObjectClick" textlink="">
      <xdr:nvSpPr>
        <xdr:cNvPr id="1544" name="PTObj_DNode_2_52"/>
        <xdr:cNvSpPr/>
      </xdr:nvSpPr>
      <xdr:spPr>
        <a:xfrm rot="-5400000">
          <a:off x="10287127" y="16282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93</xdr:row>
      <xdr:rowOff>95106</xdr:rowOff>
    </xdr:from>
    <xdr:ext cx="163442" cy="180627"/>
    <xdr:sp macro="_xll.PtreeEvent_ObjectClick" textlink="">
      <xdr:nvSpPr>
        <xdr:cNvPr id="1547" name="PTObj_DBranchName_2_52"/>
        <xdr:cNvSpPr txBox="1"/>
      </xdr:nvSpPr>
      <xdr:spPr>
        <a:xfrm>
          <a:off x="8758047" y="16287606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99</xdr:row>
      <xdr:rowOff>90170</xdr:rowOff>
    </xdr:from>
    <xdr:to>
      <xdr:col>5</xdr:col>
      <xdr:colOff>190627</xdr:colOff>
      <xdr:row>100</xdr:row>
      <xdr:rowOff>90170</xdr:rowOff>
    </xdr:to>
    <xdr:sp macro="_xll.PtreeEvent_ObjectClick" textlink="">
      <xdr:nvSpPr>
        <xdr:cNvPr id="1548" name="PTObj_DNode_2_53"/>
        <xdr:cNvSpPr/>
      </xdr:nvSpPr>
      <xdr:spPr>
        <a:xfrm>
          <a:off x="8477377" y="17425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99</xdr:row>
      <xdr:rowOff>95106</xdr:rowOff>
    </xdr:from>
    <xdr:ext cx="163442" cy="180627"/>
    <xdr:sp macro="_xll.PtreeEvent_ObjectClick" textlink="">
      <xdr:nvSpPr>
        <xdr:cNvPr id="1551" name="PTObj_DBranchName_2_53"/>
        <xdr:cNvSpPr txBox="1"/>
      </xdr:nvSpPr>
      <xdr:spPr>
        <a:xfrm>
          <a:off x="6948297" y="17430606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97</xdr:row>
      <xdr:rowOff>90170</xdr:rowOff>
    </xdr:from>
    <xdr:to>
      <xdr:col>6</xdr:col>
      <xdr:colOff>190627</xdr:colOff>
      <xdr:row>98</xdr:row>
      <xdr:rowOff>90170</xdr:rowOff>
    </xdr:to>
    <xdr:sp macro="_xll.PtreeEvent_ObjectClick" textlink="">
      <xdr:nvSpPr>
        <xdr:cNvPr id="1552" name="PTObj_DNode_2_54"/>
        <xdr:cNvSpPr/>
      </xdr:nvSpPr>
      <xdr:spPr>
        <a:xfrm rot="-5400000">
          <a:off x="10287127" y="1704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97</xdr:row>
      <xdr:rowOff>95106</xdr:rowOff>
    </xdr:from>
    <xdr:ext cx="193002" cy="180627"/>
    <xdr:sp macro="_xll.PtreeEvent_ObjectClick" textlink="">
      <xdr:nvSpPr>
        <xdr:cNvPr id="1555" name="PTObj_DBranchName_2_54"/>
        <xdr:cNvSpPr txBox="1"/>
      </xdr:nvSpPr>
      <xdr:spPr>
        <a:xfrm>
          <a:off x="8758047" y="17049606"/>
          <a:ext cx="19300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101</xdr:row>
      <xdr:rowOff>90170</xdr:rowOff>
    </xdr:from>
    <xdr:to>
      <xdr:col>6</xdr:col>
      <xdr:colOff>190627</xdr:colOff>
      <xdr:row>102</xdr:row>
      <xdr:rowOff>90170</xdr:rowOff>
    </xdr:to>
    <xdr:sp macro="_xll.PtreeEvent_ObjectClick" textlink="">
      <xdr:nvSpPr>
        <xdr:cNvPr id="1556" name="PTObj_DNode_2_55"/>
        <xdr:cNvSpPr/>
      </xdr:nvSpPr>
      <xdr:spPr>
        <a:xfrm rot="-5400000">
          <a:off x="10287127" y="1780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101</xdr:row>
      <xdr:rowOff>95106</xdr:rowOff>
    </xdr:from>
    <xdr:ext cx="163442" cy="180627"/>
    <xdr:sp macro="_xll.PtreeEvent_ObjectClick" textlink="">
      <xdr:nvSpPr>
        <xdr:cNvPr id="1559" name="PTObj_DBranchName_2_55"/>
        <xdr:cNvSpPr txBox="1"/>
      </xdr:nvSpPr>
      <xdr:spPr>
        <a:xfrm>
          <a:off x="8758047" y="17811606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63</xdr:row>
      <xdr:rowOff>90170</xdr:rowOff>
    </xdr:from>
    <xdr:to>
      <xdr:col>4</xdr:col>
      <xdr:colOff>190627</xdr:colOff>
      <xdr:row>64</xdr:row>
      <xdr:rowOff>90170</xdr:rowOff>
    </xdr:to>
    <xdr:sp macro="_xll.PtreeEvent_ObjectClick" textlink="">
      <xdr:nvSpPr>
        <xdr:cNvPr id="1560" name="PTObj_DNode_2_9"/>
        <xdr:cNvSpPr/>
      </xdr:nvSpPr>
      <xdr:spPr>
        <a:xfrm>
          <a:off x="6667627" y="12091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63</xdr:row>
      <xdr:rowOff>95107</xdr:rowOff>
    </xdr:from>
    <xdr:ext cx="560217" cy="180627"/>
    <xdr:sp macro="_xll.PtreeEvent_ObjectClick" textlink="">
      <xdr:nvSpPr>
        <xdr:cNvPr id="1563" name="PTObj_DBranchName_2_9"/>
        <xdr:cNvSpPr txBox="1"/>
      </xdr:nvSpPr>
      <xdr:spPr>
        <a:xfrm>
          <a:off x="5138547" y="12096607"/>
          <a:ext cx="56021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Ranney well</a:t>
          </a:r>
        </a:p>
      </xdr:txBody>
    </xdr:sp>
    <xdr:clientData/>
  </xdr:oneCellAnchor>
  <xdr:twoCellAnchor editAs="oneCell">
    <xdr:from>
      <xdr:col>5</xdr:col>
      <xdr:colOff>127</xdr:colOff>
      <xdr:row>59</xdr:row>
      <xdr:rowOff>90170</xdr:rowOff>
    </xdr:from>
    <xdr:to>
      <xdr:col>5</xdr:col>
      <xdr:colOff>190627</xdr:colOff>
      <xdr:row>60</xdr:row>
      <xdr:rowOff>90170</xdr:rowOff>
    </xdr:to>
    <xdr:sp macro="_xll.PtreeEvent_ObjectClick" textlink="">
      <xdr:nvSpPr>
        <xdr:cNvPr id="1564" name="PTObj_DNode_2_10"/>
        <xdr:cNvSpPr/>
      </xdr:nvSpPr>
      <xdr:spPr>
        <a:xfrm>
          <a:off x="8477377" y="11329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59</xdr:row>
      <xdr:rowOff>95107</xdr:rowOff>
    </xdr:from>
    <xdr:ext cx="193002" cy="180627"/>
    <xdr:sp macro="_xll.PtreeEvent_ObjectClick" textlink="">
      <xdr:nvSpPr>
        <xdr:cNvPr id="1567" name="PTObj_DBranchName_2_10"/>
        <xdr:cNvSpPr txBox="1"/>
      </xdr:nvSpPr>
      <xdr:spPr>
        <a:xfrm>
          <a:off x="6948297" y="11334607"/>
          <a:ext cx="193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57</xdr:row>
      <xdr:rowOff>90170</xdr:rowOff>
    </xdr:from>
    <xdr:to>
      <xdr:col>6</xdr:col>
      <xdr:colOff>190627</xdr:colOff>
      <xdr:row>58</xdr:row>
      <xdr:rowOff>90170</xdr:rowOff>
    </xdr:to>
    <xdr:sp macro="_xll.PtreeEvent_ObjectClick" textlink="">
      <xdr:nvSpPr>
        <xdr:cNvPr id="1568" name="PTObj_DNode_2_11"/>
        <xdr:cNvSpPr/>
      </xdr:nvSpPr>
      <xdr:spPr>
        <a:xfrm rot="-5400000">
          <a:off x="10287127" y="10948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57</xdr:row>
      <xdr:rowOff>95107</xdr:rowOff>
    </xdr:from>
    <xdr:ext cx="193002" cy="180627"/>
    <xdr:sp macro="_xll.PtreeEvent_ObjectClick" textlink="">
      <xdr:nvSpPr>
        <xdr:cNvPr id="1571" name="PTObj_DBranchName_2_11"/>
        <xdr:cNvSpPr txBox="1"/>
      </xdr:nvSpPr>
      <xdr:spPr>
        <a:xfrm>
          <a:off x="8758047" y="10953607"/>
          <a:ext cx="193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61</xdr:row>
      <xdr:rowOff>90170</xdr:rowOff>
    </xdr:from>
    <xdr:to>
      <xdr:col>6</xdr:col>
      <xdr:colOff>190627</xdr:colOff>
      <xdr:row>62</xdr:row>
      <xdr:rowOff>90170</xdr:rowOff>
    </xdr:to>
    <xdr:sp macro="_xll.PtreeEvent_ObjectClick" textlink="">
      <xdr:nvSpPr>
        <xdr:cNvPr id="1572" name="PTObj_DNode_2_56"/>
        <xdr:cNvSpPr/>
      </xdr:nvSpPr>
      <xdr:spPr>
        <a:xfrm rot="-5400000">
          <a:off x="10287127" y="11710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61</xdr:row>
      <xdr:rowOff>95107</xdr:rowOff>
    </xdr:from>
    <xdr:ext cx="163442" cy="180627"/>
    <xdr:sp macro="_xll.PtreeEvent_ObjectClick" textlink="">
      <xdr:nvSpPr>
        <xdr:cNvPr id="1575" name="PTObj_DBranchName_2_56"/>
        <xdr:cNvSpPr txBox="1"/>
      </xdr:nvSpPr>
      <xdr:spPr>
        <a:xfrm>
          <a:off x="8758047" y="11715607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67</xdr:row>
      <xdr:rowOff>90170</xdr:rowOff>
    </xdr:from>
    <xdr:to>
      <xdr:col>5</xdr:col>
      <xdr:colOff>190627</xdr:colOff>
      <xdr:row>68</xdr:row>
      <xdr:rowOff>90170</xdr:rowOff>
    </xdr:to>
    <xdr:sp macro="_xll.PtreeEvent_ObjectClick" textlink="">
      <xdr:nvSpPr>
        <xdr:cNvPr id="1576" name="PTObj_DNode_2_57"/>
        <xdr:cNvSpPr/>
      </xdr:nvSpPr>
      <xdr:spPr>
        <a:xfrm>
          <a:off x="8477377" y="12853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67</xdr:row>
      <xdr:rowOff>95107</xdr:rowOff>
    </xdr:from>
    <xdr:ext cx="163442" cy="180627"/>
    <xdr:sp macro="_xll.PtreeEvent_ObjectClick" textlink="">
      <xdr:nvSpPr>
        <xdr:cNvPr id="1579" name="PTObj_DBranchName_2_57"/>
        <xdr:cNvSpPr txBox="1"/>
      </xdr:nvSpPr>
      <xdr:spPr>
        <a:xfrm>
          <a:off x="6948297" y="12858607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65</xdr:row>
      <xdr:rowOff>90170</xdr:rowOff>
    </xdr:from>
    <xdr:to>
      <xdr:col>6</xdr:col>
      <xdr:colOff>190627</xdr:colOff>
      <xdr:row>66</xdr:row>
      <xdr:rowOff>90170</xdr:rowOff>
    </xdr:to>
    <xdr:sp macro="_xll.PtreeEvent_ObjectClick" textlink="">
      <xdr:nvSpPr>
        <xdr:cNvPr id="1580" name="PTObj_DNode_2_58"/>
        <xdr:cNvSpPr/>
      </xdr:nvSpPr>
      <xdr:spPr>
        <a:xfrm rot="-5400000">
          <a:off x="10287127" y="12472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65</xdr:row>
      <xdr:rowOff>95107</xdr:rowOff>
    </xdr:from>
    <xdr:ext cx="193002" cy="180627"/>
    <xdr:sp macro="_xll.PtreeEvent_ObjectClick" textlink="">
      <xdr:nvSpPr>
        <xdr:cNvPr id="1583" name="PTObj_DBranchName_2_58"/>
        <xdr:cNvSpPr txBox="1"/>
      </xdr:nvSpPr>
      <xdr:spPr>
        <a:xfrm>
          <a:off x="8758047" y="12477607"/>
          <a:ext cx="193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69</xdr:row>
      <xdr:rowOff>90170</xdr:rowOff>
    </xdr:from>
    <xdr:to>
      <xdr:col>6</xdr:col>
      <xdr:colOff>190627</xdr:colOff>
      <xdr:row>70</xdr:row>
      <xdr:rowOff>90170</xdr:rowOff>
    </xdr:to>
    <xdr:sp macro="_xll.PtreeEvent_ObjectClick" textlink="">
      <xdr:nvSpPr>
        <xdr:cNvPr id="1584" name="PTObj_DNode_2_59"/>
        <xdr:cNvSpPr/>
      </xdr:nvSpPr>
      <xdr:spPr>
        <a:xfrm rot="-5400000">
          <a:off x="10287127" y="1323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69</xdr:row>
      <xdr:rowOff>95106</xdr:rowOff>
    </xdr:from>
    <xdr:ext cx="163442" cy="180627"/>
    <xdr:sp macro="_xll.PtreeEvent_ObjectClick" textlink="">
      <xdr:nvSpPr>
        <xdr:cNvPr id="1587" name="PTObj_DBranchName_2_59"/>
        <xdr:cNvSpPr txBox="1"/>
      </xdr:nvSpPr>
      <xdr:spPr>
        <a:xfrm>
          <a:off x="8758047" y="13239606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127</xdr:row>
      <xdr:rowOff>90170</xdr:rowOff>
    </xdr:from>
    <xdr:to>
      <xdr:col>4</xdr:col>
      <xdr:colOff>190627</xdr:colOff>
      <xdr:row>128</xdr:row>
      <xdr:rowOff>90170</xdr:rowOff>
    </xdr:to>
    <xdr:sp macro="_xll.PtreeEvent_ObjectClick" textlink="">
      <xdr:nvSpPr>
        <xdr:cNvPr id="1588" name="PTObj_DNode_2_25"/>
        <xdr:cNvSpPr/>
      </xdr:nvSpPr>
      <xdr:spPr>
        <a:xfrm>
          <a:off x="6667627" y="24283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127</xdr:row>
      <xdr:rowOff>95106</xdr:rowOff>
    </xdr:from>
    <xdr:ext cx="560217" cy="180627"/>
    <xdr:sp macro="_xll.PtreeEvent_ObjectClick" textlink="">
      <xdr:nvSpPr>
        <xdr:cNvPr id="1591" name="PTObj_DBranchName_2_25"/>
        <xdr:cNvSpPr txBox="1"/>
      </xdr:nvSpPr>
      <xdr:spPr>
        <a:xfrm>
          <a:off x="5138547" y="24288606"/>
          <a:ext cx="56021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Ranney well</a:t>
          </a:r>
        </a:p>
      </xdr:txBody>
    </xdr:sp>
    <xdr:clientData/>
  </xdr:oneCellAnchor>
  <xdr:twoCellAnchor editAs="oneCell">
    <xdr:from>
      <xdr:col>5</xdr:col>
      <xdr:colOff>127</xdr:colOff>
      <xdr:row>123</xdr:row>
      <xdr:rowOff>90170</xdr:rowOff>
    </xdr:from>
    <xdr:to>
      <xdr:col>5</xdr:col>
      <xdr:colOff>190627</xdr:colOff>
      <xdr:row>124</xdr:row>
      <xdr:rowOff>90170</xdr:rowOff>
    </xdr:to>
    <xdr:sp macro="_xll.PtreeEvent_ObjectClick" textlink="">
      <xdr:nvSpPr>
        <xdr:cNvPr id="1592" name="PTObj_DNode_2_26"/>
        <xdr:cNvSpPr/>
      </xdr:nvSpPr>
      <xdr:spPr>
        <a:xfrm>
          <a:off x="8477377" y="23521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123</xdr:row>
      <xdr:rowOff>95106</xdr:rowOff>
    </xdr:from>
    <xdr:ext cx="193002" cy="180627"/>
    <xdr:sp macro="_xll.PtreeEvent_ObjectClick" textlink="">
      <xdr:nvSpPr>
        <xdr:cNvPr id="1595" name="PTObj_DBranchName_2_26"/>
        <xdr:cNvSpPr txBox="1"/>
      </xdr:nvSpPr>
      <xdr:spPr>
        <a:xfrm>
          <a:off x="6948297" y="23526606"/>
          <a:ext cx="193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121</xdr:row>
      <xdr:rowOff>90170</xdr:rowOff>
    </xdr:from>
    <xdr:to>
      <xdr:col>6</xdr:col>
      <xdr:colOff>190627</xdr:colOff>
      <xdr:row>122</xdr:row>
      <xdr:rowOff>90170</xdr:rowOff>
    </xdr:to>
    <xdr:sp macro="_xll.PtreeEvent_ObjectClick" textlink="">
      <xdr:nvSpPr>
        <xdr:cNvPr id="1596" name="PTObj_DNode_2_27"/>
        <xdr:cNvSpPr/>
      </xdr:nvSpPr>
      <xdr:spPr>
        <a:xfrm rot="-5400000">
          <a:off x="10287127" y="23140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121</xdr:row>
      <xdr:rowOff>95106</xdr:rowOff>
    </xdr:from>
    <xdr:ext cx="193002" cy="180627"/>
    <xdr:sp macro="_xll.PtreeEvent_ObjectClick" textlink="">
      <xdr:nvSpPr>
        <xdr:cNvPr id="1599" name="PTObj_DBranchName_2_27"/>
        <xdr:cNvSpPr txBox="1"/>
      </xdr:nvSpPr>
      <xdr:spPr>
        <a:xfrm>
          <a:off x="8758047" y="23145606"/>
          <a:ext cx="193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125</xdr:row>
      <xdr:rowOff>90170</xdr:rowOff>
    </xdr:from>
    <xdr:to>
      <xdr:col>6</xdr:col>
      <xdr:colOff>190627</xdr:colOff>
      <xdr:row>126</xdr:row>
      <xdr:rowOff>90170</xdr:rowOff>
    </xdr:to>
    <xdr:sp macro="_xll.PtreeEvent_ObjectClick" textlink="">
      <xdr:nvSpPr>
        <xdr:cNvPr id="1600" name="PTObj_DNode_2_60"/>
        <xdr:cNvSpPr/>
      </xdr:nvSpPr>
      <xdr:spPr>
        <a:xfrm rot="-5400000">
          <a:off x="10287127" y="23902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125</xdr:row>
      <xdr:rowOff>95106</xdr:rowOff>
    </xdr:from>
    <xdr:ext cx="163442" cy="180627"/>
    <xdr:sp macro="_xll.PtreeEvent_ObjectClick" textlink="">
      <xdr:nvSpPr>
        <xdr:cNvPr id="1603" name="PTObj_DBranchName_2_60"/>
        <xdr:cNvSpPr txBox="1"/>
      </xdr:nvSpPr>
      <xdr:spPr>
        <a:xfrm>
          <a:off x="8758047" y="23907606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131</xdr:row>
      <xdr:rowOff>90170</xdr:rowOff>
    </xdr:from>
    <xdr:to>
      <xdr:col>5</xdr:col>
      <xdr:colOff>190627</xdr:colOff>
      <xdr:row>132</xdr:row>
      <xdr:rowOff>90170</xdr:rowOff>
    </xdr:to>
    <xdr:sp macro="_xll.PtreeEvent_ObjectClick" textlink="">
      <xdr:nvSpPr>
        <xdr:cNvPr id="1604" name="PTObj_DNode_2_61"/>
        <xdr:cNvSpPr/>
      </xdr:nvSpPr>
      <xdr:spPr>
        <a:xfrm>
          <a:off x="8477377" y="25045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131</xdr:row>
      <xdr:rowOff>95106</xdr:rowOff>
    </xdr:from>
    <xdr:ext cx="163442" cy="180627"/>
    <xdr:sp macro="_xll.PtreeEvent_ObjectClick" textlink="">
      <xdr:nvSpPr>
        <xdr:cNvPr id="1607" name="PTObj_DBranchName_2_61"/>
        <xdr:cNvSpPr txBox="1"/>
      </xdr:nvSpPr>
      <xdr:spPr>
        <a:xfrm>
          <a:off x="6948297" y="25050606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129</xdr:row>
      <xdr:rowOff>90170</xdr:rowOff>
    </xdr:from>
    <xdr:to>
      <xdr:col>6</xdr:col>
      <xdr:colOff>190627</xdr:colOff>
      <xdr:row>130</xdr:row>
      <xdr:rowOff>90170</xdr:rowOff>
    </xdr:to>
    <xdr:sp macro="_xll.PtreeEvent_ObjectClick" textlink="">
      <xdr:nvSpPr>
        <xdr:cNvPr id="1608" name="PTObj_DNode_2_62"/>
        <xdr:cNvSpPr/>
      </xdr:nvSpPr>
      <xdr:spPr>
        <a:xfrm rot="-5400000">
          <a:off x="10287127" y="2466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129</xdr:row>
      <xdr:rowOff>95106</xdr:rowOff>
    </xdr:from>
    <xdr:ext cx="193002" cy="180627"/>
    <xdr:sp macro="_xll.PtreeEvent_ObjectClick" textlink="">
      <xdr:nvSpPr>
        <xdr:cNvPr id="1611" name="PTObj_DBranchName_2_62"/>
        <xdr:cNvSpPr txBox="1"/>
      </xdr:nvSpPr>
      <xdr:spPr>
        <a:xfrm>
          <a:off x="8758047" y="24669606"/>
          <a:ext cx="19300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133</xdr:row>
      <xdr:rowOff>90170</xdr:rowOff>
    </xdr:from>
    <xdr:to>
      <xdr:col>6</xdr:col>
      <xdr:colOff>190627</xdr:colOff>
      <xdr:row>134</xdr:row>
      <xdr:rowOff>90170</xdr:rowOff>
    </xdr:to>
    <xdr:sp macro="_xll.PtreeEvent_ObjectClick" textlink="">
      <xdr:nvSpPr>
        <xdr:cNvPr id="1612" name="PTObj_DNode_2_63"/>
        <xdr:cNvSpPr/>
      </xdr:nvSpPr>
      <xdr:spPr>
        <a:xfrm rot="-5400000">
          <a:off x="10287127" y="2542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133</xdr:row>
      <xdr:rowOff>95106</xdr:rowOff>
    </xdr:from>
    <xdr:ext cx="163442" cy="180627"/>
    <xdr:sp macro="_xll.PtreeEvent_ObjectClick" textlink="">
      <xdr:nvSpPr>
        <xdr:cNvPr id="1615" name="PTObj_DBranchName_2_63"/>
        <xdr:cNvSpPr txBox="1"/>
      </xdr:nvSpPr>
      <xdr:spPr>
        <a:xfrm>
          <a:off x="8758047" y="25431606"/>
          <a:ext cx="1634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8" sqref="B8"/>
    </sheetView>
  </sheetViews>
  <sheetFormatPr defaultRowHeight="14.35" x14ac:dyDescent="0.5"/>
  <cols>
    <col min="1" max="1" width="15.41015625" bestFit="1" customWidth="1"/>
    <col min="2" max="2" width="14.703125" bestFit="1" customWidth="1"/>
    <col min="3" max="4" width="11.1171875" customWidth="1"/>
    <col min="5" max="5" width="15.29296875" customWidth="1"/>
    <col min="7" max="7" width="17.87890625" customWidth="1"/>
  </cols>
  <sheetData>
    <row r="1" spans="1:7" x14ac:dyDescent="0.5">
      <c r="A1" s="13" t="s">
        <v>65</v>
      </c>
    </row>
    <row r="3" spans="1:7" x14ac:dyDescent="0.5">
      <c r="A3" s="30" t="s">
        <v>49</v>
      </c>
      <c r="B3" s="30" t="s">
        <v>85</v>
      </c>
    </row>
    <row r="4" spans="1:7" x14ac:dyDescent="0.5">
      <c r="A4" s="14" t="s">
        <v>58</v>
      </c>
      <c r="B4" s="31">
        <f>J22</f>
        <v>0.2857142857142857</v>
      </c>
    </row>
    <row r="5" spans="1:7" x14ac:dyDescent="0.5">
      <c r="A5" s="14" t="s">
        <v>86</v>
      </c>
      <c r="B5" s="31">
        <f>J23</f>
        <v>0.35714285714285715</v>
      </c>
    </row>
    <row r="6" spans="1:7" x14ac:dyDescent="0.5">
      <c r="A6" s="14" t="s">
        <v>87</v>
      </c>
      <c r="B6" s="31">
        <f>J24</f>
        <v>0.21428571428571427</v>
      </c>
    </row>
    <row r="7" spans="1:7" x14ac:dyDescent="0.5">
      <c r="A7" s="14" t="s">
        <v>59</v>
      </c>
      <c r="B7" s="31">
        <f>J25</f>
        <v>0</v>
      </c>
    </row>
    <row r="8" spans="1:7" x14ac:dyDescent="0.5">
      <c r="A8" s="14" t="s">
        <v>60</v>
      </c>
      <c r="B8" s="31">
        <f>J26</f>
        <v>0.14285714285714285</v>
      </c>
    </row>
    <row r="9" spans="1:7" x14ac:dyDescent="0.5">
      <c r="A9" s="32" t="s">
        <v>50</v>
      </c>
      <c r="B9" s="33">
        <f>SUM(B4:B8)</f>
        <v>1</v>
      </c>
    </row>
    <row r="10" spans="1:7" x14ac:dyDescent="0.5">
      <c r="A10" s="34"/>
      <c r="B10" s="34"/>
    </row>
    <row r="11" spans="1:7" x14ac:dyDescent="0.5">
      <c r="A11" s="35" t="s">
        <v>88</v>
      </c>
      <c r="C11" s="35" t="s">
        <v>0</v>
      </c>
      <c r="D11" s="35" t="s">
        <v>0</v>
      </c>
      <c r="E11" s="35" t="s">
        <v>0</v>
      </c>
      <c r="F11" t="s">
        <v>89</v>
      </c>
      <c r="G11" t="s">
        <v>90</v>
      </c>
    </row>
    <row r="12" spans="1:7" s="36" customFormat="1" ht="43" x14ac:dyDescent="0.5">
      <c r="C12" s="36" t="s">
        <v>91</v>
      </c>
      <c r="D12" s="36" t="s">
        <v>92</v>
      </c>
      <c r="E12" s="36" t="s">
        <v>93</v>
      </c>
      <c r="F12" s="36" t="s">
        <v>94</v>
      </c>
      <c r="G12" s="36" t="s">
        <v>95</v>
      </c>
    </row>
    <row r="15" spans="1:7" x14ac:dyDescent="0.5">
      <c r="A15">
        <v>3</v>
      </c>
      <c r="C15">
        <v>402000</v>
      </c>
      <c r="D15">
        <v>670</v>
      </c>
      <c r="E15" t="s">
        <v>96</v>
      </c>
      <c r="F15" t="s">
        <v>97</v>
      </c>
      <c r="G15" t="s">
        <v>98</v>
      </c>
    </row>
    <row r="16" spans="1:7" x14ac:dyDescent="0.5">
      <c r="A16">
        <v>4</v>
      </c>
      <c r="C16">
        <v>369000</v>
      </c>
      <c r="D16">
        <v>574</v>
      </c>
      <c r="E16" t="s">
        <v>96</v>
      </c>
      <c r="F16" t="s">
        <v>97</v>
      </c>
      <c r="G16" t="s">
        <v>97</v>
      </c>
    </row>
    <row r="17" spans="1:11" x14ac:dyDescent="0.5">
      <c r="A17">
        <v>5</v>
      </c>
      <c r="C17">
        <v>342000</v>
      </c>
      <c r="D17">
        <v>633</v>
      </c>
      <c r="E17" t="s">
        <v>99</v>
      </c>
      <c r="F17" t="s">
        <v>97</v>
      </c>
      <c r="G17" t="s">
        <v>98</v>
      </c>
    </row>
    <row r="18" spans="1:11" x14ac:dyDescent="0.5">
      <c r="A18">
        <v>6</v>
      </c>
      <c r="C18">
        <v>413000</v>
      </c>
      <c r="D18">
        <v>743</v>
      </c>
      <c r="E18" t="s">
        <v>96</v>
      </c>
      <c r="F18" t="s">
        <v>97</v>
      </c>
      <c r="G18" t="s">
        <v>98</v>
      </c>
    </row>
    <row r="20" spans="1:11" x14ac:dyDescent="0.5">
      <c r="H20" s="13" t="s">
        <v>100</v>
      </c>
      <c r="I20" s="13" t="s">
        <v>101</v>
      </c>
      <c r="J20" s="13" t="s">
        <v>85</v>
      </c>
    </row>
    <row r="21" spans="1:11" x14ac:dyDescent="0.5">
      <c r="A21" t="s">
        <v>102</v>
      </c>
      <c r="C21">
        <v>413000</v>
      </c>
      <c r="D21">
        <v>743</v>
      </c>
      <c r="E21" t="s">
        <v>99</v>
      </c>
      <c r="F21" t="s">
        <v>97</v>
      </c>
      <c r="G21" t="s">
        <v>97</v>
      </c>
      <c r="H21">
        <v>6</v>
      </c>
      <c r="I21">
        <v>0</v>
      </c>
      <c r="J21">
        <f>I21/$I$27</f>
        <v>0</v>
      </c>
    </row>
    <row r="22" spans="1:11" x14ac:dyDescent="0.5">
      <c r="A22" t="s">
        <v>103</v>
      </c>
      <c r="B22" t="s">
        <v>104</v>
      </c>
      <c r="C22" s="13">
        <v>342000</v>
      </c>
      <c r="D22">
        <v>743</v>
      </c>
      <c r="E22" t="s">
        <v>99</v>
      </c>
      <c r="F22" t="s">
        <v>97</v>
      </c>
      <c r="G22" t="s">
        <v>97</v>
      </c>
      <c r="H22">
        <v>2</v>
      </c>
      <c r="I22">
        <v>80</v>
      </c>
      <c r="J22">
        <f t="shared" ref="J22:J26" si="0">I22/$I$27</f>
        <v>0.2857142857142857</v>
      </c>
    </row>
    <row r="23" spans="1:11" x14ac:dyDescent="0.5">
      <c r="A23" t="s">
        <v>105</v>
      </c>
      <c r="B23" t="s">
        <v>106</v>
      </c>
      <c r="C23">
        <v>413000</v>
      </c>
      <c r="D23" s="13">
        <v>574</v>
      </c>
      <c r="E23" t="s">
        <v>99</v>
      </c>
      <c r="F23" t="s">
        <v>97</v>
      </c>
      <c r="G23" t="s">
        <v>97</v>
      </c>
      <c r="H23">
        <v>1</v>
      </c>
      <c r="I23">
        <v>100</v>
      </c>
      <c r="J23">
        <f t="shared" si="0"/>
        <v>0.35714285714285715</v>
      </c>
    </row>
    <row r="24" spans="1:11" x14ac:dyDescent="0.5">
      <c r="A24" t="s">
        <v>107</v>
      </c>
      <c r="B24" t="s">
        <v>108</v>
      </c>
      <c r="C24">
        <v>413000</v>
      </c>
      <c r="D24">
        <v>743</v>
      </c>
      <c r="E24" s="13" t="s">
        <v>96</v>
      </c>
      <c r="F24" t="s">
        <v>97</v>
      </c>
      <c r="G24" t="s">
        <v>97</v>
      </c>
      <c r="H24">
        <v>3</v>
      </c>
      <c r="I24">
        <v>60</v>
      </c>
      <c r="J24">
        <f t="shared" si="0"/>
        <v>0.21428571428571427</v>
      </c>
      <c r="K24" t="s">
        <v>109</v>
      </c>
    </row>
    <row r="25" spans="1:11" x14ac:dyDescent="0.5">
      <c r="A25" t="s">
        <v>110</v>
      </c>
      <c r="B25" t="s">
        <v>111</v>
      </c>
      <c r="C25">
        <v>413000</v>
      </c>
      <c r="D25">
        <v>743</v>
      </c>
      <c r="E25" t="s">
        <v>99</v>
      </c>
      <c r="F25" s="13" t="s">
        <v>97</v>
      </c>
      <c r="G25" t="s">
        <v>97</v>
      </c>
      <c r="H25">
        <v>6</v>
      </c>
      <c r="I25">
        <v>0</v>
      </c>
      <c r="J25">
        <f t="shared" si="0"/>
        <v>0</v>
      </c>
      <c r="K25" t="s">
        <v>112</v>
      </c>
    </row>
    <row r="26" spans="1:11" x14ac:dyDescent="0.5">
      <c r="A26" t="s">
        <v>113</v>
      </c>
      <c r="B26" t="s">
        <v>114</v>
      </c>
      <c r="C26">
        <v>413000</v>
      </c>
      <c r="D26">
        <v>743</v>
      </c>
      <c r="E26" t="s">
        <v>99</v>
      </c>
      <c r="F26" t="s">
        <v>97</v>
      </c>
      <c r="G26" s="13" t="s">
        <v>98</v>
      </c>
      <c r="H26">
        <v>4</v>
      </c>
      <c r="I26">
        <v>40</v>
      </c>
      <c r="J26">
        <f t="shared" si="0"/>
        <v>0.14285714285714285</v>
      </c>
    </row>
    <row r="27" spans="1:11" x14ac:dyDescent="0.5">
      <c r="I27">
        <f>SUM(I21:I26)</f>
        <v>280</v>
      </c>
    </row>
  </sheetData>
  <sortState ref="A18:A20">
    <sortCondition ref="A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abSelected="1" zoomScale="120" zoomScaleNormal="120" workbookViewId="0">
      <selection activeCell="B38" sqref="B38"/>
    </sheetView>
  </sheetViews>
  <sheetFormatPr defaultRowHeight="14.35" x14ac:dyDescent="0.5"/>
  <cols>
    <col min="1" max="1" width="18.29296875" customWidth="1"/>
  </cols>
  <sheetData>
    <row r="1" spans="1:3" x14ac:dyDescent="0.5">
      <c r="A1" s="13" t="s">
        <v>71</v>
      </c>
    </row>
    <row r="2" spans="1:3" x14ac:dyDescent="0.5">
      <c r="A2" s="13"/>
    </row>
    <row r="3" spans="1:3" x14ac:dyDescent="0.5">
      <c r="A3" s="25" t="s">
        <v>64</v>
      </c>
      <c r="B3" s="13" t="s">
        <v>70</v>
      </c>
    </row>
    <row r="4" spans="1:3" x14ac:dyDescent="0.5">
      <c r="A4" s="14" t="s">
        <v>56</v>
      </c>
      <c r="B4" s="14">
        <v>1</v>
      </c>
    </row>
    <row r="5" spans="1:3" x14ac:dyDescent="0.5">
      <c r="A5" s="14" t="s">
        <v>57</v>
      </c>
      <c r="B5" s="14">
        <v>0</v>
      </c>
    </row>
    <row r="6" spans="1:3" x14ac:dyDescent="0.5">
      <c r="A6" s="13"/>
    </row>
    <row r="7" spans="1:3" ht="28.7" x14ac:dyDescent="0.5">
      <c r="A7" s="25" t="s">
        <v>63</v>
      </c>
      <c r="B7" s="13" t="s">
        <v>70</v>
      </c>
    </row>
    <row r="8" spans="1:3" x14ac:dyDescent="0.5">
      <c r="A8" s="14" t="s">
        <v>54</v>
      </c>
      <c r="B8" s="14">
        <v>1</v>
      </c>
    </row>
    <row r="9" spans="1:3" x14ac:dyDescent="0.5">
      <c r="A9" s="14" t="s">
        <v>55</v>
      </c>
      <c r="B9" s="14">
        <v>0</v>
      </c>
    </row>
    <row r="11" spans="1:3" x14ac:dyDescent="0.5">
      <c r="A11" s="13" t="s">
        <v>175</v>
      </c>
      <c r="B11" s="13" t="s">
        <v>70</v>
      </c>
      <c r="C11" s="34"/>
    </row>
    <row r="12" spans="1:3" x14ac:dyDescent="0.5">
      <c r="A12" s="14">
        <v>402000</v>
      </c>
      <c r="B12" s="14">
        <v>0.15492957746478872</v>
      </c>
      <c r="C12" s="39" t="s">
        <v>170</v>
      </c>
    </row>
    <row r="13" spans="1:3" x14ac:dyDescent="0.5">
      <c r="A13" s="14">
        <v>342000</v>
      </c>
      <c r="B13" s="14">
        <v>1</v>
      </c>
      <c r="C13" s="39" t="s">
        <v>44</v>
      </c>
    </row>
    <row r="14" spans="1:3" x14ac:dyDescent="0.5">
      <c r="A14" s="14">
        <v>413000</v>
      </c>
      <c r="B14" s="14">
        <v>0</v>
      </c>
      <c r="C14" s="39" t="s">
        <v>52</v>
      </c>
    </row>
    <row r="16" spans="1:3" x14ac:dyDescent="0.5">
      <c r="A16" s="13" t="s">
        <v>176</v>
      </c>
      <c r="B16" s="13" t="s">
        <v>70</v>
      </c>
    </row>
    <row r="17" spans="1:9" x14ac:dyDescent="0.5">
      <c r="A17" s="14">
        <v>670</v>
      </c>
      <c r="B17" s="14">
        <f>(A19-A17)/(A19-A18)</f>
        <v>0.66363636363636369</v>
      </c>
      <c r="C17" s="39" t="s">
        <v>170</v>
      </c>
    </row>
    <row r="18" spans="1:9" x14ac:dyDescent="0.5">
      <c r="A18" s="14">
        <v>633</v>
      </c>
      <c r="B18" s="14">
        <v>1</v>
      </c>
      <c r="C18" s="39" t="s">
        <v>44</v>
      </c>
    </row>
    <row r="19" spans="1:9" x14ac:dyDescent="0.5">
      <c r="A19" s="14">
        <v>743</v>
      </c>
      <c r="B19" s="14">
        <v>0</v>
      </c>
      <c r="C19" s="39" t="s">
        <v>52</v>
      </c>
    </row>
    <row r="21" spans="1:9" x14ac:dyDescent="0.5">
      <c r="A21" s="13" t="s">
        <v>177</v>
      </c>
      <c r="B21" s="13" t="s">
        <v>70</v>
      </c>
    </row>
    <row r="22" spans="1:9" x14ac:dyDescent="0.5">
      <c r="A22" s="14" t="s">
        <v>96</v>
      </c>
      <c r="B22" s="14">
        <v>0.5</v>
      </c>
    </row>
    <row r="23" spans="1:9" x14ac:dyDescent="0.5">
      <c r="A23" s="14" t="s">
        <v>96</v>
      </c>
      <c r="B23" s="14">
        <v>0.5</v>
      </c>
    </row>
    <row r="24" spans="1:9" x14ac:dyDescent="0.5">
      <c r="A24" s="14" t="s">
        <v>96</v>
      </c>
      <c r="B24" s="14">
        <v>0.5</v>
      </c>
      <c r="F24" s="39" t="s">
        <v>169</v>
      </c>
      <c r="G24" s="39" t="s">
        <v>0</v>
      </c>
      <c r="H24" s="39" t="s">
        <v>172</v>
      </c>
      <c r="I24" s="39" t="s">
        <v>70</v>
      </c>
    </row>
    <row r="25" spans="1:9" x14ac:dyDescent="0.5">
      <c r="F25" s="39" t="s">
        <v>170</v>
      </c>
      <c r="G25" s="39">
        <v>402000</v>
      </c>
      <c r="H25" s="39" t="s">
        <v>173</v>
      </c>
      <c r="I25" s="40">
        <f>(G27-G25)/(G27-G26)</f>
        <v>0.15492957746478872</v>
      </c>
    </row>
    <row r="26" spans="1:9" x14ac:dyDescent="0.5">
      <c r="F26" s="39" t="s">
        <v>44</v>
      </c>
      <c r="G26" s="39">
        <v>342000</v>
      </c>
      <c r="H26" s="39" t="s">
        <v>171</v>
      </c>
      <c r="I26" s="39">
        <v>1</v>
      </c>
    </row>
    <row r="27" spans="1:9" x14ac:dyDescent="0.5">
      <c r="F27" s="39" t="s">
        <v>52</v>
      </c>
      <c r="G27" s="39">
        <v>413000</v>
      </c>
      <c r="H27" s="39" t="s">
        <v>174</v>
      </c>
      <c r="I27" s="39">
        <v>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3" sqref="C3"/>
    </sheetView>
  </sheetViews>
  <sheetFormatPr defaultRowHeight="14.35" x14ac:dyDescent="0.5"/>
  <cols>
    <col min="1" max="1" width="16.41015625" customWidth="1"/>
    <col min="2" max="7" width="13.1171875" customWidth="1"/>
  </cols>
  <sheetData>
    <row r="1" spans="1:7" x14ac:dyDescent="0.5">
      <c r="A1" s="13" t="s">
        <v>66</v>
      </c>
    </row>
    <row r="3" spans="1:7" x14ac:dyDescent="0.5">
      <c r="A3" s="13" t="s">
        <v>62</v>
      </c>
      <c r="B3" s="23">
        <f>Cost_weight</f>
        <v>0.2857142857142857</v>
      </c>
      <c r="C3" s="23">
        <f>Cost2_weight</f>
        <v>0.35714285714285715</v>
      </c>
      <c r="D3" s="23">
        <f>Cost3_weight</f>
        <v>0.21428571428571427</v>
      </c>
      <c r="E3" s="23">
        <f>Quantity_weight</f>
        <v>0</v>
      </c>
      <c r="F3" s="23">
        <f>Quality_weight</f>
        <v>0.14285714285714285</v>
      </c>
      <c r="G3" s="22">
        <f>SUM(B3:F3)</f>
        <v>1</v>
      </c>
    </row>
    <row r="4" spans="1:7" ht="57.35" x14ac:dyDescent="0.5">
      <c r="A4" s="16" t="s">
        <v>51</v>
      </c>
      <c r="B4" s="17" t="s">
        <v>115</v>
      </c>
      <c r="C4" s="17" t="s">
        <v>116</v>
      </c>
      <c r="D4" s="17" t="s">
        <v>117</v>
      </c>
      <c r="E4" s="17" t="s">
        <v>72</v>
      </c>
      <c r="F4" s="17" t="s">
        <v>73</v>
      </c>
      <c r="G4" s="19" t="s">
        <v>50</v>
      </c>
    </row>
    <row r="5" spans="1:7" x14ac:dyDescent="0.5">
      <c r="A5" s="15" t="s">
        <v>118</v>
      </c>
      <c r="B5" s="14">
        <v>60</v>
      </c>
      <c r="C5" s="14">
        <v>120</v>
      </c>
      <c r="D5" s="14">
        <v>90</v>
      </c>
      <c r="E5" s="14">
        <v>200</v>
      </c>
      <c r="F5" s="14">
        <v>250</v>
      </c>
      <c r="G5" s="24">
        <f>SUMPRODUCT(B5:F5,$B$3:$F$3)</f>
        <v>115</v>
      </c>
    </row>
    <row r="6" spans="1:7" x14ac:dyDescent="0.5">
      <c r="A6" s="15" t="s">
        <v>119</v>
      </c>
      <c r="B6" s="14">
        <v>69</v>
      </c>
      <c r="C6" s="14">
        <v>120</v>
      </c>
      <c r="D6" s="14">
        <v>90</v>
      </c>
      <c r="E6" s="14">
        <v>200</v>
      </c>
      <c r="F6" s="14">
        <v>200</v>
      </c>
      <c r="G6" s="24">
        <f t="shared" ref="G6:G9" si="0">SUMPRODUCT(B6:F6,$B$3:$F$3)</f>
        <v>110.42857142857143</v>
      </c>
    </row>
    <row r="7" spans="1:7" x14ac:dyDescent="0.5">
      <c r="A7" s="15" t="s">
        <v>44</v>
      </c>
      <c r="B7" s="14">
        <v>78</v>
      </c>
      <c r="C7" s="14">
        <v>120</v>
      </c>
      <c r="D7" s="14">
        <v>0</v>
      </c>
      <c r="E7" s="14">
        <v>200</v>
      </c>
      <c r="F7" s="14">
        <v>250</v>
      </c>
      <c r="G7" s="24">
        <f t="shared" si="0"/>
        <v>100.85714285714286</v>
      </c>
    </row>
    <row r="8" spans="1:7" x14ac:dyDescent="0.5">
      <c r="A8" s="15" t="s">
        <v>52</v>
      </c>
      <c r="B8" s="14">
        <v>57</v>
      </c>
      <c r="C8" s="14">
        <v>120</v>
      </c>
      <c r="D8" s="14">
        <v>90</v>
      </c>
      <c r="E8" s="14">
        <v>200</v>
      </c>
      <c r="F8" s="14">
        <v>250</v>
      </c>
      <c r="G8" s="24">
        <f t="shared" si="0"/>
        <v>114.14285714285714</v>
      </c>
    </row>
    <row r="9" spans="1:7" x14ac:dyDescent="0.5">
      <c r="A9" s="15" t="s">
        <v>53</v>
      </c>
      <c r="B9" s="18">
        <v>100</v>
      </c>
      <c r="C9" s="18">
        <v>200</v>
      </c>
      <c r="D9" s="18">
        <v>100</v>
      </c>
      <c r="E9" s="18">
        <v>50</v>
      </c>
      <c r="F9" s="18">
        <v>150</v>
      </c>
      <c r="G9" s="24">
        <f t="shared" si="0"/>
        <v>142.85714285714286</v>
      </c>
    </row>
    <row r="11" spans="1:7" x14ac:dyDescent="0.5">
      <c r="G11" t="s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38" sqref="D38"/>
    </sheetView>
  </sheetViews>
  <sheetFormatPr defaultRowHeight="14.35" x14ac:dyDescent="0.5"/>
  <cols>
    <col min="1" max="1" width="34.703125" customWidth="1"/>
    <col min="2" max="2" width="11" bestFit="1" customWidth="1"/>
    <col min="3" max="3" width="16.703125" customWidth="1"/>
  </cols>
  <sheetData>
    <row r="1" spans="1:3" x14ac:dyDescent="0.5">
      <c r="A1" s="13" t="s">
        <v>69</v>
      </c>
    </row>
    <row r="3" spans="1:3" ht="28.7" x14ac:dyDescent="0.5">
      <c r="A3" s="13" t="s">
        <v>61</v>
      </c>
      <c r="B3" s="13" t="s">
        <v>51</v>
      </c>
      <c r="C3" s="27" t="s">
        <v>74</v>
      </c>
    </row>
    <row r="4" spans="1:3" x14ac:dyDescent="0.5">
      <c r="A4" s="14" t="s">
        <v>56</v>
      </c>
      <c r="B4" s="20" t="s">
        <v>43</v>
      </c>
      <c r="C4" s="24">
        <v>0.8</v>
      </c>
    </row>
    <row r="5" spans="1:3" x14ac:dyDescent="0.5">
      <c r="A5" s="14" t="s">
        <v>56</v>
      </c>
      <c r="B5" s="20" t="s">
        <v>44</v>
      </c>
      <c r="C5" s="24">
        <v>0.95</v>
      </c>
    </row>
    <row r="6" spans="1:3" x14ac:dyDescent="0.5">
      <c r="A6" s="14" t="s">
        <v>56</v>
      </c>
      <c r="B6" s="20" t="s">
        <v>52</v>
      </c>
      <c r="C6" s="24">
        <v>0.95</v>
      </c>
    </row>
    <row r="7" spans="1:3" x14ac:dyDescent="0.5">
      <c r="A7" s="14" t="s">
        <v>56</v>
      </c>
      <c r="B7" s="20" t="s">
        <v>53</v>
      </c>
      <c r="C7" s="24">
        <v>0</v>
      </c>
    </row>
    <row r="8" spans="1:3" x14ac:dyDescent="0.5">
      <c r="B8" s="21"/>
      <c r="C8" s="23"/>
    </row>
    <row r="9" spans="1:3" x14ac:dyDescent="0.5">
      <c r="A9" s="14" t="s">
        <v>54</v>
      </c>
      <c r="B9" s="20" t="s">
        <v>43</v>
      </c>
      <c r="C9" s="24">
        <v>0.4</v>
      </c>
    </row>
    <row r="10" spans="1:3" x14ac:dyDescent="0.5">
      <c r="A10" s="14" t="s">
        <v>54</v>
      </c>
      <c r="B10" s="20" t="s">
        <v>44</v>
      </c>
      <c r="C10" s="24">
        <v>1</v>
      </c>
    </row>
    <row r="11" spans="1:3" x14ac:dyDescent="0.5">
      <c r="A11" s="14" t="s">
        <v>54</v>
      </c>
      <c r="B11" s="20" t="s">
        <v>52</v>
      </c>
      <c r="C11" s="24">
        <v>0.9</v>
      </c>
    </row>
    <row r="12" spans="1:3" x14ac:dyDescent="0.5">
      <c r="A12" s="14" t="s">
        <v>54</v>
      </c>
      <c r="B12" s="20" t="s">
        <v>53</v>
      </c>
      <c r="C12" s="24">
        <v>0</v>
      </c>
    </row>
    <row r="14" spans="1:3" x14ac:dyDescent="0.5">
      <c r="A14" s="14" t="s">
        <v>67</v>
      </c>
      <c r="B14" s="14"/>
      <c r="C14" s="26">
        <v>0.5</v>
      </c>
    </row>
    <row r="15" spans="1:3" x14ac:dyDescent="0.5">
      <c r="A15" s="14" t="s">
        <v>68</v>
      </c>
      <c r="B15" s="14"/>
      <c r="C15" s="26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G153"/>
  <sheetViews>
    <sheetView topLeftCell="D101" zoomScaleNormal="100" workbookViewId="0">
      <selection activeCell="D113" sqref="D113"/>
    </sheetView>
  </sheetViews>
  <sheetFormatPr defaultRowHeight="14.35" x14ac:dyDescent="0.5"/>
  <cols>
    <col min="1" max="1" width="18.5859375" customWidth="1"/>
    <col min="2" max="9" width="27.1171875" customWidth="1"/>
  </cols>
  <sheetData>
    <row r="28" spans="5:7" ht="15" customHeight="1" x14ac:dyDescent="0.5">
      <c r="F28" s="12">
        <f>Probabilities!C4</f>
        <v>0.8</v>
      </c>
      <c r="G28" s="5">
        <f>_xll.PTreeNodeProbability(treeCalc_2!$F$2,5)</f>
        <v>0</v>
      </c>
    </row>
    <row r="29" spans="5:7" ht="15" customHeight="1" x14ac:dyDescent="0.5">
      <c r="F29" s="6">
        <f>Quality_yes*Quality_weight</f>
        <v>0.14285714285714285</v>
      </c>
      <c r="G29" s="4">
        <f>_xll.PTreeNodeValue(treeCalc_2!$F$2,5)</f>
        <v>0.53127858057435517</v>
      </c>
    </row>
    <row r="30" spans="5:7" ht="15" customHeight="1" x14ac:dyDescent="0.5">
      <c r="E30" s="12">
        <f>Probabilities!C9</f>
        <v>0.4</v>
      </c>
      <c r="F30" s="10" t="s">
        <v>48</v>
      </c>
    </row>
    <row r="31" spans="5:7" ht="15" customHeight="1" x14ac:dyDescent="0.5">
      <c r="E31" s="6">
        <f>Quantity_yes*Quantity_weight</f>
        <v>0</v>
      </c>
      <c r="F31" s="11">
        <f>_xll.PTreeNodeValue(treeCalc_2!$F$2,4)</f>
        <v>0.50270715200292659</v>
      </c>
    </row>
    <row r="32" spans="5:7" ht="15" customHeight="1" x14ac:dyDescent="0.5">
      <c r="F32" s="12">
        <f>1-F28</f>
        <v>0.19999999999999996</v>
      </c>
      <c r="G32" s="5">
        <f>_xll.PTreeNodeProbability(treeCalc_2!$F$2,32)</f>
        <v>0</v>
      </c>
    </row>
    <row r="33" spans="3:7" ht="15" customHeight="1" x14ac:dyDescent="0.5">
      <c r="F33" s="6">
        <f>Quality_no*Quality_weight</f>
        <v>0</v>
      </c>
      <c r="G33" s="4">
        <f>_xll.PTreeNodeValue(treeCalc_2!$F$2,32)</f>
        <v>0.38842143771721238</v>
      </c>
    </row>
    <row r="34" spans="3:7" ht="15" customHeight="1" x14ac:dyDescent="0.5">
      <c r="D34" s="9" t="b">
        <f>_xll.PTreeNodeDecision(treeCalc_2!$F$2,3)</f>
        <v>0</v>
      </c>
      <c r="E34" s="10" t="s">
        <v>135</v>
      </c>
    </row>
    <row r="35" spans="3:7" ht="15" customHeight="1" x14ac:dyDescent="0.5">
      <c r="D35" s="38">
        <f>'Utility Maps'!$B$12*Cost_weight+'Utility Maps'!$B$17*Cost2_weight+'Utility Maps'!$B$22*Cost3_weight</f>
        <v>0.38842143771721238</v>
      </c>
      <c r="E35" s="11">
        <f>_xll.PTreeNodeValue(treeCalc_2!$F$2,3)</f>
        <v>0.50270715200292659</v>
      </c>
    </row>
    <row r="36" spans="3:7" ht="15" customHeight="1" x14ac:dyDescent="0.5">
      <c r="F36" s="12">
        <f>Probabilities!C4</f>
        <v>0.8</v>
      </c>
      <c r="G36" s="5">
        <f>_xll.PTreeNodeProbability(treeCalc_2!$F$2,34)</f>
        <v>0</v>
      </c>
    </row>
    <row r="37" spans="3:7" ht="15" customHeight="1" x14ac:dyDescent="0.5">
      <c r="F37" s="6">
        <f>Quality_yes*Quality_weight</f>
        <v>0.14285714285714285</v>
      </c>
      <c r="G37" s="4">
        <f>_xll.PTreeNodeValue(treeCalc_2!$F$2,34)</f>
        <v>0.53127858057435517</v>
      </c>
    </row>
    <row r="38" spans="3:7" ht="15" customHeight="1" x14ac:dyDescent="0.5">
      <c r="E38" s="12">
        <f>1-E30</f>
        <v>0.6</v>
      </c>
      <c r="F38" s="10" t="s">
        <v>48</v>
      </c>
    </row>
    <row r="39" spans="3:7" ht="15" customHeight="1" x14ac:dyDescent="0.5">
      <c r="E39" s="6">
        <f>Quantity_no*Quantity_weight</f>
        <v>0</v>
      </c>
      <c r="F39" s="11">
        <f>_xll.PTreeNodeValue(treeCalc_2!$F$2,33)</f>
        <v>0.50270715200292659</v>
      </c>
    </row>
    <row r="40" spans="3:7" ht="15" customHeight="1" x14ac:dyDescent="0.5">
      <c r="F40" s="12">
        <f>1-F36</f>
        <v>0.19999999999999996</v>
      </c>
      <c r="G40" s="5">
        <f>_xll.PTreeNodeProbability(treeCalc_2!$F$2,35)</f>
        <v>0</v>
      </c>
    </row>
    <row r="41" spans="3:7" ht="15" customHeight="1" x14ac:dyDescent="0.5">
      <c r="F41" s="6">
        <f>Quality_no*Quality_weight</f>
        <v>0</v>
      </c>
      <c r="G41" s="4">
        <f>_xll.PTreeNodeValue(treeCalc_2!$F$2,35)</f>
        <v>0.38842143771721238</v>
      </c>
    </row>
    <row r="42" spans="3:7" ht="15" customHeight="1" x14ac:dyDescent="0.5">
      <c r="C42" s="29">
        <v>0.5</v>
      </c>
      <c r="D42" s="7" t="s">
        <v>42</v>
      </c>
    </row>
    <row r="43" spans="3:7" ht="15" customHeight="1" x14ac:dyDescent="0.5">
      <c r="C43" s="6">
        <v>0</v>
      </c>
      <c r="D43" s="8">
        <f>_xll.PTreeNodeValue(treeCalc_2!$F$2,2)</f>
        <v>0.88571428571428557</v>
      </c>
    </row>
    <row r="44" spans="3:7" ht="15" customHeight="1" x14ac:dyDescent="0.5">
      <c r="F44" s="12">
        <f>Probabilities!C5</f>
        <v>0.95</v>
      </c>
      <c r="G44" s="5">
        <f>_xll.PTreeNodeProbability(treeCalc_2!$F$2,8)</f>
        <v>0.23749999999999999</v>
      </c>
    </row>
    <row r="45" spans="3:7" ht="15" customHeight="1" x14ac:dyDescent="0.5">
      <c r="F45" s="6">
        <f>Quality_yes*Quality_weight</f>
        <v>0.14285714285714285</v>
      </c>
      <c r="G45" s="4">
        <f>_xll.PTreeNodeValue(treeCalc_2!$F$2,8)</f>
        <v>0.89285714285714279</v>
      </c>
    </row>
    <row r="46" spans="3:7" ht="15" customHeight="1" x14ac:dyDescent="0.5">
      <c r="E46" s="12">
        <f>Probabilities!C10</f>
        <v>1</v>
      </c>
      <c r="F46" s="10" t="s">
        <v>48</v>
      </c>
    </row>
    <row r="47" spans="3:7" ht="15" customHeight="1" x14ac:dyDescent="0.5">
      <c r="E47" s="6">
        <f>Quantity_yes*Quantity_weight</f>
        <v>0</v>
      </c>
      <c r="F47" s="11">
        <f>_xll.PTreeNodeValue(treeCalc_2!$F$2,7)</f>
        <v>0.88571428571428557</v>
      </c>
    </row>
    <row r="48" spans="3:7" ht="15" customHeight="1" x14ac:dyDescent="0.5">
      <c r="F48" s="12">
        <f>1-F44</f>
        <v>5.0000000000000044E-2</v>
      </c>
      <c r="G48" s="5">
        <f>_xll.PTreeNodeProbability(treeCalc_2!$F$2,48)</f>
        <v>1.2500000000000011E-2</v>
      </c>
    </row>
    <row r="49" spans="4:7" ht="15" customHeight="1" x14ac:dyDescent="0.5">
      <c r="F49" s="6">
        <f>Quality_no*Quality_weight</f>
        <v>0</v>
      </c>
      <c r="G49" s="4">
        <f>_xll.PTreeNodeValue(treeCalc_2!$F$2,48)</f>
        <v>0.74999999999999989</v>
      </c>
    </row>
    <row r="50" spans="4:7" ht="15" customHeight="1" x14ac:dyDescent="0.5">
      <c r="D50" s="9" t="b">
        <f>_xll.PTreeNodeDecision(treeCalc_2!$F$2,6)</f>
        <v>1</v>
      </c>
      <c r="E50" s="10" t="s">
        <v>135</v>
      </c>
    </row>
    <row r="51" spans="4:7" ht="15" customHeight="1" x14ac:dyDescent="0.5">
      <c r="D51" s="38">
        <f>'Utility Maps'!$B$13*Cost_weight+'Utility Maps'!$B$18*Cost2_weight+'Utility Maps'!$B$23*Cost3_weight</f>
        <v>0.74999999999999989</v>
      </c>
      <c r="E51" s="11">
        <f>_xll.PTreeNodeValue(treeCalc_2!$F$2,6)</f>
        <v>0.88571428571428557</v>
      </c>
    </row>
    <row r="52" spans="4:7" ht="15" customHeight="1" x14ac:dyDescent="0.5">
      <c r="F52" s="12">
        <f>Probabilities!C5</f>
        <v>0.95</v>
      </c>
      <c r="G52" s="5">
        <f>_xll.PTreeNodeProbability(treeCalc_2!$F$2,50)</f>
        <v>0</v>
      </c>
    </row>
    <row r="53" spans="4:7" ht="15" customHeight="1" x14ac:dyDescent="0.5">
      <c r="F53" s="6">
        <f>Quality_yes*Quality_weight</f>
        <v>0.14285714285714285</v>
      </c>
      <c r="G53" s="4">
        <f>_xll.PTreeNodeValue(treeCalc_2!$F$2,50)</f>
        <v>0.89285714285714279</v>
      </c>
    </row>
    <row r="54" spans="4:7" ht="15" customHeight="1" x14ac:dyDescent="0.5">
      <c r="E54" s="12">
        <f>1-E46</f>
        <v>0</v>
      </c>
      <c r="F54" s="10" t="s">
        <v>48</v>
      </c>
    </row>
    <row r="55" spans="4:7" ht="15" customHeight="1" x14ac:dyDescent="0.5">
      <c r="E55" s="6">
        <f>Quantity_no*Quantity_weight</f>
        <v>0</v>
      </c>
      <c r="F55" s="11">
        <f>_xll.PTreeNodeValue(treeCalc_2!$F$2,49)</f>
        <v>0.88571428571428557</v>
      </c>
    </row>
    <row r="56" spans="4:7" ht="15" customHeight="1" x14ac:dyDescent="0.5">
      <c r="F56" s="12">
        <f>1-F52</f>
        <v>5.0000000000000044E-2</v>
      </c>
      <c r="G56" s="5">
        <f>_xll.PTreeNodeProbability(treeCalc_2!$F$2,51)</f>
        <v>0</v>
      </c>
    </row>
    <row r="57" spans="4:7" ht="15" customHeight="1" x14ac:dyDescent="0.5">
      <c r="F57" s="6">
        <f>Quality_no*Quality_weight</f>
        <v>0</v>
      </c>
      <c r="G57" s="4">
        <f>_xll.PTreeNodeValue(treeCalc_2!$F$2,51)</f>
        <v>0.74999999999999989</v>
      </c>
    </row>
    <row r="58" spans="4:7" ht="15" customHeight="1" x14ac:dyDescent="0.5">
      <c r="F58" s="12">
        <f>Probabilities!C6</f>
        <v>0.95</v>
      </c>
      <c r="G58" s="5">
        <f>_xll.PTreeNodeProbability(treeCalc_2!$F$2,11)</f>
        <v>0</v>
      </c>
    </row>
    <row r="59" spans="4:7" ht="15" customHeight="1" x14ac:dyDescent="0.5">
      <c r="F59" s="6">
        <f>Quality_yes*Quality_weight</f>
        <v>0.14285714285714285</v>
      </c>
      <c r="G59" s="4">
        <f>_xll.PTreeNodeValue(treeCalc_2!$F$2,11)</f>
        <v>0.25</v>
      </c>
    </row>
    <row r="60" spans="4:7" ht="15" customHeight="1" x14ac:dyDescent="0.5">
      <c r="E60" s="12">
        <f>Probabilities!C11</f>
        <v>0.9</v>
      </c>
      <c r="F60" s="10" t="s">
        <v>48</v>
      </c>
    </row>
    <row r="61" spans="4:7" ht="15" customHeight="1" x14ac:dyDescent="0.5">
      <c r="E61" s="6">
        <f>Quantity_yes*Quantity_weight</f>
        <v>0</v>
      </c>
      <c r="F61" s="11">
        <f>_xll.PTreeNodeValue(treeCalc_2!$F$2,10)</f>
        <v>0.24285714285714285</v>
      </c>
    </row>
    <row r="62" spans="4:7" ht="15" customHeight="1" x14ac:dyDescent="0.5">
      <c r="F62" s="12">
        <f>1-F58</f>
        <v>5.0000000000000044E-2</v>
      </c>
      <c r="G62" s="5">
        <f>_xll.PTreeNodeProbability(treeCalc_2!$F$2,56)</f>
        <v>0</v>
      </c>
    </row>
    <row r="63" spans="4:7" ht="15" customHeight="1" x14ac:dyDescent="0.5">
      <c r="F63" s="6">
        <f>Quality_no*Quality_weight</f>
        <v>0</v>
      </c>
      <c r="G63" s="4">
        <f>_xll.PTreeNodeValue(treeCalc_2!$F$2,56)</f>
        <v>0.10714285714285714</v>
      </c>
    </row>
    <row r="64" spans="4:7" ht="15" customHeight="1" x14ac:dyDescent="0.5">
      <c r="D64" s="9" t="b">
        <f>_xll.PTreeNodeDecision(treeCalc_2!$F$2,9)</f>
        <v>0</v>
      </c>
      <c r="E64" s="10" t="s">
        <v>135</v>
      </c>
    </row>
    <row r="65" spans="2:7" ht="15" customHeight="1" x14ac:dyDescent="0.5">
      <c r="D65" s="38">
        <f>'Utility Maps'!$B$14*Cost_weight+'Utility Maps'!$B$19*Cost2_weight+'Utility Maps'!$B$24*Cost3_weight</f>
        <v>0.10714285714285714</v>
      </c>
      <c r="E65" s="11">
        <f>_xll.PTreeNodeValue(treeCalc_2!$F$2,9)</f>
        <v>0.24285714285714285</v>
      </c>
    </row>
    <row r="66" spans="2:7" ht="15" customHeight="1" x14ac:dyDescent="0.5">
      <c r="F66" s="12">
        <f>Probabilities!C6</f>
        <v>0.95</v>
      </c>
      <c r="G66" s="5">
        <f>_xll.PTreeNodeProbability(treeCalc_2!$F$2,58)</f>
        <v>0</v>
      </c>
    </row>
    <row r="67" spans="2:7" ht="15" customHeight="1" x14ac:dyDescent="0.5">
      <c r="F67" s="6">
        <f>Quality_yes*Quality_weight</f>
        <v>0.14285714285714285</v>
      </c>
      <c r="G67" s="4">
        <f>_xll.PTreeNodeValue(treeCalc_2!$F$2,58)</f>
        <v>0.25</v>
      </c>
    </row>
    <row r="68" spans="2:7" ht="15" customHeight="1" x14ac:dyDescent="0.5">
      <c r="E68" s="12">
        <f>1-E60</f>
        <v>9.9999999999999978E-2</v>
      </c>
      <c r="F68" s="10" t="s">
        <v>48</v>
      </c>
    </row>
    <row r="69" spans="2:7" ht="15" customHeight="1" x14ac:dyDescent="0.5">
      <c r="E69" s="6">
        <f>Quantity_no*Quantity_weight</f>
        <v>0</v>
      </c>
      <c r="F69" s="11">
        <f>_xll.PTreeNodeValue(treeCalc_2!$F$2,57)</f>
        <v>0.24285714285714285</v>
      </c>
    </row>
    <row r="70" spans="2:7" ht="15" customHeight="1" x14ac:dyDescent="0.5">
      <c r="F70" s="12">
        <f>1-F66</f>
        <v>5.0000000000000044E-2</v>
      </c>
      <c r="G70" s="5">
        <f>_xll.PTreeNodeProbability(treeCalc_2!$F$2,59)</f>
        <v>0</v>
      </c>
    </row>
    <row r="71" spans="2:7" ht="15" customHeight="1" x14ac:dyDescent="0.5">
      <c r="F71" s="6">
        <f>Quality_no*Quality_weight</f>
        <v>0</v>
      </c>
      <c r="G71" s="4">
        <f>_xll.PTreeNodeValue(treeCalc_2!$F$2,59)</f>
        <v>0.10714285714285714</v>
      </c>
    </row>
    <row r="72" spans="2:7" ht="15" customHeight="1" x14ac:dyDescent="0.5">
      <c r="B72" s="29">
        <v>0.5</v>
      </c>
      <c r="C72" s="28" t="s">
        <v>80</v>
      </c>
      <c r="F72" s="6"/>
    </row>
    <row r="73" spans="2:7" ht="15" customHeight="1" x14ac:dyDescent="0.5">
      <c r="B73" s="6">
        <v>0</v>
      </c>
      <c r="C73" s="11">
        <f>_xll.PTreeNodeValue(treeCalc_2!$F$2,1)</f>
        <v>0.88571428571428557</v>
      </c>
      <c r="F73" s="6"/>
    </row>
    <row r="74" spans="2:7" ht="15" customHeight="1" x14ac:dyDescent="0.5">
      <c r="F74" s="12">
        <f>Probabilities!C4</f>
        <v>0.8</v>
      </c>
      <c r="G74" s="5">
        <f>_xll.PTreeNodeProbability(treeCalc_2!$F$2,15)</f>
        <v>0</v>
      </c>
    </row>
    <row r="75" spans="2:7" ht="15" customHeight="1" x14ac:dyDescent="0.5">
      <c r="F75" s="6">
        <f>Quality_yes*Quality_weight</f>
        <v>0.14285714285714285</v>
      </c>
      <c r="G75" s="4">
        <f>_xll.PTreeNodeValue(treeCalc_2!$F$2,15)</f>
        <v>0.53127858057435517</v>
      </c>
    </row>
    <row r="76" spans="2:7" ht="15" customHeight="1" x14ac:dyDescent="0.5">
      <c r="E76" s="12">
        <f>Probabilities!C9</f>
        <v>0.4</v>
      </c>
      <c r="F76" s="10" t="s">
        <v>48</v>
      </c>
    </row>
    <row r="77" spans="2:7" ht="15" customHeight="1" x14ac:dyDescent="0.5">
      <c r="E77" s="6">
        <f>Quantity_yes*Quantity_weight</f>
        <v>0</v>
      </c>
      <c r="F77" s="11">
        <f>_xll.PTreeNodeValue(treeCalc_2!$F$2,14)</f>
        <v>0.50270715200292659</v>
      </c>
    </row>
    <row r="78" spans="2:7" ht="15" customHeight="1" x14ac:dyDescent="0.5">
      <c r="F78" s="12">
        <f>1-F74</f>
        <v>0.19999999999999996</v>
      </c>
      <c r="G78" s="5">
        <f>_xll.PTreeNodeProbability(treeCalc_2!$F$2,36)</f>
        <v>0</v>
      </c>
    </row>
    <row r="79" spans="2:7" ht="15" customHeight="1" x14ac:dyDescent="0.5">
      <c r="F79" s="6">
        <f>Quality_no*Quality_weight</f>
        <v>0</v>
      </c>
      <c r="G79" s="4">
        <f>_xll.PTreeNodeValue(treeCalc_2!$F$2,36)</f>
        <v>0.38842143771721238</v>
      </c>
    </row>
    <row r="80" spans="2:7" ht="15" customHeight="1" x14ac:dyDescent="0.5">
      <c r="D80" s="9" t="b">
        <f>_xll.PTreeNodeDecision(treeCalc_2!$F$2,13)</f>
        <v>0</v>
      </c>
      <c r="E80" s="10" t="s">
        <v>135</v>
      </c>
    </row>
    <row r="81" spans="3:7" ht="15" customHeight="1" x14ac:dyDescent="0.5">
      <c r="D81" s="38">
        <f>'Utility Maps'!$B$12*Cost_weight+'Utility Maps'!$B$17*Cost2_weight+'Utility Maps'!$B$22*Cost3_weight</f>
        <v>0.38842143771721238</v>
      </c>
      <c r="E81" s="11">
        <f>_xll.PTreeNodeValue(treeCalc_2!$F$2,13)</f>
        <v>0.50270715200292659</v>
      </c>
    </row>
    <row r="82" spans="3:7" ht="15" customHeight="1" x14ac:dyDescent="0.5">
      <c r="F82" s="12">
        <f>Probabilities!C4</f>
        <v>0.8</v>
      </c>
      <c r="G82" s="5">
        <f>_xll.PTreeNodeProbability(treeCalc_2!$F$2,38)</f>
        <v>0</v>
      </c>
    </row>
    <row r="83" spans="3:7" ht="15" customHeight="1" x14ac:dyDescent="0.5">
      <c r="F83" s="6">
        <f>Quality_yes*Quality_weight</f>
        <v>0.14285714285714285</v>
      </c>
      <c r="G83" s="4">
        <f>_xll.PTreeNodeValue(treeCalc_2!$F$2,38)</f>
        <v>0.53127858057435517</v>
      </c>
    </row>
    <row r="84" spans="3:7" ht="15" customHeight="1" x14ac:dyDescent="0.5">
      <c r="E84" s="12">
        <f>1-E76</f>
        <v>0.6</v>
      </c>
      <c r="F84" s="10" t="s">
        <v>48</v>
      </c>
    </row>
    <row r="85" spans="3:7" ht="15" customHeight="1" x14ac:dyDescent="0.5">
      <c r="E85" s="6">
        <f>Quantity_no*Quantity_weight</f>
        <v>0</v>
      </c>
      <c r="F85" s="11">
        <f>_xll.PTreeNodeValue(treeCalc_2!$F$2,37)</f>
        <v>0.50270715200292659</v>
      </c>
    </row>
    <row r="86" spans="3:7" ht="15" customHeight="1" x14ac:dyDescent="0.5">
      <c r="F86" s="12">
        <f>1-F82</f>
        <v>0.19999999999999996</v>
      </c>
      <c r="G86" s="5">
        <f>_xll.PTreeNodeProbability(treeCalc_2!$F$2,39)</f>
        <v>0</v>
      </c>
    </row>
    <row r="87" spans="3:7" ht="15" customHeight="1" x14ac:dyDescent="0.5">
      <c r="F87" s="6">
        <f>Quality_no*Quality_weight</f>
        <v>0</v>
      </c>
      <c r="G87" s="4">
        <f>_xll.PTreeNodeValue(treeCalc_2!$F$2,39)</f>
        <v>0.38842143771721238</v>
      </c>
    </row>
    <row r="88" spans="3:7" ht="15" customHeight="1" x14ac:dyDescent="0.5">
      <c r="C88" s="29">
        <v>0.5</v>
      </c>
      <c r="D88" s="7" t="s">
        <v>42</v>
      </c>
    </row>
    <row r="89" spans="3:7" ht="15" customHeight="1" x14ac:dyDescent="0.5">
      <c r="C89" s="6">
        <v>0</v>
      </c>
      <c r="D89" s="8">
        <f>_xll.PTreeNodeValue(treeCalc_2!$F$2,12)</f>
        <v>0.88571428571428557</v>
      </c>
    </row>
    <row r="90" spans="3:7" ht="15" customHeight="1" x14ac:dyDescent="0.5">
      <c r="F90" s="12">
        <f>Probabilities!C5</f>
        <v>0.95</v>
      </c>
      <c r="G90" s="5">
        <f>_xll.PTreeNodeProbability(treeCalc_2!$F$2,18)</f>
        <v>0.23749999999999999</v>
      </c>
    </row>
    <row r="91" spans="3:7" ht="15" customHeight="1" x14ac:dyDescent="0.5">
      <c r="F91" s="6">
        <f>Quality_yes*Quality_weight</f>
        <v>0.14285714285714285</v>
      </c>
      <c r="G91" s="4">
        <f>_xll.PTreeNodeValue(treeCalc_2!$F$2,18)</f>
        <v>0.89285714285714279</v>
      </c>
    </row>
    <row r="92" spans="3:7" ht="15" customHeight="1" x14ac:dyDescent="0.5">
      <c r="E92" s="12">
        <f>Probabilities!C10</f>
        <v>1</v>
      </c>
      <c r="F92" s="10" t="s">
        <v>48</v>
      </c>
    </row>
    <row r="93" spans="3:7" ht="15" customHeight="1" x14ac:dyDescent="0.5">
      <c r="E93" s="6">
        <f>Quantity_yes*Quantity_weight</f>
        <v>0</v>
      </c>
      <c r="F93" s="11">
        <f>_xll.PTreeNodeValue(treeCalc_2!$F$2,17)</f>
        <v>0.88571428571428557</v>
      </c>
    </row>
    <row r="94" spans="3:7" ht="15" customHeight="1" x14ac:dyDescent="0.5">
      <c r="F94" s="12">
        <f>1-F90</f>
        <v>5.0000000000000044E-2</v>
      </c>
      <c r="G94" s="5">
        <f>_xll.PTreeNodeProbability(treeCalc_2!$F$2,52)</f>
        <v>1.2500000000000011E-2</v>
      </c>
    </row>
    <row r="95" spans="3:7" ht="15" customHeight="1" x14ac:dyDescent="0.5">
      <c r="F95" s="6">
        <f>Quality_no*Quality_weight</f>
        <v>0</v>
      </c>
      <c r="G95" s="4">
        <f>_xll.PTreeNodeValue(treeCalc_2!$F$2,52)</f>
        <v>0.74999999999999989</v>
      </c>
    </row>
    <row r="96" spans="3:7" ht="15" customHeight="1" x14ac:dyDescent="0.5">
      <c r="D96" s="9" t="b">
        <f>_xll.PTreeNodeDecision(treeCalc_2!$F$2,16)</f>
        <v>1</v>
      </c>
      <c r="E96" s="10" t="s">
        <v>135</v>
      </c>
    </row>
    <row r="97" spans="1:7" ht="15" customHeight="1" x14ac:dyDescent="0.5">
      <c r="D97" s="38">
        <f>'Utility Maps'!$B$13*Cost_weight+'Utility Maps'!$B$18*Cost2_weight+'Utility Maps'!$B$23*Cost3_weight</f>
        <v>0.74999999999999989</v>
      </c>
      <c r="E97" s="11">
        <f>_xll.PTreeNodeValue(treeCalc_2!$F$2,16)</f>
        <v>0.88571428571428557</v>
      </c>
    </row>
    <row r="98" spans="1:7" ht="15" customHeight="1" x14ac:dyDescent="0.5">
      <c r="F98" s="12">
        <f>Probabilities!C5</f>
        <v>0.95</v>
      </c>
      <c r="G98" s="5">
        <f>_xll.PTreeNodeProbability(treeCalc_2!$F$2,54)</f>
        <v>0</v>
      </c>
    </row>
    <row r="99" spans="1:7" ht="15" customHeight="1" x14ac:dyDescent="0.5">
      <c r="F99" s="6">
        <f>Quality_yes*Quality_weight</f>
        <v>0.14285714285714285</v>
      </c>
      <c r="G99" s="4">
        <f>_xll.PTreeNodeValue(treeCalc_2!$F$2,54)</f>
        <v>0.89285714285714279</v>
      </c>
    </row>
    <row r="100" spans="1:7" ht="15" customHeight="1" x14ac:dyDescent="0.5">
      <c r="E100" s="12">
        <f>1-E92</f>
        <v>0</v>
      </c>
      <c r="F100" s="10" t="s">
        <v>48</v>
      </c>
    </row>
    <row r="101" spans="1:7" ht="15" customHeight="1" x14ac:dyDescent="0.5">
      <c r="E101" s="6">
        <f>Quantity_no*Quantity_weight</f>
        <v>0</v>
      </c>
      <c r="F101" s="11">
        <f>_xll.PTreeNodeValue(treeCalc_2!$F$2,53)</f>
        <v>0.88571428571428557</v>
      </c>
    </row>
    <row r="102" spans="1:7" ht="15" customHeight="1" x14ac:dyDescent="0.5">
      <c r="F102" s="12">
        <f>1-F98</f>
        <v>5.0000000000000044E-2</v>
      </c>
      <c r="G102" s="5">
        <f>_xll.PTreeNodeProbability(treeCalc_2!$F$2,55)</f>
        <v>0</v>
      </c>
    </row>
    <row r="103" spans="1:7" ht="15" customHeight="1" x14ac:dyDescent="0.5">
      <c r="F103" s="6">
        <f>Quality_no*Quality_weight</f>
        <v>0</v>
      </c>
      <c r="G103" s="4">
        <f>_xll.PTreeNodeValue(treeCalc_2!$F$2,55)</f>
        <v>0.74999999999999989</v>
      </c>
    </row>
    <row r="104" spans="1:7" ht="15" customHeight="1" x14ac:dyDescent="0.5">
      <c r="A104" s="6"/>
      <c r="B104" s="28" t="s">
        <v>77</v>
      </c>
      <c r="C104" s="6"/>
      <c r="D104" s="4"/>
    </row>
    <row r="105" spans="1:7" ht="15" customHeight="1" x14ac:dyDescent="0.5">
      <c r="A105" s="6"/>
      <c r="B105" s="11">
        <f>_xll.PTreeNodeValue(treeCalc_2!$F$2,21)</f>
        <v>0.69421071885860608</v>
      </c>
      <c r="C105" s="6"/>
      <c r="D105" s="4"/>
    </row>
    <row r="106" spans="1:7" ht="15" customHeight="1" x14ac:dyDescent="0.5">
      <c r="F106" s="12">
        <f>Probabilities!C4</f>
        <v>0.8</v>
      </c>
      <c r="G106" s="5">
        <f>_xll.PTreeNodeProbability(treeCalc_2!$F$2,24)</f>
        <v>8.0000000000000016E-2</v>
      </c>
    </row>
    <row r="107" spans="1:7" ht="15" customHeight="1" x14ac:dyDescent="0.5">
      <c r="F107" s="6">
        <f>Quality_yes*Quality_weight</f>
        <v>0.14285714285714285</v>
      </c>
      <c r="G107" s="4">
        <f>_xll.PTreeNodeValue(treeCalc_2!$F$2,24)</f>
        <v>0.53127858057435517</v>
      </c>
    </row>
    <row r="108" spans="1:7" ht="15" customHeight="1" x14ac:dyDescent="0.5">
      <c r="E108" s="12">
        <f>Probabilities!C9</f>
        <v>0.4</v>
      </c>
      <c r="F108" s="10" t="s">
        <v>48</v>
      </c>
    </row>
    <row r="109" spans="1:7" ht="15" customHeight="1" x14ac:dyDescent="0.5">
      <c r="E109" s="6">
        <f>Quantity_yes*Quantity_weight</f>
        <v>0</v>
      </c>
      <c r="F109" s="11">
        <f>_xll.PTreeNodeValue(treeCalc_2!$F$2,23)</f>
        <v>0.50270715200292659</v>
      </c>
    </row>
    <row r="110" spans="1:7" ht="15" customHeight="1" x14ac:dyDescent="0.5">
      <c r="F110" s="12">
        <f>1-F106</f>
        <v>0.19999999999999996</v>
      </c>
      <c r="G110" s="5">
        <f>_xll.PTreeNodeProbability(treeCalc_2!$F$2,40)</f>
        <v>1.9999999999999997E-2</v>
      </c>
    </row>
    <row r="111" spans="1:7" ht="15" customHeight="1" x14ac:dyDescent="0.5">
      <c r="F111" s="6">
        <f>Quality_no*Quality_weight</f>
        <v>0</v>
      </c>
      <c r="G111" s="4">
        <f>_xll.PTreeNodeValue(treeCalc_2!$F$2,40)</f>
        <v>0.38842143771721238</v>
      </c>
    </row>
    <row r="112" spans="1:7" ht="15" customHeight="1" x14ac:dyDescent="0.5">
      <c r="D112" s="9" t="b">
        <f>_xll.PTreeNodeDecision(treeCalc_2!$F$2,22)</f>
        <v>1</v>
      </c>
      <c r="E112" s="10" t="s">
        <v>135</v>
      </c>
    </row>
    <row r="113" spans="3:7" ht="15" customHeight="1" x14ac:dyDescent="0.5">
      <c r="D113" s="38">
        <f>'Utility Maps'!$B$12*Cost_weight+'Utility Maps'!$B$17*Cost2_weight+'Utility Maps'!$B$22*Cost3_weight</f>
        <v>0.38842143771721238</v>
      </c>
      <c r="E113" s="11">
        <f>_xll.PTreeNodeValue(treeCalc_2!$F$2,22)</f>
        <v>0.50270715200292659</v>
      </c>
    </row>
    <row r="114" spans="3:7" ht="15" customHeight="1" x14ac:dyDescent="0.5">
      <c r="F114" s="12">
        <f>Probabilities!C4</f>
        <v>0.8</v>
      </c>
      <c r="G114" s="5">
        <f>_xll.PTreeNodeProbability(treeCalc_2!$F$2,42)</f>
        <v>0.12</v>
      </c>
    </row>
    <row r="115" spans="3:7" ht="15" customHeight="1" x14ac:dyDescent="0.5">
      <c r="F115" s="6">
        <f>Quality_yes*Quality_weight</f>
        <v>0.14285714285714285</v>
      </c>
      <c r="G115" s="4">
        <f>_xll.PTreeNodeValue(treeCalc_2!$F$2,42)</f>
        <v>0.53127858057435517</v>
      </c>
    </row>
    <row r="116" spans="3:7" ht="15" customHeight="1" x14ac:dyDescent="0.5">
      <c r="E116" s="12">
        <f>1-E108</f>
        <v>0.6</v>
      </c>
      <c r="F116" s="10" t="s">
        <v>48</v>
      </c>
    </row>
    <row r="117" spans="3:7" ht="15" customHeight="1" x14ac:dyDescent="0.5">
      <c r="E117" s="6">
        <f>Quantity_no*Quantity_weight</f>
        <v>0</v>
      </c>
      <c r="F117" s="11">
        <f>_xll.PTreeNodeValue(treeCalc_2!$F$2,41)</f>
        <v>0.50270715200292659</v>
      </c>
    </row>
    <row r="118" spans="3:7" ht="15" customHeight="1" x14ac:dyDescent="0.5">
      <c r="F118" s="12">
        <f>1-F114</f>
        <v>0.19999999999999996</v>
      </c>
      <c r="G118" s="5">
        <f>_xll.PTreeNodeProbability(treeCalc_2!$F$2,43)</f>
        <v>2.9999999999999992E-2</v>
      </c>
    </row>
    <row r="119" spans="3:7" ht="15" customHeight="1" x14ac:dyDescent="0.5">
      <c r="F119" s="6">
        <f>Quality_no*Quality_weight</f>
        <v>0</v>
      </c>
      <c r="G119" s="4">
        <f>_xll.PTreeNodeValue(treeCalc_2!$F$2,43)</f>
        <v>0.38842143771721238</v>
      </c>
    </row>
    <row r="120" spans="3:7" ht="15" customHeight="1" x14ac:dyDescent="0.5">
      <c r="C120" s="29">
        <v>0.5</v>
      </c>
      <c r="D120" s="7" t="s">
        <v>42</v>
      </c>
    </row>
    <row r="121" spans="3:7" ht="15" customHeight="1" x14ac:dyDescent="0.5">
      <c r="C121" s="6">
        <v>0</v>
      </c>
      <c r="D121" s="8">
        <f>_xll.PTreeNodeValue(treeCalc_2!$F$2,20)</f>
        <v>0.50270715200292659</v>
      </c>
    </row>
    <row r="122" spans="3:7" ht="15" customHeight="1" x14ac:dyDescent="0.5">
      <c r="F122" s="12">
        <f>Probabilities!C6</f>
        <v>0.95</v>
      </c>
      <c r="G122" s="5">
        <f>_xll.PTreeNodeProbability(treeCalc_2!$F$2,27)</f>
        <v>0</v>
      </c>
    </row>
    <row r="123" spans="3:7" ht="15" customHeight="1" x14ac:dyDescent="0.5">
      <c r="F123" s="6">
        <f>Quality_yes*Quality_weight</f>
        <v>0.14285714285714285</v>
      </c>
      <c r="G123" s="4">
        <f>_xll.PTreeNodeValue(treeCalc_2!$F$2,27)</f>
        <v>0.25</v>
      </c>
    </row>
    <row r="124" spans="3:7" ht="15" customHeight="1" x14ac:dyDescent="0.5">
      <c r="E124" s="12">
        <f>Probabilities!C11</f>
        <v>0.9</v>
      </c>
      <c r="F124" s="10" t="s">
        <v>48</v>
      </c>
    </row>
    <row r="125" spans="3:7" ht="15" customHeight="1" x14ac:dyDescent="0.5">
      <c r="E125" s="6">
        <f>Quantity_yes*Quantity_weight</f>
        <v>0</v>
      </c>
      <c r="F125" s="11">
        <f>_xll.PTreeNodeValue(treeCalc_2!$F$2,26)</f>
        <v>0.24285714285714285</v>
      </c>
    </row>
    <row r="126" spans="3:7" ht="15" customHeight="1" x14ac:dyDescent="0.5">
      <c r="F126" s="12">
        <f>1-F122</f>
        <v>5.0000000000000044E-2</v>
      </c>
      <c r="G126" s="5">
        <f>_xll.PTreeNodeProbability(treeCalc_2!$F$2,60)</f>
        <v>0</v>
      </c>
    </row>
    <row r="127" spans="3:7" ht="15" customHeight="1" x14ac:dyDescent="0.5">
      <c r="F127" s="6">
        <f>Quality_no*Quality_weight</f>
        <v>0</v>
      </c>
      <c r="G127" s="4">
        <f>_xll.PTreeNodeValue(treeCalc_2!$F$2,60)</f>
        <v>0.10714285714285714</v>
      </c>
    </row>
    <row r="128" spans="3:7" ht="15" customHeight="1" x14ac:dyDescent="0.5">
      <c r="D128" s="9" t="b">
        <f>_xll.PTreeNodeDecision(treeCalc_2!$F$2,25)</f>
        <v>0</v>
      </c>
      <c r="E128" s="10" t="s">
        <v>135</v>
      </c>
    </row>
    <row r="129" spans="2:7" ht="15" customHeight="1" x14ac:dyDescent="0.5">
      <c r="D129" s="38">
        <f>'Utility Maps'!$B$14*Cost_weight+'Utility Maps'!$B$19*Cost2_weight+'Utility Maps'!$B$24*Cost3_weight</f>
        <v>0.10714285714285714</v>
      </c>
      <c r="E129" s="11">
        <f>_xll.PTreeNodeValue(treeCalc_2!$F$2,25)</f>
        <v>0.24285714285714285</v>
      </c>
    </row>
    <row r="130" spans="2:7" ht="15" customHeight="1" x14ac:dyDescent="0.5">
      <c r="F130" s="12">
        <f>Probabilities!C6</f>
        <v>0.95</v>
      </c>
      <c r="G130" s="5">
        <f>_xll.PTreeNodeProbability(treeCalc_2!$F$2,62)</f>
        <v>0</v>
      </c>
    </row>
    <row r="131" spans="2:7" ht="15" customHeight="1" x14ac:dyDescent="0.5">
      <c r="F131" s="6">
        <f>Quality_yes*Quality_weight</f>
        <v>0.14285714285714285</v>
      </c>
      <c r="G131" s="4">
        <f>_xll.PTreeNodeValue(treeCalc_2!$F$2,62)</f>
        <v>0.25</v>
      </c>
    </row>
    <row r="132" spans="2:7" ht="15" customHeight="1" x14ac:dyDescent="0.5">
      <c r="E132" s="12">
        <f>1-E124</f>
        <v>9.9999999999999978E-2</v>
      </c>
      <c r="F132" s="10" t="s">
        <v>48</v>
      </c>
    </row>
    <row r="133" spans="2:7" ht="15" customHeight="1" x14ac:dyDescent="0.5">
      <c r="E133" s="6">
        <f>Quantity_no*Quantity_weight</f>
        <v>0</v>
      </c>
      <c r="F133" s="11">
        <f>_xll.PTreeNodeValue(treeCalc_2!$F$2,61)</f>
        <v>0.24285714285714285</v>
      </c>
    </row>
    <row r="134" spans="2:7" ht="15" customHeight="1" x14ac:dyDescent="0.5">
      <c r="F134" s="12">
        <f>1-F130</f>
        <v>5.0000000000000044E-2</v>
      </c>
      <c r="G134" s="5">
        <f>_xll.PTreeNodeProbability(treeCalc_2!$F$2,63)</f>
        <v>0</v>
      </c>
    </row>
    <row r="135" spans="2:7" ht="15" customHeight="1" x14ac:dyDescent="0.5">
      <c r="F135" s="6">
        <f>Quality_no*Quality_weight</f>
        <v>0</v>
      </c>
      <c r="G135" s="4">
        <f>_xll.PTreeNodeValue(treeCalc_2!$F$2,63)</f>
        <v>0.10714285714285714</v>
      </c>
    </row>
    <row r="136" spans="2:7" ht="15" customHeight="1" x14ac:dyDescent="0.5">
      <c r="B136" s="29">
        <v>0.5</v>
      </c>
      <c r="C136" s="28" t="s">
        <v>80</v>
      </c>
    </row>
    <row r="137" spans="2:7" ht="15" customHeight="1" x14ac:dyDescent="0.5">
      <c r="B137" s="6">
        <v>0</v>
      </c>
      <c r="C137" s="11">
        <f>_xll.PTreeNodeValue(treeCalc_2!$F$2,19)</f>
        <v>0.50270715200292659</v>
      </c>
    </row>
    <row r="138" spans="2:7" ht="15" customHeight="1" x14ac:dyDescent="0.5">
      <c r="F138" s="12">
        <f>Probabilities!C4</f>
        <v>0.8</v>
      </c>
      <c r="G138" s="5">
        <f>_xll.PTreeNodeProbability(treeCalc_2!$F$2,31)</f>
        <v>8.0000000000000016E-2</v>
      </c>
    </row>
    <row r="139" spans="2:7" ht="15" customHeight="1" x14ac:dyDescent="0.5">
      <c r="F139" s="6">
        <f>Quality_yes*Quality_weight</f>
        <v>0.14285714285714285</v>
      </c>
      <c r="G139" s="4">
        <f>_xll.PTreeNodeValue(treeCalc_2!$F$2,31)</f>
        <v>0.53127858057435517</v>
      </c>
    </row>
    <row r="140" spans="2:7" ht="15" customHeight="1" x14ac:dyDescent="0.5">
      <c r="E140" s="12">
        <f>Probabilities!C9</f>
        <v>0.4</v>
      </c>
      <c r="F140" s="10" t="s">
        <v>48</v>
      </c>
    </row>
    <row r="141" spans="2:7" ht="15" customHeight="1" x14ac:dyDescent="0.5">
      <c r="E141" s="6">
        <f>Quantity_yes*Quantity_weight</f>
        <v>0</v>
      </c>
      <c r="F141" s="11">
        <f>_xll.PTreeNodeValue(treeCalc_2!$F$2,30)</f>
        <v>0.50270715200292659</v>
      </c>
    </row>
    <row r="142" spans="2:7" ht="15" customHeight="1" x14ac:dyDescent="0.5">
      <c r="F142" s="12">
        <f>1-F138</f>
        <v>0.19999999999999996</v>
      </c>
      <c r="G142" s="5">
        <f>_xll.PTreeNodeProbability(treeCalc_2!$F$2,44)</f>
        <v>1.9999999999999997E-2</v>
      </c>
    </row>
    <row r="143" spans="2:7" ht="15" customHeight="1" x14ac:dyDescent="0.5">
      <c r="F143" s="6">
        <f>Quality_no*Quality_weight</f>
        <v>0</v>
      </c>
      <c r="G143" s="4">
        <f>_xll.PTreeNodeValue(treeCalc_2!$F$2,44)</f>
        <v>0.38842143771721238</v>
      </c>
    </row>
    <row r="144" spans="2:7" ht="15" customHeight="1" x14ac:dyDescent="0.5">
      <c r="D144" s="9" t="b">
        <f>_xll.PTreeNodeDecision(treeCalc_2!$F$2,29)</f>
        <v>1</v>
      </c>
      <c r="E144" s="10" t="s">
        <v>135</v>
      </c>
    </row>
    <row r="145" spans="3:7" ht="15" customHeight="1" x14ac:dyDescent="0.5">
      <c r="D145" s="38">
        <f>'Utility Maps'!$B$12*Cost_weight+'Utility Maps'!$B$17*Cost2_weight+'Utility Maps'!$B$22*Cost3_weight</f>
        <v>0.38842143771721238</v>
      </c>
      <c r="E145" s="11">
        <f>_xll.PTreeNodeValue(treeCalc_2!$F$2,29)</f>
        <v>0.50270715200292659</v>
      </c>
    </row>
    <row r="146" spans="3:7" ht="15" customHeight="1" x14ac:dyDescent="0.5">
      <c r="F146" s="12">
        <f>Probabilities!C4</f>
        <v>0.8</v>
      </c>
      <c r="G146" s="5">
        <f>_xll.PTreeNodeProbability(treeCalc_2!$F$2,46)</f>
        <v>0.12</v>
      </c>
    </row>
    <row r="147" spans="3:7" ht="15" customHeight="1" x14ac:dyDescent="0.5">
      <c r="F147" s="6">
        <f>Quality_yes*Quality_weight</f>
        <v>0.14285714285714285</v>
      </c>
      <c r="G147" s="4">
        <f>_xll.PTreeNodeValue(treeCalc_2!$F$2,46)</f>
        <v>0.53127858057435517</v>
      </c>
    </row>
    <row r="148" spans="3:7" ht="15" customHeight="1" x14ac:dyDescent="0.5">
      <c r="E148" s="12">
        <f>1-E140</f>
        <v>0.6</v>
      </c>
      <c r="F148" s="10" t="s">
        <v>48</v>
      </c>
    </row>
    <row r="149" spans="3:7" ht="15" customHeight="1" x14ac:dyDescent="0.5">
      <c r="E149" s="6">
        <f>Quantity_no*Quantity_weight</f>
        <v>0</v>
      </c>
      <c r="F149" s="11">
        <f>_xll.PTreeNodeValue(treeCalc_2!$F$2,45)</f>
        <v>0.50270715200292659</v>
      </c>
    </row>
    <row r="150" spans="3:7" ht="15" customHeight="1" x14ac:dyDescent="0.5">
      <c r="F150" s="12">
        <f>1-F146</f>
        <v>0.19999999999999996</v>
      </c>
      <c r="G150" s="5">
        <f>_xll.PTreeNodeProbability(treeCalc_2!$F$2,47)</f>
        <v>2.9999999999999992E-2</v>
      </c>
    </row>
    <row r="151" spans="3:7" ht="15" customHeight="1" x14ac:dyDescent="0.5">
      <c r="F151" s="6">
        <f>Quality_no*Quality_weight</f>
        <v>0</v>
      </c>
      <c r="G151" s="4">
        <f>_xll.PTreeNodeValue(treeCalc_2!$F$2,47)</f>
        <v>0.38842143771721238</v>
      </c>
    </row>
    <row r="152" spans="3:7" ht="15" customHeight="1" x14ac:dyDescent="0.5">
      <c r="C152" s="29">
        <v>0.5</v>
      </c>
      <c r="D152" s="7" t="s">
        <v>42</v>
      </c>
    </row>
    <row r="153" spans="3:7" ht="15" customHeight="1" x14ac:dyDescent="0.5">
      <c r="C153" s="6">
        <v>0</v>
      </c>
      <c r="D153" s="8">
        <f>_xll.PTreeNodeValue(treeCalc_2!$F$2,28)</f>
        <v>0.50270715200292659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workbookViewId="0"/>
  </sheetViews>
  <sheetFormatPr defaultColWidth="15.703125" defaultRowHeight="14.35" x14ac:dyDescent="0.5"/>
  <cols>
    <col min="1" max="16384" width="15.703125" style="1"/>
  </cols>
  <sheetData>
    <row r="1" spans="1:16" x14ac:dyDescent="0.5">
      <c r="A1" s="1" t="s">
        <v>1</v>
      </c>
      <c r="B1" s="2" t="s">
        <v>83</v>
      </c>
      <c r="E1" s="1" t="s">
        <v>9</v>
      </c>
      <c r="F1" s="1">
        <v>3</v>
      </c>
      <c r="H1" s="1" t="s">
        <v>15</v>
      </c>
      <c r="I1" s="2" t="s">
        <v>40</v>
      </c>
      <c r="K1" s="1" t="s">
        <v>20</v>
      </c>
      <c r="L1" s="1">
        <v>100</v>
      </c>
    </row>
    <row r="2" spans="1:16" x14ac:dyDescent="0.5">
      <c r="A2" s="1" t="s">
        <v>2</v>
      </c>
      <c r="B2" s="1" t="e">
        <f>'Final Tree'!#REF!</f>
        <v>#REF!</v>
      </c>
      <c r="E2" s="1" t="s">
        <v>10</v>
      </c>
      <c r="F2" s="1">
        <f>_xll.PTreeEvaluate5(B3,$L$11:$L$114,$J$11:$J$114,$K$11:$K$114,$N$11:$N$114,$G$11:$G$114,,L1)</f>
        <v>205826</v>
      </c>
    </row>
    <row r="3" spans="1:16" x14ac:dyDescent="0.5">
      <c r="A3" s="1" t="s">
        <v>3</v>
      </c>
      <c r="B3" s="1" t="s">
        <v>120</v>
      </c>
      <c r="E3" s="1" t="s">
        <v>11</v>
      </c>
      <c r="F3" s="2" t="s">
        <v>75</v>
      </c>
      <c r="H3" s="1" t="s">
        <v>16</v>
      </c>
      <c r="I3" s="3" t="s">
        <v>38</v>
      </c>
    </row>
    <row r="4" spans="1:16" x14ac:dyDescent="0.5">
      <c r="A4" s="1" t="s">
        <v>4</v>
      </c>
      <c r="B4" s="1" t="s">
        <v>36</v>
      </c>
      <c r="E4" s="1" t="s">
        <v>12</v>
      </c>
      <c r="F4" s="2" t="s">
        <v>37</v>
      </c>
      <c r="H4" s="1" t="s">
        <v>17</v>
      </c>
      <c r="I4" s="2" t="s">
        <v>39</v>
      </c>
    </row>
    <row r="5" spans="1:16" x14ac:dyDescent="0.5">
      <c r="A5" s="1" t="s">
        <v>5</v>
      </c>
      <c r="B5" s="1">
        <v>0</v>
      </c>
      <c r="E5" s="1" t="s">
        <v>13</v>
      </c>
      <c r="F5" s="2" t="s">
        <v>37</v>
      </c>
      <c r="H5" s="1" t="s">
        <v>18</v>
      </c>
      <c r="I5" s="3" t="s">
        <v>38</v>
      </c>
    </row>
    <row r="6" spans="1:16" x14ac:dyDescent="0.5">
      <c r="A6" s="1" t="s">
        <v>6</v>
      </c>
      <c r="E6" s="1" t="s">
        <v>14</v>
      </c>
      <c r="F6" s="2" t="s">
        <v>179</v>
      </c>
      <c r="H6" s="1" t="s">
        <v>19</v>
      </c>
      <c r="I6" s="2" t="s">
        <v>39</v>
      </c>
    </row>
    <row r="7" spans="1:16" x14ac:dyDescent="0.5">
      <c r="A7" s="1" t="s">
        <v>7</v>
      </c>
      <c r="F7" s="2" t="s">
        <v>178</v>
      </c>
    </row>
    <row r="8" spans="1:16" x14ac:dyDescent="0.5">
      <c r="A8" s="1" t="s">
        <v>8</v>
      </c>
      <c r="B8" s="1">
        <v>104</v>
      </c>
    </row>
    <row r="10" spans="1:16" x14ac:dyDescent="0.5">
      <c r="A10" s="1" t="s">
        <v>21</v>
      </c>
      <c r="B10" s="1" t="s">
        <v>22</v>
      </c>
      <c r="C10" s="1" t="s">
        <v>23</v>
      </c>
      <c r="D10" s="1" t="s">
        <v>24</v>
      </c>
      <c r="E10" s="1" t="s">
        <v>25</v>
      </c>
      <c r="F10" s="1" t="s">
        <v>26</v>
      </c>
      <c r="G10" s="1" t="s">
        <v>27</v>
      </c>
      <c r="H10" s="1" t="s">
        <v>28</v>
      </c>
      <c r="I10" s="1" t="s">
        <v>29</v>
      </c>
      <c r="J10" s="1" t="s">
        <v>30</v>
      </c>
      <c r="K10" s="1" t="s">
        <v>31</v>
      </c>
      <c r="L10" s="1" t="s">
        <v>3</v>
      </c>
      <c r="M10" s="1" t="s">
        <v>32</v>
      </c>
      <c r="N10" s="1" t="s">
        <v>33</v>
      </c>
      <c r="O10" s="1" t="s">
        <v>34</v>
      </c>
      <c r="P10" s="1" t="s">
        <v>35</v>
      </c>
    </row>
    <row r="11" spans="1:16" x14ac:dyDescent="0.5">
      <c r="A11" s="1">
        <f>'Final Tree'!$C$73</f>
        <v>0.88571428571428557</v>
      </c>
      <c r="B11" s="2" t="s">
        <v>78</v>
      </c>
      <c r="C11" s="1">
        <v>0</v>
      </c>
      <c r="I11" s="1" t="s">
        <v>41</v>
      </c>
      <c r="J11" s="1">
        <f>'Final Tree'!$B$73</f>
        <v>0</v>
      </c>
      <c r="K11" s="1">
        <f>'Final Tree'!$B$72</f>
        <v>0.5</v>
      </c>
      <c r="L11" s="1" t="s">
        <v>129</v>
      </c>
      <c r="M11" s="2" t="s">
        <v>76</v>
      </c>
      <c r="O11" s="1" t="str">
        <f>'Final Tree'!$C$72</f>
        <v>Ministry Permit</v>
      </c>
      <c r="P11" s="1" t="b">
        <v>0</v>
      </c>
    </row>
    <row r="12" spans="1:16" x14ac:dyDescent="0.5">
      <c r="A12" s="1">
        <f>'Final Tree'!$D$43</f>
        <v>0.88571428571428557</v>
      </c>
      <c r="B12" s="2" t="s">
        <v>81</v>
      </c>
      <c r="C12" s="1">
        <v>0</v>
      </c>
      <c r="I12" s="1" t="s">
        <v>41</v>
      </c>
      <c r="J12" s="1">
        <f>'Final Tree'!$C$43</f>
        <v>0</v>
      </c>
      <c r="K12" s="1">
        <f>'Final Tree'!$C$42</f>
        <v>0.5</v>
      </c>
      <c r="L12" s="1" t="s">
        <v>130</v>
      </c>
      <c r="M12" s="2" t="s">
        <v>76</v>
      </c>
      <c r="O12" s="1" t="str">
        <f>'Final Tree'!$D$42</f>
        <v>Decision</v>
      </c>
      <c r="P12" s="1" t="b">
        <v>0</v>
      </c>
    </row>
    <row r="13" spans="1:16" x14ac:dyDescent="0.5">
      <c r="A13" s="1">
        <f>'Final Tree'!$E$35</f>
        <v>0.50270715200292659</v>
      </c>
      <c r="B13" s="2" t="s">
        <v>43</v>
      </c>
      <c r="C13" s="1">
        <v>0</v>
      </c>
      <c r="I13" s="1" t="s">
        <v>41</v>
      </c>
      <c r="J13" s="1">
        <f>'Final Tree'!$D$35</f>
        <v>0.38842143771721238</v>
      </c>
      <c r="L13" s="1" t="s">
        <v>136</v>
      </c>
      <c r="M13" s="2" t="s">
        <v>76</v>
      </c>
      <c r="O13" s="1" t="str">
        <f>'Final Tree'!$E$34</f>
        <v>Sustainable water</v>
      </c>
      <c r="P13" s="1" t="b">
        <v>0</v>
      </c>
    </row>
    <row r="14" spans="1:16" x14ac:dyDescent="0.5">
      <c r="A14" s="1">
        <f>'Final Tree'!$F$31</f>
        <v>0.50270715200292659</v>
      </c>
      <c r="B14" s="2" t="s">
        <v>46</v>
      </c>
      <c r="C14" s="1">
        <v>0</v>
      </c>
      <c r="I14" s="1" t="s">
        <v>41</v>
      </c>
      <c r="J14" s="37">
        <f>'Final Tree'!$E$31</f>
        <v>0</v>
      </c>
      <c r="K14" s="1">
        <f>'Final Tree'!$E$30</f>
        <v>0.4</v>
      </c>
      <c r="L14" s="1" t="s">
        <v>137</v>
      </c>
      <c r="M14" s="2" t="s">
        <v>76</v>
      </c>
      <c r="O14" s="1" t="str">
        <f>'Final Tree'!$F$30</f>
        <v>Safe water</v>
      </c>
      <c r="P14" s="1" t="b">
        <v>0</v>
      </c>
    </row>
    <row r="15" spans="1:16" x14ac:dyDescent="0.5">
      <c r="A15" s="1">
        <f>'Final Tree'!$G$29</f>
        <v>0.53127858057435517</v>
      </c>
      <c r="B15" s="2" t="s">
        <v>46</v>
      </c>
      <c r="C15" s="1">
        <v>0</v>
      </c>
      <c r="H15" s="1" t="s">
        <v>41</v>
      </c>
      <c r="I15" s="1" t="s">
        <v>41</v>
      </c>
      <c r="J15" s="1">
        <f>'Final Tree'!$F$29</f>
        <v>0.14285714285714285</v>
      </c>
      <c r="K15" s="1">
        <f>'Final Tree'!$F$28</f>
        <v>0.8</v>
      </c>
      <c r="L15" s="1" t="s">
        <v>121</v>
      </c>
      <c r="M15" s="2" t="s">
        <v>76</v>
      </c>
      <c r="P15" s="1" t="b">
        <v>0</v>
      </c>
    </row>
    <row r="16" spans="1:16" x14ac:dyDescent="0.5">
      <c r="A16" s="1">
        <f>'Final Tree'!$E$51</f>
        <v>0.88571428571428557</v>
      </c>
      <c r="B16" s="2" t="s">
        <v>44</v>
      </c>
      <c r="C16" s="1">
        <v>0</v>
      </c>
      <c r="I16" s="1" t="s">
        <v>41</v>
      </c>
      <c r="J16" s="1">
        <f>'Final Tree'!$D$51</f>
        <v>0.74999999999999989</v>
      </c>
      <c r="L16" s="1" t="s">
        <v>152</v>
      </c>
      <c r="M16" s="2" t="s">
        <v>76</v>
      </c>
      <c r="O16" s="1" t="str">
        <f>'Final Tree'!$E$50</f>
        <v>Sustainable water</v>
      </c>
      <c r="P16" s="1" t="b">
        <v>0</v>
      </c>
    </row>
    <row r="17" spans="1:16" x14ac:dyDescent="0.5">
      <c r="A17" s="1">
        <f>'Final Tree'!$F$47</f>
        <v>0.88571428571428557</v>
      </c>
      <c r="B17" s="2" t="s">
        <v>46</v>
      </c>
      <c r="C17" s="1">
        <v>0</v>
      </c>
      <c r="I17" s="1" t="s">
        <v>41</v>
      </c>
      <c r="J17" s="1">
        <f>'Final Tree'!$E$47</f>
        <v>0</v>
      </c>
      <c r="K17" s="1">
        <f>'Final Tree'!$E$46</f>
        <v>1</v>
      </c>
      <c r="L17" s="1" t="s">
        <v>153</v>
      </c>
      <c r="M17" s="2" t="s">
        <v>76</v>
      </c>
      <c r="O17" s="1" t="str">
        <f>'Final Tree'!$F$46</f>
        <v>Safe water</v>
      </c>
      <c r="P17" s="1" t="b">
        <v>0</v>
      </c>
    </row>
    <row r="18" spans="1:16" x14ac:dyDescent="0.5">
      <c r="A18" s="1">
        <f>'Final Tree'!$G$45</f>
        <v>0.89285714285714279</v>
      </c>
      <c r="B18" s="2" t="s">
        <v>46</v>
      </c>
      <c r="C18" s="1">
        <v>0</v>
      </c>
      <c r="H18" s="1" t="s">
        <v>41</v>
      </c>
      <c r="I18" s="1" t="s">
        <v>41</v>
      </c>
      <c r="J18" s="1">
        <f>'Final Tree'!$F$45</f>
        <v>0.14285714285714285</v>
      </c>
      <c r="K18" s="1">
        <f>'Final Tree'!$F$44</f>
        <v>0.95</v>
      </c>
      <c r="L18" s="1" t="s">
        <v>122</v>
      </c>
      <c r="M18" s="2" t="s">
        <v>76</v>
      </c>
      <c r="P18" s="1" t="b">
        <v>0</v>
      </c>
    </row>
    <row r="19" spans="1:16" x14ac:dyDescent="0.5">
      <c r="A19" s="1">
        <f>'Final Tree'!$E$65</f>
        <v>0.24285714285714285</v>
      </c>
      <c r="B19" s="2" t="s">
        <v>45</v>
      </c>
      <c r="C19" s="1">
        <v>0</v>
      </c>
      <c r="I19" s="1" t="s">
        <v>41</v>
      </c>
      <c r="J19" s="1">
        <f>'Final Tree'!$D$65</f>
        <v>0.10714285714285714</v>
      </c>
      <c r="L19" s="1" t="s">
        <v>160</v>
      </c>
      <c r="M19" s="2" t="s">
        <v>76</v>
      </c>
      <c r="O19" s="1" t="str">
        <f>'Final Tree'!$E$64</f>
        <v>Sustainable water</v>
      </c>
      <c r="P19" s="1" t="b">
        <v>0</v>
      </c>
    </row>
    <row r="20" spans="1:16" x14ac:dyDescent="0.5">
      <c r="A20" s="1">
        <f>'Final Tree'!$F$61</f>
        <v>0.24285714285714285</v>
      </c>
      <c r="B20" s="2" t="s">
        <v>46</v>
      </c>
      <c r="C20" s="1">
        <v>0</v>
      </c>
      <c r="I20" s="1" t="s">
        <v>41</v>
      </c>
      <c r="J20" s="1">
        <f>'Final Tree'!$E$61</f>
        <v>0</v>
      </c>
      <c r="K20" s="1">
        <f>'Final Tree'!$E$60</f>
        <v>0.9</v>
      </c>
      <c r="L20" s="1" t="s">
        <v>161</v>
      </c>
      <c r="M20" s="2" t="s">
        <v>76</v>
      </c>
      <c r="O20" s="1" t="str">
        <f>'Final Tree'!$F$60</f>
        <v>Safe water</v>
      </c>
      <c r="P20" s="1" t="b">
        <v>0</v>
      </c>
    </row>
    <row r="21" spans="1:16" x14ac:dyDescent="0.5">
      <c r="A21" s="1">
        <f>'Final Tree'!$G$59</f>
        <v>0.25</v>
      </c>
      <c r="B21" s="2" t="s">
        <v>46</v>
      </c>
      <c r="C21" s="1">
        <v>0</v>
      </c>
      <c r="H21" s="1" t="s">
        <v>41</v>
      </c>
      <c r="I21" s="1" t="s">
        <v>41</v>
      </c>
      <c r="J21" s="1">
        <f>'Final Tree'!$F$59</f>
        <v>0.14285714285714285</v>
      </c>
      <c r="K21" s="1">
        <f>'Final Tree'!$F$58</f>
        <v>0.95</v>
      </c>
      <c r="L21" s="1" t="s">
        <v>123</v>
      </c>
      <c r="M21" s="2" t="s">
        <v>76</v>
      </c>
      <c r="P21" s="1" t="b">
        <v>0</v>
      </c>
    </row>
    <row r="22" spans="1:16" x14ac:dyDescent="0.5">
      <c r="A22" s="1">
        <f>'Final Tree'!$D$89</f>
        <v>0.88571428571428557</v>
      </c>
      <c r="B22" s="2" t="s">
        <v>82</v>
      </c>
      <c r="C22" s="1">
        <v>0</v>
      </c>
      <c r="I22" s="1" t="s">
        <v>41</v>
      </c>
      <c r="J22" s="1">
        <f>'Final Tree'!$C$89</f>
        <v>0</v>
      </c>
      <c r="K22" s="1">
        <f>'Final Tree'!$C$88</f>
        <v>0.5</v>
      </c>
      <c r="L22" s="1" t="s">
        <v>131</v>
      </c>
      <c r="M22" s="2" t="s">
        <v>76</v>
      </c>
      <c r="O22" s="1" t="str">
        <f>'Final Tree'!$D$88</f>
        <v>Decision</v>
      </c>
      <c r="P22" s="1" t="b">
        <v>0</v>
      </c>
    </row>
    <row r="23" spans="1:16" x14ac:dyDescent="0.5">
      <c r="A23" s="1">
        <f>'Final Tree'!$E$81</f>
        <v>0.50270715200292659</v>
      </c>
      <c r="B23" s="2" t="s">
        <v>43</v>
      </c>
      <c r="C23" s="1">
        <v>0</v>
      </c>
      <c r="I23" s="1" t="s">
        <v>41</v>
      </c>
      <c r="J23" s="1">
        <f>'Final Tree'!$D$81</f>
        <v>0.38842143771721238</v>
      </c>
      <c r="L23" s="1" t="s">
        <v>140</v>
      </c>
      <c r="M23" s="2" t="s">
        <v>76</v>
      </c>
      <c r="O23" s="1" t="str">
        <f>'Final Tree'!$E$80</f>
        <v>Sustainable water</v>
      </c>
      <c r="P23" s="1" t="b">
        <v>0</v>
      </c>
    </row>
    <row r="24" spans="1:16" x14ac:dyDescent="0.5">
      <c r="A24" s="1">
        <f>'Final Tree'!$F$77</f>
        <v>0.50270715200292659</v>
      </c>
      <c r="B24" s="2" t="s">
        <v>46</v>
      </c>
      <c r="C24" s="1">
        <v>0</v>
      </c>
      <c r="I24" s="1" t="s">
        <v>41</v>
      </c>
      <c r="J24" s="37">
        <f>'Final Tree'!$E$77</f>
        <v>0</v>
      </c>
      <c r="K24" s="1">
        <f>'Final Tree'!$E$76</f>
        <v>0.4</v>
      </c>
      <c r="L24" s="1" t="s">
        <v>141</v>
      </c>
      <c r="M24" s="2" t="s">
        <v>76</v>
      </c>
      <c r="O24" s="1" t="str">
        <f>'Final Tree'!$F$76</f>
        <v>Safe water</v>
      </c>
      <c r="P24" s="1" t="b">
        <v>0</v>
      </c>
    </row>
    <row r="25" spans="1:16" x14ac:dyDescent="0.5">
      <c r="A25" s="1">
        <f>'Final Tree'!$G$75</f>
        <v>0.53127858057435517</v>
      </c>
      <c r="B25" s="2" t="s">
        <v>46</v>
      </c>
      <c r="C25" s="1">
        <v>0</v>
      </c>
      <c r="H25" s="1" t="s">
        <v>41</v>
      </c>
      <c r="I25" s="1" t="s">
        <v>41</v>
      </c>
      <c r="J25" s="1">
        <f>'Final Tree'!$F$75</f>
        <v>0.14285714285714285</v>
      </c>
      <c r="K25" s="1">
        <f>'Final Tree'!$F$74</f>
        <v>0.8</v>
      </c>
      <c r="L25" s="1" t="s">
        <v>124</v>
      </c>
      <c r="M25" s="2" t="s">
        <v>76</v>
      </c>
      <c r="P25" s="1" t="b">
        <v>0</v>
      </c>
    </row>
    <row r="26" spans="1:16" x14ac:dyDescent="0.5">
      <c r="A26" s="1">
        <f>'Final Tree'!$E$97</f>
        <v>0.88571428571428557</v>
      </c>
      <c r="B26" s="2" t="s">
        <v>44</v>
      </c>
      <c r="C26" s="1">
        <v>0</v>
      </c>
      <c r="I26" s="1" t="s">
        <v>41</v>
      </c>
      <c r="J26" s="1">
        <f>'Final Tree'!$D$97</f>
        <v>0.74999999999999989</v>
      </c>
      <c r="L26" s="1" t="s">
        <v>156</v>
      </c>
      <c r="M26" s="2" t="s">
        <v>76</v>
      </c>
      <c r="O26" s="1" t="str">
        <f>'Final Tree'!$E$96</f>
        <v>Sustainable water</v>
      </c>
      <c r="P26" s="1" t="b">
        <v>0</v>
      </c>
    </row>
    <row r="27" spans="1:16" x14ac:dyDescent="0.5">
      <c r="A27" s="1">
        <f>'Final Tree'!$F$93</f>
        <v>0.88571428571428557</v>
      </c>
      <c r="B27" s="2" t="s">
        <v>46</v>
      </c>
      <c r="C27" s="1">
        <v>0</v>
      </c>
      <c r="I27" s="1" t="s">
        <v>41</v>
      </c>
      <c r="J27" s="1">
        <f>'Final Tree'!$E$93</f>
        <v>0</v>
      </c>
      <c r="K27" s="1">
        <f>'Final Tree'!$E$92</f>
        <v>1</v>
      </c>
      <c r="L27" s="1" t="s">
        <v>157</v>
      </c>
      <c r="M27" s="2" t="s">
        <v>76</v>
      </c>
      <c r="O27" s="1" t="str">
        <f>'Final Tree'!$F$92</f>
        <v>Safe water</v>
      </c>
      <c r="P27" s="1" t="b">
        <v>0</v>
      </c>
    </row>
    <row r="28" spans="1:16" x14ac:dyDescent="0.5">
      <c r="A28" s="1">
        <f>'Final Tree'!$G$91</f>
        <v>0.89285714285714279</v>
      </c>
      <c r="B28" s="2" t="s">
        <v>46</v>
      </c>
      <c r="C28" s="1">
        <v>0</v>
      </c>
      <c r="H28" s="1" t="s">
        <v>41</v>
      </c>
      <c r="I28" s="1" t="s">
        <v>41</v>
      </c>
      <c r="J28" s="1">
        <f>'Final Tree'!$F$91</f>
        <v>0.14285714285714285</v>
      </c>
      <c r="K28" s="1">
        <f>'Final Tree'!$F$90</f>
        <v>0.95</v>
      </c>
      <c r="L28" s="1" t="s">
        <v>125</v>
      </c>
      <c r="M28" s="2" t="s">
        <v>76</v>
      </c>
      <c r="P28" s="1" t="b">
        <v>0</v>
      </c>
    </row>
    <row r="29" spans="1:16" x14ac:dyDescent="0.5">
      <c r="A29" s="1">
        <f>'Final Tree'!$C$137</f>
        <v>0.50270715200292659</v>
      </c>
      <c r="B29" s="2" t="s">
        <v>79</v>
      </c>
      <c r="C29" s="1">
        <v>0</v>
      </c>
      <c r="I29" s="1" t="s">
        <v>41</v>
      </c>
      <c r="J29" s="1">
        <f>'Final Tree'!$B$137</f>
        <v>0</v>
      </c>
      <c r="K29" s="1">
        <f>'Final Tree'!$B$136</f>
        <v>0.5</v>
      </c>
      <c r="L29" s="1" t="s">
        <v>132</v>
      </c>
      <c r="M29" s="2" t="s">
        <v>76</v>
      </c>
      <c r="O29" s="1" t="str">
        <f>'Final Tree'!$C$136</f>
        <v>Ministry Permit</v>
      </c>
      <c r="P29" s="1" t="b">
        <v>0</v>
      </c>
    </row>
    <row r="30" spans="1:16" x14ac:dyDescent="0.5">
      <c r="A30" s="1">
        <f>'Final Tree'!$D$121</f>
        <v>0.50270715200292659</v>
      </c>
      <c r="B30" s="2" t="s">
        <v>81</v>
      </c>
      <c r="C30" s="1">
        <v>0</v>
      </c>
      <c r="I30" s="1" t="s">
        <v>41</v>
      </c>
      <c r="J30" s="1">
        <f>'Final Tree'!$C$121</f>
        <v>0</v>
      </c>
      <c r="K30" s="1">
        <f>'Final Tree'!$C$120</f>
        <v>0.5</v>
      </c>
      <c r="L30" s="1" t="s">
        <v>133</v>
      </c>
      <c r="M30" s="2" t="s">
        <v>76</v>
      </c>
      <c r="O30" s="1" t="str">
        <f>'Final Tree'!$D$120</f>
        <v>Decision</v>
      </c>
      <c r="P30" s="1" t="b">
        <v>0</v>
      </c>
    </row>
    <row r="31" spans="1:16" x14ac:dyDescent="0.5">
      <c r="A31" s="1">
        <f>'Final Tree'!$B$105</f>
        <v>0.69421071885860608</v>
      </c>
      <c r="B31" s="2" t="s">
        <v>83</v>
      </c>
      <c r="C31" s="1">
        <v>0</v>
      </c>
      <c r="I31" s="1" t="s">
        <v>41</v>
      </c>
      <c r="J31" s="1">
        <f>'Final Tree'!$A$105</f>
        <v>0</v>
      </c>
      <c r="K31" s="1">
        <f>'Final Tree'!$A$104</f>
        <v>0</v>
      </c>
      <c r="L31" s="1" t="s">
        <v>128</v>
      </c>
      <c r="M31" s="2" t="s">
        <v>76</v>
      </c>
      <c r="O31" s="1" t="str">
        <f>'Final Tree'!$B$104</f>
        <v>Summerland</v>
      </c>
      <c r="P31" s="1" t="b">
        <v>0</v>
      </c>
    </row>
    <row r="32" spans="1:16" x14ac:dyDescent="0.5">
      <c r="A32" s="1">
        <f>'Final Tree'!$E$113</f>
        <v>0.50270715200292659</v>
      </c>
      <c r="B32" s="2" t="s">
        <v>43</v>
      </c>
      <c r="C32" s="1">
        <v>0</v>
      </c>
      <c r="I32" s="1" t="s">
        <v>41</v>
      </c>
      <c r="J32" s="1">
        <f>'Final Tree'!$D$113</f>
        <v>0.38842143771721238</v>
      </c>
      <c r="L32" s="1" t="s">
        <v>144</v>
      </c>
      <c r="M32" s="2" t="s">
        <v>76</v>
      </c>
      <c r="O32" s="1" t="str">
        <f>'Final Tree'!$E$112</f>
        <v>Sustainable water</v>
      </c>
      <c r="P32" s="1" t="b">
        <v>0</v>
      </c>
    </row>
    <row r="33" spans="1:16" x14ac:dyDescent="0.5">
      <c r="A33" s="1">
        <f>'Final Tree'!$F$109</f>
        <v>0.50270715200292659</v>
      </c>
      <c r="B33" s="2" t="s">
        <v>46</v>
      </c>
      <c r="C33" s="1">
        <v>0</v>
      </c>
      <c r="I33" s="1" t="s">
        <v>41</v>
      </c>
      <c r="J33" s="37">
        <f>'Final Tree'!$E$109</f>
        <v>0</v>
      </c>
      <c r="K33" s="1">
        <f>'Final Tree'!$E$108</f>
        <v>0.4</v>
      </c>
      <c r="L33" s="1" t="s">
        <v>145</v>
      </c>
      <c r="M33" s="2" t="s">
        <v>76</v>
      </c>
      <c r="O33" s="1" t="str">
        <f>'Final Tree'!$F$108</f>
        <v>Safe water</v>
      </c>
      <c r="P33" s="1" t="b">
        <v>0</v>
      </c>
    </row>
    <row r="34" spans="1:16" x14ac:dyDescent="0.5">
      <c r="A34" s="1">
        <f>'Final Tree'!$G$107</f>
        <v>0.53127858057435517</v>
      </c>
      <c r="B34" s="2" t="s">
        <v>46</v>
      </c>
      <c r="C34" s="1">
        <v>0</v>
      </c>
      <c r="H34" s="1" t="s">
        <v>41</v>
      </c>
      <c r="I34" s="1" t="s">
        <v>41</v>
      </c>
      <c r="J34" s="1">
        <f>'Final Tree'!$F$107</f>
        <v>0.14285714285714285</v>
      </c>
      <c r="K34" s="1">
        <f>'Final Tree'!$F$106</f>
        <v>0.8</v>
      </c>
      <c r="L34" s="1" t="s">
        <v>84</v>
      </c>
      <c r="M34" s="2" t="s">
        <v>76</v>
      </c>
      <c r="P34" s="1" t="b">
        <v>0</v>
      </c>
    </row>
    <row r="35" spans="1:16" x14ac:dyDescent="0.5">
      <c r="A35" s="1">
        <f>'Final Tree'!$E$129</f>
        <v>0.24285714285714285</v>
      </c>
      <c r="B35" s="2" t="s">
        <v>45</v>
      </c>
      <c r="C35" s="1">
        <v>0</v>
      </c>
      <c r="I35" s="1" t="s">
        <v>41</v>
      </c>
      <c r="J35" s="1">
        <f>'Final Tree'!$D$129</f>
        <v>0.10714285714285714</v>
      </c>
      <c r="L35" s="1" t="s">
        <v>164</v>
      </c>
      <c r="M35" s="2" t="s">
        <v>76</v>
      </c>
      <c r="O35" s="1" t="str">
        <f>'Final Tree'!$E$128</f>
        <v>Sustainable water</v>
      </c>
      <c r="P35" s="1" t="b">
        <v>0</v>
      </c>
    </row>
    <row r="36" spans="1:16" x14ac:dyDescent="0.5">
      <c r="A36" s="1">
        <f>'Final Tree'!$F$125</f>
        <v>0.24285714285714285</v>
      </c>
      <c r="B36" s="2" t="s">
        <v>46</v>
      </c>
      <c r="C36" s="1">
        <v>0</v>
      </c>
      <c r="I36" s="1" t="s">
        <v>41</v>
      </c>
      <c r="J36" s="1">
        <f>'Final Tree'!$E$125</f>
        <v>0</v>
      </c>
      <c r="K36" s="1">
        <f>'Final Tree'!$E$124</f>
        <v>0.9</v>
      </c>
      <c r="L36" s="1" t="s">
        <v>165</v>
      </c>
      <c r="M36" s="2" t="s">
        <v>76</v>
      </c>
      <c r="O36" s="1" t="str">
        <f>'Final Tree'!$F$124</f>
        <v>Safe water</v>
      </c>
      <c r="P36" s="1" t="b">
        <v>0</v>
      </c>
    </row>
    <row r="37" spans="1:16" x14ac:dyDescent="0.5">
      <c r="A37" s="1">
        <f>'Final Tree'!$G$123</f>
        <v>0.25</v>
      </c>
      <c r="B37" s="2" t="s">
        <v>46</v>
      </c>
      <c r="C37" s="1">
        <v>0</v>
      </c>
      <c r="H37" s="1" t="s">
        <v>41</v>
      </c>
      <c r="I37" s="1" t="s">
        <v>41</v>
      </c>
      <c r="J37" s="1">
        <f>'Final Tree'!$F$123</f>
        <v>0.14285714285714285</v>
      </c>
      <c r="K37" s="1">
        <f>'Final Tree'!$F$122</f>
        <v>0.95</v>
      </c>
      <c r="L37" s="1" t="s">
        <v>126</v>
      </c>
      <c r="M37" s="2" t="s">
        <v>76</v>
      </c>
      <c r="P37" s="1" t="b">
        <v>0</v>
      </c>
    </row>
    <row r="38" spans="1:16" x14ac:dyDescent="0.5">
      <c r="A38" s="1">
        <f>'Final Tree'!$D$153</f>
        <v>0.50270715200292659</v>
      </c>
      <c r="B38" s="2" t="s">
        <v>82</v>
      </c>
      <c r="C38" s="1">
        <v>0</v>
      </c>
      <c r="I38" s="1" t="s">
        <v>41</v>
      </c>
      <c r="J38" s="1">
        <f>'Final Tree'!$C$153</f>
        <v>0</v>
      </c>
      <c r="K38" s="1">
        <f>'Final Tree'!$C$152</f>
        <v>0.5</v>
      </c>
      <c r="L38" s="1" t="s">
        <v>134</v>
      </c>
      <c r="M38" s="2" t="s">
        <v>76</v>
      </c>
      <c r="O38" s="1" t="str">
        <f>'Final Tree'!$D$152</f>
        <v>Decision</v>
      </c>
      <c r="P38" s="1" t="b">
        <v>0</v>
      </c>
    </row>
    <row r="39" spans="1:16" x14ac:dyDescent="0.5">
      <c r="A39" s="1">
        <f>'Final Tree'!$E$145</f>
        <v>0.50270715200292659</v>
      </c>
      <c r="B39" s="2" t="s">
        <v>43</v>
      </c>
      <c r="C39" s="1">
        <v>0</v>
      </c>
      <c r="I39" s="1" t="s">
        <v>41</v>
      </c>
      <c r="J39" s="1">
        <f>'Final Tree'!$D$145</f>
        <v>0.38842143771721238</v>
      </c>
      <c r="L39" s="1" t="s">
        <v>148</v>
      </c>
      <c r="M39" s="2" t="s">
        <v>76</v>
      </c>
      <c r="O39" s="1" t="str">
        <f>'Final Tree'!$E$144</f>
        <v>Sustainable water</v>
      </c>
      <c r="P39" s="1" t="b">
        <v>0</v>
      </c>
    </row>
    <row r="40" spans="1:16" x14ac:dyDescent="0.5">
      <c r="A40" s="1">
        <f>'Final Tree'!$F$141</f>
        <v>0.50270715200292659</v>
      </c>
      <c r="B40" s="2" t="s">
        <v>46</v>
      </c>
      <c r="C40" s="1">
        <v>0</v>
      </c>
      <c r="I40" s="1" t="s">
        <v>41</v>
      </c>
      <c r="J40" s="37">
        <f>'Final Tree'!$E$141</f>
        <v>0</v>
      </c>
      <c r="K40" s="1">
        <f>'Final Tree'!$E$140</f>
        <v>0.4</v>
      </c>
      <c r="L40" s="1" t="s">
        <v>149</v>
      </c>
      <c r="M40" s="2" t="s">
        <v>76</v>
      </c>
      <c r="O40" s="1" t="str">
        <f>'Final Tree'!$F$140</f>
        <v>Safe water</v>
      </c>
      <c r="P40" s="1" t="b">
        <v>0</v>
      </c>
    </row>
    <row r="41" spans="1:16" x14ac:dyDescent="0.5">
      <c r="A41" s="1">
        <f>'Final Tree'!$G$139</f>
        <v>0.53127858057435517</v>
      </c>
      <c r="B41" s="2" t="s">
        <v>46</v>
      </c>
      <c r="C41" s="1">
        <v>0</v>
      </c>
      <c r="H41" s="1" t="s">
        <v>41</v>
      </c>
      <c r="I41" s="1" t="s">
        <v>41</v>
      </c>
      <c r="J41" s="1">
        <f>'Final Tree'!$F$139</f>
        <v>0.14285714285714285</v>
      </c>
      <c r="K41" s="1">
        <f>'Final Tree'!$F$138</f>
        <v>0.8</v>
      </c>
      <c r="L41" s="1" t="s">
        <v>127</v>
      </c>
      <c r="M41" s="2" t="s">
        <v>76</v>
      </c>
      <c r="P41" s="1" t="b">
        <v>0</v>
      </c>
    </row>
    <row r="42" spans="1:16" x14ac:dyDescent="0.5">
      <c r="A42" s="1">
        <f>'Final Tree'!$G$33</f>
        <v>0.38842143771721238</v>
      </c>
      <c r="B42" s="2" t="s">
        <v>47</v>
      </c>
      <c r="C42" s="1">
        <v>0</v>
      </c>
      <c r="H42" s="1" t="s">
        <v>41</v>
      </c>
      <c r="I42" s="1" t="s">
        <v>41</v>
      </c>
      <c r="J42" s="1">
        <f>'Final Tree'!$F$33</f>
        <v>0</v>
      </c>
      <c r="K42" s="1">
        <f>'Final Tree'!$F$32</f>
        <v>0.19999999999999996</v>
      </c>
      <c r="L42" s="1" t="s">
        <v>121</v>
      </c>
      <c r="M42" s="2" t="s">
        <v>76</v>
      </c>
      <c r="P42" s="1" t="b">
        <v>0</v>
      </c>
    </row>
    <row r="43" spans="1:16" x14ac:dyDescent="0.5">
      <c r="A43" s="1">
        <f>'Final Tree'!$F$39</f>
        <v>0.50270715200292659</v>
      </c>
      <c r="B43" s="2" t="s">
        <v>47</v>
      </c>
      <c r="C43" s="1">
        <v>0</v>
      </c>
      <c r="I43" s="1" t="s">
        <v>41</v>
      </c>
      <c r="J43" s="1">
        <f>'Final Tree'!$E$39</f>
        <v>0</v>
      </c>
      <c r="K43" s="1">
        <f>'Final Tree'!$E$38</f>
        <v>0.6</v>
      </c>
      <c r="L43" s="1" t="s">
        <v>138</v>
      </c>
      <c r="M43" s="2" t="s">
        <v>76</v>
      </c>
      <c r="O43" s="1" t="str">
        <f>'Final Tree'!$F$38</f>
        <v>Safe water</v>
      </c>
      <c r="P43" s="1" t="b">
        <v>0</v>
      </c>
    </row>
    <row r="44" spans="1:16" x14ac:dyDescent="0.5">
      <c r="A44" s="1">
        <f>'Final Tree'!$G$37</f>
        <v>0.53127858057435517</v>
      </c>
      <c r="B44" s="2" t="s">
        <v>46</v>
      </c>
      <c r="C44" s="1">
        <v>0</v>
      </c>
      <c r="H44" s="1" t="s">
        <v>41</v>
      </c>
      <c r="I44" s="1" t="s">
        <v>41</v>
      </c>
      <c r="J44" s="1">
        <f>'Final Tree'!$F$37</f>
        <v>0.14285714285714285</v>
      </c>
      <c r="K44" s="1">
        <f>'Final Tree'!$F$36</f>
        <v>0.8</v>
      </c>
      <c r="L44" s="1" t="s">
        <v>139</v>
      </c>
      <c r="M44" s="2" t="s">
        <v>76</v>
      </c>
      <c r="P44" s="1" t="b">
        <v>0</v>
      </c>
    </row>
    <row r="45" spans="1:16" x14ac:dyDescent="0.5">
      <c r="A45" s="1">
        <f>'Final Tree'!$G$41</f>
        <v>0.38842143771721238</v>
      </c>
      <c r="B45" s="2" t="s">
        <v>47</v>
      </c>
      <c r="C45" s="1">
        <v>0</v>
      </c>
      <c r="H45" s="1" t="s">
        <v>41</v>
      </c>
      <c r="I45" s="1" t="s">
        <v>41</v>
      </c>
      <c r="J45" s="1">
        <f>'Final Tree'!$F$41</f>
        <v>0</v>
      </c>
      <c r="K45" s="1">
        <f>'Final Tree'!$F$40</f>
        <v>0.19999999999999996</v>
      </c>
      <c r="L45" s="1" t="s">
        <v>139</v>
      </c>
      <c r="M45" s="2" t="s">
        <v>76</v>
      </c>
      <c r="P45" s="1" t="b">
        <v>0</v>
      </c>
    </row>
    <row r="46" spans="1:16" x14ac:dyDescent="0.5">
      <c r="A46" s="1">
        <f>'Final Tree'!$G$79</f>
        <v>0.38842143771721238</v>
      </c>
      <c r="B46" s="2" t="s">
        <v>47</v>
      </c>
      <c r="C46" s="1">
        <v>0</v>
      </c>
      <c r="H46" s="1" t="s">
        <v>41</v>
      </c>
      <c r="I46" s="1" t="s">
        <v>41</v>
      </c>
      <c r="J46" s="1">
        <f>'Final Tree'!$F$79</f>
        <v>0</v>
      </c>
      <c r="K46" s="1">
        <f>'Final Tree'!$F$78</f>
        <v>0.19999999999999996</v>
      </c>
      <c r="L46" s="1" t="s">
        <v>124</v>
      </c>
      <c r="M46" s="2" t="s">
        <v>76</v>
      </c>
      <c r="P46" s="1" t="b">
        <v>0</v>
      </c>
    </row>
    <row r="47" spans="1:16" x14ac:dyDescent="0.5">
      <c r="A47" s="1">
        <f>'Final Tree'!$F$85</f>
        <v>0.50270715200292659</v>
      </c>
      <c r="B47" s="2" t="s">
        <v>47</v>
      </c>
      <c r="C47" s="1">
        <v>0</v>
      </c>
      <c r="I47" s="1" t="s">
        <v>41</v>
      </c>
      <c r="J47" s="1">
        <f>'Final Tree'!$E$85</f>
        <v>0</v>
      </c>
      <c r="K47" s="1">
        <f>'Final Tree'!$E$84</f>
        <v>0.6</v>
      </c>
      <c r="L47" s="1" t="s">
        <v>142</v>
      </c>
      <c r="M47" s="2" t="s">
        <v>76</v>
      </c>
      <c r="O47" s="1" t="str">
        <f>'Final Tree'!$F$84</f>
        <v>Safe water</v>
      </c>
      <c r="P47" s="1" t="b">
        <v>0</v>
      </c>
    </row>
    <row r="48" spans="1:16" x14ac:dyDescent="0.5">
      <c r="A48" s="1">
        <f>'Final Tree'!$G$83</f>
        <v>0.53127858057435517</v>
      </c>
      <c r="B48" s="2" t="s">
        <v>46</v>
      </c>
      <c r="C48" s="1">
        <v>0</v>
      </c>
      <c r="H48" s="1" t="s">
        <v>41</v>
      </c>
      <c r="I48" s="1" t="s">
        <v>41</v>
      </c>
      <c r="J48" s="1">
        <f>'Final Tree'!$F$83</f>
        <v>0.14285714285714285</v>
      </c>
      <c r="K48" s="1">
        <f>'Final Tree'!$F$82</f>
        <v>0.8</v>
      </c>
      <c r="L48" s="1" t="s">
        <v>143</v>
      </c>
      <c r="M48" s="2" t="s">
        <v>76</v>
      </c>
      <c r="P48" s="1" t="b">
        <v>0</v>
      </c>
    </row>
    <row r="49" spans="1:16" x14ac:dyDescent="0.5">
      <c r="A49" s="1">
        <f>'Final Tree'!$G$87</f>
        <v>0.38842143771721238</v>
      </c>
      <c r="B49" s="2" t="s">
        <v>47</v>
      </c>
      <c r="C49" s="1">
        <v>0</v>
      </c>
      <c r="H49" s="1" t="s">
        <v>41</v>
      </c>
      <c r="I49" s="1" t="s">
        <v>41</v>
      </c>
      <c r="J49" s="1">
        <f>'Final Tree'!$F$87</f>
        <v>0</v>
      </c>
      <c r="K49" s="1">
        <f>'Final Tree'!$F$86</f>
        <v>0.19999999999999996</v>
      </c>
      <c r="L49" s="1" t="s">
        <v>143</v>
      </c>
      <c r="M49" s="2" t="s">
        <v>76</v>
      </c>
      <c r="P49" s="1" t="b">
        <v>0</v>
      </c>
    </row>
    <row r="50" spans="1:16" x14ac:dyDescent="0.5">
      <c r="A50" s="1">
        <f>'Final Tree'!$G$111</f>
        <v>0.38842143771721238</v>
      </c>
      <c r="B50" s="2" t="s">
        <v>47</v>
      </c>
      <c r="C50" s="1">
        <v>0</v>
      </c>
      <c r="H50" s="1" t="s">
        <v>41</v>
      </c>
      <c r="I50" s="1" t="s">
        <v>41</v>
      </c>
      <c r="J50" s="1">
        <f>'Final Tree'!$F$111</f>
        <v>0</v>
      </c>
      <c r="K50" s="1">
        <f>'Final Tree'!$F$110</f>
        <v>0.19999999999999996</v>
      </c>
      <c r="L50" s="1" t="s">
        <v>84</v>
      </c>
      <c r="M50" s="2" t="s">
        <v>76</v>
      </c>
      <c r="P50" s="1" t="b">
        <v>0</v>
      </c>
    </row>
    <row r="51" spans="1:16" x14ac:dyDescent="0.5">
      <c r="A51" s="1">
        <f>'Final Tree'!$F$117</f>
        <v>0.50270715200292659</v>
      </c>
      <c r="B51" s="2" t="s">
        <v>47</v>
      </c>
      <c r="C51" s="1">
        <v>0</v>
      </c>
      <c r="I51" s="1" t="s">
        <v>41</v>
      </c>
      <c r="J51" s="1">
        <f>'Final Tree'!$E$117</f>
        <v>0</v>
      </c>
      <c r="K51" s="1">
        <f>'Final Tree'!$E$116</f>
        <v>0.6</v>
      </c>
      <c r="L51" s="1" t="s">
        <v>146</v>
      </c>
      <c r="M51" s="2" t="s">
        <v>76</v>
      </c>
      <c r="O51" s="1" t="str">
        <f>'Final Tree'!$F$116</f>
        <v>Safe water</v>
      </c>
      <c r="P51" s="1" t="b">
        <v>0</v>
      </c>
    </row>
    <row r="52" spans="1:16" x14ac:dyDescent="0.5">
      <c r="A52" s="1">
        <f>'Final Tree'!$G$115</f>
        <v>0.53127858057435517</v>
      </c>
      <c r="B52" s="2" t="s">
        <v>46</v>
      </c>
      <c r="C52" s="1">
        <v>0</v>
      </c>
      <c r="H52" s="1" t="s">
        <v>41</v>
      </c>
      <c r="I52" s="1" t="s">
        <v>41</v>
      </c>
      <c r="J52" s="1">
        <f>'Final Tree'!$F$115</f>
        <v>0.14285714285714285</v>
      </c>
      <c r="K52" s="1">
        <f>'Final Tree'!$F$114</f>
        <v>0.8</v>
      </c>
      <c r="L52" s="1" t="s">
        <v>147</v>
      </c>
      <c r="M52" s="2" t="s">
        <v>76</v>
      </c>
      <c r="P52" s="1" t="b">
        <v>0</v>
      </c>
    </row>
    <row r="53" spans="1:16" x14ac:dyDescent="0.5">
      <c r="A53" s="1">
        <f>'Final Tree'!$G$119</f>
        <v>0.38842143771721238</v>
      </c>
      <c r="B53" s="2" t="s">
        <v>47</v>
      </c>
      <c r="C53" s="1">
        <v>0</v>
      </c>
      <c r="H53" s="1" t="s">
        <v>41</v>
      </c>
      <c r="I53" s="1" t="s">
        <v>41</v>
      </c>
      <c r="J53" s="1">
        <f>'Final Tree'!$F$119</f>
        <v>0</v>
      </c>
      <c r="K53" s="1">
        <f>'Final Tree'!$F$118</f>
        <v>0.19999999999999996</v>
      </c>
      <c r="L53" s="1" t="s">
        <v>147</v>
      </c>
      <c r="M53" s="2" t="s">
        <v>76</v>
      </c>
      <c r="P53" s="1" t="b">
        <v>0</v>
      </c>
    </row>
    <row r="54" spans="1:16" x14ac:dyDescent="0.5">
      <c r="A54" s="1">
        <f>'Final Tree'!$G$143</f>
        <v>0.38842143771721238</v>
      </c>
      <c r="B54" s="2" t="s">
        <v>47</v>
      </c>
      <c r="C54" s="1">
        <v>0</v>
      </c>
      <c r="H54" s="1" t="s">
        <v>41</v>
      </c>
      <c r="I54" s="1" t="s">
        <v>41</v>
      </c>
      <c r="J54" s="1">
        <f>'Final Tree'!$F$143</f>
        <v>0</v>
      </c>
      <c r="K54" s="1">
        <f>'Final Tree'!$F$142</f>
        <v>0.19999999999999996</v>
      </c>
      <c r="L54" s="1" t="s">
        <v>127</v>
      </c>
      <c r="M54" s="2" t="s">
        <v>76</v>
      </c>
      <c r="P54" s="1" t="b">
        <v>0</v>
      </c>
    </row>
    <row r="55" spans="1:16" x14ac:dyDescent="0.5">
      <c r="A55" s="1">
        <f>'Final Tree'!$F$149</f>
        <v>0.50270715200292659</v>
      </c>
      <c r="B55" s="2" t="s">
        <v>47</v>
      </c>
      <c r="C55" s="1">
        <v>0</v>
      </c>
      <c r="I55" s="1" t="s">
        <v>41</v>
      </c>
      <c r="J55" s="1">
        <f>'Final Tree'!$E$149</f>
        <v>0</v>
      </c>
      <c r="K55" s="1">
        <f>'Final Tree'!$E$148</f>
        <v>0.6</v>
      </c>
      <c r="L55" s="1" t="s">
        <v>150</v>
      </c>
      <c r="M55" s="2" t="s">
        <v>76</v>
      </c>
      <c r="O55" s="1" t="str">
        <f>'Final Tree'!$F$148</f>
        <v>Safe water</v>
      </c>
      <c r="P55" s="1" t="b">
        <v>0</v>
      </c>
    </row>
    <row r="56" spans="1:16" x14ac:dyDescent="0.5">
      <c r="A56" s="1">
        <f>'Final Tree'!$G$147</f>
        <v>0.53127858057435517</v>
      </c>
      <c r="B56" s="2" t="s">
        <v>46</v>
      </c>
      <c r="C56" s="1">
        <v>0</v>
      </c>
      <c r="H56" s="1" t="s">
        <v>41</v>
      </c>
      <c r="I56" s="1" t="s">
        <v>41</v>
      </c>
      <c r="J56" s="1">
        <f>'Final Tree'!$F$147</f>
        <v>0.14285714285714285</v>
      </c>
      <c r="K56" s="1">
        <f>'Final Tree'!$F$146</f>
        <v>0.8</v>
      </c>
      <c r="L56" s="1" t="s">
        <v>151</v>
      </c>
      <c r="M56" s="2" t="s">
        <v>76</v>
      </c>
      <c r="P56" s="1" t="b">
        <v>0</v>
      </c>
    </row>
    <row r="57" spans="1:16" x14ac:dyDescent="0.5">
      <c r="A57" s="1">
        <f>'Final Tree'!$G$151</f>
        <v>0.38842143771721238</v>
      </c>
      <c r="B57" s="2" t="s">
        <v>47</v>
      </c>
      <c r="C57" s="1">
        <v>0</v>
      </c>
      <c r="H57" s="1" t="s">
        <v>41</v>
      </c>
      <c r="I57" s="1" t="s">
        <v>41</v>
      </c>
      <c r="J57" s="1">
        <f>'Final Tree'!$F$151</f>
        <v>0</v>
      </c>
      <c r="K57" s="1">
        <f>'Final Tree'!$F$150</f>
        <v>0.19999999999999996</v>
      </c>
      <c r="L57" s="1" t="s">
        <v>151</v>
      </c>
      <c r="M57" s="2" t="s">
        <v>76</v>
      </c>
      <c r="P57" s="1" t="b">
        <v>0</v>
      </c>
    </row>
    <row r="58" spans="1:16" x14ac:dyDescent="0.5">
      <c r="A58" s="1">
        <f>'Final Tree'!$G$49</f>
        <v>0.74999999999999989</v>
      </c>
      <c r="B58" s="2" t="s">
        <v>47</v>
      </c>
      <c r="C58" s="1">
        <v>0</v>
      </c>
      <c r="H58" s="1" t="s">
        <v>41</v>
      </c>
      <c r="I58" s="1" t="s">
        <v>41</v>
      </c>
      <c r="J58" s="1">
        <f>'Final Tree'!$F$49</f>
        <v>0</v>
      </c>
      <c r="K58" s="1">
        <f>'Final Tree'!$F$48</f>
        <v>5.0000000000000044E-2</v>
      </c>
      <c r="L58" s="1" t="s">
        <v>122</v>
      </c>
      <c r="M58" s="2" t="s">
        <v>76</v>
      </c>
      <c r="P58" s="1" t="b">
        <v>0</v>
      </c>
    </row>
    <row r="59" spans="1:16" x14ac:dyDescent="0.5">
      <c r="A59" s="1">
        <f>'Final Tree'!$F$55</f>
        <v>0.88571428571428557</v>
      </c>
      <c r="B59" s="2" t="s">
        <v>47</v>
      </c>
      <c r="C59" s="1">
        <v>0</v>
      </c>
      <c r="I59" s="1" t="s">
        <v>41</v>
      </c>
      <c r="J59" s="1">
        <f>'Final Tree'!$E$55</f>
        <v>0</v>
      </c>
      <c r="K59" s="1">
        <f>'Final Tree'!$E$54</f>
        <v>0</v>
      </c>
      <c r="L59" s="1" t="s">
        <v>154</v>
      </c>
      <c r="M59" s="2" t="s">
        <v>76</v>
      </c>
      <c r="O59" s="1" t="str">
        <f>'Final Tree'!$F$54</f>
        <v>Safe water</v>
      </c>
      <c r="P59" s="1" t="b">
        <v>0</v>
      </c>
    </row>
    <row r="60" spans="1:16" x14ac:dyDescent="0.5">
      <c r="A60" s="1">
        <f>'Final Tree'!$G$53</f>
        <v>0.89285714285714279</v>
      </c>
      <c r="B60" s="2" t="s">
        <v>46</v>
      </c>
      <c r="C60" s="1">
        <v>0</v>
      </c>
      <c r="H60" s="1" t="s">
        <v>41</v>
      </c>
      <c r="I60" s="1" t="s">
        <v>41</v>
      </c>
      <c r="J60" s="1">
        <f>'Final Tree'!$F$53</f>
        <v>0.14285714285714285</v>
      </c>
      <c r="K60" s="1">
        <f>'Final Tree'!$F$52</f>
        <v>0.95</v>
      </c>
      <c r="L60" s="1" t="s">
        <v>155</v>
      </c>
      <c r="M60" s="2" t="s">
        <v>76</v>
      </c>
      <c r="P60" s="1" t="b">
        <v>0</v>
      </c>
    </row>
    <row r="61" spans="1:16" x14ac:dyDescent="0.5">
      <c r="A61" s="1">
        <f>'Final Tree'!$G$57</f>
        <v>0.74999999999999989</v>
      </c>
      <c r="B61" s="2" t="s">
        <v>47</v>
      </c>
      <c r="C61" s="1">
        <v>0</v>
      </c>
      <c r="H61" s="1" t="s">
        <v>41</v>
      </c>
      <c r="I61" s="1" t="s">
        <v>41</v>
      </c>
      <c r="J61" s="1">
        <f>'Final Tree'!$F$57</f>
        <v>0</v>
      </c>
      <c r="K61" s="1">
        <f>'Final Tree'!$F$56</f>
        <v>5.0000000000000044E-2</v>
      </c>
      <c r="L61" s="1" t="s">
        <v>155</v>
      </c>
      <c r="M61" s="2" t="s">
        <v>76</v>
      </c>
      <c r="P61" s="1" t="b">
        <v>0</v>
      </c>
    </row>
    <row r="62" spans="1:16" x14ac:dyDescent="0.5">
      <c r="A62" s="1">
        <f>'Final Tree'!$G$95</f>
        <v>0.74999999999999989</v>
      </c>
      <c r="B62" s="2" t="s">
        <v>47</v>
      </c>
      <c r="C62" s="1">
        <v>0</v>
      </c>
      <c r="H62" s="1" t="s">
        <v>41</v>
      </c>
      <c r="I62" s="1" t="s">
        <v>41</v>
      </c>
      <c r="J62" s="1">
        <f>'Final Tree'!$F$95</f>
        <v>0</v>
      </c>
      <c r="K62" s="1">
        <f>'Final Tree'!$F$94</f>
        <v>5.0000000000000044E-2</v>
      </c>
      <c r="L62" s="1" t="s">
        <v>125</v>
      </c>
      <c r="M62" s="2" t="s">
        <v>76</v>
      </c>
      <c r="P62" s="1" t="b">
        <v>0</v>
      </c>
    </row>
    <row r="63" spans="1:16" x14ac:dyDescent="0.5">
      <c r="A63" s="1">
        <f>'Final Tree'!$F$101</f>
        <v>0.88571428571428557</v>
      </c>
      <c r="B63" s="2" t="s">
        <v>47</v>
      </c>
      <c r="C63" s="1">
        <v>0</v>
      </c>
      <c r="I63" s="1" t="s">
        <v>41</v>
      </c>
      <c r="J63" s="1">
        <f>'Final Tree'!$E$101</f>
        <v>0</v>
      </c>
      <c r="K63" s="1">
        <f>'Final Tree'!$E$100</f>
        <v>0</v>
      </c>
      <c r="L63" s="1" t="s">
        <v>158</v>
      </c>
      <c r="M63" s="2" t="s">
        <v>76</v>
      </c>
      <c r="O63" s="1" t="str">
        <f>'Final Tree'!$F$100</f>
        <v>Safe water</v>
      </c>
      <c r="P63" s="1" t="b">
        <v>0</v>
      </c>
    </row>
    <row r="64" spans="1:16" x14ac:dyDescent="0.5">
      <c r="A64" s="1">
        <f>'Final Tree'!$G$99</f>
        <v>0.89285714285714279</v>
      </c>
      <c r="B64" s="2" t="s">
        <v>46</v>
      </c>
      <c r="C64" s="1">
        <v>0</v>
      </c>
      <c r="H64" s="1" t="s">
        <v>41</v>
      </c>
      <c r="I64" s="1" t="s">
        <v>41</v>
      </c>
      <c r="J64" s="1">
        <f>'Final Tree'!$F$99</f>
        <v>0.14285714285714285</v>
      </c>
      <c r="K64" s="1">
        <f>'Final Tree'!$F$98</f>
        <v>0.95</v>
      </c>
      <c r="L64" s="1" t="s">
        <v>159</v>
      </c>
      <c r="M64" s="2" t="s">
        <v>76</v>
      </c>
      <c r="P64" s="1" t="b">
        <v>0</v>
      </c>
    </row>
    <row r="65" spans="1:16" x14ac:dyDescent="0.5">
      <c r="A65" s="1">
        <f>'Final Tree'!$G$103</f>
        <v>0.74999999999999989</v>
      </c>
      <c r="B65" s="2" t="s">
        <v>47</v>
      </c>
      <c r="C65" s="1">
        <v>0</v>
      </c>
      <c r="H65" s="1" t="s">
        <v>41</v>
      </c>
      <c r="I65" s="1" t="s">
        <v>41</v>
      </c>
      <c r="J65" s="1">
        <f>'Final Tree'!$F$103</f>
        <v>0</v>
      </c>
      <c r="K65" s="1">
        <f>'Final Tree'!$F$102</f>
        <v>5.0000000000000044E-2</v>
      </c>
      <c r="L65" s="1" t="s">
        <v>159</v>
      </c>
      <c r="M65" s="2" t="s">
        <v>76</v>
      </c>
      <c r="P65" s="1" t="b">
        <v>0</v>
      </c>
    </row>
    <row r="66" spans="1:16" x14ac:dyDescent="0.5">
      <c r="A66" s="1">
        <f>'Final Tree'!$G$63</f>
        <v>0.10714285714285714</v>
      </c>
      <c r="B66" s="2" t="s">
        <v>47</v>
      </c>
      <c r="C66" s="1">
        <v>0</v>
      </c>
      <c r="H66" s="1" t="s">
        <v>41</v>
      </c>
      <c r="I66" s="1" t="s">
        <v>41</v>
      </c>
      <c r="J66" s="1">
        <f>'Final Tree'!$F$63</f>
        <v>0</v>
      </c>
      <c r="K66" s="1">
        <f>'Final Tree'!$F$62</f>
        <v>5.0000000000000044E-2</v>
      </c>
      <c r="L66" s="1" t="s">
        <v>123</v>
      </c>
      <c r="M66" s="2" t="s">
        <v>76</v>
      </c>
      <c r="P66" s="1" t="b">
        <v>0</v>
      </c>
    </row>
    <row r="67" spans="1:16" x14ac:dyDescent="0.5">
      <c r="A67" s="1">
        <f>'Final Tree'!$F$69</f>
        <v>0.24285714285714285</v>
      </c>
      <c r="B67" s="2" t="s">
        <v>47</v>
      </c>
      <c r="C67" s="1">
        <v>0</v>
      </c>
      <c r="I67" s="1" t="s">
        <v>41</v>
      </c>
      <c r="J67" s="1">
        <f>'Final Tree'!$E$69</f>
        <v>0</v>
      </c>
      <c r="K67" s="1">
        <f>'Final Tree'!$E$68</f>
        <v>9.9999999999999978E-2</v>
      </c>
      <c r="L67" s="1" t="s">
        <v>162</v>
      </c>
      <c r="M67" s="2" t="s">
        <v>76</v>
      </c>
      <c r="O67" s="1" t="str">
        <f>'Final Tree'!$F$68</f>
        <v>Safe water</v>
      </c>
      <c r="P67" s="1" t="b">
        <v>0</v>
      </c>
    </row>
    <row r="68" spans="1:16" x14ac:dyDescent="0.5">
      <c r="A68" s="1">
        <f>'Final Tree'!$G$67</f>
        <v>0.25</v>
      </c>
      <c r="B68" s="2" t="s">
        <v>46</v>
      </c>
      <c r="C68" s="1">
        <v>0</v>
      </c>
      <c r="H68" s="1" t="s">
        <v>41</v>
      </c>
      <c r="I68" s="1" t="s">
        <v>41</v>
      </c>
      <c r="J68" s="1">
        <f>'Final Tree'!$F$67</f>
        <v>0.14285714285714285</v>
      </c>
      <c r="K68" s="1">
        <f>'Final Tree'!$F$66</f>
        <v>0.95</v>
      </c>
      <c r="L68" s="1" t="s">
        <v>163</v>
      </c>
      <c r="M68" s="2" t="s">
        <v>76</v>
      </c>
      <c r="P68" s="1" t="b">
        <v>0</v>
      </c>
    </row>
    <row r="69" spans="1:16" x14ac:dyDescent="0.5">
      <c r="A69" s="1">
        <f>'Final Tree'!$G$71</f>
        <v>0.10714285714285714</v>
      </c>
      <c r="B69" s="2" t="s">
        <v>47</v>
      </c>
      <c r="C69" s="1">
        <v>0</v>
      </c>
      <c r="H69" s="1" t="s">
        <v>41</v>
      </c>
      <c r="I69" s="1" t="s">
        <v>41</v>
      </c>
      <c r="J69" s="1">
        <f>'Final Tree'!$F$71</f>
        <v>0</v>
      </c>
      <c r="K69" s="1">
        <f>'Final Tree'!$F$70</f>
        <v>5.0000000000000044E-2</v>
      </c>
      <c r="L69" s="1" t="s">
        <v>163</v>
      </c>
      <c r="M69" s="2" t="s">
        <v>76</v>
      </c>
      <c r="P69" s="1" t="b">
        <v>0</v>
      </c>
    </row>
    <row r="70" spans="1:16" x14ac:dyDescent="0.5">
      <c r="A70" s="1">
        <f>'Final Tree'!$G$127</f>
        <v>0.10714285714285714</v>
      </c>
      <c r="B70" s="2" t="s">
        <v>47</v>
      </c>
      <c r="C70" s="1">
        <v>0</v>
      </c>
      <c r="H70" s="1" t="s">
        <v>41</v>
      </c>
      <c r="I70" s="1" t="s">
        <v>41</v>
      </c>
      <c r="J70" s="1">
        <f>'Final Tree'!$F$127</f>
        <v>0</v>
      </c>
      <c r="K70" s="1">
        <f>'Final Tree'!$F$126</f>
        <v>5.0000000000000044E-2</v>
      </c>
      <c r="L70" s="1" t="s">
        <v>126</v>
      </c>
      <c r="M70" s="2" t="s">
        <v>76</v>
      </c>
      <c r="P70" s="1" t="b">
        <v>0</v>
      </c>
    </row>
    <row r="71" spans="1:16" x14ac:dyDescent="0.5">
      <c r="A71" s="1">
        <f>'Final Tree'!$F$133</f>
        <v>0.24285714285714285</v>
      </c>
      <c r="B71" s="2" t="s">
        <v>47</v>
      </c>
      <c r="C71" s="1">
        <v>0</v>
      </c>
      <c r="I71" s="1" t="s">
        <v>41</v>
      </c>
      <c r="J71" s="1">
        <f>'Final Tree'!$E$133</f>
        <v>0</v>
      </c>
      <c r="K71" s="1">
        <f>'Final Tree'!$E$132</f>
        <v>9.9999999999999978E-2</v>
      </c>
      <c r="L71" s="1" t="s">
        <v>166</v>
      </c>
      <c r="M71" s="2" t="s">
        <v>76</v>
      </c>
      <c r="O71" s="1" t="str">
        <f>'Final Tree'!$F$132</f>
        <v>Safe water</v>
      </c>
      <c r="P71" s="1" t="b">
        <v>0</v>
      </c>
    </row>
    <row r="72" spans="1:16" x14ac:dyDescent="0.5">
      <c r="A72" s="1">
        <f>'Final Tree'!$G$131</f>
        <v>0.25</v>
      </c>
      <c r="B72" s="2" t="s">
        <v>46</v>
      </c>
      <c r="C72" s="1">
        <v>0</v>
      </c>
      <c r="H72" s="1" t="s">
        <v>41</v>
      </c>
      <c r="I72" s="1" t="s">
        <v>41</v>
      </c>
      <c r="J72" s="1">
        <f>'Final Tree'!$F$131</f>
        <v>0.14285714285714285</v>
      </c>
      <c r="K72" s="1">
        <f>'Final Tree'!$F$130</f>
        <v>0.95</v>
      </c>
      <c r="L72" s="1" t="s">
        <v>167</v>
      </c>
      <c r="M72" s="2" t="s">
        <v>76</v>
      </c>
      <c r="P72" s="1" t="b">
        <v>0</v>
      </c>
    </row>
    <row r="73" spans="1:16" x14ac:dyDescent="0.5">
      <c r="A73" s="1">
        <f>'Final Tree'!$G$135</f>
        <v>0.10714285714285714</v>
      </c>
      <c r="B73" s="2" t="s">
        <v>47</v>
      </c>
      <c r="C73" s="1">
        <v>0</v>
      </c>
      <c r="H73" s="1" t="s">
        <v>41</v>
      </c>
      <c r="I73" s="1" t="s">
        <v>41</v>
      </c>
      <c r="J73" s="1">
        <f>'Final Tree'!$F$135</f>
        <v>0</v>
      </c>
      <c r="K73" s="1">
        <f>'Final Tree'!$F$134</f>
        <v>5.0000000000000044E-2</v>
      </c>
      <c r="L73" s="1" t="s">
        <v>167</v>
      </c>
      <c r="M73" s="2" t="s">
        <v>76</v>
      </c>
      <c r="P73" s="1" t="b">
        <v>0</v>
      </c>
    </row>
    <row r="74" spans="1:16" x14ac:dyDescent="0.5">
      <c r="B74" s="2"/>
      <c r="M74" s="2"/>
    </row>
    <row r="75" spans="1:16" x14ac:dyDescent="0.5">
      <c r="B75" s="2"/>
      <c r="M75" s="2"/>
    </row>
    <row r="76" spans="1:16" x14ac:dyDescent="0.5">
      <c r="B76" s="2"/>
      <c r="M76" s="2"/>
    </row>
    <row r="77" spans="1:16" x14ac:dyDescent="0.5">
      <c r="B77" s="2"/>
      <c r="M77" s="2"/>
    </row>
    <row r="78" spans="1:16" x14ac:dyDescent="0.5">
      <c r="B78" s="2"/>
      <c r="M78" s="2"/>
    </row>
    <row r="79" spans="1:16" x14ac:dyDescent="0.5">
      <c r="B79" s="2"/>
      <c r="M79" s="2"/>
    </row>
    <row r="80" spans="1:16" x14ac:dyDescent="0.5">
      <c r="B80" s="2"/>
      <c r="M80" s="2"/>
    </row>
    <row r="81" spans="2:13" x14ac:dyDescent="0.5">
      <c r="B81" s="2"/>
      <c r="M81" s="2"/>
    </row>
    <row r="82" spans="2:13" x14ac:dyDescent="0.5">
      <c r="B82" s="2"/>
      <c r="M82" s="2"/>
    </row>
    <row r="83" spans="2:13" x14ac:dyDescent="0.5">
      <c r="B83" s="2"/>
      <c r="M83" s="2"/>
    </row>
    <row r="84" spans="2:13" x14ac:dyDescent="0.5">
      <c r="B84" s="2"/>
      <c r="M84" s="2"/>
    </row>
    <row r="85" spans="2:13" x14ac:dyDescent="0.5">
      <c r="B85" s="2"/>
      <c r="M85" s="2"/>
    </row>
    <row r="86" spans="2:13" x14ac:dyDescent="0.5">
      <c r="B86" s="2"/>
      <c r="M86" s="2"/>
    </row>
    <row r="87" spans="2:13" x14ac:dyDescent="0.5">
      <c r="B87" s="2"/>
      <c r="M87" s="2"/>
    </row>
    <row r="88" spans="2:13" x14ac:dyDescent="0.5">
      <c r="B88" s="2"/>
      <c r="M88" s="2"/>
    </row>
    <row r="89" spans="2:13" x14ac:dyDescent="0.5">
      <c r="B89" s="2"/>
      <c r="M89" s="2"/>
    </row>
    <row r="90" spans="2:13" x14ac:dyDescent="0.5">
      <c r="B90" s="2"/>
      <c r="M90" s="2"/>
    </row>
    <row r="91" spans="2:13" x14ac:dyDescent="0.5">
      <c r="B91" s="2"/>
      <c r="M91" s="2"/>
    </row>
    <row r="92" spans="2:13" x14ac:dyDescent="0.5">
      <c r="B92" s="2"/>
      <c r="M92" s="2"/>
    </row>
    <row r="93" spans="2:13" x14ac:dyDescent="0.5">
      <c r="B93" s="2"/>
      <c r="M93" s="2"/>
    </row>
    <row r="94" spans="2:13" x14ac:dyDescent="0.5">
      <c r="B94" s="2"/>
      <c r="M94" s="2"/>
    </row>
    <row r="95" spans="2:13" x14ac:dyDescent="0.5">
      <c r="B95" s="2"/>
      <c r="M95" s="2"/>
    </row>
    <row r="96" spans="2:13" x14ac:dyDescent="0.5">
      <c r="B96" s="2"/>
      <c r="M96" s="2"/>
    </row>
    <row r="97" spans="2:13" x14ac:dyDescent="0.5">
      <c r="B97" s="2"/>
      <c r="M97" s="2"/>
    </row>
    <row r="98" spans="2:13" x14ac:dyDescent="0.5">
      <c r="B98" s="2"/>
      <c r="M98" s="2"/>
    </row>
    <row r="99" spans="2:13" x14ac:dyDescent="0.5">
      <c r="B99" s="2"/>
      <c r="M99" s="2"/>
    </row>
    <row r="100" spans="2:13" x14ac:dyDescent="0.5">
      <c r="B100" s="2"/>
      <c r="M100" s="2"/>
    </row>
    <row r="101" spans="2:13" x14ac:dyDescent="0.5">
      <c r="B101" s="2"/>
      <c r="M101" s="2"/>
    </row>
    <row r="102" spans="2:13" x14ac:dyDescent="0.5">
      <c r="B102" s="2"/>
      <c r="M102" s="2"/>
    </row>
    <row r="103" spans="2:13" x14ac:dyDescent="0.5">
      <c r="B103" s="2"/>
      <c r="M103" s="2"/>
    </row>
    <row r="104" spans="2:13" x14ac:dyDescent="0.5">
      <c r="B104" s="2"/>
      <c r="M104" s="2"/>
    </row>
    <row r="105" spans="2:13" x14ac:dyDescent="0.5">
      <c r="B105" s="2"/>
      <c r="M105" s="2"/>
    </row>
    <row r="106" spans="2:13" x14ac:dyDescent="0.5">
      <c r="B106" s="2"/>
      <c r="M106" s="2"/>
    </row>
    <row r="107" spans="2:13" x14ac:dyDescent="0.5">
      <c r="B107" s="2"/>
      <c r="M107" s="2"/>
    </row>
    <row r="108" spans="2:13" x14ac:dyDescent="0.5">
      <c r="B108" s="2"/>
      <c r="M108" s="2"/>
    </row>
    <row r="109" spans="2:13" x14ac:dyDescent="0.5">
      <c r="B109" s="2"/>
      <c r="M109" s="2"/>
    </row>
    <row r="110" spans="2:13" x14ac:dyDescent="0.5">
      <c r="B110" s="2"/>
      <c r="M110" s="2"/>
    </row>
    <row r="111" spans="2:13" x14ac:dyDescent="0.5">
      <c r="B111" s="2"/>
      <c r="M111" s="2"/>
    </row>
    <row r="112" spans="2:13" x14ac:dyDescent="0.5">
      <c r="B112" s="2"/>
      <c r="M112" s="2"/>
    </row>
    <row r="113" spans="2:13" x14ac:dyDescent="0.5">
      <c r="B113" s="2"/>
      <c r="M113" s="2"/>
    </row>
    <row r="114" spans="2:13" x14ac:dyDescent="0.5">
      <c r="B114" s="2"/>
      <c r="M1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Objectives</vt:lpstr>
      <vt:lpstr>Utility Maps</vt:lpstr>
      <vt:lpstr>MAUT Matrix</vt:lpstr>
      <vt:lpstr>Probabilities</vt:lpstr>
      <vt:lpstr>Final Tree</vt:lpstr>
      <vt:lpstr>treeCalc_2</vt:lpstr>
      <vt:lpstr>Cost_weight</vt:lpstr>
      <vt:lpstr>Cost2_weight</vt:lpstr>
      <vt:lpstr>Cost3_weight</vt:lpstr>
      <vt:lpstr>Quality_no</vt:lpstr>
      <vt:lpstr>Quality_weight</vt:lpstr>
      <vt:lpstr>Quality_yes</vt:lpstr>
      <vt:lpstr>Quantity_no</vt:lpstr>
      <vt:lpstr>Quantity_weight</vt:lpstr>
      <vt:lpstr>Quantity_yes</vt:lpstr>
      <vt:lpstr>Score_NewWell</vt:lpstr>
      <vt:lpstr>Score_Pipeline</vt:lpstr>
      <vt:lpstr>Score_Ramney</vt:lpstr>
    </vt:vector>
  </TitlesOfParts>
  <Company>Simon Fraser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Brydon</dc:creator>
  <cp:lastModifiedBy>mgkapitany</cp:lastModifiedBy>
  <dcterms:created xsi:type="dcterms:W3CDTF">2011-07-18T18:02:27Z</dcterms:created>
  <dcterms:modified xsi:type="dcterms:W3CDTF">2016-08-13T01:25:32Z</dcterms:modified>
</cp:coreProperties>
</file>