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tables/table4.xml" ContentType="application/vnd.openxmlformats-officedocument.spreadsheetml.table+xml"/>
  <Override PartName="/xl/pivotTables/pivotTable3.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tables/table8.xml" ContentType="application/vnd.openxmlformats-officedocument.spreadsheetml.table+xml"/>
  <Override PartName="/xl/pivotTables/pivotTable6.xml" ContentType="application/vnd.openxmlformats-officedocument.spreadsheetml.pivotTable+xml"/>
  <Override PartName="/xl/drawings/drawing3.xml" ContentType="application/vnd.openxmlformats-officedocument.drawing+xml"/>
  <Override PartName="/xl/tables/table9.xml" ContentType="application/vnd.openxmlformats-officedocument.spreadsheetml.table+xml"/>
  <Override PartName="/xl/slicers/slicer3.xml" ContentType="application/vnd.ms-excel.slicer+xml"/>
  <Override PartName="/xl/tables/table10.xml" ContentType="application/vnd.openxmlformats-officedocument.spreadsheetml.table+xml"/>
  <Override PartName="/xl/pivotTables/pivotTable7.xml" ContentType="application/vnd.openxmlformats-officedocument.spreadsheetml.pivotTable+xml"/>
  <Override PartName="/xl/drawings/drawing4.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slicers/slicer4.xml" ContentType="application/vnd.ms-excel.slicer+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E:\Cipher Pulse\Kitchen DashBoard\"/>
    </mc:Choice>
  </mc:AlternateContent>
  <xr:revisionPtr revIDLastSave="0" documentId="13_ncr:1_{537EFC56-59A6-4D9D-B301-D763038135FD}" xr6:coauthVersionLast="47" xr6:coauthVersionMax="47" xr10:uidLastSave="{00000000-0000-0000-0000-000000000000}"/>
  <bookViews>
    <workbookView xWindow="-120" yWindow="-120" windowWidth="29040" windowHeight="15720" tabRatio="711" activeTab="4" xr2:uid="{00000000-000D-0000-FFFF-FFFF00000000}"/>
  </bookViews>
  <sheets>
    <sheet name="DasHboard" sheetId="1" r:id="rId1"/>
    <sheet name="Inventory" sheetId="2" r:id="rId2"/>
    <sheet name="Receipe DataBase" sheetId="3" r:id="rId3"/>
    <sheet name="Receipe sample" sheetId="11" r:id="rId4"/>
    <sheet name="Quantity Table" sheetId="4" r:id="rId5"/>
    <sheet name="Quantity Sample" sheetId="12" r:id="rId6"/>
    <sheet name="Sales Tracking" sheetId="5" r:id="rId7"/>
    <sheet name="Shopping" sheetId="6" r:id="rId8"/>
    <sheet name="WasteTracking" sheetId="7" r:id="rId9"/>
    <sheet name="Meal PLanning" sheetId="8" r:id="rId10"/>
    <sheet name="Cleaning Nd Maintanence" sheetId="9" r:id="rId11"/>
    <sheet name="Prize History" sheetId="10" r:id="rId12"/>
  </sheets>
  <definedNames>
    <definedName name="Slicer_App">#N/A</definedName>
    <definedName name="Slicer_Category">#N/A</definedName>
    <definedName name="Slicer_Difficulty_Level">#N/A</definedName>
    <definedName name="Slicer_Months__Date">#N/A</definedName>
    <definedName name="Slicer_Months__DAY">#N/A</definedName>
    <definedName name="Slicer_Months__LaST_coMPLETED">#N/A</definedName>
    <definedName name="Slicer_Months__Last_Updated">#N/A</definedName>
    <definedName name="Slicer_Years__Date">#N/A</definedName>
    <definedName name="Slicer_Years__DAY">#N/A</definedName>
    <definedName name="Slicer_Years__LaST_coMPLETED">#N/A</definedName>
    <definedName name="Slicer_Years__Last_Updated">#N/A</definedName>
  </definedNames>
  <calcPr calcId="191029"/>
  <pivotCaches>
    <pivotCache cacheId="0" r:id="rId13"/>
    <pivotCache cacheId="1" r:id="rId14"/>
    <pivotCache cacheId="2" r:id="rId15"/>
    <pivotCache cacheId="3" r:id="rId16"/>
    <pivotCache cacheId="4" r:id="rId17"/>
    <pivotCache cacheId="5" r:id="rId18"/>
    <pivotCache cacheId="10"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30" i="4" l="1"/>
  <c r="E530" i="4" s="1"/>
  <c r="G530" i="4" s="1"/>
  <c r="H530" i="4"/>
  <c r="I530" i="4"/>
  <c r="F76" i="4"/>
  <c r="E76" i="4" s="1"/>
  <c r="G76" i="4" s="1"/>
  <c r="F77" i="4"/>
  <c r="E77" i="4" s="1"/>
  <c r="G77" i="4" s="1"/>
  <c r="F78" i="4"/>
  <c r="E78" i="4" s="1"/>
  <c r="G78" i="4" s="1"/>
  <c r="H76" i="4"/>
  <c r="H77" i="4"/>
  <c r="H78" i="4"/>
  <c r="F578" i="4"/>
  <c r="E578" i="4" s="1"/>
  <c r="G578" i="4" s="1"/>
  <c r="F579" i="4"/>
  <c r="E579" i="4" s="1"/>
  <c r="G579" i="4" s="1"/>
  <c r="H578" i="4"/>
  <c r="H579" i="4"/>
  <c r="I127" i="11"/>
  <c r="F688" i="4"/>
  <c r="E688" i="4" s="1"/>
  <c r="G688" i="4" s="1"/>
  <c r="F689" i="4"/>
  <c r="E689" i="4" s="1"/>
  <c r="G689" i="4" s="1"/>
  <c r="F690" i="4"/>
  <c r="E690" i="4" s="1"/>
  <c r="G690" i="4" s="1"/>
  <c r="F691" i="4"/>
  <c r="E691" i="4" s="1"/>
  <c r="G691" i="4" s="1"/>
  <c r="F692" i="4"/>
  <c r="E692" i="4" s="1"/>
  <c r="G692" i="4" s="1"/>
  <c r="F693" i="4"/>
  <c r="E693" i="4" s="1"/>
  <c r="G693" i="4" s="1"/>
  <c r="F694" i="4"/>
  <c r="E694" i="4" s="1"/>
  <c r="G694" i="4" s="1"/>
  <c r="F587" i="4"/>
  <c r="E587" i="4" s="1"/>
  <c r="G587" i="4" s="1"/>
  <c r="F588" i="4"/>
  <c r="E588" i="4" s="1"/>
  <c r="G588" i="4" s="1"/>
  <c r="F589" i="4"/>
  <c r="E589" i="4" s="1"/>
  <c r="G589" i="4" s="1"/>
  <c r="F590" i="4"/>
  <c r="E590" i="4" s="1"/>
  <c r="G590" i="4" s="1"/>
  <c r="F591" i="4"/>
  <c r="E591" i="4" s="1"/>
  <c r="G591" i="4" s="1"/>
  <c r="F544" i="4"/>
  <c r="E544" i="4" s="1"/>
  <c r="G544" i="4" s="1"/>
  <c r="F545" i="4"/>
  <c r="E545" i="4" s="1"/>
  <c r="G545" i="4" s="1"/>
  <c r="F546" i="4"/>
  <c r="E546" i="4" s="1"/>
  <c r="G546" i="4" s="1"/>
  <c r="F547" i="4"/>
  <c r="E547" i="4" s="1"/>
  <c r="G547" i="4" s="1"/>
  <c r="F548" i="4"/>
  <c r="E548" i="4" s="1"/>
  <c r="G548" i="4" s="1"/>
  <c r="F549" i="4"/>
  <c r="E549" i="4" s="1"/>
  <c r="G549" i="4" s="1"/>
  <c r="F550" i="4"/>
  <c r="E550" i="4" s="1"/>
  <c r="G550" i="4" s="1"/>
  <c r="F551" i="4"/>
  <c r="E551" i="4" s="1"/>
  <c r="G551" i="4" s="1"/>
  <c r="H688" i="4"/>
  <c r="H689" i="4"/>
  <c r="H690" i="4"/>
  <c r="H691" i="4"/>
  <c r="H692" i="4"/>
  <c r="H693" i="4"/>
  <c r="H694" i="4"/>
  <c r="H587" i="4"/>
  <c r="H588" i="4"/>
  <c r="H589" i="4"/>
  <c r="H590" i="4"/>
  <c r="H591" i="4"/>
  <c r="H544" i="4"/>
  <c r="H545" i="4"/>
  <c r="H546" i="4"/>
  <c r="H547" i="4"/>
  <c r="H548" i="4"/>
  <c r="H549" i="4"/>
  <c r="H550" i="4"/>
  <c r="H551" i="4"/>
  <c r="F660" i="4"/>
  <c r="E660" i="4" s="1"/>
  <c r="G660" i="4" s="1"/>
  <c r="F661" i="4"/>
  <c r="E661" i="4" s="1"/>
  <c r="G661" i="4" s="1"/>
  <c r="F662" i="4"/>
  <c r="E662" i="4" s="1"/>
  <c r="G662" i="4" s="1"/>
  <c r="F663" i="4"/>
  <c r="E663" i="4" s="1"/>
  <c r="G663" i="4" s="1"/>
  <c r="H660" i="4"/>
  <c r="H661" i="4"/>
  <c r="H662" i="4"/>
  <c r="H663" i="4"/>
  <c r="F621" i="4"/>
  <c r="E621" i="4" s="1"/>
  <c r="G621" i="4" s="1"/>
  <c r="F622" i="4"/>
  <c r="E622" i="4" s="1"/>
  <c r="G622" i="4" s="1"/>
  <c r="F623" i="4"/>
  <c r="E623" i="4" s="1"/>
  <c r="G623" i="4" s="1"/>
  <c r="F624" i="4"/>
  <c r="E624" i="4" s="1"/>
  <c r="G624" i="4" s="1"/>
  <c r="F625" i="4"/>
  <c r="E625" i="4" s="1"/>
  <c r="G625" i="4" s="1"/>
  <c r="F626" i="4"/>
  <c r="E626" i="4" s="1"/>
  <c r="G626" i="4" s="1"/>
  <c r="H621" i="4"/>
  <c r="H622" i="4"/>
  <c r="H623" i="4"/>
  <c r="H624" i="4"/>
  <c r="H625" i="4"/>
  <c r="H626" i="4"/>
  <c r="F571" i="4"/>
  <c r="E571" i="4" s="1"/>
  <c r="G571" i="4" s="1"/>
  <c r="F572" i="4"/>
  <c r="E572" i="4" s="1"/>
  <c r="G572" i="4" s="1"/>
  <c r="F573" i="4"/>
  <c r="E573" i="4" s="1"/>
  <c r="G573" i="4" s="1"/>
  <c r="H571" i="4"/>
  <c r="H572" i="4"/>
  <c r="H573" i="4"/>
  <c r="F557" i="4"/>
  <c r="E557" i="4" s="1"/>
  <c r="G557" i="4" s="1"/>
  <c r="F558" i="4"/>
  <c r="E558" i="4" s="1"/>
  <c r="G558" i="4" s="1"/>
  <c r="F559" i="4"/>
  <c r="E559" i="4" s="1"/>
  <c r="G559" i="4" s="1"/>
  <c r="H557" i="4"/>
  <c r="H558" i="4"/>
  <c r="H559" i="4"/>
  <c r="F527" i="4"/>
  <c r="E527" i="4" s="1"/>
  <c r="G527" i="4" s="1"/>
  <c r="F528" i="4"/>
  <c r="E528" i="4" s="1"/>
  <c r="G528" i="4" s="1"/>
  <c r="F529" i="4"/>
  <c r="E529" i="4" s="1"/>
  <c r="G529" i="4" s="1"/>
  <c r="F531" i="4"/>
  <c r="E531" i="4" s="1"/>
  <c r="G531" i="4" s="1"/>
  <c r="H527" i="4"/>
  <c r="H528" i="4"/>
  <c r="H529" i="4"/>
  <c r="H531" i="4"/>
  <c r="F511" i="4"/>
  <c r="E511" i="4" s="1"/>
  <c r="G511" i="4" s="1"/>
  <c r="F512" i="4"/>
  <c r="E512" i="4" s="1"/>
  <c r="G512" i="4" s="1"/>
  <c r="F513" i="4"/>
  <c r="E513" i="4" s="1"/>
  <c r="G513" i="4" s="1"/>
  <c r="F514" i="4"/>
  <c r="E514" i="4" s="1"/>
  <c r="G514" i="4" s="1"/>
  <c r="F515" i="4"/>
  <c r="E515" i="4" s="1"/>
  <c r="G515" i="4" s="1"/>
  <c r="F516" i="4"/>
  <c r="E516" i="4" s="1"/>
  <c r="G516" i="4" s="1"/>
  <c r="H511" i="4"/>
  <c r="H512" i="4"/>
  <c r="H513" i="4"/>
  <c r="H514" i="4"/>
  <c r="H515" i="4"/>
  <c r="H516" i="4"/>
  <c r="F484" i="4"/>
  <c r="E484" i="4" s="1"/>
  <c r="G484" i="4" s="1"/>
  <c r="F485" i="4"/>
  <c r="E485" i="4" s="1"/>
  <c r="G485" i="4" s="1"/>
  <c r="F486" i="4"/>
  <c r="E486" i="4" s="1"/>
  <c r="G486" i="4" s="1"/>
  <c r="F487" i="4"/>
  <c r="E487" i="4" s="1"/>
  <c r="G487" i="4" s="1"/>
  <c r="F488" i="4"/>
  <c r="E488" i="4" s="1"/>
  <c r="G488" i="4" s="1"/>
  <c r="F489" i="4"/>
  <c r="E489" i="4" s="1"/>
  <c r="G489" i="4" s="1"/>
  <c r="F490" i="4"/>
  <c r="E490" i="4" s="1"/>
  <c r="G490" i="4" s="1"/>
  <c r="H484" i="4"/>
  <c r="H485" i="4"/>
  <c r="H486" i="4"/>
  <c r="H487" i="4"/>
  <c r="H488" i="4"/>
  <c r="H489" i="4"/>
  <c r="H490" i="4"/>
  <c r="F465" i="4"/>
  <c r="E465" i="4" s="1"/>
  <c r="G465" i="4" s="1"/>
  <c r="F466" i="4"/>
  <c r="E466" i="4" s="1"/>
  <c r="G466" i="4" s="1"/>
  <c r="F467" i="4"/>
  <c r="E467" i="4" s="1"/>
  <c r="G467" i="4" s="1"/>
  <c r="F468" i="4"/>
  <c r="E468" i="4" s="1"/>
  <c r="G468" i="4" s="1"/>
  <c r="F469" i="4"/>
  <c r="E469" i="4" s="1"/>
  <c r="G469" i="4" s="1"/>
  <c r="H465" i="4"/>
  <c r="H466" i="4"/>
  <c r="H467" i="4"/>
  <c r="H468" i="4"/>
  <c r="H469" i="4"/>
  <c r="F442" i="4"/>
  <c r="E442" i="4" s="1"/>
  <c r="G442" i="4" s="1"/>
  <c r="F443" i="4"/>
  <c r="E443" i="4" s="1"/>
  <c r="G443" i="4" s="1"/>
  <c r="H442" i="4"/>
  <c r="H443" i="4"/>
  <c r="F400" i="4"/>
  <c r="E400" i="4" s="1"/>
  <c r="G400" i="4" s="1"/>
  <c r="F401" i="4"/>
  <c r="E401" i="4" s="1"/>
  <c r="G401" i="4" s="1"/>
  <c r="F402" i="4"/>
  <c r="E402" i="4" s="1"/>
  <c r="G402" i="4" s="1"/>
  <c r="F403" i="4"/>
  <c r="E403" i="4" s="1"/>
  <c r="G403" i="4" s="1"/>
  <c r="F404" i="4"/>
  <c r="E404" i="4" s="1"/>
  <c r="G404" i="4" s="1"/>
  <c r="F405" i="4"/>
  <c r="E405" i="4" s="1"/>
  <c r="G405" i="4" s="1"/>
  <c r="F406" i="4"/>
  <c r="E406" i="4" s="1"/>
  <c r="G406" i="4" s="1"/>
  <c r="F407" i="4"/>
  <c r="E407" i="4" s="1"/>
  <c r="G407" i="4" s="1"/>
  <c r="F408" i="4"/>
  <c r="E408" i="4" s="1"/>
  <c r="G408" i="4" s="1"/>
  <c r="F409" i="4"/>
  <c r="E409" i="4" s="1"/>
  <c r="G409" i="4" s="1"/>
  <c r="F410" i="4"/>
  <c r="E410" i="4" s="1"/>
  <c r="G410" i="4" s="1"/>
  <c r="F411" i="4"/>
  <c r="E411" i="4" s="1"/>
  <c r="G411" i="4" s="1"/>
  <c r="F412" i="4"/>
  <c r="E412" i="4" s="1"/>
  <c r="G412" i="4" s="1"/>
  <c r="H400" i="4"/>
  <c r="H401" i="4"/>
  <c r="H402" i="4"/>
  <c r="H403" i="4"/>
  <c r="H404" i="4"/>
  <c r="H405" i="4"/>
  <c r="H406" i="4"/>
  <c r="H407" i="4"/>
  <c r="H408" i="4"/>
  <c r="H409" i="4"/>
  <c r="H410" i="4"/>
  <c r="H411" i="4"/>
  <c r="H412" i="4"/>
  <c r="F354" i="4"/>
  <c r="E354" i="4" s="1"/>
  <c r="G354" i="4" s="1"/>
  <c r="F355" i="4"/>
  <c r="E355" i="4" s="1"/>
  <c r="G355" i="4" s="1"/>
  <c r="F356" i="4"/>
  <c r="E356" i="4" s="1"/>
  <c r="G356" i="4" s="1"/>
  <c r="F357" i="4"/>
  <c r="E357" i="4" s="1"/>
  <c r="G357" i="4" s="1"/>
  <c r="F358" i="4"/>
  <c r="E358" i="4" s="1"/>
  <c r="G358" i="4" s="1"/>
  <c r="F359" i="4"/>
  <c r="E359" i="4" s="1"/>
  <c r="G359" i="4" s="1"/>
  <c r="F360" i="4"/>
  <c r="E360" i="4" s="1"/>
  <c r="G360" i="4" s="1"/>
  <c r="H354" i="4"/>
  <c r="H355" i="4"/>
  <c r="H356" i="4"/>
  <c r="H357" i="4"/>
  <c r="H358" i="4"/>
  <c r="H359" i="4"/>
  <c r="H360" i="4"/>
  <c r="F342" i="4"/>
  <c r="E342" i="4" s="1"/>
  <c r="G342" i="4" s="1"/>
  <c r="F343" i="4"/>
  <c r="E343" i="4" s="1"/>
  <c r="G343" i="4" s="1"/>
  <c r="H342" i="4"/>
  <c r="H343" i="4"/>
  <c r="F337" i="4"/>
  <c r="E337" i="4" s="1"/>
  <c r="G337" i="4" s="1"/>
  <c r="F338" i="4"/>
  <c r="E338" i="4" s="1"/>
  <c r="G338" i="4" s="1"/>
  <c r="H337" i="4"/>
  <c r="H338" i="4"/>
  <c r="F295" i="4"/>
  <c r="E295" i="4" s="1"/>
  <c r="G295" i="4" s="1"/>
  <c r="F296" i="4"/>
  <c r="E296" i="4" s="1"/>
  <c r="G296" i="4" s="1"/>
  <c r="F297" i="4"/>
  <c r="E297" i="4" s="1"/>
  <c r="G297" i="4" s="1"/>
  <c r="F303" i="4"/>
  <c r="E303" i="4" s="1"/>
  <c r="G303" i="4" s="1"/>
  <c r="F304" i="4"/>
  <c r="E304" i="4" s="1"/>
  <c r="G304" i="4" s="1"/>
  <c r="H295" i="4"/>
  <c r="H296" i="4"/>
  <c r="H297" i="4"/>
  <c r="H303" i="4"/>
  <c r="H304" i="4"/>
  <c r="F284" i="4"/>
  <c r="E284" i="4" s="1"/>
  <c r="G284" i="4" s="1"/>
  <c r="F285" i="4"/>
  <c r="E285" i="4" s="1"/>
  <c r="G285" i="4" s="1"/>
  <c r="F286" i="4"/>
  <c r="E286" i="4" s="1"/>
  <c r="G286" i="4" s="1"/>
  <c r="H284" i="4"/>
  <c r="H285" i="4"/>
  <c r="H286" i="4"/>
  <c r="F243" i="4"/>
  <c r="E243" i="4" s="1"/>
  <c r="G243" i="4" s="1"/>
  <c r="F244" i="4"/>
  <c r="E244" i="4" s="1"/>
  <c r="G244" i="4" s="1"/>
  <c r="F245" i="4"/>
  <c r="E245" i="4" s="1"/>
  <c r="G245" i="4" s="1"/>
  <c r="F246" i="4"/>
  <c r="E246" i="4" s="1"/>
  <c r="G246" i="4" s="1"/>
  <c r="F247" i="4"/>
  <c r="E247" i="4" s="1"/>
  <c r="G247" i="4" s="1"/>
  <c r="H243" i="4"/>
  <c r="H244" i="4"/>
  <c r="H245" i="4"/>
  <c r="H246" i="4"/>
  <c r="H247" i="4"/>
  <c r="F223" i="4"/>
  <c r="E223" i="4" s="1"/>
  <c r="G223" i="4" s="1"/>
  <c r="F224" i="4"/>
  <c r="E224" i="4" s="1"/>
  <c r="G224" i="4" s="1"/>
  <c r="F225" i="4"/>
  <c r="E225" i="4" s="1"/>
  <c r="G225" i="4" s="1"/>
  <c r="H223" i="4"/>
  <c r="H224" i="4"/>
  <c r="H225" i="4"/>
  <c r="F208" i="4"/>
  <c r="E208" i="4" s="1"/>
  <c r="G208" i="4" s="1"/>
  <c r="H208" i="4"/>
  <c r="F115" i="4"/>
  <c r="E115" i="4" s="1"/>
  <c r="G115" i="4" s="1"/>
  <c r="F116" i="4"/>
  <c r="E116" i="4" s="1"/>
  <c r="G116" i="4" s="1"/>
  <c r="F117" i="4"/>
  <c r="E117" i="4" s="1"/>
  <c r="G117" i="4" s="1"/>
  <c r="F118" i="4"/>
  <c r="E118" i="4" s="1"/>
  <c r="G118" i="4" s="1"/>
  <c r="H115" i="4"/>
  <c r="H116" i="4"/>
  <c r="H117" i="4"/>
  <c r="H118" i="4"/>
  <c r="F94" i="4"/>
  <c r="E94" i="4" s="1"/>
  <c r="G94" i="4" s="1"/>
  <c r="F95" i="4"/>
  <c r="E95" i="4" s="1"/>
  <c r="G95" i="4" s="1"/>
  <c r="F96" i="4"/>
  <c r="E96" i="4" s="1"/>
  <c r="G96" i="4" s="1"/>
  <c r="F97" i="4"/>
  <c r="E97" i="4" s="1"/>
  <c r="G97" i="4" s="1"/>
  <c r="F98" i="4"/>
  <c r="E98" i="4" s="1"/>
  <c r="G98" i="4" s="1"/>
  <c r="H94" i="4"/>
  <c r="H95" i="4"/>
  <c r="H96" i="4"/>
  <c r="H97" i="4"/>
  <c r="H98" i="4"/>
  <c r="F82" i="4"/>
  <c r="E82" i="4" s="1"/>
  <c r="G82" i="4" s="1"/>
  <c r="F83" i="4"/>
  <c r="E83" i="4" s="1"/>
  <c r="G83" i="4" s="1"/>
  <c r="F84" i="4"/>
  <c r="E84" i="4" s="1"/>
  <c r="G84" i="4" s="1"/>
  <c r="F85" i="4"/>
  <c r="E85" i="4" s="1"/>
  <c r="G85" i="4" s="1"/>
  <c r="H82" i="4"/>
  <c r="H83" i="4"/>
  <c r="H84" i="4"/>
  <c r="H85" i="4"/>
  <c r="F44" i="4"/>
  <c r="E44" i="4" s="1"/>
  <c r="G44" i="4" s="1"/>
  <c r="F45" i="4"/>
  <c r="E45" i="4" s="1"/>
  <c r="G45" i="4" s="1"/>
  <c r="F46" i="4"/>
  <c r="E46" i="4" s="1"/>
  <c r="G46" i="4" s="1"/>
  <c r="F47" i="4"/>
  <c r="E47" i="4" s="1"/>
  <c r="G47" i="4" s="1"/>
  <c r="F48" i="4"/>
  <c r="E48" i="4" s="1"/>
  <c r="G48" i="4" s="1"/>
  <c r="F49" i="4"/>
  <c r="E49" i="4" s="1"/>
  <c r="G49" i="4" s="1"/>
  <c r="F50" i="4"/>
  <c r="E50" i="4" s="1"/>
  <c r="G50" i="4" s="1"/>
  <c r="F51" i="4"/>
  <c r="E51" i="4" s="1"/>
  <c r="G51" i="4" s="1"/>
  <c r="F52" i="4"/>
  <c r="E52" i="4" s="1"/>
  <c r="G52" i="4" s="1"/>
  <c r="F53" i="4"/>
  <c r="E53" i="4" s="1"/>
  <c r="G53" i="4" s="1"/>
  <c r="F54" i="4"/>
  <c r="E54" i="4" s="1"/>
  <c r="G54" i="4" s="1"/>
  <c r="F55" i="4"/>
  <c r="E55" i="4" s="1"/>
  <c r="G55" i="4" s="1"/>
  <c r="F56" i="4"/>
  <c r="E56" i="4" s="1"/>
  <c r="G56" i="4" s="1"/>
  <c r="H44" i="4"/>
  <c r="H45" i="4"/>
  <c r="H46" i="4"/>
  <c r="H47" i="4"/>
  <c r="H48" i="4"/>
  <c r="H49" i="4"/>
  <c r="H50" i="4"/>
  <c r="H51" i="4"/>
  <c r="H52" i="4"/>
  <c r="H53" i="4"/>
  <c r="H54" i="4"/>
  <c r="H55" i="4"/>
  <c r="H56" i="4"/>
  <c r="F23" i="4"/>
  <c r="E23" i="4" s="1"/>
  <c r="G23" i="4" s="1"/>
  <c r="F24" i="4"/>
  <c r="E24" i="4" s="1"/>
  <c r="G24" i="4" s="1"/>
  <c r="F25" i="4"/>
  <c r="E25" i="4" s="1"/>
  <c r="G25" i="4" s="1"/>
  <c r="H23" i="4"/>
  <c r="H24" i="4"/>
  <c r="H25" i="4"/>
  <c r="F12" i="4"/>
  <c r="E12" i="4" s="1"/>
  <c r="G12" i="4" s="1"/>
  <c r="F13" i="4"/>
  <c r="E13" i="4" s="1"/>
  <c r="G13" i="4" s="1"/>
  <c r="F14" i="4"/>
  <c r="E14" i="4" s="1"/>
  <c r="G14" i="4" s="1"/>
  <c r="H12" i="4"/>
  <c r="H13" i="4"/>
  <c r="H14" i="4"/>
  <c r="F543" i="4"/>
  <c r="E543" i="4" s="1"/>
  <c r="G543" i="4" s="1"/>
  <c r="H543" i="4"/>
  <c r="F681" i="4"/>
  <c r="E681" i="4" s="1"/>
  <c r="G681" i="4" s="1"/>
  <c r="F682" i="4"/>
  <c r="E682" i="4" s="1"/>
  <c r="G682" i="4" s="1"/>
  <c r="F683" i="4"/>
  <c r="E683" i="4" s="1"/>
  <c r="G683" i="4" s="1"/>
  <c r="F684" i="4"/>
  <c r="E684" i="4" s="1"/>
  <c r="G684" i="4" s="1"/>
  <c r="F685" i="4"/>
  <c r="E685" i="4" s="1"/>
  <c r="G685" i="4" s="1"/>
  <c r="F686" i="4"/>
  <c r="E686" i="4" s="1"/>
  <c r="G686" i="4" s="1"/>
  <c r="H681" i="4"/>
  <c r="H682" i="4"/>
  <c r="H683" i="4"/>
  <c r="H684" i="4"/>
  <c r="H685" i="4"/>
  <c r="H686" i="4"/>
  <c r="F687" i="4"/>
  <c r="E687" i="4" s="1"/>
  <c r="G687" i="4" s="1"/>
  <c r="F582" i="4"/>
  <c r="E582" i="4" s="1"/>
  <c r="G582" i="4" s="1"/>
  <c r="F583" i="4"/>
  <c r="E583" i="4" s="1"/>
  <c r="G583" i="4" s="1"/>
  <c r="F584" i="4"/>
  <c r="E584" i="4" s="1"/>
  <c r="G584" i="4" s="1"/>
  <c r="F585" i="4"/>
  <c r="E585" i="4" s="1"/>
  <c r="G585" i="4" s="1"/>
  <c r="F586" i="4"/>
  <c r="E586" i="4" s="1"/>
  <c r="G586" i="4" s="1"/>
  <c r="H687" i="4"/>
  <c r="H582" i="4"/>
  <c r="H583" i="4"/>
  <c r="H584" i="4"/>
  <c r="H585" i="4"/>
  <c r="H586" i="4"/>
  <c r="F542" i="4"/>
  <c r="E542" i="4" s="1"/>
  <c r="G542" i="4" s="1"/>
  <c r="H542" i="4"/>
  <c r="F536" i="4"/>
  <c r="E536" i="4" s="1"/>
  <c r="G536" i="4" s="1"/>
  <c r="F537" i="4"/>
  <c r="E537" i="4" s="1"/>
  <c r="G537" i="4" s="1"/>
  <c r="F538" i="4"/>
  <c r="E538" i="4" s="1"/>
  <c r="G538" i="4" s="1"/>
  <c r="H536" i="4"/>
  <c r="H537" i="4"/>
  <c r="H538" i="4"/>
  <c r="F539" i="4"/>
  <c r="E539" i="4" s="1"/>
  <c r="G539" i="4" s="1"/>
  <c r="F540" i="4"/>
  <c r="E540" i="4" s="1"/>
  <c r="G540" i="4" s="1"/>
  <c r="F541" i="4"/>
  <c r="E541" i="4" s="1"/>
  <c r="G541" i="4" s="1"/>
  <c r="H539" i="4"/>
  <c r="H540" i="4"/>
  <c r="H541" i="4"/>
  <c r="C67" i="2"/>
  <c r="F191" i="4"/>
  <c r="E191" i="4" s="1"/>
  <c r="G191" i="4" s="1"/>
  <c r="H191" i="4"/>
  <c r="E70" i="3" s="1"/>
  <c r="K70" i="3" s="1"/>
  <c r="F190" i="4"/>
  <c r="E190" i="4" s="1"/>
  <c r="G190" i="4" s="1"/>
  <c r="F189" i="4"/>
  <c r="E189" i="4" s="1"/>
  <c r="G189" i="4" s="1"/>
  <c r="F188" i="4"/>
  <c r="E188" i="4" s="1"/>
  <c r="G188" i="4" s="1"/>
  <c r="F187" i="4"/>
  <c r="E187" i="4" s="1"/>
  <c r="G187" i="4" s="1"/>
  <c r="F186" i="4"/>
  <c r="E186" i="4" s="1"/>
  <c r="G186" i="4" s="1"/>
  <c r="F185" i="4"/>
  <c r="E185" i="4" s="1"/>
  <c r="G185" i="4" s="1"/>
  <c r="F184" i="4"/>
  <c r="E184" i="4" s="1"/>
  <c r="G184" i="4" s="1"/>
  <c r="F174" i="4"/>
  <c r="E174" i="4" s="1"/>
  <c r="G174" i="4" s="1"/>
  <c r="F175" i="4"/>
  <c r="E175" i="4" s="1"/>
  <c r="G175" i="4" s="1"/>
  <c r="F176" i="4"/>
  <c r="E176" i="4" s="1"/>
  <c r="G176" i="4" s="1"/>
  <c r="F177" i="4"/>
  <c r="E177" i="4" s="1"/>
  <c r="G177" i="4" s="1"/>
  <c r="F178" i="4"/>
  <c r="E178" i="4" s="1"/>
  <c r="G178" i="4" s="1"/>
  <c r="F179" i="4"/>
  <c r="E179" i="4" s="1"/>
  <c r="G179" i="4" s="1"/>
  <c r="F180" i="4"/>
  <c r="E180" i="4" s="1"/>
  <c r="G180" i="4" s="1"/>
  <c r="F181" i="4"/>
  <c r="E181" i="4" s="1"/>
  <c r="G181" i="4" s="1"/>
  <c r="F182" i="4"/>
  <c r="E182" i="4" s="1"/>
  <c r="G182" i="4" s="1"/>
  <c r="F183" i="4"/>
  <c r="E183" i="4" s="1"/>
  <c r="G183" i="4" s="1"/>
  <c r="H177" i="4"/>
  <c r="F454" i="4"/>
  <c r="E454" i="4" s="1"/>
  <c r="G454" i="4" s="1"/>
  <c r="F455" i="4"/>
  <c r="E455" i="4" s="1"/>
  <c r="G455" i="4" s="1"/>
  <c r="F173" i="4"/>
  <c r="E173" i="4" s="1"/>
  <c r="G173" i="4" s="1"/>
  <c r="C84" i="2"/>
  <c r="C113" i="2"/>
  <c r="D113" i="2"/>
  <c r="F565" i="4"/>
  <c r="E565" i="4" s="1"/>
  <c r="G565" i="4" s="1"/>
  <c r="F566" i="4"/>
  <c r="E566" i="4" s="1"/>
  <c r="G566" i="4" s="1"/>
  <c r="F567" i="4"/>
  <c r="E567" i="4" s="1"/>
  <c r="G567" i="4" s="1"/>
  <c r="F451" i="4"/>
  <c r="E451" i="4" s="1"/>
  <c r="G451" i="4" s="1"/>
  <c r="F452" i="4"/>
  <c r="E452" i="4" s="1"/>
  <c r="G452" i="4" s="1"/>
  <c r="F453" i="4"/>
  <c r="E453" i="4" s="1"/>
  <c r="G453" i="4" s="1"/>
  <c r="F456" i="4"/>
  <c r="E456" i="4" s="1"/>
  <c r="G456" i="4" s="1"/>
  <c r="F457" i="4"/>
  <c r="E457" i="4" s="1"/>
  <c r="G457" i="4" s="1"/>
  <c r="F564" i="4"/>
  <c r="E564" i="4" s="1"/>
  <c r="G564" i="4" s="1"/>
  <c r="F563" i="4"/>
  <c r="E563" i="4" s="1"/>
  <c r="G563" i="4" s="1"/>
  <c r="F433" i="4"/>
  <c r="E433" i="4" s="1"/>
  <c r="G433" i="4" s="1"/>
  <c r="F426" i="4"/>
  <c r="E426" i="4" s="1"/>
  <c r="G426" i="4" s="1"/>
  <c r="F427" i="4"/>
  <c r="E427" i="4" s="1"/>
  <c r="G427" i="4" s="1"/>
  <c r="F428" i="4"/>
  <c r="E428" i="4" s="1"/>
  <c r="G428" i="4" s="1"/>
  <c r="F429" i="4"/>
  <c r="E429" i="4" s="1"/>
  <c r="G429" i="4" s="1"/>
  <c r="F499" i="4"/>
  <c r="E499" i="4" s="1"/>
  <c r="G499" i="4" s="1"/>
  <c r="F432" i="4"/>
  <c r="E432" i="4" s="1"/>
  <c r="G432" i="4" s="1"/>
  <c r="F258" i="4"/>
  <c r="E258" i="4" s="1"/>
  <c r="G258" i="4" s="1"/>
  <c r="F259" i="4"/>
  <c r="E259" i="4" s="1"/>
  <c r="G259" i="4" s="1"/>
  <c r="F260" i="4"/>
  <c r="E260" i="4" s="1"/>
  <c r="G260" i="4" s="1"/>
  <c r="F498" i="4"/>
  <c r="E498" i="4" s="1"/>
  <c r="G498" i="4" s="1"/>
  <c r="F500" i="4"/>
  <c r="E500" i="4" s="1"/>
  <c r="G500" i="4" s="1"/>
  <c r="H91" i="6"/>
  <c r="E91" i="6"/>
  <c r="F91" i="6" s="1"/>
  <c r="H230" i="4" s="1"/>
  <c r="C112" i="2"/>
  <c r="F251" i="4"/>
  <c r="E251" i="4" s="1"/>
  <c r="G251" i="4" s="1"/>
  <c r="F238" i="4"/>
  <c r="E238" i="4" s="1"/>
  <c r="G238" i="4" s="1"/>
  <c r="F239" i="4"/>
  <c r="E239" i="4" s="1"/>
  <c r="G239" i="4" s="1"/>
  <c r="F250" i="4"/>
  <c r="E250" i="4" s="1"/>
  <c r="G250" i="4" s="1"/>
  <c r="F248" i="4"/>
  <c r="E248" i="4" s="1"/>
  <c r="G248" i="4" s="1"/>
  <c r="F249" i="4"/>
  <c r="E249" i="4" s="1"/>
  <c r="G249" i="4" s="1"/>
  <c r="F252" i="4"/>
  <c r="E252" i="4" s="1"/>
  <c r="G252" i="4" s="1"/>
  <c r="F580" i="4"/>
  <c r="E580" i="4" s="1"/>
  <c r="G580" i="4" s="1"/>
  <c r="F574" i="4"/>
  <c r="E574" i="4" s="1"/>
  <c r="G574" i="4" s="1"/>
  <c r="F438" i="4"/>
  <c r="E438" i="4" s="1"/>
  <c r="G438" i="4" s="1"/>
  <c r="F439" i="4"/>
  <c r="E439" i="4" s="1"/>
  <c r="G439" i="4" s="1"/>
  <c r="F366" i="4"/>
  <c r="E366" i="4" s="1"/>
  <c r="G366" i="4" s="1"/>
  <c r="F344" i="4"/>
  <c r="E344" i="4" s="1"/>
  <c r="G344" i="4" s="1"/>
  <c r="F102" i="4"/>
  <c r="E102" i="4" s="1"/>
  <c r="G102" i="4" s="1"/>
  <c r="F86" i="4"/>
  <c r="E86" i="4" s="1"/>
  <c r="G86" i="4" s="1"/>
  <c r="F15" i="4"/>
  <c r="E15" i="4" s="1"/>
  <c r="G15" i="4" s="1"/>
  <c r="H125" i="4"/>
  <c r="H134" i="4"/>
  <c r="H141" i="4"/>
  <c r="H144" i="4"/>
  <c r="H153" i="4"/>
  <c r="H161" i="4"/>
  <c r="H162" i="4"/>
  <c r="H163" i="4"/>
  <c r="H164" i="4"/>
  <c r="H165" i="4"/>
  <c r="H167" i="4"/>
  <c r="H168" i="4"/>
  <c r="H169" i="4"/>
  <c r="H170" i="4"/>
  <c r="H172" i="4"/>
  <c r="H233" i="4"/>
  <c r="H235" i="4"/>
  <c r="H236" i="4"/>
  <c r="H255" i="4"/>
  <c r="H257" i="4"/>
  <c r="H275" i="4"/>
  <c r="H278" i="4"/>
  <c r="H310" i="4"/>
  <c r="I310" i="4" s="1"/>
  <c r="H372" i="4"/>
  <c r="H525" i="4"/>
  <c r="H534" i="4"/>
  <c r="F8" i="4"/>
  <c r="E8" i="4" s="1"/>
  <c r="G8" i="4" s="1"/>
  <c r="F9" i="4"/>
  <c r="E9" i="4" s="1"/>
  <c r="G9" i="4" s="1"/>
  <c r="F10" i="4"/>
  <c r="E10" i="4" s="1"/>
  <c r="G10" i="4" s="1"/>
  <c r="F11" i="4"/>
  <c r="E11" i="4" s="1"/>
  <c r="G11" i="4" s="1"/>
  <c r="F18" i="4"/>
  <c r="E18" i="4" s="1"/>
  <c r="G18" i="4" s="1"/>
  <c r="F19" i="4"/>
  <c r="E19" i="4" s="1"/>
  <c r="G19" i="4" s="1"/>
  <c r="F20" i="4"/>
  <c r="E20" i="4" s="1"/>
  <c r="G20" i="4" s="1"/>
  <c r="F21" i="4"/>
  <c r="E21" i="4" s="1"/>
  <c r="G21" i="4" s="1"/>
  <c r="F22" i="4"/>
  <c r="E22" i="4" s="1"/>
  <c r="G22" i="4" s="1"/>
  <c r="F29" i="4"/>
  <c r="E29" i="4" s="1"/>
  <c r="G29" i="4" s="1"/>
  <c r="F30" i="4"/>
  <c r="E30" i="4" s="1"/>
  <c r="G30" i="4" s="1"/>
  <c r="F31" i="4"/>
  <c r="E31" i="4" s="1"/>
  <c r="G31" i="4" s="1"/>
  <c r="F32" i="4"/>
  <c r="E32" i="4" s="1"/>
  <c r="G32" i="4" s="1"/>
  <c r="F33" i="4"/>
  <c r="E33" i="4" s="1"/>
  <c r="G33" i="4" s="1"/>
  <c r="F34" i="4"/>
  <c r="E34" i="4" s="1"/>
  <c r="G34" i="4" s="1"/>
  <c r="F35" i="4"/>
  <c r="E35" i="4" s="1"/>
  <c r="G35" i="4" s="1"/>
  <c r="F36" i="4"/>
  <c r="E36" i="4" s="1"/>
  <c r="G36" i="4" s="1"/>
  <c r="F37" i="4"/>
  <c r="E37" i="4" s="1"/>
  <c r="G37" i="4" s="1"/>
  <c r="F38" i="4"/>
  <c r="E38" i="4" s="1"/>
  <c r="G38" i="4" s="1"/>
  <c r="F39" i="4"/>
  <c r="E39" i="4" s="1"/>
  <c r="G39" i="4" s="1"/>
  <c r="F40" i="4"/>
  <c r="E40" i="4" s="1"/>
  <c r="G40" i="4" s="1"/>
  <c r="F41" i="4"/>
  <c r="E41" i="4" s="1"/>
  <c r="G41" i="4" s="1"/>
  <c r="F42" i="4"/>
  <c r="E42" i="4" s="1"/>
  <c r="G42" i="4" s="1"/>
  <c r="F43" i="4"/>
  <c r="E43" i="4" s="1"/>
  <c r="G43" i="4" s="1"/>
  <c r="F70" i="4"/>
  <c r="E70" i="4" s="1"/>
  <c r="G70" i="4" s="1"/>
  <c r="F71" i="4"/>
  <c r="E71" i="4" s="1"/>
  <c r="G71" i="4" s="1"/>
  <c r="F72" i="4"/>
  <c r="E72" i="4" s="1"/>
  <c r="G72" i="4" s="1"/>
  <c r="F73" i="4"/>
  <c r="E73" i="4" s="1"/>
  <c r="G73" i="4" s="1"/>
  <c r="F74" i="4"/>
  <c r="E74" i="4" s="1"/>
  <c r="G74" i="4" s="1"/>
  <c r="F75" i="4"/>
  <c r="E75" i="4" s="1"/>
  <c r="G75" i="4" s="1"/>
  <c r="F79" i="4"/>
  <c r="E79" i="4" s="1"/>
  <c r="G79" i="4" s="1"/>
  <c r="F80" i="4"/>
  <c r="F81" i="4"/>
  <c r="E81" i="4" s="1"/>
  <c r="G81" i="4" s="1"/>
  <c r="F90" i="4"/>
  <c r="E90" i="4" s="1"/>
  <c r="G90" i="4" s="1"/>
  <c r="F91" i="4"/>
  <c r="E91" i="4" s="1"/>
  <c r="G91" i="4" s="1"/>
  <c r="F92" i="4"/>
  <c r="E92" i="4" s="1"/>
  <c r="G92" i="4" s="1"/>
  <c r="F93" i="4"/>
  <c r="E93" i="4" s="1"/>
  <c r="G93" i="4" s="1"/>
  <c r="F104" i="4"/>
  <c r="E104" i="4" s="1"/>
  <c r="G104" i="4" s="1"/>
  <c r="F105" i="4"/>
  <c r="E105" i="4" s="1"/>
  <c r="G105" i="4" s="1"/>
  <c r="F106" i="4"/>
  <c r="E106" i="4" s="1"/>
  <c r="G106" i="4" s="1"/>
  <c r="F107" i="4"/>
  <c r="E107" i="4" s="1"/>
  <c r="G107" i="4" s="1"/>
  <c r="F108" i="4"/>
  <c r="E108" i="4" s="1"/>
  <c r="G108" i="4" s="1"/>
  <c r="F109" i="4"/>
  <c r="E109" i="4" s="1"/>
  <c r="G109" i="4" s="1"/>
  <c r="F110" i="4"/>
  <c r="E110" i="4" s="1"/>
  <c r="G110" i="4" s="1"/>
  <c r="F111" i="4"/>
  <c r="E111" i="4" s="1"/>
  <c r="G111" i="4" s="1"/>
  <c r="F112" i="4"/>
  <c r="E112" i="4" s="1"/>
  <c r="G112" i="4" s="1"/>
  <c r="F113" i="4"/>
  <c r="E113" i="4" s="1"/>
  <c r="G113" i="4" s="1"/>
  <c r="F114" i="4"/>
  <c r="E114" i="4" s="1"/>
  <c r="G114" i="4" s="1"/>
  <c r="F123" i="4"/>
  <c r="E123" i="4" s="1"/>
  <c r="G123" i="4" s="1"/>
  <c r="F124" i="4"/>
  <c r="E124" i="4" s="1"/>
  <c r="G124" i="4" s="1"/>
  <c r="F125" i="4"/>
  <c r="E125" i="4" s="1"/>
  <c r="G125" i="4" s="1"/>
  <c r="F126" i="4"/>
  <c r="E126" i="4" s="1"/>
  <c r="G126" i="4" s="1"/>
  <c r="F127" i="4"/>
  <c r="E127" i="4" s="1"/>
  <c r="G127" i="4" s="1"/>
  <c r="F128" i="4"/>
  <c r="E128" i="4" s="1"/>
  <c r="G128" i="4" s="1"/>
  <c r="F129" i="4"/>
  <c r="E129" i="4" s="1"/>
  <c r="G129" i="4" s="1"/>
  <c r="F130" i="4"/>
  <c r="E130" i="4" s="1"/>
  <c r="G130" i="4" s="1"/>
  <c r="F131" i="4"/>
  <c r="E131" i="4" s="1"/>
  <c r="G131" i="4" s="1"/>
  <c r="F132" i="4"/>
  <c r="E132" i="4" s="1"/>
  <c r="G132" i="4" s="1"/>
  <c r="F133" i="4"/>
  <c r="E133" i="4" s="1"/>
  <c r="G133" i="4" s="1"/>
  <c r="F134" i="4"/>
  <c r="E134" i="4" s="1"/>
  <c r="G134" i="4" s="1"/>
  <c r="F135" i="4"/>
  <c r="E135" i="4" s="1"/>
  <c r="G135" i="4" s="1"/>
  <c r="F136" i="4"/>
  <c r="E136" i="4" s="1"/>
  <c r="G136" i="4" s="1"/>
  <c r="F137" i="4"/>
  <c r="E137" i="4" s="1"/>
  <c r="G137" i="4" s="1"/>
  <c r="F138" i="4"/>
  <c r="E138" i="4" s="1"/>
  <c r="G138" i="4" s="1"/>
  <c r="F139" i="4"/>
  <c r="E139" i="4" s="1"/>
  <c r="G139" i="4" s="1"/>
  <c r="F140" i="4"/>
  <c r="E140" i="4" s="1"/>
  <c r="G140" i="4" s="1"/>
  <c r="F141" i="4"/>
  <c r="E141" i="4" s="1"/>
  <c r="G141" i="4" s="1"/>
  <c r="F142" i="4"/>
  <c r="E142" i="4" s="1"/>
  <c r="G142" i="4" s="1"/>
  <c r="F143" i="4"/>
  <c r="E143" i="4" s="1"/>
  <c r="G143" i="4" s="1"/>
  <c r="F144" i="4"/>
  <c r="E144" i="4" s="1"/>
  <c r="G144" i="4" s="1"/>
  <c r="F145" i="4"/>
  <c r="E145" i="4" s="1"/>
  <c r="G145" i="4" s="1"/>
  <c r="F146" i="4"/>
  <c r="E146" i="4" s="1"/>
  <c r="G146" i="4" s="1"/>
  <c r="F147" i="4"/>
  <c r="E147" i="4" s="1"/>
  <c r="G147" i="4" s="1"/>
  <c r="F148" i="4"/>
  <c r="E148" i="4" s="1"/>
  <c r="G148" i="4" s="1"/>
  <c r="F149" i="4"/>
  <c r="E149" i="4" s="1"/>
  <c r="G149" i="4" s="1"/>
  <c r="F150" i="4"/>
  <c r="E150" i="4" s="1"/>
  <c r="G150" i="4" s="1"/>
  <c r="F151" i="4"/>
  <c r="E151" i="4" s="1"/>
  <c r="G151" i="4" s="1"/>
  <c r="F152" i="4"/>
  <c r="E152" i="4" s="1"/>
  <c r="G152" i="4" s="1"/>
  <c r="F153" i="4"/>
  <c r="E153" i="4" s="1"/>
  <c r="G153" i="4" s="1"/>
  <c r="F154" i="4"/>
  <c r="E154" i="4" s="1"/>
  <c r="G154" i="4" s="1"/>
  <c r="F155" i="4"/>
  <c r="E155" i="4" s="1"/>
  <c r="G155" i="4" s="1"/>
  <c r="F156" i="4"/>
  <c r="E156" i="4" s="1"/>
  <c r="G156" i="4" s="1"/>
  <c r="F157" i="4"/>
  <c r="E157" i="4" s="1"/>
  <c r="G157" i="4" s="1"/>
  <c r="F158" i="4"/>
  <c r="E158" i="4" s="1"/>
  <c r="G158" i="4" s="1"/>
  <c r="F159" i="4"/>
  <c r="E159" i="4" s="1"/>
  <c r="G159" i="4" s="1"/>
  <c r="F160" i="4"/>
  <c r="E160" i="4" s="1"/>
  <c r="G160" i="4" s="1"/>
  <c r="F161" i="4"/>
  <c r="E161" i="4" s="1"/>
  <c r="G161" i="4" s="1"/>
  <c r="F162" i="4"/>
  <c r="E162" i="4" s="1"/>
  <c r="G162" i="4" s="1"/>
  <c r="F163" i="4"/>
  <c r="E163" i="4" s="1"/>
  <c r="G163" i="4" s="1"/>
  <c r="F164" i="4"/>
  <c r="E164" i="4" s="1"/>
  <c r="G164" i="4" s="1"/>
  <c r="F165" i="4"/>
  <c r="E165" i="4" s="1"/>
  <c r="G165" i="4" s="1"/>
  <c r="F166" i="4"/>
  <c r="E166" i="4" s="1"/>
  <c r="G166" i="4" s="1"/>
  <c r="F167" i="4"/>
  <c r="E167" i="4" s="1"/>
  <c r="G167" i="4" s="1"/>
  <c r="F168" i="4"/>
  <c r="E168" i="4" s="1"/>
  <c r="G168" i="4" s="1"/>
  <c r="F169" i="4"/>
  <c r="E169" i="4" s="1"/>
  <c r="G169" i="4" s="1"/>
  <c r="F170" i="4"/>
  <c r="E170" i="4" s="1"/>
  <c r="G170" i="4" s="1"/>
  <c r="F171" i="4"/>
  <c r="E171" i="4" s="1"/>
  <c r="G171" i="4" s="1"/>
  <c r="F172" i="4"/>
  <c r="E172" i="4" s="1"/>
  <c r="G172" i="4" s="1"/>
  <c r="F192" i="4"/>
  <c r="E192" i="4" s="1"/>
  <c r="G192" i="4" s="1"/>
  <c r="F193" i="4"/>
  <c r="E193" i="4" s="1"/>
  <c r="G193" i="4" s="1"/>
  <c r="F194" i="4"/>
  <c r="E194" i="4" s="1"/>
  <c r="G194" i="4" s="1"/>
  <c r="F195" i="4"/>
  <c r="E195" i="4" s="1"/>
  <c r="G195" i="4" s="1"/>
  <c r="F196" i="4"/>
  <c r="E196" i="4" s="1"/>
  <c r="G196" i="4" s="1"/>
  <c r="F197" i="4"/>
  <c r="E197" i="4" s="1"/>
  <c r="G197" i="4" s="1"/>
  <c r="F198" i="4"/>
  <c r="E198" i="4" s="1"/>
  <c r="G198" i="4" s="1"/>
  <c r="F199" i="4"/>
  <c r="E199" i="4" s="1"/>
  <c r="G199" i="4" s="1"/>
  <c r="F200" i="4"/>
  <c r="E200" i="4" s="1"/>
  <c r="G200" i="4" s="1"/>
  <c r="F201" i="4"/>
  <c r="E201" i="4" s="1"/>
  <c r="G201" i="4" s="1"/>
  <c r="F202" i="4"/>
  <c r="E202" i="4" s="1"/>
  <c r="G202" i="4" s="1"/>
  <c r="F203" i="4"/>
  <c r="E203" i="4" s="1"/>
  <c r="G203" i="4" s="1"/>
  <c r="F204" i="4"/>
  <c r="E204" i="4" s="1"/>
  <c r="G204" i="4" s="1"/>
  <c r="F205" i="4"/>
  <c r="E205" i="4" s="1"/>
  <c r="G205" i="4" s="1"/>
  <c r="F206" i="4"/>
  <c r="E206" i="4" s="1"/>
  <c r="G206" i="4" s="1"/>
  <c r="F207" i="4"/>
  <c r="E207" i="4" s="1"/>
  <c r="G207" i="4" s="1"/>
  <c r="F209" i="4"/>
  <c r="E209" i="4" s="1"/>
  <c r="G209" i="4" s="1"/>
  <c r="F210" i="4"/>
  <c r="E210" i="4" s="1"/>
  <c r="G210" i="4" s="1"/>
  <c r="F211" i="4"/>
  <c r="E211" i="4" s="1"/>
  <c r="G211" i="4" s="1"/>
  <c r="F212" i="4"/>
  <c r="E212" i="4" s="1"/>
  <c r="G212" i="4" s="1"/>
  <c r="F213" i="4"/>
  <c r="E213" i="4" s="1"/>
  <c r="G213" i="4" s="1"/>
  <c r="F214" i="4"/>
  <c r="E214" i="4" s="1"/>
  <c r="G214" i="4" s="1"/>
  <c r="F215" i="4"/>
  <c r="E215" i="4" s="1"/>
  <c r="G215" i="4" s="1"/>
  <c r="F216" i="4"/>
  <c r="E216" i="4" s="1"/>
  <c r="G216" i="4" s="1"/>
  <c r="F217" i="4"/>
  <c r="E217" i="4" s="1"/>
  <c r="G217" i="4" s="1"/>
  <c r="F218" i="4"/>
  <c r="E218" i="4" s="1"/>
  <c r="G218" i="4" s="1"/>
  <c r="F219" i="4"/>
  <c r="E219" i="4" s="1"/>
  <c r="G219" i="4" s="1"/>
  <c r="F220" i="4"/>
  <c r="E220" i="4" s="1"/>
  <c r="G220" i="4" s="1"/>
  <c r="F221" i="4"/>
  <c r="E221" i="4" s="1"/>
  <c r="G221" i="4" s="1"/>
  <c r="F222" i="4"/>
  <c r="E222" i="4" s="1"/>
  <c r="G222" i="4" s="1"/>
  <c r="F229" i="4"/>
  <c r="E229" i="4" s="1"/>
  <c r="G229" i="4" s="1"/>
  <c r="F230" i="4"/>
  <c r="E230" i="4" s="1"/>
  <c r="G230" i="4" s="1"/>
  <c r="F231" i="4"/>
  <c r="E231" i="4" s="1"/>
  <c r="G231" i="4" s="1"/>
  <c r="F232" i="4"/>
  <c r="E232" i="4" s="1"/>
  <c r="G232" i="4" s="1"/>
  <c r="F233" i="4"/>
  <c r="E233" i="4" s="1"/>
  <c r="G233" i="4" s="1"/>
  <c r="F234" i="4"/>
  <c r="E234" i="4" s="1"/>
  <c r="G234" i="4" s="1"/>
  <c r="F235" i="4"/>
  <c r="E235" i="4" s="1"/>
  <c r="G235" i="4" s="1"/>
  <c r="F236" i="4"/>
  <c r="E236" i="4" s="1"/>
  <c r="G236" i="4" s="1"/>
  <c r="F237" i="4"/>
  <c r="E237" i="4" s="1"/>
  <c r="G237" i="4" s="1"/>
  <c r="F240" i="4"/>
  <c r="E240" i="4" s="1"/>
  <c r="G240" i="4" s="1"/>
  <c r="F241" i="4"/>
  <c r="E241" i="4" s="1"/>
  <c r="G241" i="4" s="1"/>
  <c r="F242" i="4"/>
  <c r="E242" i="4" s="1"/>
  <c r="G242" i="4" s="1"/>
  <c r="F253" i="4"/>
  <c r="E253" i="4" s="1"/>
  <c r="G253" i="4" s="1"/>
  <c r="F254" i="4"/>
  <c r="E254" i="4" s="1"/>
  <c r="G254" i="4" s="1"/>
  <c r="F255" i="4"/>
  <c r="E255" i="4" s="1"/>
  <c r="G255" i="4" s="1"/>
  <c r="F501" i="4"/>
  <c r="E501" i="4" s="1"/>
  <c r="G501" i="4" s="1"/>
  <c r="F502" i="4"/>
  <c r="E502" i="4" s="1"/>
  <c r="G502" i="4" s="1"/>
  <c r="F256" i="4"/>
  <c r="E256" i="4" s="1"/>
  <c r="G256" i="4" s="1"/>
  <c r="F257" i="4"/>
  <c r="E257" i="4" s="1"/>
  <c r="G257" i="4" s="1"/>
  <c r="F430" i="4"/>
  <c r="E430" i="4" s="1"/>
  <c r="G430" i="4" s="1"/>
  <c r="F431" i="4"/>
  <c r="E431" i="4" s="1"/>
  <c r="G431" i="4" s="1"/>
  <c r="F434" i="4"/>
  <c r="E434" i="4" s="1"/>
  <c r="G434" i="4" s="1"/>
  <c r="F261" i="4"/>
  <c r="E261" i="4" s="1"/>
  <c r="G261" i="4" s="1"/>
  <c r="F262" i="4"/>
  <c r="E262" i="4" s="1"/>
  <c r="G262" i="4" s="1"/>
  <c r="F273" i="4"/>
  <c r="E273" i="4" s="1"/>
  <c r="G273" i="4" s="1"/>
  <c r="F274" i="4"/>
  <c r="E274" i="4" s="1"/>
  <c r="G274" i="4" s="1"/>
  <c r="F275" i="4"/>
  <c r="E275" i="4" s="1"/>
  <c r="G275" i="4" s="1"/>
  <c r="F276" i="4"/>
  <c r="E276" i="4" s="1"/>
  <c r="G276" i="4" s="1"/>
  <c r="F277" i="4"/>
  <c r="E277" i="4" s="1"/>
  <c r="G277" i="4" s="1"/>
  <c r="F278" i="4"/>
  <c r="E278" i="4" s="1"/>
  <c r="G278" i="4" s="1"/>
  <c r="F279" i="4"/>
  <c r="E279" i="4" s="1"/>
  <c r="G279" i="4" s="1"/>
  <c r="F280" i="4"/>
  <c r="E280" i="4" s="1"/>
  <c r="G280" i="4" s="1"/>
  <c r="F281" i="4"/>
  <c r="E281" i="4" s="1"/>
  <c r="G281" i="4" s="1"/>
  <c r="F282" i="4"/>
  <c r="E282" i="4" s="1"/>
  <c r="G282" i="4" s="1"/>
  <c r="F283" i="4"/>
  <c r="E283" i="4" s="1"/>
  <c r="G283" i="4" s="1"/>
  <c r="F290" i="4"/>
  <c r="E290" i="4" s="1"/>
  <c r="G290" i="4" s="1"/>
  <c r="F291" i="4"/>
  <c r="E291" i="4" s="1"/>
  <c r="G291" i="4" s="1"/>
  <c r="F292" i="4"/>
  <c r="E292" i="4" s="1"/>
  <c r="G292" i="4" s="1"/>
  <c r="F293" i="4"/>
  <c r="E293" i="4" s="1"/>
  <c r="G293" i="4" s="1"/>
  <c r="F294" i="4"/>
  <c r="E294" i="4" s="1"/>
  <c r="G294" i="4" s="1"/>
  <c r="F301" i="4"/>
  <c r="E301" i="4" s="1"/>
  <c r="G301" i="4" s="1"/>
  <c r="F302" i="4"/>
  <c r="E302" i="4" s="1"/>
  <c r="G302" i="4" s="1"/>
  <c r="F305" i="4"/>
  <c r="E305" i="4" s="1"/>
  <c r="G305" i="4" s="1"/>
  <c r="F306" i="4"/>
  <c r="E306" i="4" s="1"/>
  <c r="G306" i="4" s="1"/>
  <c r="F307" i="4"/>
  <c r="E307" i="4" s="1"/>
  <c r="G307" i="4" s="1"/>
  <c r="F308" i="4"/>
  <c r="E308" i="4" s="1"/>
  <c r="G308" i="4" s="1"/>
  <c r="F309" i="4"/>
  <c r="E309" i="4" s="1"/>
  <c r="G309" i="4" s="1"/>
  <c r="F310" i="4"/>
  <c r="E310" i="4" s="1"/>
  <c r="G310" i="4" s="1"/>
  <c r="F311" i="4"/>
  <c r="E311" i="4" s="1"/>
  <c r="G311" i="4" s="1"/>
  <c r="F312" i="4"/>
  <c r="E312" i="4" s="1"/>
  <c r="G312" i="4" s="1"/>
  <c r="F313" i="4"/>
  <c r="E313" i="4" s="1"/>
  <c r="G313" i="4" s="1"/>
  <c r="F314" i="4"/>
  <c r="E314" i="4" s="1"/>
  <c r="G314" i="4" s="1"/>
  <c r="F315" i="4"/>
  <c r="E315" i="4" s="1"/>
  <c r="G315" i="4" s="1"/>
  <c r="F316" i="4"/>
  <c r="E316" i="4" s="1"/>
  <c r="G316" i="4" s="1"/>
  <c r="F317" i="4"/>
  <c r="E317" i="4" s="1"/>
  <c r="G317" i="4" s="1"/>
  <c r="F318" i="4"/>
  <c r="E318" i="4" s="1"/>
  <c r="G318" i="4" s="1"/>
  <c r="F319" i="4"/>
  <c r="E319" i="4" s="1"/>
  <c r="G319" i="4" s="1"/>
  <c r="F320" i="4"/>
  <c r="E320" i="4" s="1"/>
  <c r="G320" i="4" s="1"/>
  <c r="F321" i="4"/>
  <c r="E321" i="4" s="1"/>
  <c r="G321" i="4" s="1"/>
  <c r="F322" i="4"/>
  <c r="E322" i="4" s="1"/>
  <c r="G322" i="4" s="1"/>
  <c r="F323" i="4"/>
  <c r="E323" i="4" s="1"/>
  <c r="G323" i="4" s="1"/>
  <c r="F324" i="4"/>
  <c r="E324" i="4" s="1"/>
  <c r="G324" i="4" s="1"/>
  <c r="F325" i="4"/>
  <c r="E325" i="4" s="1"/>
  <c r="G325" i="4" s="1"/>
  <c r="F326" i="4"/>
  <c r="E326" i="4" s="1"/>
  <c r="G326" i="4" s="1"/>
  <c r="F327" i="4"/>
  <c r="E327" i="4" s="1"/>
  <c r="G327" i="4" s="1"/>
  <c r="F328" i="4"/>
  <c r="E328" i="4" s="1"/>
  <c r="G328" i="4" s="1"/>
  <c r="F329" i="4"/>
  <c r="E329" i="4" s="1"/>
  <c r="G329" i="4" s="1"/>
  <c r="F330" i="4"/>
  <c r="E330" i="4" s="1"/>
  <c r="G330" i="4" s="1"/>
  <c r="F331" i="4"/>
  <c r="E331" i="4" s="1"/>
  <c r="G331" i="4" s="1"/>
  <c r="F332" i="4"/>
  <c r="E332" i="4" s="1"/>
  <c r="G332" i="4" s="1"/>
  <c r="F333" i="4"/>
  <c r="E333" i="4" s="1"/>
  <c r="G333" i="4" s="1"/>
  <c r="F334" i="4"/>
  <c r="E334" i="4" s="1"/>
  <c r="G334" i="4" s="1"/>
  <c r="F335" i="4"/>
  <c r="E335" i="4" s="1"/>
  <c r="G335" i="4" s="1"/>
  <c r="F336" i="4"/>
  <c r="E336" i="4" s="1"/>
  <c r="G336" i="4" s="1"/>
  <c r="F341" i="4"/>
  <c r="E341" i="4" s="1"/>
  <c r="G341" i="4" s="1"/>
  <c r="F346" i="4"/>
  <c r="E346" i="4" s="1"/>
  <c r="G346" i="4" s="1"/>
  <c r="F347" i="4"/>
  <c r="E347" i="4" s="1"/>
  <c r="G347" i="4" s="1"/>
  <c r="F348" i="4"/>
  <c r="E348" i="4" s="1"/>
  <c r="G348" i="4" s="1"/>
  <c r="F349" i="4"/>
  <c r="E349" i="4" s="1"/>
  <c r="G349" i="4" s="1"/>
  <c r="F350" i="4"/>
  <c r="E350" i="4" s="1"/>
  <c r="G350" i="4" s="1"/>
  <c r="F351" i="4"/>
  <c r="E351" i="4" s="1"/>
  <c r="G351" i="4" s="1"/>
  <c r="F352" i="4"/>
  <c r="E352" i="4" s="1"/>
  <c r="G352" i="4" s="1"/>
  <c r="F353" i="4"/>
  <c r="E353" i="4" s="1"/>
  <c r="G353" i="4" s="1"/>
  <c r="F368" i="4"/>
  <c r="E368" i="4" s="1"/>
  <c r="G368" i="4" s="1"/>
  <c r="F369" i="4"/>
  <c r="E369" i="4" s="1"/>
  <c r="G369" i="4" s="1"/>
  <c r="F370" i="4"/>
  <c r="E370" i="4" s="1"/>
  <c r="G370" i="4" s="1"/>
  <c r="F371" i="4"/>
  <c r="E371" i="4" s="1"/>
  <c r="G371" i="4" s="1"/>
  <c r="F372" i="4"/>
  <c r="E372" i="4" s="1"/>
  <c r="G372" i="4" s="1"/>
  <c r="F373" i="4"/>
  <c r="E373" i="4" s="1"/>
  <c r="G373" i="4" s="1"/>
  <c r="F374" i="4"/>
  <c r="E374" i="4" s="1"/>
  <c r="G374" i="4" s="1"/>
  <c r="F375" i="4"/>
  <c r="E375" i="4" s="1"/>
  <c r="G375" i="4" s="1"/>
  <c r="F376" i="4"/>
  <c r="E376" i="4" s="1"/>
  <c r="G376" i="4" s="1"/>
  <c r="F377" i="4"/>
  <c r="E377" i="4" s="1"/>
  <c r="G377" i="4" s="1"/>
  <c r="F378" i="4"/>
  <c r="E378" i="4" s="1"/>
  <c r="G378" i="4" s="1"/>
  <c r="F379" i="4"/>
  <c r="E379" i="4" s="1"/>
  <c r="G379" i="4" s="1"/>
  <c r="F380" i="4"/>
  <c r="E380" i="4" s="1"/>
  <c r="G380" i="4" s="1"/>
  <c r="F381" i="4"/>
  <c r="E381" i="4" s="1"/>
  <c r="G381" i="4" s="1"/>
  <c r="F382" i="4"/>
  <c r="E382" i="4" s="1"/>
  <c r="G382" i="4" s="1"/>
  <c r="F383" i="4"/>
  <c r="E383" i="4" s="1"/>
  <c r="G383" i="4" s="1"/>
  <c r="F384" i="4"/>
  <c r="E384" i="4" s="1"/>
  <c r="G384" i="4" s="1"/>
  <c r="F385" i="4"/>
  <c r="E385" i="4" s="1"/>
  <c r="G385" i="4" s="1"/>
  <c r="F386" i="4"/>
  <c r="E386" i="4" s="1"/>
  <c r="G386" i="4" s="1"/>
  <c r="F387" i="4"/>
  <c r="E387" i="4" s="1"/>
  <c r="G387" i="4" s="1"/>
  <c r="F388" i="4"/>
  <c r="E388" i="4" s="1"/>
  <c r="G388" i="4" s="1"/>
  <c r="F389" i="4"/>
  <c r="E389" i="4" s="1"/>
  <c r="G389" i="4" s="1"/>
  <c r="F390" i="4"/>
  <c r="E390" i="4" s="1"/>
  <c r="G390" i="4" s="1"/>
  <c r="F391" i="4"/>
  <c r="E391" i="4" s="1"/>
  <c r="G391" i="4" s="1"/>
  <c r="F392" i="4"/>
  <c r="E392" i="4" s="1"/>
  <c r="G392" i="4" s="1"/>
  <c r="F393" i="4"/>
  <c r="E393" i="4" s="1"/>
  <c r="G393" i="4" s="1"/>
  <c r="F394" i="4"/>
  <c r="E394" i="4" s="1"/>
  <c r="G394" i="4" s="1"/>
  <c r="F395" i="4"/>
  <c r="E395" i="4" s="1"/>
  <c r="G395" i="4" s="1"/>
  <c r="F396" i="4"/>
  <c r="E396" i="4" s="1"/>
  <c r="G396" i="4" s="1"/>
  <c r="F397" i="4"/>
  <c r="E397" i="4" s="1"/>
  <c r="G397" i="4" s="1"/>
  <c r="F398" i="4"/>
  <c r="E398" i="4" s="1"/>
  <c r="G398" i="4" s="1"/>
  <c r="F399" i="4"/>
  <c r="E399" i="4" s="1"/>
  <c r="G399" i="4" s="1"/>
  <c r="F435" i="4"/>
  <c r="E435" i="4" s="1"/>
  <c r="G435" i="4" s="1"/>
  <c r="F436" i="4"/>
  <c r="E436" i="4" s="1"/>
  <c r="G436" i="4" s="1"/>
  <c r="F437" i="4"/>
  <c r="E437" i="4" s="1"/>
  <c r="G437" i="4" s="1"/>
  <c r="F440" i="4"/>
  <c r="E440" i="4" s="1"/>
  <c r="G440" i="4" s="1"/>
  <c r="F441" i="4"/>
  <c r="E441" i="4" s="1"/>
  <c r="G441" i="4" s="1"/>
  <c r="F446" i="4"/>
  <c r="E446" i="4" s="1"/>
  <c r="G446" i="4" s="1"/>
  <c r="F447" i="4"/>
  <c r="E447" i="4" s="1"/>
  <c r="G447" i="4" s="1"/>
  <c r="F448" i="4"/>
  <c r="E448" i="4" s="1"/>
  <c r="G448" i="4" s="1"/>
  <c r="F449" i="4"/>
  <c r="E449" i="4" s="1"/>
  <c r="G449" i="4" s="1"/>
  <c r="F450" i="4"/>
  <c r="E450" i="4" s="1"/>
  <c r="G450" i="4" s="1"/>
  <c r="F458" i="4"/>
  <c r="E458" i="4" s="1"/>
  <c r="G458" i="4" s="1"/>
  <c r="F459" i="4"/>
  <c r="E459" i="4" s="1"/>
  <c r="G459" i="4" s="1"/>
  <c r="F460" i="4"/>
  <c r="E460" i="4" s="1"/>
  <c r="G460" i="4" s="1"/>
  <c r="F461" i="4"/>
  <c r="E461" i="4" s="1"/>
  <c r="G461" i="4" s="1"/>
  <c r="F462" i="4"/>
  <c r="E462" i="4" s="1"/>
  <c r="G462" i="4" s="1"/>
  <c r="F463" i="4"/>
  <c r="E463" i="4" s="1"/>
  <c r="G463" i="4" s="1"/>
  <c r="F464" i="4"/>
  <c r="E464" i="4" s="1"/>
  <c r="G464" i="4" s="1"/>
  <c r="F475" i="4"/>
  <c r="E475" i="4" s="1"/>
  <c r="G475" i="4" s="1"/>
  <c r="F476" i="4"/>
  <c r="E476" i="4" s="1"/>
  <c r="G476" i="4" s="1"/>
  <c r="F477" i="4"/>
  <c r="E477" i="4" s="1"/>
  <c r="G477" i="4" s="1"/>
  <c r="F478" i="4"/>
  <c r="E478" i="4" s="1"/>
  <c r="G478" i="4" s="1"/>
  <c r="F479" i="4"/>
  <c r="E479" i="4" s="1"/>
  <c r="G479" i="4" s="1"/>
  <c r="F480" i="4"/>
  <c r="E480" i="4" s="1"/>
  <c r="G480" i="4" s="1"/>
  <c r="F481" i="4"/>
  <c r="E481" i="4" s="1"/>
  <c r="G481" i="4" s="1"/>
  <c r="F482" i="4"/>
  <c r="E482" i="4" s="1"/>
  <c r="G482" i="4" s="1"/>
  <c r="F483" i="4"/>
  <c r="E483" i="4" s="1"/>
  <c r="G483" i="4" s="1"/>
  <c r="F503" i="4"/>
  <c r="E503" i="4" s="1"/>
  <c r="G503" i="4" s="1"/>
  <c r="F504" i="4"/>
  <c r="E504" i="4" s="1"/>
  <c r="G504" i="4" s="1"/>
  <c r="F505" i="4"/>
  <c r="E505" i="4" s="1"/>
  <c r="G505" i="4" s="1"/>
  <c r="F506" i="4"/>
  <c r="E506" i="4" s="1"/>
  <c r="G506" i="4" s="1"/>
  <c r="F507" i="4"/>
  <c r="E507" i="4" s="1"/>
  <c r="G507" i="4" s="1"/>
  <c r="F508" i="4"/>
  <c r="E508" i="4" s="1"/>
  <c r="G508" i="4" s="1"/>
  <c r="F509" i="4"/>
  <c r="E509" i="4" s="1"/>
  <c r="G509" i="4" s="1"/>
  <c r="F510" i="4"/>
  <c r="E510" i="4" s="1"/>
  <c r="G510" i="4" s="1"/>
  <c r="F523" i="4"/>
  <c r="E523" i="4" s="1"/>
  <c r="G523" i="4" s="1"/>
  <c r="F524" i="4"/>
  <c r="E524" i="4" s="1"/>
  <c r="G524" i="4" s="1"/>
  <c r="F525" i="4"/>
  <c r="E525" i="4" s="1"/>
  <c r="G525" i="4" s="1"/>
  <c r="F526" i="4"/>
  <c r="E526" i="4" s="1"/>
  <c r="G526" i="4" s="1"/>
  <c r="F552" i="4"/>
  <c r="E552" i="4" s="1"/>
  <c r="G552" i="4" s="1"/>
  <c r="F553" i="4"/>
  <c r="E553" i="4" s="1"/>
  <c r="G553" i="4" s="1"/>
  <c r="F554" i="4"/>
  <c r="E554" i="4" s="1"/>
  <c r="G554" i="4" s="1"/>
  <c r="F555" i="4"/>
  <c r="E555" i="4" s="1"/>
  <c r="G555" i="4" s="1"/>
  <c r="F556" i="4"/>
  <c r="E556" i="4" s="1"/>
  <c r="G556" i="4" s="1"/>
  <c r="F568" i="4"/>
  <c r="E568" i="4" s="1"/>
  <c r="G568" i="4" s="1"/>
  <c r="F569" i="4"/>
  <c r="E569" i="4" s="1"/>
  <c r="G569" i="4" s="1"/>
  <c r="F570" i="4"/>
  <c r="E570" i="4" s="1"/>
  <c r="G570" i="4" s="1"/>
  <c r="F577" i="4"/>
  <c r="E577" i="4" s="1"/>
  <c r="G577" i="4" s="1"/>
  <c r="F592" i="4"/>
  <c r="E592" i="4" s="1"/>
  <c r="G592" i="4" s="1"/>
  <c r="F593" i="4"/>
  <c r="E593" i="4" s="1"/>
  <c r="G593" i="4" s="1"/>
  <c r="F594" i="4"/>
  <c r="E594" i="4" s="1"/>
  <c r="G594" i="4" s="1"/>
  <c r="F595" i="4"/>
  <c r="E595" i="4" s="1"/>
  <c r="G595" i="4" s="1"/>
  <c r="F596" i="4"/>
  <c r="E596" i="4" s="1"/>
  <c r="G596" i="4" s="1"/>
  <c r="F597" i="4"/>
  <c r="E597" i="4" s="1"/>
  <c r="G597" i="4" s="1"/>
  <c r="F598" i="4"/>
  <c r="E598" i="4" s="1"/>
  <c r="G598" i="4" s="1"/>
  <c r="F599" i="4"/>
  <c r="E599" i="4" s="1"/>
  <c r="G599" i="4" s="1"/>
  <c r="F600" i="4"/>
  <c r="E600" i="4" s="1"/>
  <c r="G600" i="4" s="1"/>
  <c r="F601" i="4"/>
  <c r="E601" i="4" s="1"/>
  <c r="G601" i="4" s="1"/>
  <c r="F602" i="4"/>
  <c r="E602" i="4" s="1"/>
  <c r="G602" i="4" s="1"/>
  <c r="F603" i="4"/>
  <c r="E603" i="4" s="1"/>
  <c r="G603" i="4" s="1"/>
  <c r="F604" i="4"/>
  <c r="E604" i="4" s="1"/>
  <c r="G604" i="4" s="1"/>
  <c r="F605" i="4"/>
  <c r="E605" i="4" s="1"/>
  <c r="G605" i="4" s="1"/>
  <c r="F606" i="4"/>
  <c r="E606" i="4" s="1"/>
  <c r="G606" i="4" s="1"/>
  <c r="F607" i="4"/>
  <c r="E607" i="4" s="1"/>
  <c r="G607" i="4" s="1"/>
  <c r="F608" i="4"/>
  <c r="E608" i="4" s="1"/>
  <c r="G608" i="4" s="1"/>
  <c r="F609" i="4"/>
  <c r="E609" i="4" s="1"/>
  <c r="G609" i="4" s="1"/>
  <c r="F610" i="4"/>
  <c r="E610" i="4" s="1"/>
  <c r="G610" i="4" s="1"/>
  <c r="F611" i="4"/>
  <c r="E611" i="4" s="1"/>
  <c r="G611" i="4" s="1"/>
  <c r="F612" i="4"/>
  <c r="E612" i="4" s="1"/>
  <c r="G612" i="4" s="1"/>
  <c r="F613" i="4"/>
  <c r="E613" i="4" s="1"/>
  <c r="G613" i="4" s="1"/>
  <c r="F614" i="4"/>
  <c r="E614" i="4" s="1"/>
  <c r="G614" i="4" s="1"/>
  <c r="F615" i="4"/>
  <c r="E615" i="4" s="1"/>
  <c r="G615" i="4" s="1"/>
  <c r="F616" i="4"/>
  <c r="E616" i="4" s="1"/>
  <c r="G616" i="4" s="1"/>
  <c r="F617" i="4"/>
  <c r="E617" i="4" s="1"/>
  <c r="G617" i="4" s="1"/>
  <c r="F618" i="4"/>
  <c r="E618" i="4" s="1"/>
  <c r="G618" i="4" s="1"/>
  <c r="F619" i="4"/>
  <c r="E619" i="4" s="1"/>
  <c r="G619" i="4" s="1"/>
  <c r="F620" i="4"/>
  <c r="E620" i="4" s="1"/>
  <c r="G620" i="4" s="1"/>
  <c r="F633" i="4"/>
  <c r="E633" i="4" s="1"/>
  <c r="G633" i="4" s="1"/>
  <c r="F634" i="4"/>
  <c r="E634" i="4" s="1"/>
  <c r="G634" i="4" s="1"/>
  <c r="F635" i="4"/>
  <c r="E635" i="4" s="1"/>
  <c r="G635" i="4" s="1"/>
  <c r="F636" i="4"/>
  <c r="E636" i="4" s="1"/>
  <c r="G636" i="4" s="1"/>
  <c r="F637" i="4"/>
  <c r="E637" i="4" s="1"/>
  <c r="G637" i="4" s="1"/>
  <c r="F638" i="4"/>
  <c r="E638" i="4" s="1"/>
  <c r="G638" i="4" s="1"/>
  <c r="F639" i="4"/>
  <c r="E639" i="4" s="1"/>
  <c r="G639" i="4" s="1"/>
  <c r="F640" i="4"/>
  <c r="E640" i="4" s="1"/>
  <c r="G640" i="4" s="1"/>
  <c r="F641" i="4"/>
  <c r="E641" i="4" s="1"/>
  <c r="G641" i="4" s="1"/>
  <c r="F642" i="4"/>
  <c r="E642" i="4" s="1"/>
  <c r="G642" i="4" s="1"/>
  <c r="F643" i="4"/>
  <c r="E643" i="4" s="1"/>
  <c r="G643" i="4" s="1"/>
  <c r="F644" i="4"/>
  <c r="E644" i="4" s="1"/>
  <c r="G644" i="4" s="1"/>
  <c r="F645" i="4"/>
  <c r="E645" i="4" s="1"/>
  <c r="G645" i="4" s="1"/>
  <c r="F646" i="4"/>
  <c r="E646" i="4" s="1"/>
  <c r="G646" i="4" s="1"/>
  <c r="F647" i="4"/>
  <c r="E647" i="4" s="1"/>
  <c r="G647" i="4" s="1"/>
  <c r="F648" i="4"/>
  <c r="E648" i="4" s="1"/>
  <c r="G648" i="4" s="1"/>
  <c r="F649" i="4"/>
  <c r="E649" i="4" s="1"/>
  <c r="G649" i="4" s="1"/>
  <c r="F650" i="4"/>
  <c r="E650" i="4" s="1"/>
  <c r="G650" i="4" s="1"/>
  <c r="F651" i="4"/>
  <c r="E651" i="4" s="1"/>
  <c r="G651" i="4" s="1"/>
  <c r="F652" i="4"/>
  <c r="E652" i="4" s="1"/>
  <c r="G652" i="4" s="1"/>
  <c r="F653" i="4"/>
  <c r="E653" i="4" s="1"/>
  <c r="G653" i="4" s="1"/>
  <c r="F654" i="4"/>
  <c r="E654" i="4" s="1"/>
  <c r="G654" i="4" s="1"/>
  <c r="F655" i="4"/>
  <c r="E655" i="4" s="1"/>
  <c r="G655" i="4" s="1"/>
  <c r="F656" i="4"/>
  <c r="E656" i="4" s="1"/>
  <c r="G656" i="4" s="1"/>
  <c r="F657" i="4"/>
  <c r="E657" i="4" s="1"/>
  <c r="G657" i="4" s="1"/>
  <c r="F658" i="4"/>
  <c r="E658" i="4" s="1"/>
  <c r="G658" i="4" s="1"/>
  <c r="F659" i="4"/>
  <c r="E659" i="4" s="1"/>
  <c r="G659" i="4" s="1"/>
  <c r="F668" i="4"/>
  <c r="E668" i="4" s="1"/>
  <c r="G668" i="4" s="1"/>
  <c r="F669" i="4"/>
  <c r="E669" i="4" s="1"/>
  <c r="G669" i="4" s="1"/>
  <c r="F670" i="4"/>
  <c r="E670" i="4" s="1"/>
  <c r="G670" i="4" s="1"/>
  <c r="F671" i="4"/>
  <c r="E671" i="4" s="1"/>
  <c r="G671" i="4" s="1"/>
  <c r="F672" i="4"/>
  <c r="E672" i="4" s="1"/>
  <c r="G672" i="4" s="1"/>
  <c r="F673" i="4"/>
  <c r="E673" i="4" s="1"/>
  <c r="G673" i="4" s="1"/>
  <c r="F674" i="4"/>
  <c r="E674" i="4" s="1"/>
  <c r="G674" i="4" s="1"/>
  <c r="F675" i="4"/>
  <c r="E675" i="4" s="1"/>
  <c r="G675" i="4" s="1"/>
  <c r="F676" i="4"/>
  <c r="E676" i="4" s="1"/>
  <c r="G676" i="4" s="1"/>
  <c r="F677" i="4"/>
  <c r="E677" i="4" s="1"/>
  <c r="G677" i="4" s="1"/>
  <c r="F678" i="4"/>
  <c r="E678" i="4" s="1"/>
  <c r="G678" i="4" s="1"/>
  <c r="F679" i="4"/>
  <c r="E679" i="4" s="1"/>
  <c r="G679" i="4" s="1"/>
  <c r="F680" i="4"/>
  <c r="E680" i="4" s="1"/>
  <c r="G680" i="4" s="1"/>
  <c r="F16" i="4"/>
  <c r="E16" i="4" s="1"/>
  <c r="G16" i="4" s="1"/>
  <c r="F17" i="4"/>
  <c r="E17" i="4" s="1"/>
  <c r="G17" i="4" s="1"/>
  <c r="F26" i="4"/>
  <c r="E26" i="4" s="1"/>
  <c r="G26" i="4" s="1"/>
  <c r="F27" i="4"/>
  <c r="E27" i="4" s="1"/>
  <c r="G27" i="4" s="1"/>
  <c r="F28" i="4"/>
  <c r="E28" i="4" s="1"/>
  <c r="G28" i="4" s="1"/>
  <c r="F57" i="4"/>
  <c r="E57" i="4" s="1"/>
  <c r="G57" i="4" s="1"/>
  <c r="F58" i="4"/>
  <c r="E58" i="4" s="1"/>
  <c r="G58" i="4" s="1"/>
  <c r="F59" i="4"/>
  <c r="E59" i="4" s="1"/>
  <c r="G59" i="4" s="1"/>
  <c r="F60" i="4"/>
  <c r="E60" i="4" s="1"/>
  <c r="G60" i="4" s="1"/>
  <c r="F61" i="4"/>
  <c r="E61" i="4" s="1"/>
  <c r="G61" i="4" s="1"/>
  <c r="F62" i="4"/>
  <c r="E62" i="4" s="1"/>
  <c r="G62" i="4" s="1"/>
  <c r="F63" i="4"/>
  <c r="E63" i="4" s="1"/>
  <c r="G63" i="4" s="1"/>
  <c r="F64" i="4"/>
  <c r="E64" i="4" s="1"/>
  <c r="G64" i="4" s="1"/>
  <c r="F65" i="4"/>
  <c r="E65" i="4" s="1"/>
  <c r="G65" i="4" s="1"/>
  <c r="F66" i="4"/>
  <c r="E66" i="4" s="1"/>
  <c r="G66" i="4" s="1"/>
  <c r="F67" i="4"/>
  <c r="E67" i="4" s="1"/>
  <c r="G67" i="4" s="1"/>
  <c r="F68" i="4"/>
  <c r="E68" i="4" s="1"/>
  <c r="G68" i="4" s="1"/>
  <c r="F69" i="4"/>
  <c r="E69" i="4" s="1"/>
  <c r="G69" i="4" s="1"/>
  <c r="F263" i="4"/>
  <c r="E263" i="4" s="1"/>
  <c r="G263" i="4" s="1"/>
  <c r="F264" i="4"/>
  <c r="E264" i="4" s="1"/>
  <c r="G264" i="4" s="1"/>
  <c r="F265" i="4"/>
  <c r="E265" i="4" s="1"/>
  <c r="G265" i="4" s="1"/>
  <c r="F266" i="4"/>
  <c r="E266" i="4" s="1"/>
  <c r="G266" i="4" s="1"/>
  <c r="F267" i="4"/>
  <c r="E267" i="4" s="1"/>
  <c r="G267" i="4" s="1"/>
  <c r="F268" i="4"/>
  <c r="E268" i="4" s="1"/>
  <c r="G268" i="4" s="1"/>
  <c r="F269" i="4"/>
  <c r="E269" i="4" s="1"/>
  <c r="G269" i="4" s="1"/>
  <c r="F270" i="4"/>
  <c r="E270" i="4" s="1"/>
  <c r="G270" i="4" s="1"/>
  <c r="F271" i="4"/>
  <c r="E271" i="4" s="1"/>
  <c r="G271" i="4" s="1"/>
  <c r="F272" i="4"/>
  <c r="E272" i="4" s="1"/>
  <c r="G272" i="4" s="1"/>
  <c r="F87" i="4"/>
  <c r="E87" i="4" s="1"/>
  <c r="G87" i="4" s="1"/>
  <c r="F88" i="4"/>
  <c r="E88" i="4" s="1"/>
  <c r="G88" i="4" s="1"/>
  <c r="F89" i="4"/>
  <c r="E89" i="4" s="1"/>
  <c r="G89" i="4" s="1"/>
  <c r="F99" i="4"/>
  <c r="F100" i="4"/>
  <c r="E100" i="4" s="1"/>
  <c r="G100" i="4" s="1"/>
  <c r="F101" i="4"/>
  <c r="E101" i="4" s="1"/>
  <c r="G101" i="4" s="1"/>
  <c r="F103" i="4"/>
  <c r="E103" i="4" s="1"/>
  <c r="G103" i="4" s="1"/>
  <c r="F119" i="4"/>
  <c r="F120" i="4"/>
  <c r="E120" i="4" s="1"/>
  <c r="G120" i="4" s="1"/>
  <c r="F121" i="4"/>
  <c r="E121" i="4" s="1"/>
  <c r="G121" i="4" s="1"/>
  <c r="F122" i="4"/>
  <c r="E122" i="4" s="1"/>
  <c r="G122" i="4" s="1"/>
  <c r="F226" i="4"/>
  <c r="F227" i="4"/>
  <c r="E227" i="4" s="1"/>
  <c r="G227" i="4" s="1"/>
  <c r="F228" i="4"/>
  <c r="F287" i="4"/>
  <c r="E287" i="4" s="1"/>
  <c r="G287" i="4" s="1"/>
  <c r="F288" i="4"/>
  <c r="E288" i="4" s="1"/>
  <c r="G288" i="4" s="1"/>
  <c r="F289" i="4"/>
  <c r="E289" i="4" s="1"/>
  <c r="G289" i="4" s="1"/>
  <c r="F298" i="4"/>
  <c r="E298" i="4" s="1"/>
  <c r="G298" i="4" s="1"/>
  <c r="F299" i="4"/>
  <c r="E299" i="4" s="1"/>
  <c r="G299" i="4" s="1"/>
  <c r="F300" i="4"/>
  <c r="E300" i="4" s="1"/>
  <c r="G300" i="4" s="1"/>
  <c r="F339" i="4"/>
  <c r="E339" i="4" s="1"/>
  <c r="G339" i="4" s="1"/>
  <c r="F340" i="4"/>
  <c r="E340" i="4" s="1"/>
  <c r="G340" i="4" s="1"/>
  <c r="F345" i="4"/>
  <c r="F361" i="4"/>
  <c r="E361" i="4" s="1"/>
  <c r="G361" i="4" s="1"/>
  <c r="F362" i="4"/>
  <c r="E362" i="4" s="1"/>
  <c r="G362" i="4" s="1"/>
  <c r="F363" i="4"/>
  <c r="E363" i="4" s="1"/>
  <c r="G363" i="4" s="1"/>
  <c r="F364" i="4"/>
  <c r="E364" i="4" s="1"/>
  <c r="G364" i="4" s="1"/>
  <c r="F365" i="4"/>
  <c r="E365" i="4" s="1"/>
  <c r="G365" i="4" s="1"/>
  <c r="F367" i="4"/>
  <c r="E367" i="4" s="1"/>
  <c r="G367" i="4" s="1"/>
  <c r="F413" i="4"/>
  <c r="E413" i="4" s="1"/>
  <c r="G413" i="4" s="1"/>
  <c r="F414" i="4"/>
  <c r="E414" i="4" s="1"/>
  <c r="G414" i="4" s="1"/>
  <c r="F415" i="4"/>
  <c r="E415" i="4" s="1"/>
  <c r="G415" i="4" s="1"/>
  <c r="F416" i="4"/>
  <c r="E416" i="4" s="1"/>
  <c r="G416" i="4" s="1"/>
  <c r="F417" i="4"/>
  <c r="E417" i="4" s="1"/>
  <c r="G417" i="4" s="1"/>
  <c r="F418" i="4"/>
  <c r="E418" i="4" s="1"/>
  <c r="G418" i="4" s="1"/>
  <c r="F419" i="4"/>
  <c r="E419" i="4" s="1"/>
  <c r="G419" i="4" s="1"/>
  <c r="F420" i="4"/>
  <c r="E420" i="4" s="1"/>
  <c r="G420" i="4" s="1"/>
  <c r="F421" i="4"/>
  <c r="E421" i="4" s="1"/>
  <c r="G421" i="4" s="1"/>
  <c r="F422" i="4"/>
  <c r="E422" i="4" s="1"/>
  <c r="G422" i="4" s="1"/>
  <c r="F423" i="4"/>
  <c r="E423" i="4" s="1"/>
  <c r="G423" i="4" s="1"/>
  <c r="F424" i="4"/>
  <c r="E424" i="4" s="1"/>
  <c r="G424" i="4" s="1"/>
  <c r="F425" i="4"/>
  <c r="E425" i="4" s="1"/>
  <c r="G425" i="4" s="1"/>
  <c r="F444" i="4"/>
  <c r="E444" i="4" s="1"/>
  <c r="G444" i="4" s="1"/>
  <c r="F445" i="4"/>
  <c r="E445" i="4" s="1"/>
  <c r="G445" i="4" s="1"/>
  <c r="F470" i="4"/>
  <c r="E470" i="4" s="1"/>
  <c r="G470" i="4" s="1"/>
  <c r="F471" i="4"/>
  <c r="E471" i="4" s="1"/>
  <c r="G471" i="4" s="1"/>
  <c r="F472" i="4"/>
  <c r="E472" i="4" s="1"/>
  <c r="G472" i="4" s="1"/>
  <c r="F473" i="4"/>
  <c r="E473" i="4" s="1"/>
  <c r="G473" i="4" s="1"/>
  <c r="F474" i="4"/>
  <c r="E474" i="4" s="1"/>
  <c r="G474" i="4" s="1"/>
  <c r="F491" i="4"/>
  <c r="E491" i="4" s="1"/>
  <c r="G491" i="4" s="1"/>
  <c r="F492" i="4"/>
  <c r="E492" i="4" s="1"/>
  <c r="G492" i="4" s="1"/>
  <c r="F493" i="4"/>
  <c r="E493" i="4" s="1"/>
  <c r="G493" i="4" s="1"/>
  <c r="F494" i="4"/>
  <c r="E494" i="4" s="1"/>
  <c r="G494" i="4" s="1"/>
  <c r="F495" i="4"/>
  <c r="E495" i="4" s="1"/>
  <c r="G495" i="4" s="1"/>
  <c r="F496" i="4"/>
  <c r="E496" i="4" s="1"/>
  <c r="G496" i="4" s="1"/>
  <c r="F497" i="4"/>
  <c r="E497" i="4" s="1"/>
  <c r="G497" i="4" s="1"/>
  <c r="F517" i="4"/>
  <c r="E517" i="4" s="1"/>
  <c r="G517" i="4" s="1"/>
  <c r="F518" i="4"/>
  <c r="E518" i="4" s="1"/>
  <c r="G518" i="4" s="1"/>
  <c r="F519" i="4"/>
  <c r="E519" i="4" s="1"/>
  <c r="G519" i="4" s="1"/>
  <c r="F520" i="4"/>
  <c r="E520" i="4" s="1"/>
  <c r="G520" i="4" s="1"/>
  <c r="F521" i="4"/>
  <c r="E521" i="4" s="1"/>
  <c r="G521" i="4" s="1"/>
  <c r="F522" i="4"/>
  <c r="E522" i="4" s="1"/>
  <c r="G522" i="4" s="1"/>
  <c r="F532" i="4"/>
  <c r="E532" i="4" s="1"/>
  <c r="G532" i="4" s="1"/>
  <c r="F533" i="4"/>
  <c r="E533" i="4" s="1"/>
  <c r="G533" i="4" s="1"/>
  <c r="F534" i="4"/>
  <c r="E534" i="4" s="1"/>
  <c r="G534" i="4" s="1"/>
  <c r="F535" i="4"/>
  <c r="E535" i="4" s="1"/>
  <c r="G535" i="4" s="1"/>
  <c r="F560" i="4"/>
  <c r="E560" i="4" s="1"/>
  <c r="G560" i="4" s="1"/>
  <c r="F561" i="4"/>
  <c r="E561" i="4" s="1"/>
  <c r="G561" i="4" s="1"/>
  <c r="F562" i="4"/>
  <c r="E562" i="4" s="1"/>
  <c r="G562" i="4" s="1"/>
  <c r="F575" i="4"/>
  <c r="E575" i="4" s="1"/>
  <c r="G575" i="4" s="1"/>
  <c r="F576" i="4"/>
  <c r="E576" i="4" s="1"/>
  <c r="G576" i="4" s="1"/>
  <c r="F581" i="4"/>
  <c r="E581" i="4" s="1"/>
  <c r="G581" i="4" s="1"/>
  <c r="F627" i="4"/>
  <c r="E627" i="4" s="1"/>
  <c r="G627" i="4" s="1"/>
  <c r="F628" i="4"/>
  <c r="E628" i="4" s="1"/>
  <c r="G628" i="4" s="1"/>
  <c r="F629" i="4"/>
  <c r="E629" i="4" s="1"/>
  <c r="G629" i="4" s="1"/>
  <c r="F630" i="4"/>
  <c r="E630" i="4" s="1"/>
  <c r="G630" i="4" s="1"/>
  <c r="F631" i="4"/>
  <c r="E631" i="4" s="1"/>
  <c r="G631" i="4" s="1"/>
  <c r="F632" i="4"/>
  <c r="E632" i="4" s="1"/>
  <c r="G632" i="4" s="1"/>
  <c r="F664" i="4"/>
  <c r="E664" i="4" s="1"/>
  <c r="G664" i="4" s="1"/>
  <c r="F665" i="4"/>
  <c r="E665" i="4" s="1"/>
  <c r="G665" i="4" s="1"/>
  <c r="F666" i="4"/>
  <c r="E666" i="4" s="1"/>
  <c r="G666" i="4" s="1"/>
  <c r="F667" i="4"/>
  <c r="E667" i="4" s="1"/>
  <c r="G667" i="4" s="1"/>
  <c r="E431" i="12"/>
  <c r="E430" i="12"/>
  <c r="E429" i="12"/>
  <c r="E428" i="12"/>
  <c r="E427" i="12"/>
  <c r="E426" i="12"/>
  <c r="E425" i="12"/>
  <c r="E424" i="12"/>
  <c r="E423" i="12"/>
  <c r="E422" i="12"/>
  <c r="E421" i="12"/>
  <c r="E420" i="12"/>
  <c r="E419" i="12"/>
  <c r="E418" i="12"/>
  <c r="E417" i="12"/>
  <c r="E416" i="12"/>
  <c r="E415" i="12"/>
  <c r="E414" i="12"/>
  <c r="E413" i="12"/>
  <c r="E412" i="12"/>
  <c r="E411" i="12"/>
  <c r="E410" i="12"/>
  <c r="E409" i="12"/>
  <c r="E408" i="12"/>
  <c r="E407" i="12"/>
  <c r="E406" i="12"/>
  <c r="E405" i="12"/>
  <c r="E404" i="12"/>
  <c r="E403" i="12"/>
  <c r="E402" i="12"/>
  <c r="E401" i="12"/>
  <c r="E400" i="12"/>
  <c r="E399" i="12"/>
  <c r="E398" i="12"/>
  <c r="E397" i="12"/>
  <c r="E396" i="12"/>
  <c r="E395" i="12"/>
  <c r="E394" i="12"/>
  <c r="E393" i="12"/>
  <c r="E392" i="12"/>
  <c r="E391" i="12"/>
  <c r="E390" i="12"/>
  <c r="E389" i="12"/>
  <c r="E388" i="12"/>
  <c r="E387" i="12"/>
  <c r="E386" i="12"/>
  <c r="E385" i="12"/>
  <c r="E384" i="12"/>
  <c r="E383" i="12"/>
  <c r="E382" i="12"/>
  <c r="E381" i="12"/>
  <c r="E380" i="12"/>
  <c r="E379" i="12"/>
  <c r="E378" i="12"/>
  <c r="E377" i="12"/>
  <c r="E376" i="12"/>
  <c r="E375" i="12"/>
  <c r="E374" i="12"/>
  <c r="E373" i="12"/>
  <c r="E372" i="12"/>
  <c r="E371" i="12"/>
  <c r="E370" i="12"/>
  <c r="E369" i="12"/>
  <c r="E368" i="12"/>
  <c r="E367" i="12"/>
  <c r="E366" i="12"/>
  <c r="E365" i="12"/>
  <c r="E364" i="12"/>
  <c r="E363" i="12"/>
  <c r="E362" i="12"/>
  <c r="E361" i="12"/>
  <c r="E360" i="12"/>
  <c r="E359" i="12"/>
  <c r="E358" i="12"/>
  <c r="E357" i="12"/>
  <c r="E356" i="12"/>
  <c r="E355" i="12"/>
  <c r="E354" i="12"/>
  <c r="E353" i="12"/>
  <c r="E352" i="12"/>
  <c r="E351" i="12"/>
  <c r="E350" i="12"/>
  <c r="E349" i="12"/>
  <c r="E348" i="12"/>
  <c r="E347" i="12"/>
  <c r="E346" i="12"/>
  <c r="E345" i="12"/>
  <c r="E344" i="12"/>
  <c r="E343" i="12"/>
  <c r="E342" i="12"/>
  <c r="E341" i="12"/>
  <c r="E340" i="12"/>
  <c r="E339" i="12"/>
  <c r="E338" i="12"/>
  <c r="E337" i="12"/>
  <c r="E336" i="12"/>
  <c r="E335" i="12"/>
  <c r="E334" i="12"/>
  <c r="E333" i="12"/>
  <c r="E332" i="12"/>
  <c r="E331" i="12"/>
  <c r="E330" i="12"/>
  <c r="E329" i="12"/>
  <c r="E328" i="12"/>
  <c r="E327" i="12"/>
  <c r="E326" i="12"/>
  <c r="E325" i="12"/>
  <c r="E324" i="12"/>
  <c r="E323" i="12"/>
  <c r="E322" i="12"/>
  <c r="E321" i="12"/>
  <c r="E320" i="12"/>
  <c r="E319" i="12"/>
  <c r="E318" i="12"/>
  <c r="E317" i="12"/>
  <c r="E316"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G137"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H6" i="12"/>
  <c r="G6" i="12"/>
  <c r="E6" i="12"/>
  <c r="D6" i="12"/>
  <c r="H5" i="12"/>
  <c r="G5" i="12"/>
  <c r="E5" i="12"/>
  <c r="D5" i="12"/>
  <c r="H4" i="12"/>
  <c r="G4" i="12"/>
  <c r="E4" i="12"/>
  <c r="D4" i="12"/>
  <c r="H3" i="12"/>
  <c r="G3" i="12"/>
  <c r="E3" i="12"/>
  <c r="D3" i="12"/>
  <c r="H2" i="12"/>
  <c r="G2" i="12"/>
  <c r="E2" i="12"/>
  <c r="D2" i="12"/>
  <c r="H1" i="12"/>
  <c r="G1" i="12"/>
  <c r="E1" i="12"/>
  <c r="D1" i="12"/>
  <c r="L187" i="11"/>
  <c r="K187" i="11"/>
  <c r="I187" i="11"/>
  <c r="F187" i="11"/>
  <c r="L186" i="11"/>
  <c r="K186" i="11"/>
  <c r="I186" i="11"/>
  <c r="F186" i="11"/>
  <c r="L185" i="11"/>
  <c r="K185" i="11"/>
  <c r="I185" i="11"/>
  <c r="F185" i="11"/>
  <c r="L184" i="11"/>
  <c r="K184" i="11"/>
  <c r="I184" i="11"/>
  <c r="F184" i="11"/>
  <c r="L183" i="11"/>
  <c r="K183" i="11"/>
  <c r="I183" i="11"/>
  <c r="F183" i="11"/>
  <c r="L182" i="11"/>
  <c r="K182" i="11"/>
  <c r="I182" i="11"/>
  <c r="F182" i="11"/>
  <c r="L181" i="11"/>
  <c r="K181" i="11"/>
  <c r="I181" i="11"/>
  <c r="F181" i="11"/>
  <c r="L180" i="11"/>
  <c r="K180" i="11"/>
  <c r="I180" i="11"/>
  <c r="F180" i="11"/>
  <c r="L179" i="11"/>
  <c r="K179" i="11"/>
  <c r="I179" i="11"/>
  <c r="F179" i="11"/>
  <c r="L178" i="11"/>
  <c r="K178" i="11"/>
  <c r="I178" i="11"/>
  <c r="F178" i="11"/>
  <c r="L177" i="11"/>
  <c r="K177" i="11"/>
  <c r="I177" i="11"/>
  <c r="F177" i="11"/>
  <c r="L176" i="11"/>
  <c r="K176" i="11"/>
  <c r="I176" i="11"/>
  <c r="F176" i="11"/>
  <c r="L175" i="11"/>
  <c r="K175" i="11"/>
  <c r="I175" i="11"/>
  <c r="F175" i="11"/>
  <c r="L174" i="11"/>
  <c r="K174" i="11"/>
  <c r="I174" i="11"/>
  <c r="F174" i="11"/>
  <c r="L173" i="11"/>
  <c r="K173" i="11"/>
  <c r="I173" i="11"/>
  <c r="F173" i="11"/>
  <c r="L172" i="11"/>
  <c r="K172" i="11"/>
  <c r="I172" i="11"/>
  <c r="F172" i="11"/>
  <c r="L171" i="11"/>
  <c r="K171" i="11"/>
  <c r="I171" i="11"/>
  <c r="F171" i="11"/>
  <c r="L170" i="11"/>
  <c r="K170" i="11"/>
  <c r="I170" i="11"/>
  <c r="F170" i="11"/>
  <c r="L169" i="11"/>
  <c r="K169" i="11"/>
  <c r="I169" i="11"/>
  <c r="F169" i="11"/>
  <c r="L168" i="11"/>
  <c r="K168" i="11"/>
  <c r="I168" i="11"/>
  <c r="F168" i="11"/>
  <c r="L167" i="11"/>
  <c r="K167" i="11"/>
  <c r="I167" i="11"/>
  <c r="F167" i="11"/>
  <c r="L166" i="11"/>
  <c r="K166" i="11"/>
  <c r="I166" i="11"/>
  <c r="F166" i="11"/>
  <c r="L165" i="11"/>
  <c r="K165" i="11"/>
  <c r="I165" i="11"/>
  <c r="F165" i="11"/>
  <c r="L164" i="11"/>
  <c r="K164" i="11"/>
  <c r="I164" i="11"/>
  <c r="F164" i="11"/>
  <c r="L163" i="11"/>
  <c r="K163" i="11"/>
  <c r="I163" i="11"/>
  <c r="F163" i="11"/>
  <c r="L162" i="11"/>
  <c r="K162" i="11"/>
  <c r="I162" i="11"/>
  <c r="F162" i="11"/>
  <c r="L161" i="11"/>
  <c r="K161" i="11"/>
  <c r="I161" i="11"/>
  <c r="F161" i="11"/>
  <c r="L160" i="11"/>
  <c r="K160" i="11"/>
  <c r="I160" i="11"/>
  <c r="F160" i="11"/>
  <c r="L159" i="11"/>
  <c r="K159" i="11"/>
  <c r="I159" i="11"/>
  <c r="F159" i="11"/>
  <c r="L158" i="11"/>
  <c r="K158" i="11"/>
  <c r="I158" i="11"/>
  <c r="F158" i="11"/>
  <c r="L157" i="11"/>
  <c r="K157" i="11"/>
  <c r="I157" i="11"/>
  <c r="F157" i="11"/>
  <c r="L156" i="11"/>
  <c r="K156" i="11"/>
  <c r="I156" i="11"/>
  <c r="F156" i="11"/>
  <c r="L155" i="11"/>
  <c r="K155" i="11"/>
  <c r="I155" i="11"/>
  <c r="F155" i="11"/>
  <c r="L154" i="11"/>
  <c r="K154" i="11"/>
  <c r="I154" i="11"/>
  <c r="F154" i="11"/>
  <c r="L153" i="11"/>
  <c r="K153" i="11"/>
  <c r="I153" i="11"/>
  <c r="F153" i="11"/>
  <c r="L152" i="11"/>
  <c r="K152" i="11"/>
  <c r="I152" i="11"/>
  <c r="F152" i="11"/>
  <c r="L151" i="11"/>
  <c r="K151" i="11"/>
  <c r="I151" i="11"/>
  <c r="F151" i="11"/>
  <c r="L150" i="11"/>
  <c r="K150" i="11"/>
  <c r="I150" i="11"/>
  <c r="F150" i="11"/>
  <c r="L149" i="11"/>
  <c r="K149" i="11"/>
  <c r="I149" i="11"/>
  <c r="F149" i="11"/>
  <c r="L148" i="11"/>
  <c r="I148" i="11"/>
  <c r="F148" i="11"/>
  <c r="L147" i="11"/>
  <c r="K147" i="11"/>
  <c r="I147" i="11"/>
  <c r="F147" i="11"/>
  <c r="L146" i="11"/>
  <c r="K146" i="11"/>
  <c r="I146" i="11"/>
  <c r="F146" i="11"/>
  <c r="L145" i="11"/>
  <c r="K145" i="11"/>
  <c r="I145" i="11"/>
  <c r="F145" i="11"/>
  <c r="L144" i="11"/>
  <c r="I144" i="11"/>
  <c r="F144" i="11"/>
  <c r="L143" i="11"/>
  <c r="K143" i="11"/>
  <c r="I143" i="11"/>
  <c r="F143" i="11"/>
  <c r="L142" i="11"/>
  <c r="K142" i="11"/>
  <c r="I142" i="11"/>
  <c r="F142" i="11"/>
  <c r="L141" i="11"/>
  <c r="K141" i="11"/>
  <c r="I141" i="11"/>
  <c r="F141" i="11"/>
  <c r="L140" i="11"/>
  <c r="I140" i="11"/>
  <c r="F140" i="11"/>
  <c r="L139" i="11"/>
  <c r="K139" i="11"/>
  <c r="I139" i="11"/>
  <c r="F139" i="11"/>
  <c r="L138" i="11"/>
  <c r="K138" i="11"/>
  <c r="I138" i="11"/>
  <c r="F138" i="11"/>
  <c r="L137" i="11"/>
  <c r="K137" i="11"/>
  <c r="I137" i="11"/>
  <c r="F137" i="11"/>
  <c r="L136" i="11"/>
  <c r="K136" i="11"/>
  <c r="F136" i="11"/>
  <c r="L135" i="11"/>
  <c r="K135" i="11"/>
  <c r="I135" i="11"/>
  <c r="F135" i="11"/>
  <c r="L134" i="11"/>
  <c r="K134" i="11"/>
  <c r="I134" i="11"/>
  <c r="F134" i="11"/>
  <c r="L133" i="11"/>
  <c r="F133" i="11"/>
  <c r="L132" i="11"/>
  <c r="K132" i="11"/>
  <c r="F132" i="11"/>
  <c r="L131" i="11"/>
  <c r="K131" i="11"/>
  <c r="I131" i="11"/>
  <c r="F131" i="11"/>
  <c r="L130" i="11"/>
  <c r="K130" i="11"/>
  <c r="I130" i="11"/>
  <c r="F130" i="11"/>
  <c r="L129" i="11"/>
  <c r="K129" i="11"/>
  <c r="I129" i="11"/>
  <c r="F129" i="11"/>
  <c r="L128" i="11"/>
  <c r="K128" i="11"/>
  <c r="I128" i="11"/>
  <c r="F128" i="11"/>
  <c r="L127" i="11"/>
  <c r="K127" i="11"/>
  <c r="F127" i="11"/>
  <c r="L126" i="11"/>
  <c r="I126" i="11"/>
  <c r="F126" i="11"/>
  <c r="L125" i="11"/>
  <c r="K125" i="11"/>
  <c r="I125" i="11"/>
  <c r="F125" i="11"/>
  <c r="L124" i="11"/>
  <c r="K124" i="11"/>
  <c r="I124" i="11"/>
  <c r="F124" i="11"/>
  <c r="L123" i="11"/>
  <c r="I123" i="11"/>
  <c r="F123" i="11"/>
  <c r="L122" i="11"/>
  <c r="K122" i="11"/>
  <c r="F122" i="11"/>
  <c r="L121" i="11"/>
  <c r="K121" i="11"/>
  <c r="I121" i="11"/>
  <c r="F121" i="11"/>
  <c r="K120" i="11"/>
  <c r="F120" i="11"/>
  <c r="L119" i="11"/>
  <c r="K119" i="11"/>
  <c r="I119" i="11"/>
  <c r="F119" i="11"/>
  <c r="K118" i="11"/>
  <c r="I118" i="11"/>
  <c r="F118" i="11"/>
  <c r="K117" i="11"/>
  <c r="F117" i="11"/>
  <c r="L116" i="11"/>
  <c r="K116" i="11"/>
  <c r="F116" i="11"/>
  <c r="L115" i="11"/>
  <c r="K115" i="11"/>
  <c r="I115" i="11"/>
  <c r="F115" i="11"/>
  <c r="L114" i="11"/>
  <c r="K114" i="11"/>
  <c r="I114" i="11"/>
  <c r="F114" i="11"/>
  <c r="L113" i="11"/>
  <c r="K113" i="11"/>
  <c r="F113" i="11"/>
  <c r="L112" i="11"/>
  <c r="K112" i="11"/>
  <c r="I112" i="11"/>
  <c r="F112" i="11"/>
  <c r="L111" i="11"/>
  <c r="K111" i="11"/>
  <c r="I111" i="11"/>
  <c r="F111" i="11"/>
  <c r="L110" i="11"/>
  <c r="K110" i="11"/>
  <c r="F110" i="11"/>
  <c r="L109" i="11"/>
  <c r="K109" i="11"/>
  <c r="F109" i="11"/>
  <c r="L108" i="11"/>
  <c r="K108" i="11"/>
  <c r="F108" i="11"/>
  <c r="F107" i="11"/>
  <c r="L106" i="11"/>
  <c r="K106" i="11"/>
  <c r="I106" i="11"/>
  <c r="F106" i="11"/>
  <c r="L105" i="11"/>
  <c r="F105" i="11"/>
  <c r="F104" i="11"/>
  <c r="I103" i="11"/>
  <c r="F103" i="11"/>
  <c r="F102" i="11"/>
  <c r="L101" i="11"/>
  <c r="I101" i="11"/>
  <c r="F101" i="11"/>
  <c r="F50" i="11"/>
  <c r="L6" i="11"/>
  <c r="K6" i="11"/>
  <c r="I6" i="11"/>
  <c r="F6" i="11"/>
  <c r="L5" i="11"/>
  <c r="K5" i="11"/>
  <c r="I5" i="11"/>
  <c r="F5" i="11"/>
  <c r="L4" i="11"/>
  <c r="K4" i="11"/>
  <c r="I4" i="11"/>
  <c r="F4" i="11"/>
  <c r="L3" i="11"/>
  <c r="K3" i="11"/>
  <c r="I3" i="11"/>
  <c r="F3" i="11"/>
  <c r="L2" i="11"/>
  <c r="K2" i="11"/>
  <c r="I2" i="11"/>
  <c r="F2" i="11"/>
  <c r="L1" i="11"/>
  <c r="K1" i="11"/>
  <c r="I1" i="11"/>
  <c r="F1" i="11"/>
  <c r="M8" i="9"/>
  <c r="M7" i="9"/>
  <c r="L8" i="9"/>
  <c r="L7" i="9"/>
  <c r="K7" i="9"/>
  <c r="K8" i="9"/>
  <c r="J7" i="9"/>
  <c r="J8" i="9"/>
  <c r="I7" i="9"/>
  <c r="I8" i="9"/>
  <c r="P8" i="5"/>
  <c r="P7" i="5"/>
  <c r="P9" i="5"/>
  <c r="P10" i="5"/>
  <c r="P11" i="5"/>
  <c r="U11" i="5" s="1"/>
  <c r="P12" i="5"/>
  <c r="P13" i="5"/>
  <c r="T10" i="5"/>
  <c r="M7" i="5"/>
  <c r="M8" i="5"/>
  <c r="M9" i="5"/>
  <c r="M10" i="5"/>
  <c r="M11" i="5"/>
  <c r="M12" i="5"/>
  <c r="M13" i="5"/>
  <c r="E33" i="6"/>
  <c r="F33" i="6" s="1"/>
  <c r="E34" i="6"/>
  <c r="F34" i="6" s="1"/>
  <c r="H605" i="4" s="1"/>
  <c r="E35" i="6"/>
  <c r="F35" i="6" s="1"/>
  <c r="H80" i="4" s="1"/>
  <c r="E40" i="6"/>
  <c r="F40" i="6" s="1"/>
  <c r="E39" i="6"/>
  <c r="F39" i="6" s="1"/>
  <c r="E36" i="6"/>
  <c r="F36" i="6" s="1"/>
  <c r="H415" i="4" s="1"/>
  <c r="E38" i="6"/>
  <c r="F38" i="6" s="1"/>
  <c r="H266" i="4" s="1"/>
  <c r="E37" i="6"/>
  <c r="F37" i="6" s="1"/>
  <c r="H602" i="4" s="1"/>
  <c r="E41" i="6"/>
  <c r="F41" i="6" s="1"/>
  <c r="E42" i="6"/>
  <c r="F42" i="6" s="1"/>
  <c r="G74" i="12" s="1"/>
  <c r="E43" i="6"/>
  <c r="F43" i="6" s="1"/>
  <c r="H651" i="4" s="1"/>
  <c r="E44" i="6"/>
  <c r="F44" i="6" s="1"/>
  <c r="H389" i="4" s="1"/>
  <c r="E45" i="6"/>
  <c r="F45" i="6" s="1"/>
  <c r="E46" i="6"/>
  <c r="F46" i="6" s="1"/>
  <c r="E47" i="6"/>
  <c r="F47" i="6" s="1"/>
  <c r="G97" i="12" s="1"/>
  <c r="E48" i="6"/>
  <c r="F48" i="6" s="1"/>
  <c r="E49" i="6"/>
  <c r="F49" i="6" s="1"/>
  <c r="H383" i="4" s="1"/>
  <c r="E50" i="6"/>
  <c r="F50" i="6" s="1"/>
  <c r="G77" i="12" s="1"/>
  <c r="E51" i="6"/>
  <c r="F51" i="6" s="1"/>
  <c r="E52" i="6"/>
  <c r="F52" i="6" s="1"/>
  <c r="H419" i="4" s="1"/>
  <c r="E53" i="6"/>
  <c r="F53" i="6" s="1"/>
  <c r="E56" i="6"/>
  <c r="F56" i="6" s="1"/>
  <c r="E66" i="6"/>
  <c r="F66" i="6" s="1"/>
  <c r="H436" i="4" s="1"/>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E75" i="6"/>
  <c r="F75" i="6" s="1"/>
  <c r="H397" i="4" s="1"/>
  <c r="E69" i="6"/>
  <c r="E70" i="6"/>
  <c r="E72" i="6"/>
  <c r="F72" i="6" s="1"/>
  <c r="H677" i="4" s="1"/>
  <c r="E84" i="6"/>
  <c r="F84" i="6" s="1"/>
  <c r="E85" i="6"/>
  <c r="F85" i="6" s="1"/>
  <c r="E86" i="6"/>
  <c r="F86" i="6" s="1"/>
  <c r="E87" i="6"/>
  <c r="F87" i="6" s="1"/>
  <c r="E88" i="6"/>
  <c r="F88" i="6" s="1"/>
  <c r="E89" i="6"/>
  <c r="F89" i="6" s="1"/>
  <c r="H251" i="4" s="1"/>
  <c r="E90" i="6"/>
  <c r="F90" i="6" s="1"/>
  <c r="E92" i="6"/>
  <c r="F92" i="6" s="1"/>
  <c r="H451" i="4" s="1"/>
  <c r="E93" i="6"/>
  <c r="F93" i="6" s="1"/>
  <c r="H171" i="4" s="1"/>
  <c r="E94" i="6"/>
  <c r="F94" i="6" s="1"/>
  <c r="E95" i="6"/>
  <c r="E96" i="6"/>
  <c r="E97" i="6"/>
  <c r="E98" i="6"/>
  <c r="E99" i="6"/>
  <c r="E100" i="6"/>
  <c r="E101" i="6"/>
  <c r="E102" i="6"/>
  <c r="E103" i="6"/>
  <c r="E104" i="6"/>
  <c r="E105" i="6"/>
  <c r="H65" i="6"/>
  <c r="H66" i="6"/>
  <c r="H75" i="6"/>
  <c r="H69" i="6"/>
  <c r="H70" i="6"/>
  <c r="H72" i="6"/>
  <c r="H84" i="6"/>
  <c r="H85" i="6"/>
  <c r="H86" i="6"/>
  <c r="H87" i="6"/>
  <c r="H88" i="6"/>
  <c r="H89" i="6"/>
  <c r="H90"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E65" i="6"/>
  <c r="F65" i="6" s="1"/>
  <c r="F8" i="5"/>
  <c r="F9" i="5"/>
  <c r="F10" i="5"/>
  <c r="F11" i="5"/>
  <c r="F12" i="5"/>
  <c r="F13" i="5"/>
  <c r="H64" i="6"/>
  <c r="H57" i="6"/>
  <c r="H81" i="6"/>
  <c r="H26" i="6"/>
  <c r="H35" i="6"/>
  <c r="H76" i="6"/>
  <c r="H22" i="6"/>
  <c r="H68" i="6"/>
  <c r="H17" i="6"/>
  <c r="H14" i="6"/>
  <c r="E81" i="6"/>
  <c r="F81" i="6" s="1"/>
  <c r="H300" i="4" s="1"/>
  <c r="E26" i="6"/>
  <c r="F26" i="6" s="1"/>
  <c r="H648" i="4" s="1"/>
  <c r="E76" i="6"/>
  <c r="F76" i="6" s="1"/>
  <c r="H218" i="4" s="1"/>
  <c r="E22" i="6"/>
  <c r="F22" i="6" s="1"/>
  <c r="G96" i="12" s="1"/>
  <c r="E68" i="6"/>
  <c r="F68" i="6" s="1"/>
  <c r="H619" i="4" s="1"/>
  <c r="E17" i="6"/>
  <c r="F17" i="6" s="1"/>
  <c r="E14" i="6"/>
  <c r="F14" i="6" s="1"/>
  <c r="E13" i="6"/>
  <c r="F13" i="6" s="1"/>
  <c r="H57" i="4" s="1"/>
  <c r="E59" i="6"/>
  <c r="F59" i="6" s="1"/>
  <c r="H613" i="4" s="1"/>
  <c r="E73" i="6"/>
  <c r="F73" i="6" s="1"/>
  <c r="H66" i="4" s="1"/>
  <c r="E79" i="6"/>
  <c r="F79" i="6" s="1"/>
  <c r="H526" i="4" s="1"/>
  <c r="E74" i="6"/>
  <c r="F74" i="6" s="1"/>
  <c r="G102" i="12" s="1"/>
  <c r="E54" i="6"/>
  <c r="F54" i="6" s="1"/>
  <c r="H363" i="4" s="1"/>
  <c r="E9" i="6"/>
  <c r="F9" i="6" s="1"/>
  <c r="E71" i="6"/>
  <c r="F71" i="6" s="1"/>
  <c r="H615" i="4" s="1"/>
  <c r="E64" i="6"/>
  <c r="F64" i="6" s="1"/>
  <c r="H217" i="4" s="1"/>
  <c r="E57" i="6"/>
  <c r="F57" i="6" s="1"/>
  <c r="H13" i="6"/>
  <c r="H50" i="6"/>
  <c r="H59" i="6"/>
  <c r="H73" i="6"/>
  <c r="H79" i="6"/>
  <c r="H74" i="6"/>
  <c r="H45" i="6"/>
  <c r="H33" i="6"/>
  <c r="H54" i="6"/>
  <c r="H47" i="6"/>
  <c r="H9" i="6"/>
  <c r="H71" i="6"/>
  <c r="C78" i="2"/>
  <c r="C40" i="2"/>
  <c r="C73" i="2"/>
  <c r="C43" i="2"/>
  <c r="C104" i="2"/>
  <c r="C79" i="2"/>
  <c r="C75" i="2"/>
  <c r="C62" i="2"/>
  <c r="C89" i="2"/>
  <c r="C70" i="2"/>
  <c r="C38" i="2"/>
  <c r="E12" i="6"/>
  <c r="F12" i="6" s="1"/>
  <c r="H475" i="4" s="1"/>
  <c r="E106" i="6"/>
  <c r="E107" i="6"/>
  <c r="E108" i="6"/>
  <c r="E109" i="6"/>
  <c r="E110" i="6"/>
  <c r="E111" i="6"/>
  <c r="E112" i="6"/>
  <c r="E113" i="6"/>
  <c r="E114" i="6"/>
  <c r="E115" i="6"/>
  <c r="E116" i="6"/>
  <c r="E117" i="6"/>
  <c r="E118" i="6"/>
  <c r="E119" i="6"/>
  <c r="E120" i="6"/>
  <c r="E121" i="6"/>
  <c r="E122" i="6"/>
  <c r="E123" i="6"/>
  <c r="E124" i="6"/>
  <c r="E125" i="6"/>
  <c r="E126" i="6"/>
  <c r="E127" i="6"/>
  <c r="H12" i="6"/>
  <c r="H122" i="6"/>
  <c r="H123" i="6"/>
  <c r="H124" i="6"/>
  <c r="H125" i="6"/>
  <c r="H126" i="6"/>
  <c r="H127" i="6"/>
  <c r="E60" i="6"/>
  <c r="F60" i="6" s="1"/>
  <c r="H287" i="4" s="1"/>
  <c r="E77" i="6"/>
  <c r="F77" i="6" s="1"/>
  <c r="H183" i="4" s="1"/>
  <c r="E78" i="6"/>
  <c r="F78" i="6" s="1"/>
  <c r="G104" i="12" s="1"/>
  <c r="E31" i="6"/>
  <c r="F31" i="6" s="1"/>
  <c r="G94" i="12" s="1"/>
  <c r="E24" i="6"/>
  <c r="F24" i="6" s="1"/>
  <c r="H240" i="4" s="1"/>
  <c r="E63" i="6"/>
  <c r="F63" i="6" s="1"/>
  <c r="E58" i="6"/>
  <c r="F58" i="6" s="1"/>
  <c r="H196" i="4" s="1"/>
  <c r="E61" i="6"/>
  <c r="F61" i="6" s="1"/>
  <c r="E10" i="6"/>
  <c r="F10" i="6" s="1"/>
  <c r="H70" i="4" s="1"/>
  <c r="E7" i="6"/>
  <c r="F7" i="6" s="1"/>
  <c r="H73" i="4" s="1"/>
  <c r="E8" i="6"/>
  <c r="F8" i="6" s="1"/>
  <c r="H311" i="4" s="1"/>
  <c r="E80" i="6"/>
  <c r="F80" i="6" s="1"/>
  <c r="E83" i="6"/>
  <c r="F83" i="6" s="1"/>
  <c r="E55" i="6"/>
  <c r="F55" i="6" s="1"/>
  <c r="E32" i="6"/>
  <c r="F32" i="6" s="1"/>
  <c r="E25" i="6"/>
  <c r="F25" i="6" s="1"/>
  <c r="H181" i="4" s="1"/>
  <c r="E15" i="6"/>
  <c r="F15" i="6" s="1"/>
  <c r="H179" i="4" s="1"/>
  <c r="E19" i="6"/>
  <c r="F19" i="6" s="1"/>
  <c r="H180" i="4" s="1"/>
  <c r="E27" i="6"/>
  <c r="F27" i="6" s="1"/>
  <c r="E16" i="6"/>
  <c r="F16" i="6" s="1"/>
  <c r="G95" i="12" s="1"/>
  <c r="E21" i="6"/>
  <c r="F21" i="6" s="1"/>
  <c r="H599" i="4" s="1"/>
  <c r="E30" i="6"/>
  <c r="F30" i="6" s="1"/>
  <c r="E18" i="6"/>
  <c r="F18" i="6" s="1"/>
  <c r="E23" i="6"/>
  <c r="F23" i="6" s="1"/>
  <c r="H178" i="4" s="1"/>
  <c r="E62" i="6"/>
  <c r="F62" i="6" s="1"/>
  <c r="H312" i="4" s="1"/>
  <c r="E29" i="6"/>
  <c r="F29" i="6" s="1"/>
  <c r="E20" i="6"/>
  <c r="F20" i="6" s="1"/>
  <c r="E28" i="6"/>
  <c r="F28" i="6" s="1"/>
  <c r="E11" i="6"/>
  <c r="F11" i="6" s="1"/>
  <c r="H127" i="4" s="1"/>
  <c r="E67" i="6"/>
  <c r="F67" i="6" s="1"/>
  <c r="H434" i="4" s="1"/>
  <c r="H60" i="6"/>
  <c r="H77" i="6"/>
  <c r="H78" i="6"/>
  <c r="H31" i="6"/>
  <c r="H36" i="6"/>
  <c r="H34" i="6"/>
  <c r="H24" i="6"/>
  <c r="H40" i="6"/>
  <c r="H44" i="6"/>
  <c r="H63" i="6"/>
  <c r="H48" i="6"/>
  <c r="H52" i="6"/>
  <c r="H58" i="6"/>
  <c r="H49" i="6"/>
  <c r="H61" i="6"/>
  <c r="H10" i="6"/>
  <c r="H7" i="6"/>
  <c r="H8" i="6"/>
  <c r="H80" i="6"/>
  <c r="H83" i="6"/>
  <c r="H55" i="6"/>
  <c r="H39" i="6"/>
  <c r="H32" i="6"/>
  <c r="H56" i="6"/>
  <c r="H25" i="6"/>
  <c r="H15" i="6"/>
  <c r="H19" i="6"/>
  <c r="H27" i="6"/>
  <c r="H16" i="6"/>
  <c r="H21" i="6"/>
  <c r="H30" i="6"/>
  <c r="H42" i="6"/>
  <c r="H46" i="6"/>
  <c r="H18" i="6"/>
  <c r="H37" i="6"/>
  <c r="H23" i="6"/>
  <c r="H53" i="6"/>
  <c r="H43" i="6"/>
  <c r="H62" i="6"/>
  <c r="H38" i="6"/>
  <c r="H41" i="6"/>
  <c r="H51" i="6"/>
  <c r="H29" i="6"/>
  <c r="H20" i="6"/>
  <c r="H28" i="6"/>
  <c r="H11" i="6"/>
  <c r="H67" i="6"/>
  <c r="E82" i="6"/>
  <c r="F82" i="6" s="1"/>
  <c r="C42" i="2"/>
  <c r="H82" i="6"/>
  <c r="U8" i="5"/>
  <c r="U9" i="5"/>
  <c r="U12" i="5"/>
  <c r="U13" i="5"/>
  <c r="T8" i="5"/>
  <c r="T9" i="5"/>
  <c r="T12" i="5"/>
  <c r="T13" i="5"/>
  <c r="S8" i="5"/>
  <c r="S9" i="5"/>
  <c r="S11" i="5"/>
  <c r="S12" i="5"/>
  <c r="S13" i="5"/>
  <c r="L7" i="5"/>
  <c r="L8" i="5"/>
  <c r="L9" i="5"/>
  <c r="L10" i="5"/>
  <c r="L11" i="5"/>
  <c r="L12" i="5"/>
  <c r="L13" i="5"/>
  <c r="K7" i="5"/>
  <c r="K8" i="5"/>
  <c r="K9" i="5"/>
  <c r="K10" i="5"/>
  <c r="K11" i="5"/>
  <c r="K12" i="5"/>
  <c r="K13" i="5"/>
  <c r="J7" i="5"/>
  <c r="J8" i="5"/>
  <c r="J9" i="5"/>
  <c r="J10" i="5"/>
  <c r="J11" i="5"/>
  <c r="J12" i="5"/>
  <c r="J13" i="5"/>
  <c r="I7" i="5"/>
  <c r="R7" i="5" s="1"/>
  <c r="I8" i="5"/>
  <c r="I9" i="5"/>
  <c r="I10" i="5"/>
  <c r="I11" i="5"/>
  <c r="I12" i="5"/>
  <c r="I13" i="5"/>
  <c r="H7" i="5"/>
  <c r="H8" i="5"/>
  <c r="Q8" i="5" s="1"/>
  <c r="H9" i="5"/>
  <c r="H10" i="5"/>
  <c r="H11" i="5"/>
  <c r="H12" i="5"/>
  <c r="H13" i="5"/>
  <c r="Q12" i="5"/>
  <c r="Q9" i="5"/>
  <c r="Q11" i="5"/>
  <c r="Q13" i="5"/>
  <c r="R8" i="5"/>
  <c r="R9" i="5"/>
  <c r="R11" i="5"/>
  <c r="R12" i="5"/>
  <c r="R13" i="5"/>
  <c r="C61" i="2"/>
  <c r="C10" i="2"/>
  <c r="C49" i="2"/>
  <c r="C31" i="2"/>
  <c r="C82" i="2"/>
  <c r="C20" i="2"/>
  <c r="C21" i="2"/>
  <c r="C26" i="2"/>
  <c r="C95" i="2"/>
  <c r="C100" i="2"/>
  <c r="C99" i="2"/>
  <c r="C9" i="2"/>
  <c r="C55" i="2"/>
  <c r="C45" i="2"/>
  <c r="C54" i="2"/>
  <c r="C110" i="2"/>
  <c r="C58" i="2"/>
  <c r="C80" i="2"/>
  <c r="C44" i="2"/>
  <c r="D99" i="2"/>
  <c r="D45" i="2"/>
  <c r="D78" i="2"/>
  <c r="D80" i="2"/>
  <c r="F7" i="4"/>
  <c r="E7" i="4" s="1"/>
  <c r="G7" i="4" s="1"/>
  <c r="C27" i="2"/>
  <c r="C7" i="2"/>
  <c r="C47" i="2"/>
  <c r="C48" i="2"/>
  <c r="C50" i="2"/>
  <c r="C53" i="2"/>
  <c r="C12" i="2"/>
  <c r="C32" i="2"/>
  <c r="C13" i="2"/>
  <c r="C33" i="2"/>
  <c r="C56" i="2"/>
  <c r="C76" i="2"/>
  <c r="C77" i="2"/>
  <c r="C17" i="2"/>
  <c r="C18" i="2"/>
  <c r="C19" i="2"/>
  <c r="C22" i="2"/>
  <c r="C85" i="2"/>
  <c r="C86" i="2"/>
  <c r="C23" i="2"/>
  <c r="C24" i="2"/>
  <c r="C25" i="2"/>
  <c r="C28" i="2"/>
  <c r="C30" i="2"/>
  <c r="C11" i="2"/>
  <c r="C97" i="2"/>
  <c r="C102" i="2"/>
  <c r="C106" i="2"/>
  <c r="C107" i="2"/>
  <c r="C29" i="2"/>
  <c r="C8" i="2"/>
  <c r="C65" i="2"/>
  <c r="C15" i="2"/>
  <c r="C63" i="2"/>
  <c r="C36" i="2"/>
  <c r="C64" i="2"/>
  <c r="C83" i="2"/>
  <c r="C57" i="2"/>
  <c r="C101" i="2"/>
  <c r="C81" i="2"/>
  <c r="C87" i="2"/>
  <c r="C52" i="2"/>
  <c r="C59" i="2"/>
  <c r="C109" i="2"/>
  <c r="C103" i="2"/>
  <c r="C16" i="2"/>
  <c r="C93" i="2"/>
  <c r="C74" i="2"/>
  <c r="C60" i="2"/>
  <c r="C68" i="2"/>
  <c r="C88" i="2"/>
  <c r="C90" i="2"/>
  <c r="C94" i="2"/>
  <c r="C66" i="2"/>
  <c r="C14" i="2"/>
  <c r="C39" i="2"/>
  <c r="C71" i="2"/>
  <c r="C37" i="2"/>
  <c r="C72" i="2"/>
  <c r="C96" i="2"/>
  <c r="C105" i="2"/>
  <c r="C46" i="2"/>
  <c r="C98" i="2"/>
  <c r="C69" i="2"/>
  <c r="C91" i="2"/>
  <c r="C92" i="2"/>
  <c r="C51" i="2"/>
  <c r="C35" i="2"/>
  <c r="C41" i="2"/>
  <c r="C108" i="2"/>
  <c r="C111" i="2"/>
  <c r="C34" i="2"/>
  <c r="E93" i="3" l="1"/>
  <c r="E97" i="3"/>
  <c r="J97" i="3" s="1"/>
  <c r="I578" i="4"/>
  <c r="I579" i="4"/>
  <c r="F90" i="11"/>
  <c r="D54" i="2"/>
  <c r="E54" i="2" s="1"/>
  <c r="F95" i="11"/>
  <c r="I588" i="4"/>
  <c r="F88" i="11"/>
  <c r="E87" i="3"/>
  <c r="F91" i="11"/>
  <c r="E90" i="3"/>
  <c r="J90" i="3" s="1"/>
  <c r="F93" i="11"/>
  <c r="E94" i="3"/>
  <c r="F98" i="11"/>
  <c r="E88" i="3"/>
  <c r="F97" i="11"/>
  <c r="F89" i="11"/>
  <c r="I688" i="4"/>
  <c r="E86" i="3"/>
  <c r="F96" i="11"/>
  <c r="I545" i="4"/>
  <c r="E89" i="3"/>
  <c r="E91" i="3"/>
  <c r="E95" i="3"/>
  <c r="F83" i="11"/>
  <c r="I544" i="4"/>
  <c r="E96" i="3"/>
  <c r="E81" i="3"/>
  <c r="D67" i="2"/>
  <c r="E67" i="2" s="1"/>
  <c r="J93" i="3"/>
  <c r="K107" i="11"/>
  <c r="L107" i="11"/>
  <c r="L104" i="11"/>
  <c r="I107" i="11"/>
  <c r="K102" i="11"/>
  <c r="L117" i="11"/>
  <c r="L118" i="11"/>
  <c r="K123" i="11"/>
  <c r="K126" i="11"/>
  <c r="K140" i="11"/>
  <c r="K144" i="11"/>
  <c r="K148" i="11"/>
  <c r="K133" i="11"/>
  <c r="L120" i="11"/>
  <c r="I132" i="11"/>
  <c r="I133" i="11"/>
  <c r="I136" i="11"/>
  <c r="I102" i="11"/>
  <c r="I109" i="11"/>
  <c r="I110" i="11"/>
  <c r="I113" i="11"/>
  <c r="I116" i="11"/>
  <c r="I117" i="11"/>
  <c r="I120" i="11"/>
  <c r="I122" i="11"/>
  <c r="K101" i="11"/>
  <c r="I108" i="11"/>
  <c r="I104" i="11"/>
  <c r="I105" i="11"/>
  <c r="K104" i="11"/>
  <c r="K103" i="11"/>
  <c r="L102" i="11"/>
  <c r="L103" i="11"/>
  <c r="I551" i="4"/>
  <c r="I547" i="4"/>
  <c r="I591" i="4"/>
  <c r="I587" i="4"/>
  <c r="I691" i="4"/>
  <c r="I550" i="4"/>
  <c r="I546" i="4"/>
  <c r="I590" i="4"/>
  <c r="I694" i="4"/>
  <c r="I690" i="4"/>
  <c r="I549" i="4"/>
  <c r="I589" i="4"/>
  <c r="I693" i="4"/>
  <c r="I689" i="4"/>
  <c r="I548" i="4"/>
  <c r="I692" i="4"/>
  <c r="I686" i="4"/>
  <c r="I586" i="4"/>
  <c r="I542" i="4"/>
  <c r="I543" i="4"/>
  <c r="I582" i="4"/>
  <c r="I585" i="4"/>
  <c r="I540" i="4"/>
  <c r="I584" i="4"/>
  <c r="I583" i="4"/>
  <c r="I685" i="4"/>
  <c r="E72" i="3"/>
  <c r="I683" i="4"/>
  <c r="I684" i="4"/>
  <c r="I687" i="4"/>
  <c r="I682" i="4"/>
  <c r="E73" i="3"/>
  <c r="K73" i="3" s="1"/>
  <c r="I681" i="4"/>
  <c r="F75" i="11"/>
  <c r="I537" i="4"/>
  <c r="I539" i="4"/>
  <c r="I536" i="4"/>
  <c r="F74" i="11"/>
  <c r="I538" i="4"/>
  <c r="E71" i="3"/>
  <c r="K71" i="3" s="1"/>
  <c r="I541" i="4"/>
  <c r="H70" i="3"/>
  <c r="F72" i="11"/>
  <c r="J70" i="3"/>
  <c r="H189" i="4"/>
  <c r="H190" i="4"/>
  <c r="H454" i="4"/>
  <c r="H186" i="4"/>
  <c r="H182" i="4"/>
  <c r="H174" i="4"/>
  <c r="H564" i="4"/>
  <c r="H453" i="4"/>
  <c r="H566" i="4"/>
  <c r="H160" i="4"/>
  <c r="H452" i="4"/>
  <c r="F68" i="11" s="1"/>
  <c r="H565" i="4"/>
  <c r="H173" i="4"/>
  <c r="H563" i="4"/>
  <c r="H457" i="4"/>
  <c r="H176" i="4"/>
  <c r="H185" i="4"/>
  <c r="H187" i="4"/>
  <c r="H456" i="4"/>
  <c r="H567" i="4"/>
  <c r="H455" i="4"/>
  <c r="H175" i="4"/>
  <c r="H184" i="4"/>
  <c r="D84" i="2"/>
  <c r="E84" i="2" s="1"/>
  <c r="H502" i="4"/>
  <c r="H262" i="4"/>
  <c r="E113" i="2"/>
  <c r="H498" i="4"/>
  <c r="H427" i="4"/>
  <c r="H426" i="4"/>
  <c r="H432" i="4"/>
  <c r="H429" i="4"/>
  <c r="H433" i="4"/>
  <c r="H259" i="4"/>
  <c r="H428" i="4"/>
  <c r="G288" i="12"/>
  <c r="H500" i="4"/>
  <c r="H260" i="4"/>
  <c r="H258" i="4"/>
  <c r="H499" i="4"/>
  <c r="D112" i="2"/>
  <c r="E112" i="2" s="1"/>
  <c r="G316" i="12"/>
  <c r="G271" i="12"/>
  <c r="G100" i="12"/>
  <c r="H250" i="4"/>
  <c r="G304" i="12"/>
  <c r="G86" i="12"/>
  <c r="G142" i="12"/>
  <c r="G157" i="12"/>
  <c r="H248" i="4"/>
  <c r="G105" i="12"/>
  <c r="G103" i="12"/>
  <c r="H366" i="4"/>
  <c r="G101" i="12"/>
  <c r="H102" i="4"/>
  <c r="H580" i="4"/>
  <c r="G154" i="12"/>
  <c r="H15" i="4"/>
  <c r="E74" i="3" s="1"/>
  <c r="K74" i="3" s="1"/>
  <c r="H477" i="4"/>
  <c r="H493" i="4"/>
  <c r="G58" i="12"/>
  <c r="G93" i="12"/>
  <c r="G140" i="12"/>
  <c r="G152" i="12"/>
  <c r="H628" i="4"/>
  <c r="H122" i="4"/>
  <c r="H416" i="4"/>
  <c r="G143" i="12"/>
  <c r="G150" i="12"/>
  <c r="G183" i="12"/>
  <c r="H206" i="4"/>
  <c r="H86" i="4"/>
  <c r="H344" i="4"/>
  <c r="H574" i="4"/>
  <c r="H252" i="4"/>
  <c r="H448" i="4"/>
  <c r="G67" i="12"/>
  <c r="G98" i="12"/>
  <c r="G159" i="12"/>
  <c r="G162" i="12"/>
  <c r="G223" i="12"/>
  <c r="H249" i="4"/>
  <c r="D39" i="12"/>
  <c r="F52" i="12" s="1"/>
  <c r="D369" i="12"/>
  <c r="F369" i="12" s="1"/>
  <c r="D431" i="12"/>
  <c r="F431" i="12" s="1"/>
  <c r="D427" i="12"/>
  <c r="F427" i="12" s="1"/>
  <c r="D429" i="12"/>
  <c r="F429" i="12" s="1"/>
  <c r="E80" i="4"/>
  <c r="G80" i="4" s="1"/>
  <c r="D409" i="12"/>
  <c r="F409" i="12" s="1"/>
  <c r="D425" i="12"/>
  <c r="F425" i="12" s="1"/>
  <c r="D417" i="12"/>
  <c r="F417" i="12" s="1"/>
  <c r="D413" i="12"/>
  <c r="F413" i="12" s="1"/>
  <c r="H497" i="4"/>
  <c r="H263" i="4"/>
  <c r="H620" i="4"/>
  <c r="H593" i="4"/>
  <c r="H279" i="4"/>
  <c r="H575" i="4"/>
  <c r="H62" i="4"/>
  <c r="H653" i="4"/>
  <c r="H665" i="4"/>
  <c r="H535" i="4"/>
  <c r="H340" i="4"/>
  <c r="H103" i="4"/>
  <c r="H643" i="4"/>
  <c r="H609" i="4"/>
  <c r="H505" i="4"/>
  <c r="H147" i="4"/>
  <c r="H631" i="4"/>
  <c r="H298" i="4"/>
  <c r="H89" i="4"/>
  <c r="H26" i="4"/>
  <c r="H637" i="4"/>
  <c r="H381" i="4"/>
  <c r="H309" i="4"/>
  <c r="G106" i="12"/>
  <c r="H329" i="4"/>
  <c r="H447" i="4"/>
  <c r="H646" i="4"/>
  <c r="H105" i="4"/>
  <c r="H192" i="4"/>
  <c r="H209" i="4"/>
  <c r="H595" i="4"/>
  <c r="H668" i="4"/>
  <c r="H328" i="4"/>
  <c r="H270" i="4"/>
  <c r="H316" i="4"/>
  <c r="H510" i="4"/>
  <c r="H108" i="4"/>
  <c r="H670" i="4"/>
  <c r="H347" i="4"/>
  <c r="H194" i="4"/>
  <c r="H649" i="4"/>
  <c r="H603" i="4"/>
  <c r="H362" i="4"/>
  <c r="G178" i="12"/>
  <c r="H124" i="4"/>
  <c r="H371" i="4"/>
  <c r="H614" i="4"/>
  <c r="H143" i="4"/>
  <c r="H305" i="4"/>
  <c r="H627" i="4"/>
  <c r="G18" i="12"/>
  <c r="H104" i="4"/>
  <c r="H199" i="4"/>
  <c r="H211" i="4"/>
  <c r="H30" i="4"/>
  <c r="H380" i="4"/>
  <c r="H320" i="4"/>
  <c r="H58" i="4"/>
  <c r="H386" i="4"/>
  <c r="H592" i="4"/>
  <c r="H414" i="4"/>
  <c r="G383" i="12"/>
  <c r="H33" i="4"/>
  <c r="H148" i="4"/>
  <c r="H129" i="4"/>
  <c r="H318" i="4"/>
  <c r="H390" i="4"/>
  <c r="H374" i="4"/>
  <c r="H61" i="4"/>
  <c r="H418" i="4"/>
  <c r="G230" i="12"/>
  <c r="H379" i="4"/>
  <c r="G214" i="12"/>
  <c r="H140" i="4"/>
  <c r="H325" i="4"/>
  <c r="H349" i="4"/>
  <c r="H654" i="4"/>
  <c r="H431" i="4"/>
  <c r="H396" i="4"/>
  <c r="H111" i="4"/>
  <c r="H482" i="4"/>
  <c r="H524" i="4"/>
  <c r="H679" i="4"/>
  <c r="H364" i="4"/>
  <c r="H422" i="4"/>
  <c r="H232" i="4"/>
  <c r="H463" i="4"/>
  <c r="H612" i="4"/>
  <c r="H473" i="4"/>
  <c r="H533" i="4"/>
  <c r="H40" i="4"/>
  <c r="H378" i="4"/>
  <c r="H509" i="4"/>
  <c r="H496" i="4"/>
  <c r="H521" i="4"/>
  <c r="H159" i="4"/>
  <c r="G403" i="12"/>
  <c r="H272" i="4"/>
  <c r="G270" i="12"/>
  <c r="H90" i="4"/>
  <c r="H321" i="4"/>
  <c r="H458" i="4"/>
  <c r="H476" i="4"/>
  <c r="H503" i="4"/>
  <c r="H594" i="4"/>
  <c r="H674" i="4"/>
  <c r="H212" i="4"/>
  <c r="H330" i="4"/>
  <c r="H346" i="4"/>
  <c r="H193" i="4"/>
  <c r="H201" i="4"/>
  <c r="H600" i="4"/>
  <c r="H99" i="4"/>
  <c r="H470" i="4"/>
  <c r="H492" i="4"/>
  <c r="H517" i="4"/>
  <c r="H361" i="4"/>
  <c r="H446" i="4"/>
  <c r="H41" i="4"/>
  <c r="H462" i="4"/>
  <c r="H658" i="4"/>
  <c r="H27" i="4"/>
  <c r="H221" i="4"/>
  <c r="H282" i="4"/>
  <c r="H335" i="4"/>
  <c r="H440" i="4"/>
  <c r="H67" i="4"/>
  <c r="H472" i="4"/>
  <c r="H666" i="4"/>
  <c r="H10" i="4"/>
  <c r="H293" i="4"/>
  <c r="H508" i="4"/>
  <c r="H555" i="4"/>
  <c r="H423" i="4"/>
  <c r="H495" i="4"/>
  <c r="H520" i="4"/>
  <c r="H21" i="4"/>
  <c r="H299" i="4"/>
  <c r="H339" i="4"/>
  <c r="H606" i="4"/>
  <c r="H277" i="4"/>
  <c r="H274" i="4"/>
  <c r="H673" i="4"/>
  <c r="H265" i="4"/>
  <c r="H647" i="4"/>
  <c r="H107" i="4"/>
  <c r="H370" i="4"/>
  <c r="G341" i="12"/>
  <c r="H306" i="4"/>
  <c r="H369" i="4"/>
  <c r="H210" i="4"/>
  <c r="H198" i="4"/>
  <c r="H645" i="4"/>
  <c r="H522" i="4"/>
  <c r="H425" i="4"/>
  <c r="H271" i="4"/>
  <c r="H672" i="4"/>
  <c r="G238" i="12"/>
  <c r="H387" i="4"/>
  <c r="H59" i="4"/>
  <c r="H145" i="4"/>
  <c r="H314" i="4"/>
  <c r="H31" i="4"/>
  <c r="H126" i="4"/>
  <c r="H642" i="4"/>
  <c r="H307" i="4"/>
  <c r="H633" i="4"/>
  <c r="H639" i="4"/>
  <c r="H636" i="4"/>
  <c r="G82" i="12"/>
  <c r="H149" i="4"/>
  <c r="H130" i="4"/>
  <c r="G72" i="12"/>
  <c r="H114" i="4"/>
  <c r="H158" i="4"/>
  <c r="H121" i="4"/>
  <c r="H139" i="4"/>
  <c r="G160" i="12"/>
  <c r="H229" i="4"/>
  <c r="H237" i="4"/>
  <c r="H253" i="4"/>
  <c r="H430" i="4"/>
  <c r="H276" i="4"/>
  <c r="H72" i="4"/>
  <c r="I72" i="4" s="1"/>
  <c r="H234" i="4"/>
  <c r="H273" i="4"/>
  <c r="I275" i="4" s="1"/>
  <c r="H231" i="4"/>
  <c r="H256" i="4"/>
  <c r="I256" i="4" s="1"/>
  <c r="H501" i="4"/>
  <c r="H261" i="4"/>
  <c r="G38" i="12"/>
  <c r="H79" i="4"/>
  <c r="I76" i="4" s="1"/>
  <c r="H91" i="4"/>
  <c r="H110" i="4"/>
  <c r="H154" i="4"/>
  <c r="H348" i="4"/>
  <c r="H87" i="4"/>
  <c r="H100" i="4"/>
  <c r="H135" i="4"/>
  <c r="G268" i="12"/>
  <c r="H294" i="4"/>
  <c r="H341" i="4"/>
  <c r="I341" i="4" s="1"/>
  <c r="H353" i="4"/>
  <c r="H399" i="4"/>
  <c r="H437" i="4"/>
  <c r="H523" i="4"/>
  <c r="H556" i="4"/>
  <c r="H570" i="4"/>
  <c r="H598" i="4"/>
  <c r="H17" i="4"/>
  <c r="H326" i="4"/>
  <c r="H43" i="4"/>
  <c r="H302" i="4"/>
  <c r="H283" i="4"/>
  <c r="H336" i="4"/>
  <c r="H345" i="4"/>
  <c r="H367" i="4"/>
  <c r="H444" i="4"/>
  <c r="H532" i="4"/>
  <c r="F94" i="11" s="1"/>
  <c r="H562" i="4"/>
  <c r="H576" i="4"/>
  <c r="H632" i="4"/>
  <c r="H81" i="4"/>
  <c r="H242" i="4"/>
  <c r="H441" i="4"/>
  <c r="H450" i="4"/>
  <c r="H483" i="4"/>
  <c r="H228" i="4"/>
  <c r="H445" i="4"/>
  <c r="H667" i="4"/>
  <c r="H11" i="4"/>
  <c r="H93" i="4"/>
  <c r="H464" i="4"/>
  <c r="H28" i="4"/>
  <c r="H69" i="4"/>
  <c r="H289" i="4"/>
  <c r="H474" i="4"/>
  <c r="H22" i="4"/>
  <c r="H222" i="4"/>
  <c r="H332" i="4"/>
  <c r="H216" i="4"/>
  <c r="H384" i="4"/>
  <c r="H577" i="4"/>
  <c r="I577" i="4" s="1"/>
  <c r="H581" i="4"/>
  <c r="H561" i="4"/>
  <c r="H491" i="4"/>
  <c r="H267" i="4"/>
  <c r="H659" i="4"/>
  <c r="H604" i="4"/>
  <c r="H481" i="4"/>
  <c r="H207" i="4"/>
  <c r="H112" i="4"/>
  <c r="H650" i="4"/>
  <c r="H319" i="4"/>
  <c r="H375" i="4"/>
  <c r="H42" i="4"/>
  <c r="H137" i="4"/>
  <c r="G200" i="12"/>
  <c r="H29" i="4"/>
  <c r="H106" i="4"/>
  <c r="H327" i="4"/>
  <c r="G385" i="12"/>
  <c r="H63" i="4"/>
  <c r="H388" i="4"/>
  <c r="H35" i="4"/>
  <c r="H150" i="4"/>
  <c r="G128" i="12"/>
  <c r="H215" i="4"/>
  <c r="H391" i="4"/>
  <c r="H34" i="4"/>
  <c r="H200" i="4"/>
  <c r="H322" i="4"/>
  <c r="H610" i="4"/>
  <c r="G190" i="12"/>
  <c r="H317" i="4"/>
  <c r="G409" i="12"/>
  <c r="H18" i="4"/>
  <c r="H519" i="4"/>
  <c r="H494" i="4"/>
  <c r="H424" i="4"/>
  <c r="H101" i="4"/>
  <c r="H88" i="4"/>
  <c r="H16" i="4"/>
  <c r="H676" i="4"/>
  <c r="H671" i="4"/>
  <c r="H657" i="4"/>
  <c r="H652" i="4"/>
  <c r="H641" i="4"/>
  <c r="H608" i="4"/>
  <c r="H597" i="4"/>
  <c r="H504" i="4"/>
  <c r="H459" i="4"/>
  <c r="H202" i="4"/>
  <c r="H155" i="4"/>
  <c r="G79" i="12"/>
  <c r="H146" i="4"/>
  <c r="H315" i="4"/>
  <c r="H71" i="4"/>
  <c r="I70" i="4" s="1"/>
  <c r="H634" i="4"/>
  <c r="H205" i="4"/>
  <c r="H308" i="4"/>
  <c r="H128" i="4"/>
  <c r="H373" i="4"/>
  <c r="H368" i="4"/>
  <c r="H142" i="4"/>
  <c r="G118" i="12"/>
  <c r="H204" i="4"/>
  <c r="G166" i="12"/>
  <c r="H290" i="4"/>
  <c r="H301" i="4"/>
  <c r="G66" i="12"/>
  <c r="H152" i="4"/>
  <c r="H203" i="4"/>
  <c r="H133" i="4"/>
  <c r="H376" i="4"/>
  <c r="H197" i="4"/>
  <c r="G244" i="12"/>
  <c r="H37" i="4"/>
  <c r="H157" i="4"/>
  <c r="H138" i="4"/>
  <c r="H323" i="4"/>
  <c r="H377" i="4"/>
  <c r="G366" i="12"/>
  <c r="H136" i="4"/>
  <c r="H156" i="4"/>
  <c r="H195" i="4"/>
  <c r="H552" i="4"/>
  <c r="H678" i="4"/>
  <c r="H109" i="4"/>
  <c r="H113" i="4"/>
  <c r="H254" i="4"/>
  <c r="H350" i="4"/>
  <c r="H392" i="4"/>
  <c r="H92" i="4"/>
  <c r="H166" i="4"/>
  <c r="H213" i="4"/>
  <c r="H241" i="4"/>
  <c r="H331" i="4"/>
  <c r="H75" i="4"/>
  <c r="H313" i="4"/>
  <c r="I311" i="4" s="1"/>
  <c r="H638" i="4"/>
  <c r="G65" i="12"/>
  <c r="H132" i="4"/>
  <c r="H518" i="4"/>
  <c r="H471" i="4"/>
  <c r="H421" i="4"/>
  <c r="H417" i="4"/>
  <c r="H413" i="4"/>
  <c r="H365" i="4"/>
  <c r="H226" i="4"/>
  <c r="H120" i="4"/>
  <c r="H269" i="4"/>
  <c r="H68" i="4"/>
  <c r="H65" i="4"/>
  <c r="H60" i="4"/>
  <c r="H680" i="4"/>
  <c r="H675" i="4"/>
  <c r="H669" i="4"/>
  <c r="H640" i="4"/>
  <c r="H635" i="4"/>
  <c r="H607" i="4"/>
  <c r="H601" i="4"/>
  <c r="H596" i="4"/>
  <c r="H478" i="4"/>
  <c r="H435" i="4"/>
  <c r="I435" i="4" s="1"/>
  <c r="H393" i="4"/>
  <c r="H385" i="4"/>
  <c r="H324" i="4"/>
  <c r="H214" i="4"/>
  <c r="H123" i="4"/>
  <c r="H36" i="4"/>
  <c r="H629" i="4"/>
  <c r="H560" i="4"/>
  <c r="H420" i="4"/>
  <c r="H119" i="4"/>
  <c r="H268" i="4"/>
  <c r="H264" i="4"/>
  <c r="H64" i="4"/>
  <c r="H644" i="4"/>
  <c r="H616" i="4"/>
  <c r="H611" i="4"/>
  <c r="H569" i="4"/>
  <c r="H449" i="4"/>
  <c r="H398" i="4"/>
  <c r="H382" i="4"/>
  <c r="H151" i="4"/>
  <c r="H131" i="4"/>
  <c r="H74" i="4"/>
  <c r="H32" i="4"/>
  <c r="D372" i="12"/>
  <c r="F372" i="12" s="1"/>
  <c r="D373" i="12"/>
  <c r="F373" i="12" s="1"/>
  <c r="D422" i="12"/>
  <c r="F422" i="12" s="1"/>
  <c r="D414" i="12"/>
  <c r="F414" i="12" s="1"/>
  <c r="D420" i="12"/>
  <c r="F420" i="12" s="1"/>
  <c r="I170" i="4"/>
  <c r="E345" i="4"/>
  <c r="G345" i="4" s="1"/>
  <c r="D418" i="12"/>
  <c r="F418" i="12" s="1"/>
  <c r="D423" i="12"/>
  <c r="F423" i="12" s="1"/>
  <c r="D419" i="12"/>
  <c r="F419" i="12" s="1"/>
  <c r="E228" i="4"/>
  <c r="G228" i="4" s="1"/>
  <c r="D415" i="12"/>
  <c r="F415" i="12" s="1"/>
  <c r="E226" i="4"/>
  <c r="G226" i="4" s="1"/>
  <c r="D411" i="12"/>
  <c r="F411" i="12" s="1"/>
  <c r="E119" i="4"/>
  <c r="G119" i="4" s="1"/>
  <c r="D407" i="12"/>
  <c r="F407" i="12" s="1"/>
  <c r="E99" i="4"/>
  <c r="G99" i="4" s="1"/>
  <c r="D421" i="12"/>
  <c r="F421" i="12" s="1"/>
  <c r="D393" i="12"/>
  <c r="F393" i="12" s="1"/>
  <c r="D428" i="12"/>
  <c r="F428" i="12" s="1"/>
  <c r="D424" i="12"/>
  <c r="F424" i="12" s="1"/>
  <c r="D416" i="12"/>
  <c r="F416" i="12" s="1"/>
  <c r="D412" i="12"/>
  <c r="F412" i="12" s="1"/>
  <c r="D408" i="12"/>
  <c r="F408" i="12" s="1"/>
  <c r="D404" i="12"/>
  <c r="F404" i="12" s="1"/>
  <c r="D400" i="12"/>
  <c r="F400" i="12" s="1"/>
  <c r="D396" i="12"/>
  <c r="F396" i="12" s="1"/>
  <c r="D388" i="12"/>
  <c r="F388" i="12" s="1"/>
  <c r="D406" i="12"/>
  <c r="F406" i="12" s="1"/>
  <c r="D410" i="12"/>
  <c r="F410" i="12" s="1"/>
  <c r="D430" i="12"/>
  <c r="F430" i="12" s="1"/>
  <c r="D426" i="12"/>
  <c r="F426" i="12" s="1"/>
  <c r="D394" i="12"/>
  <c r="F394" i="12" s="1"/>
  <c r="D390" i="12"/>
  <c r="F390" i="12" s="1"/>
  <c r="I168" i="4"/>
  <c r="I172" i="4"/>
  <c r="I169" i="4"/>
  <c r="I171" i="4"/>
  <c r="I167" i="4"/>
  <c r="D380" i="12"/>
  <c r="F380" i="12" s="1"/>
  <c r="D401" i="12"/>
  <c r="F401" i="12" s="1"/>
  <c r="G413" i="12"/>
  <c r="G408" i="12"/>
  <c r="G412" i="12"/>
  <c r="G404" i="12"/>
  <c r="G407" i="12"/>
  <c r="G423" i="12"/>
  <c r="D381" i="12"/>
  <c r="F381" i="12" s="1"/>
  <c r="D397" i="12"/>
  <c r="F397" i="12" s="1"/>
  <c r="D402" i="12"/>
  <c r="F402" i="12" s="1"/>
  <c r="D398" i="12"/>
  <c r="F398" i="12" s="1"/>
  <c r="D378" i="12"/>
  <c r="F378" i="12" s="1"/>
  <c r="D385" i="12"/>
  <c r="F385" i="12" s="1"/>
  <c r="D384" i="12"/>
  <c r="F384" i="12" s="1"/>
  <c r="D377" i="12"/>
  <c r="F377" i="12" s="1"/>
  <c r="D370" i="12"/>
  <c r="F370" i="12" s="1"/>
  <c r="D386" i="12"/>
  <c r="F386" i="12" s="1"/>
  <c r="D389" i="12"/>
  <c r="F389" i="12" s="1"/>
  <c r="D391" i="12"/>
  <c r="F391" i="12" s="1"/>
  <c r="D382" i="12"/>
  <c r="F382" i="12" s="1"/>
  <c r="D374" i="12"/>
  <c r="F374" i="12" s="1"/>
  <c r="G381" i="12"/>
  <c r="G392" i="12"/>
  <c r="G402" i="12"/>
  <c r="G384" i="12"/>
  <c r="G401" i="12"/>
  <c r="G372" i="12"/>
  <c r="G369" i="12"/>
  <c r="G377" i="12"/>
  <c r="G380" i="12"/>
  <c r="G394" i="12"/>
  <c r="G397" i="12"/>
  <c r="G400" i="12"/>
  <c r="G395" i="12"/>
  <c r="G382" i="12"/>
  <c r="G393" i="12"/>
  <c r="G396" i="12"/>
  <c r="D405" i="12"/>
  <c r="F405" i="12" s="1"/>
  <c r="D395" i="12"/>
  <c r="F395" i="12" s="1"/>
  <c r="D399" i="12"/>
  <c r="F399" i="12" s="1"/>
  <c r="D403" i="12"/>
  <c r="F403" i="12" s="1"/>
  <c r="D392" i="12"/>
  <c r="F392" i="12" s="1"/>
  <c r="D376" i="12"/>
  <c r="F376" i="12" s="1"/>
  <c r="D371" i="12"/>
  <c r="F371" i="12" s="1"/>
  <c r="D375" i="12"/>
  <c r="F375" i="12" s="1"/>
  <c r="D379" i="12"/>
  <c r="F379" i="12" s="1"/>
  <c r="D383" i="12"/>
  <c r="F383" i="12" s="1"/>
  <c r="D387" i="12"/>
  <c r="F387" i="12" s="1"/>
  <c r="G161" i="12"/>
  <c r="G234" i="12"/>
  <c r="G221" i="12"/>
  <c r="G169" i="12"/>
  <c r="G10" i="12"/>
  <c r="G24" i="12"/>
  <c r="G34" i="12"/>
  <c r="G50" i="12"/>
  <c r="G76" i="12"/>
  <c r="G78" i="12"/>
  <c r="G92" i="12"/>
  <c r="G123" i="12"/>
  <c r="G144" i="12"/>
  <c r="G188" i="12"/>
  <c r="G250" i="12"/>
  <c r="G280" i="12"/>
  <c r="G286" i="12"/>
  <c r="G22" i="12"/>
  <c r="G48" i="12"/>
  <c r="G114" i="12"/>
  <c r="G134" i="12"/>
  <c r="G170" i="12"/>
  <c r="G179" i="12"/>
  <c r="G210" i="12"/>
  <c r="G242" i="12"/>
  <c r="G248" i="12"/>
  <c r="G258" i="12"/>
  <c r="G284" i="12"/>
  <c r="G320" i="12"/>
  <c r="G360" i="12"/>
  <c r="G15" i="12"/>
  <c r="G20" i="12"/>
  <c r="G29" i="12"/>
  <c r="G42" i="12"/>
  <c r="G68" i="12"/>
  <c r="G112" i="12"/>
  <c r="G122" i="12"/>
  <c r="G124" i="12"/>
  <c r="G174" i="12"/>
  <c r="G208" i="12"/>
  <c r="G266" i="12"/>
  <c r="G312" i="12"/>
  <c r="G318" i="12"/>
  <c r="G344" i="12"/>
  <c r="G354" i="12"/>
  <c r="G40" i="12"/>
  <c r="G310" i="12"/>
  <c r="G347" i="12"/>
  <c r="G335" i="12"/>
  <c r="G329" i="12"/>
  <c r="G338" i="12"/>
  <c r="G249" i="12"/>
  <c r="G83" i="12"/>
  <c r="G23" i="12"/>
  <c r="G331" i="12"/>
  <c r="G37" i="12"/>
  <c r="G332" i="12"/>
  <c r="G75" i="12"/>
  <c r="G353" i="12"/>
  <c r="G319" i="12"/>
  <c r="G289" i="12"/>
  <c r="G196" i="12"/>
  <c r="G71" i="12"/>
  <c r="G25" i="12"/>
  <c r="G317" i="12"/>
  <c r="G305" i="12"/>
  <c r="G297" i="12"/>
  <c r="G263" i="12"/>
  <c r="G243" i="12"/>
  <c r="G215" i="12"/>
  <c r="G197" i="12"/>
  <c r="G204" i="12"/>
  <c r="G149" i="12"/>
  <c r="G131" i="12"/>
  <c r="G109" i="12"/>
  <c r="G99" i="12"/>
  <c r="G89" i="12"/>
  <c r="G69" i="12"/>
  <c r="G43" i="12"/>
  <c r="G303" i="12"/>
  <c r="G201" i="12"/>
  <c r="G189" i="12"/>
  <c r="G313" i="12"/>
  <c r="G12" i="12"/>
  <c r="G130" i="12"/>
  <c r="G236" i="12"/>
  <c r="G346" i="12"/>
  <c r="G53" i="12"/>
  <c r="G322" i="12"/>
  <c r="G222" i="12"/>
  <c r="G57" i="12"/>
  <c r="G237" i="12"/>
  <c r="G193" i="12"/>
  <c r="G113" i="12"/>
  <c r="G45" i="12"/>
  <c r="G241" i="12"/>
  <c r="G225" i="12"/>
  <c r="G191" i="12"/>
  <c r="G81" i="12"/>
  <c r="G367" i="12"/>
  <c r="G287" i="12"/>
  <c r="G267" i="12"/>
  <c r="G247" i="12"/>
  <c r="G229" i="12"/>
  <c r="G139" i="12"/>
  <c r="G73" i="12"/>
  <c r="G257" i="12"/>
  <c r="G211" i="12"/>
  <c r="G203" i="12"/>
  <c r="G125" i="12"/>
  <c r="G115" i="12"/>
  <c r="G107" i="12"/>
  <c r="G41" i="12"/>
  <c r="G28" i="12"/>
  <c r="G30" i="12"/>
  <c r="G46" i="12"/>
  <c r="G54" i="12"/>
  <c r="G62" i="12"/>
  <c r="G90" i="12"/>
  <c r="G110" i="12"/>
  <c r="G136" i="12"/>
  <c r="G138" i="12"/>
  <c r="G148" i="12"/>
  <c r="G156" i="12"/>
  <c r="G158" i="12"/>
  <c r="G194" i="12"/>
  <c r="G262" i="12"/>
  <c r="G302" i="12"/>
  <c r="G308" i="12"/>
  <c r="G342" i="12"/>
  <c r="G356" i="12"/>
  <c r="G339" i="12"/>
  <c r="G333" i="12"/>
  <c r="G251" i="12"/>
  <c r="G330" i="12"/>
  <c r="G181" i="12"/>
  <c r="G119" i="12"/>
  <c r="G35" i="12"/>
  <c r="G47" i="12"/>
  <c r="F70" i="6"/>
  <c r="G336" i="12" s="1"/>
  <c r="G359" i="12"/>
  <c r="G309" i="12"/>
  <c r="G127" i="12"/>
  <c r="G39" i="12"/>
  <c r="G180" i="12"/>
  <c r="G252" i="12"/>
  <c r="G357" i="12"/>
  <c r="G307" i="12"/>
  <c r="G224" i="12"/>
  <c r="G61" i="12"/>
  <c r="G145" i="12"/>
  <c r="G171" i="12"/>
  <c r="G323" i="12"/>
  <c r="G117" i="12"/>
  <c r="G111" i="12"/>
  <c r="G85" i="12"/>
  <c r="G345" i="12"/>
  <c r="G311" i="12"/>
  <c r="G212" i="12"/>
  <c r="G49" i="12"/>
  <c r="G187" i="12"/>
  <c r="G59" i="12"/>
  <c r="G56" i="12"/>
  <c r="G64" i="12"/>
  <c r="G84" i="12"/>
  <c r="G120" i="12"/>
  <c r="G176" i="12"/>
  <c r="G202" i="12"/>
  <c r="G272" i="12"/>
  <c r="G324" i="12"/>
  <c r="G358" i="12"/>
  <c r="G259" i="12"/>
  <c r="G63" i="12"/>
  <c r="G365" i="12"/>
  <c r="G235" i="12"/>
  <c r="G129" i="12"/>
  <c r="G121" i="12"/>
  <c r="G91" i="12"/>
  <c r="G55" i="12"/>
  <c r="G269" i="12"/>
  <c r="G163" i="12"/>
  <c r="G155" i="12"/>
  <c r="G153" i="12"/>
  <c r="G151" i="12"/>
  <c r="G141" i="12"/>
  <c r="G213" i="12"/>
  <c r="G87" i="12"/>
  <c r="G51" i="12"/>
  <c r="G321" i="12"/>
  <c r="G355" i="12"/>
  <c r="G285" i="12"/>
  <c r="G261" i="12"/>
  <c r="G253" i="12"/>
  <c r="G209" i="12"/>
  <c r="G205" i="12"/>
  <c r="G199" i="12"/>
  <c r="G306" i="12"/>
  <c r="G298" i="12"/>
  <c r="G256" i="12"/>
  <c r="G177" i="12"/>
  <c r="G175" i="12"/>
  <c r="G147" i="12"/>
  <c r="G135" i="12"/>
  <c r="G31" i="12"/>
  <c r="G299" i="12"/>
  <c r="G301" i="12"/>
  <c r="G233" i="12"/>
  <c r="G195" i="12"/>
  <c r="F69" i="6"/>
  <c r="G7" i="12"/>
  <c r="G11" i="12"/>
  <c r="G19" i="12"/>
  <c r="G21" i="12"/>
  <c r="G36" i="12"/>
  <c r="G44" i="12"/>
  <c r="G52" i="12"/>
  <c r="G60" i="12"/>
  <c r="G70" i="12"/>
  <c r="G80" i="12"/>
  <c r="G88" i="12"/>
  <c r="G108" i="12"/>
  <c r="G116" i="12"/>
  <c r="G126" i="12"/>
  <c r="G146" i="12"/>
  <c r="G182" i="12"/>
  <c r="G184" i="12"/>
  <c r="G192" i="12"/>
  <c r="G198" i="12"/>
  <c r="G218" i="12"/>
  <c r="G226" i="12"/>
  <c r="G254" i="12"/>
  <c r="G260" i="12"/>
  <c r="G294" i="12"/>
  <c r="G300" i="12"/>
  <c r="G328" i="12"/>
  <c r="G334" i="12"/>
  <c r="G340" i="12"/>
  <c r="G368" i="12"/>
  <c r="G255" i="12"/>
  <c r="G275" i="12"/>
  <c r="G283" i="12"/>
  <c r="G293" i="12"/>
  <c r="G343" i="12"/>
  <c r="F26" i="12"/>
  <c r="D89" i="12"/>
  <c r="F99" i="12" s="1"/>
  <c r="D109" i="12"/>
  <c r="F119" i="12" s="1"/>
  <c r="D27" i="12"/>
  <c r="F40" i="12" s="1"/>
  <c r="D55" i="12"/>
  <c r="F68" i="12" s="1"/>
  <c r="D23" i="12"/>
  <c r="D43" i="12"/>
  <c r="F56" i="12" s="1"/>
  <c r="D7" i="12"/>
  <c r="F27" i="12" s="1"/>
  <c r="D31" i="12"/>
  <c r="F44" i="12" s="1"/>
  <c r="D47" i="12"/>
  <c r="F60" i="12" s="1"/>
  <c r="D65" i="12"/>
  <c r="F78" i="12" s="1"/>
  <c r="D80" i="12"/>
  <c r="F90" i="12" s="1"/>
  <c r="D91" i="12"/>
  <c r="F101" i="12" s="1"/>
  <c r="D128" i="12"/>
  <c r="F138" i="12" s="1"/>
  <c r="D59" i="12"/>
  <c r="F72" i="12" s="1"/>
  <c r="D19" i="12"/>
  <c r="F37" i="12" s="1"/>
  <c r="D35" i="12"/>
  <c r="F48" i="12" s="1"/>
  <c r="D51" i="12"/>
  <c r="F64" i="12" s="1"/>
  <c r="D67" i="12"/>
  <c r="F80" i="12" s="1"/>
  <c r="D121" i="12"/>
  <c r="F131" i="12" s="1"/>
  <c r="D342" i="12"/>
  <c r="D361" i="12"/>
  <c r="F361" i="12" s="1"/>
  <c r="D356" i="12"/>
  <c r="F356" i="12" s="1"/>
  <c r="D219" i="12"/>
  <c r="F223" i="12" s="1"/>
  <c r="D346" i="12"/>
  <c r="F346" i="12" s="1"/>
  <c r="D301" i="12"/>
  <c r="F305" i="12" s="1"/>
  <c r="D235" i="12"/>
  <c r="F239" i="12" s="1"/>
  <c r="D329" i="12"/>
  <c r="F333" i="12" s="1"/>
  <c r="D304" i="12"/>
  <c r="F308" i="12" s="1"/>
  <c r="D270" i="12"/>
  <c r="F274" i="12" s="1"/>
  <c r="D158" i="12"/>
  <c r="F168" i="12" s="1"/>
  <c r="D199" i="12"/>
  <c r="F209" i="12" s="1"/>
  <c r="D212" i="12"/>
  <c r="F216" i="12" s="1"/>
  <c r="D210" i="12"/>
  <c r="D238" i="12"/>
  <c r="F242" i="12" s="1"/>
  <c r="D279" i="12"/>
  <c r="F283" i="12" s="1"/>
  <c r="D261" i="12"/>
  <c r="F265" i="12" s="1"/>
  <c r="D289" i="12"/>
  <c r="F293" i="12" s="1"/>
  <c r="D169" i="12"/>
  <c r="F179" i="12" s="1"/>
  <c r="D135" i="12"/>
  <c r="F145" i="12" s="1"/>
  <c r="D241" i="12"/>
  <c r="F245" i="12" s="1"/>
  <c r="D319" i="12"/>
  <c r="F323" i="12" s="1"/>
  <c r="D15" i="12"/>
  <c r="D112" i="12"/>
  <c r="F122" i="12" s="1"/>
  <c r="D123" i="12"/>
  <c r="F133" i="12" s="1"/>
  <c r="D247" i="12"/>
  <c r="F251" i="12" s="1"/>
  <c r="D343" i="12"/>
  <c r="D364" i="12"/>
  <c r="F364" i="12" s="1"/>
  <c r="D360" i="12"/>
  <c r="F360" i="12" s="1"/>
  <c r="D335" i="12"/>
  <c r="F339" i="12" s="1"/>
  <c r="D358" i="12"/>
  <c r="F358" i="12" s="1"/>
  <c r="D136" i="12"/>
  <c r="F146" i="12" s="1"/>
  <c r="D217" i="12"/>
  <c r="F221" i="12" s="1"/>
  <c r="D345" i="12"/>
  <c r="F345" i="12" s="1"/>
  <c r="D366" i="12"/>
  <c r="F366" i="12" s="1"/>
  <c r="D226" i="12"/>
  <c r="F230" i="12" s="1"/>
  <c r="D352" i="12"/>
  <c r="F352" i="12" s="1"/>
  <c r="D338" i="12"/>
  <c r="F342" i="12" s="1"/>
  <c r="D306" i="12"/>
  <c r="F310" i="12" s="1"/>
  <c r="D190" i="12"/>
  <c r="F200" i="12" s="1"/>
  <c r="D146" i="12"/>
  <c r="F156" i="12" s="1"/>
  <c r="D141" i="12"/>
  <c r="F151" i="12" s="1"/>
  <c r="D264" i="12"/>
  <c r="F268" i="12" s="1"/>
  <c r="D267" i="12"/>
  <c r="F271" i="12" s="1"/>
  <c r="D291" i="12"/>
  <c r="F295" i="12" s="1"/>
  <c r="D152" i="12"/>
  <c r="F162" i="12" s="1"/>
  <c r="D157" i="12"/>
  <c r="F167" i="12" s="1"/>
  <c r="D259" i="12"/>
  <c r="F263" i="12" s="1"/>
  <c r="D204" i="12"/>
  <c r="F214" i="12" s="1"/>
  <c r="D197" i="12"/>
  <c r="F207" i="12" s="1"/>
  <c r="D150" i="12"/>
  <c r="F160" i="12" s="1"/>
  <c r="D292" i="12"/>
  <c r="F296" i="12" s="1"/>
  <c r="D185" i="12"/>
  <c r="F195" i="12" s="1"/>
  <c r="D276" i="12"/>
  <c r="F280" i="12" s="1"/>
  <c r="D266" i="12"/>
  <c r="F270" i="12" s="1"/>
  <c r="D180" i="12"/>
  <c r="F190" i="12" s="1"/>
  <c r="D189" i="12"/>
  <c r="F199" i="12" s="1"/>
  <c r="D178" i="12"/>
  <c r="F188" i="12" s="1"/>
  <c r="D313" i="12"/>
  <c r="F317" i="12" s="1"/>
  <c r="D315" i="12"/>
  <c r="F319" i="12" s="1"/>
  <c r="D111" i="12"/>
  <c r="F121" i="12" s="1"/>
  <c r="D103" i="12"/>
  <c r="F113" i="12" s="1"/>
  <c r="D229" i="12"/>
  <c r="F233" i="12" s="1"/>
  <c r="D200" i="12"/>
  <c r="F210" i="12" s="1"/>
  <c r="D198" i="12"/>
  <c r="F208" i="12" s="1"/>
  <c r="D239" i="12"/>
  <c r="F243" i="12" s="1"/>
  <c r="D125" i="12"/>
  <c r="F135" i="12" s="1"/>
  <c r="D282" i="12"/>
  <c r="F286" i="12" s="1"/>
  <c r="D278" i="12"/>
  <c r="F282" i="12" s="1"/>
  <c r="D216" i="12"/>
  <c r="F220" i="12" s="1"/>
  <c r="D162" i="12"/>
  <c r="F172" i="12" s="1"/>
  <c r="D258" i="12"/>
  <c r="F262" i="12" s="1"/>
  <c r="D132" i="12"/>
  <c r="F142" i="12" s="1"/>
  <c r="D82" i="12"/>
  <c r="F92" i="12" s="1"/>
  <c r="D93" i="12"/>
  <c r="F103" i="12" s="1"/>
  <c r="D297" i="12"/>
  <c r="F301" i="12" s="1"/>
  <c r="D168" i="12"/>
  <c r="F178" i="12" s="1"/>
  <c r="D205" i="12"/>
  <c r="F215" i="12" s="1"/>
  <c r="D130" i="12"/>
  <c r="F140" i="12" s="1"/>
  <c r="D134" i="12"/>
  <c r="F144" i="12" s="1"/>
  <c r="D225" i="12"/>
  <c r="F229" i="12" s="1"/>
  <c r="D233" i="12"/>
  <c r="F237" i="12" s="1"/>
  <c r="D240" i="12"/>
  <c r="F244" i="12" s="1"/>
  <c r="D250" i="12"/>
  <c r="F254" i="12" s="1"/>
  <c r="D246" i="12"/>
  <c r="F250" i="12" s="1"/>
  <c r="D214" i="12"/>
  <c r="F218" i="12" s="1"/>
  <c r="D322" i="12"/>
  <c r="F326" i="12" s="1"/>
  <c r="D318" i="12"/>
  <c r="F322" i="12" s="1"/>
  <c r="D325" i="12"/>
  <c r="F329" i="12" s="1"/>
  <c r="D328" i="12"/>
  <c r="F332" i="12" s="1"/>
  <c r="D8" i="12"/>
  <c r="F28" i="12" s="1"/>
  <c r="D12" i="12"/>
  <c r="F32" i="12" s="1"/>
  <c r="D16" i="12"/>
  <c r="D20" i="12"/>
  <c r="D24" i="12"/>
  <c r="D28" i="12"/>
  <c r="F41" i="12" s="1"/>
  <c r="D32" i="12"/>
  <c r="F45" i="12" s="1"/>
  <c r="D36" i="12"/>
  <c r="F49" i="12" s="1"/>
  <c r="D40" i="12"/>
  <c r="F53" i="12" s="1"/>
  <c r="D44" i="12"/>
  <c r="F57" i="12" s="1"/>
  <c r="D48" i="12"/>
  <c r="F61" i="12" s="1"/>
  <c r="D52" i="12"/>
  <c r="F65" i="12" s="1"/>
  <c r="D56" i="12"/>
  <c r="F69" i="12" s="1"/>
  <c r="D60" i="12"/>
  <c r="F73" i="12" s="1"/>
  <c r="D61" i="12"/>
  <c r="F74" i="12" s="1"/>
  <c r="D63" i="12"/>
  <c r="F76" i="12" s="1"/>
  <c r="D64" i="12"/>
  <c r="F77" i="12" s="1"/>
  <c r="D68" i="12"/>
  <c r="F81" i="12" s="1"/>
  <c r="D69" i="12"/>
  <c r="F82" i="12" s="1"/>
  <c r="D88" i="12"/>
  <c r="F98" i="12" s="1"/>
  <c r="D97" i="12"/>
  <c r="F107" i="12" s="1"/>
  <c r="D99" i="12"/>
  <c r="F109" i="12" s="1"/>
  <c r="D120" i="12"/>
  <c r="F130" i="12" s="1"/>
  <c r="D131" i="12"/>
  <c r="F141" i="12" s="1"/>
  <c r="D308" i="12"/>
  <c r="F312" i="12" s="1"/>
  <c r="D349" i="12"/>
  <c r="F349" i="12" s="1"/>
  <c r="D336" i="12"/>
  <c r="F340" i="12" s="1"/>
  <c r="D160" i="12"/>
  <c r="F170" i="12" s="1"/>
  <c r="D368" i="12"/>
  <c r="F368" i="12" s="1"/>
  <c r="D286" i="12"/>
  <c r="F290" i="12" s="1"/>
  <c r="D92" i="12"/>
  <c r="F102" i="12" s="1"/>
  <c r="D202" i="12"/>
  <c r="F212" i="12" s="1"/>
  <c r="D117" i="12"/>
  <c r="F127" i="12" s="1"/>
  <c r="D277" i="12"/>
  <c r="F281" i="12" s="1"/>
  <c r="D271" i="12"/>
  <c r="F275" i="12" s="1"/>
  <c r="D182" i="12"/>
  <c r="F192" i="12" s="1"/>
  <c r="D183" i="12"/>
  <c r="F193" i="12" s="1"/>
  <c r="D177" i="12"/>
  <c r="F187" i="12" s="1"/>
  <c r="D310" i="12"/>
  <c r="F314" i="12" s="1"/>
  <c r="D309" i="12"/>
  <c r="F313" i="12" s="1"/>
  <c r="D312" i="12"/>
  <c r="F316" i="12" s="1"/>
  <c r="D101" i="12"/>
  <c r="F111" i="12" s="1"/>
  <c r="D98" i="12"/>
  <c r="F108" i="12" s="1"/>
  <c r="D66" i="12"/>
  <c r="F79" i="12" s="1"/>
  <c r="D244" i="12"/>
  <c r="F248" i="12" s="1"/>
  <c r="D283" i="12"/>
  <c r="F287" i="12" s="1"/>
  <c r="D153" i="12"/>
  <c r="F163" i="12" s="1"/>
  <c r="D86" i="12"/>
  <c r="F96" i="12" s="1"/>
  <c r="D84" i="12"/>
  <c r="F94" i="12" s="1"/>
  <c r="D268" i="12"/>
  <c r="F272" i="12" s="1"/>
  <c r="D206" i="12"/>
  <c r="D234" i="12"/>
  <c r="F238" i="12" s="1"/>
  <c r="D300" i="12"/>
  <c r="F304" i="12" s="1"/>
  <c r="D213" i="12"/>
  <c r="F217" i="12" s="1"/>
  <c r="D11" i="12"/>
  <c r="F31" i="12" s="1"/>
  <c r="D355" i="12"/>
  <c r="F355" i="12" s="1"/>
  <c r="D363" i="12"/>
  <c r="F363" i="12" s="1"/>
  <c r="D334" i="12"/>
  <c r="F338" i="12" s="1"/>
  <c r="D137" i="12"/>
  <c r="F147" i="12" s="1"/>
  <c r="D344" i="12"/>
  <c r="F344" i="12" s="1"/>
  <c r="D222" i="12"/>
  <c r="F226" i="12" s="1"/>
  <c r="D351" i="12"/>
  <c r="F351" i="12" s="1"/>
  <c r="D90" i="12"/>
  <c r="F100" i="12" s="1"/>
  <c r="D255" i="12"/>
  <c r="F259" i="12" s="1"/>
  <c r="D192" i="12"/>
  <c r="F202" i="12" s="1"/>
  <c r="D173" i="12"/>
  <c r="F183" i="12" s="1"/>
  <c r="D144" i="12"/>
  <c r="F154" i="12" s="1"/>
  <c r="D140" i="12"/>
  <c r="F150" i="12" s="1"/>
  <c r="D94" i="12"/>
  <c r="F104" i="12" s="1"/>
  <c r="D151" i="12"/>
  <c r="F161" i="12" s="1"/>
  <c r="D256" i="12"/>
  <c r="F260" i="12" s="1"/>
  <c r="D209" i="12"/>
  <c r="D154" i="12"/>
  <c r="F164" i="12" s="1"/>
  <c r="D265" i="12"/>
  <c r="F269" i="12" s="1"/>
  <c r="D187" i="12"/>
  <c r="F197" i="12" s="1"/>
  <c r="D138" i="12"/>
  <c r="F148" i="12" s="1"/>
  <c r="D314" i="12"/>
  <c r="F318" i="12" s="1"/>
  <c r="D116" i="12"/>
  <c r="F126" i="12" s="1"/>
  <c r="D114" i="12"/>
  <c r="F124" i="12" s="1"/>
  <c r="D237" i="12"/>
  <c r="F241" i="12" s="1"/>
  <c r="D208" i="12"/>
  <c r="D254" i="12"/>
  <c r="F258" i="12" s="1"/>
  <c r="D159" i="12"/>
  <c r="F169" i="12" s="1"/>
  <c r="D260" i="12"/>
  <c r="F264" i="12" s="1"/>
  <c r="D77" i="12"/>
  <c r="F87" i="12" s="1"/>
  <c r="D272" i="12"/>
  <c r="F276" i="12" s="1"/>
  <c r="D321" i="12"/>
  <c r="F325" i="12" s="1"/>
  <c r="D9" i="12"/>
  <c r="F29" i="12" s="1"/>
  <c r="D13" i="12"/>
  <c r="F33" i="12" s="1"/>
  <c r="D17" i="12"/>
  <c r="F35" i="12" s="1"/>
  <c r="D21" i="12"/>
  <c r="D25" i="12"/>
  <c r="F38" i="12" s="1"/>
  <c r="D29" i="12"/>
  <c r="F42" i="12" s="1"/>
  <c r="D33" i="12"/>
  <c r="F46" i="12" s="1"/>
  <c r="D37" i="12"/>
  <c r="F50" i="12" s="1"/>
  <c r="D41" i="12"/>
  <c r="F54" i="12" s="1"/>
  <c r="D45" i="12"/>
  <c r="F58" i="12" s="1"/>
  <c r="D49" i="12"/>
  <c r="F62" i="12" s="1"/>
  <c r="D53" i="12"/>
  <c r="F66" i="12" s="1"/>
  <c r="D57" i="12"/>
  <c r="F70" i="12" s="1"/>
  <c r="D73" i="12"/>
  <c r="F83" i="12" s="1"/>
  <c r="D75" i="12"/>
  <c r="F85" i="12" s="1"/>
  <c r="D96" i="12"/>
  <c r="F106" i="12" s="1"/>
  <c r="D105" i="12"/>
  <c r="F115" i="12" s="1"/>
  <c r="D107" i="12"/>
  <c r="F117" i="12" s="1"/>
  <c r="D215" i="12"/>
  <c r="F219" i="12" s="1"/>
  <c r="D280" i="12"/>
  <c r="F284" i="12" s="1"/>
  <c r="D303" i="12"/>
  <c r="F307" i="12" s="1"/>
  <c r="D353" i="12"/>
  <c r="F353" i="12" s="1"/>
  <c r="D339" i="12"/>
  <c r="F343" i="12" s="1"/>
  <c r="D108" i="12"/>
  <c r="F118" i="12" s="1"/>
  <c r="D191" i="12"/>
  <c r="F201" i="12" s="1"/>
  <c r="D143" i="12"/>
  <c r="F153" i="12" s="1"/>
  <c r="D106" i="12"/>
  <c r="F116" i="12" s="1"/>
  <c r="D184" i="12"/>
  <c r="F194" i="12" s="1"/>
  <c r="D290" i="12"/>
  <c r="F294" i="12" s="1"/>
  <c r="D257" i="12"/>
  <c r="F261" i="12" s="1"/>
  <c r="D156" i="12"/>
  <c r="F166" i="12" s="1"/>
  <c r="D220" i="12"/>
  <c r="F224" i="12" s="1"/>
  <c r="D74" i="12"/>
  <c r="F84" i="12" s="1"/>
  <c r="D119" i="12"/>
  <c r="F129" i="12" s="1"/>
  <c r="D175" i="12"/>
  <c r="F185" i="12" s="1"/>
  <c r="D281" i="12"/>
  <c r="F285" i="12" s="1"/>
  <c r="D323" i="12"/>
  <c r="F327" i="12" s="1"/>
  <c r="D341" i="12"/>
  <c r="D359" i="12"/>
  <c r="F359" i="12" s="1"/>
  <c r="D161" i="12"/>
  <c r="F171" i="12" s="1"/>
  <c r="D365" i="12"/>
  <c r="F365" i="12" s="1"/>
  <c r="D348" i="12"/>
  <c r="F348" i="12" s="1"/>
  <c r="D285" i="12"/>
  <c r="F289" i="12" s="1"/>
  <c r="D263" i="12"/>
  <c r="F267" i="12" s="1"/>
  <c r="D294" i="12"/>
  <c r="F298" i="12" s="1"/>
  <c r="D147" i="12"/>
  <c r="F157" i="12" s="1"/>
  <c r="D127" i="12"/>
  <c r="F137" i="12" s="1"/>
  <c r="D196" i="12"/>
  <c r="F206" i="12" s="1"/>
  <c r="D295" i="12"/>
  <c r="F299" i="12" s="1"/>
  <c r="D275" i="12"/>
  <c r="F279" i="12" s="1"/>
  <c r="D179" i="12"/>
  <c r="F189" i="12" s="1"/>
  <c r="D193" i="12"/>
  <c r="F203" i="12" s="1"/>
  <c r="D307" i="12"/>
  <c r="F311" i="12" s="1"/>
  <c r="D100" i="12"/>
  <c r="F110" i="12" s="1"/>
  <c r="D142" i="12"/>
  <c r="F152" i="12" s="1"/>
  <c r="D227" i="12"/>
  <c r="F231" i="12" s="1"/>
  <c r="D245" i="12"/>
  <c r="F249" i="12" s="1"/>
  <c r="D124" i="12"/>
  <c r="F134" i="12" s="1"/>
  <c r="D284" i="12"/>
  <c r="F288" i="12" s="1"/>
  <c r="D163" i="12"/>
  <c r="F173" i="12" s="1"/>
  <c r="D85" i="12"/>
  <c r="F95" i="12" s="1"/>
  <c r="D76" i="12"/>
  <c r="F86" i="12" s="1"/>
  <c r="D296" i="12"/>
  <c r="F300" i="12" s="1"/>
  <c r="D167" i="12"/>
  <c r="F177" i="12" s="1"/>
  <c r="D133" i="12"/>
  <c r="F143" i="12" s="1"/>
  <c r="D224" i="12"/>
  <c r="F228" i="12" s="1"/>
  <c r="D232" i="12"/>
  <c r="F236" i="12" s="1"/>
  <c r="D251" i="12"/>
  <c r="F255" i="12" s="1"/>
  <c r="D299" i="12"/>
  <c r="F303" i="12" s="1"/>
  <c r="D249" i="12"/>
  <c r="F253" i="12" s="1"/>
  <c r="D317" i="12"/>
  <c r="F321" i="12" s="1"/>
  <c r="D327" i="12"/>
  <c r="F331" i="12" s="1"/>
  <c r="D331" i="12"/>
  <c r="F335" i="12" s="1"/>
  <c r="D333" i="12"/>
  <c r="F337" i="12" s="1"/>
  <c r="D354" i="12"/>
  <c r="F354" i="12" s="1"/>
  <c r="D350" i="12"/>
  <c r="F350" i="12" s="1"/>
  <c r="D362" i="12"/>
  <c r="F362" i="12" s="1"/>
  <c r="D337" i="12"/>
  <c r="F341" i="12" s="1"/>
  <c r="D357" i="12"/>
  <c r="F357" i="12" s="1"/>
  <c r="D164" i="12"/>
  <c r="F174" i="12" s="1"/>
  <c r="D62" i="12"/>
  <c r="F75" i="12" s="1"/>
  <c r="D122" i="12"/>
  <c r="F132" i="12" s="1"/>
  <c r="D367" i="12"/>
  <c r="F367" i="12" s="1"/>
  <c r="D302" i="12"/>
  <c r="F306" i="12" s="1"/>
  <c r="D236" i="12"/>
  <c r="F240" i="12" s="1"/>
  <c r="D347" i="12"/>
  <c r="F347" i="12" s="1"/>
  <c r="D340" i="12"/>
  <c r="D170" i="12"/>
  <c r="F180" i="12" s="1"/>
  <c r="D305" i="12"/>
  <c r="F309" i="12" s="1"/>
  <c r="D194" i="12"/>
  <c r="F204" i="12" s="1"/>
  <c r="D171" i="12"/>
  <c r="F181" i="12" s="1"/>
  <c r="D145" i="12"/>
  <c r="F155" i="12" s="1"/>
  <c r="D287" i="12"/>
  <c r="F291" i="12" s="1"/>
  <c r="D139" i="12"/>
  <c r="F149" i="12" s="1"/>
  <c r="D274" i="12"/>
  <c r="F278" i="12" s="1"/>
  <c r="D95" i="12"/>
  <c r="F105" i="12" s="1"/>
  <c r="D288" i="12"/>
  <c r="F292" i="12" s="1"/>
  <c r="D149" i="12"/>
  <c r="F159" i="12" s="1"/>
  <c r="D218" i="12"/>
  <c r="F222" i="12" s="1"/>
  <c r="D166" i="12"/>
  <c r="F176" i="12" s="1"/>
  <c r="D126" i="12"/>
  <c r="F136" i="12" s="1"/>
  <c r="D201" i="12"/>
  <c r="F211" i="12" s="1"/>
  <c r="D118" i="12"/>
  <c r="F128" i="12" s="1"/>
  <c r="D148" i="12"/>
  <c r="F158" i="12" s="1"/>
  <c r="D181" i="12"/>
  <c r="F191" i="12" s="1"/>
  <c r="D269" i="12"/>
  <c r="F273" i="12" s="1"/>
  <c r="D186" i="12"/>
  <c r="F196" i="12" s="1"/>
  <c r="D188" i="12"/>
  <c r="F198" i="12" s="1"/>
  <c r="D174" i="12"/>
  <c r="F184" i="12" s="1"/>
  <c r="D195" i="12"/>
  <c r="F205" i="12" s="1"/>
  <c r="D311" i="12"/>
  <c r="F315" i="12" s="1"/>
  <c r="D110" i="12"/>
  <c r="F120" i="12" s="1"/>
  <c r="D102" i="12"/>
  <c r="F112" i="12" s="1"/>
  <c r="D231" i="12"/>
  <c r="F235" i="12" s="1"/>
  <c r="D211" i="12"/>
  <c r="D203" i="12"/>
  <c r="F213" i="12" s="1"/>
  <c r="D228" i="12"/>
  <c r="F232" i="12" s="1"/>
  <c r="D243" i="12"/>
  <c r="F247" i="12" s="1"/>
  <c r="D172" i="12"/>
  <c r="F182" i="12" s="1"/>
  <c r="D253" i="12"/>
  <c r="F257" i="12" s="1"/>
  <c r="D155" i="12"/>
  <c r="F165" i="12" s="1"/>
  <c r="D165" i="12"/>
  <c r="F175" i="12" s="1"/>
  <c r="D262" i="12"/>
  <c r="F266" i="12" s="1"/>
  <c r="D79" i="12"/>
  <c r="F89" i="12" s="1"/>
  <c r="D78" i="12"/>
  <c r="F88" i="12" s="1"/>
  <c r="D87" i="12"/>
  <c r="F97" i="12" s="1"/>
  <c r="D70" i="12"/>
  <c r="D293" i="12"/>
  <c r="F297" i="12" s="1"/>
  <c r="D273" i="12"/>
  <c r="F277" i="12" s="1"/>
  <c r="D207" i="12"/>
  <c r="D176" i="12"/>
  <c r="F186" i="12" s="1"/>
  <c r="D223" i="12"/>
  <c r="F227" i="12" s="1"/>
  <c r="D242" i="12"/>
  <c r="F246" i="12" s="1"/>
  <c r="D252" i="12"/>
  <c r="F256" i="12" s="1"/>
  <c r="D298" i="12"/>
  <c r="F302" i="12" s="1"/>
  <c r="D248" i="12"/>
  <c r="F252" i="12" s="1"/>
  <c r="D324" i="12"/>
  <c r="F328" i="12" s="1"/>
  <c r="D320" i="12"/>
  <c r="F324" i="12" s="1"/>
  <c r="D316" i="12"/>
  <c r="F320" i="12" s="1"/>
  <c r="D326" i="12"/>
  <c r="F330" i="12" s="1"/>
  <c r="D330" i="12"/>
  <c r="F334" i="12" s="1"/>
  <c r="D332" i="12"/>
  <c r="F336" i="12" s="1"/>
  <c r="D10" i="12"/>
  <c r="F30" i="12" s="1"/>
  <c r="D14" i="12"/>
  <c r="F34" i="12" s="1"/>
  <c r="D18" i="12"/>
  <c r="F36" i="12" s="1"/>
  <c r="D22" i="12"/>
  <c r="D26" i="12"/>
  <c r="F39" i="12" s="1"/>
  <c r="D30" i="12"/>
  <c r="F43" i="12" s="1"/>
  <c r="D34" i="12"/>
  <c r="F47" i="12" s="1"/>
  <c r="D38" i="12"/>
  <c r="F51" i="12" s="1"/>
  <c r="D42" i="12"/>
  <c r="F55" i="12" s="1"/>
  <c r="D46" i="12"/>
  <c r="F59" i="12" s="1"/>
  <c r="D50" i="12"/>
  <c r="F63" i="12" s="1"/>
  <c r="D54" i="12"/>
  <c r="F67" i="12" s="1"/>
  <c r="D58" i="12"/>
  <c r="F71" i="12" s="1"/>
  <c r="D71" i="12"/>
  <c r="D72" i="12"/>
  <c r="D81" i="12"/>
  <c r="F91" i="12" s="1"/>
  <c r="D83" i="12"/>
  <c r="F93" i="12" s="1"/>
  <c r="D104" i="12"/>
  <c r="F114" i="12" s="1"/>
  <c r="D113" i="12"/>
  <c r="F123" i="12" s="1"/>
  <c r="D115" i="12"/>
  <c r="F125" i="12" s="1"/>
  <c r="D129" i="12"/>
  <c r="F139" i="12" s="1"/>
  <c r="D221" i="12"/>
  <c r="F225" i="12" s="1"/>
  <c r="D230" i="12"/>
  <c r="F234" i="12" s="1"/>
  <c r="S60" i="4"/>
  <c r="T60" i="4" s="1"/>
  <c r="S32" i="4"/>
  <c r="T32" i="4" s="1"/>
  <c r="S9" i="4"/>
  <c r="T9" i="4" s="1"/>
  <c r="S109" i="4"/>
  <c r="T109" i="4" s="1"/>
  <c r="S94" i="4"/>
  <c r="T94" i="4" s="1"/>
  <c r="S26" i="4"/>
  <c r="T26" i="4" s="1"/>
  <c r="S67" i="4"/>
  <c r="T67" i="4" s="1"/>
  <c r="S77" i="4"/>
  <c r="T77" i="4" s="1"/>
  <c r="S98" i="4"/>
  <c r="T98" i="4" s="1"/>
  <c r="S69" i="4"/>
  <c r="T69" i="4" s="1"/>
  <c r="S112" i="4"/>
  <c r="T112" i="4" s="1"/>
  <c r="S86" i="4"/>
  <c r="T86" i="4" s="1"/>
  <c r="S25" i="4"/>
  <c r="T25" i="4" s="1"/>
  <c r="S13" i="4"/>
  <c r="T13" i="4" s="1"/>
  <c r="Q7" i="5"/>
  <c r="U7" i="5"/>
  <c r="T11" i="5"/>
  <c r="T7" i="5"/>
  <c r="S7" i="5"/>
  <c r="R10" i="5"/>
  <c r="S10" i="5"/>
  <c r="U10" i="5"/>
  <c r="Q10" i="5"/>
  <c r="S57" i="4"/>
  <c r="T57" i="4" s="1"/>
  <c r="S68" i="4"/>
  <c r="T68" i="4" s="1"/>
  <c r="S83" i="4"/>
  <c r="T83" i="4" s="1"/>
  <c r="S24" i="4"/>
  <c r="T24" i="4" s="1"/>
  <c r="S51" i="4"/>
  <c r="T51" i="4" s="1"/>
  <c r="S79" i="4"/>
  <c r="T79" i="4" s="1"/>
  <c r="S54" i="4"/>
  <c r="T54" i="4" s="1"/>
  <c r="S17" i="4"/>
  <c r="T17" i="4" s="1"/>
  <c r="H7" i="4"/>
  <c r="S90" i="4"/>
  <c r="T90" i="4" s="1"/>
  <c r="S56" i="4"/>
  <c r="T56" i="4" s="1"/>
  <c r="S106" i="4"/>
  <c r="T106" i="4" s="1"/>
  <c r="S105" i="4"/>
  <c r="T105" i="4" s="1"/>
  <c r="E45" i="2"/>
  <c r="S113" i="4"/>
  <c r="T113" i="4" s="1"/>
  <c r="E78" i="2"/>
  <c r="D100" i="2"/>
  <c r="E100" i="2" s="1"/>
  <c r="E80" i="2"/>
  <c r="E99" i="2"/>
  <c r="S91" i="4"/>
  <c r="T91" i="4" s="1"/>
  <c r="S27" i="4"/>
  <c r="T27" i="4" s="1"/>
  <c r="S85" i="4"/>
  <c r="T85" i="4" s="1"/>
  <c r="S15" i="4"/>
  <c r="T15" i="4" s="1"/>
  <c r="S59" i="4"/>
  <c r="T59" i="4" s="1"/>
  <c r="S8" i="4"/>
  <c r="T8" i="4" s="1"/>
  <c r="S11" i="4"/>
  <c r="T11" i="4" s="1"/>
  <c r="S20" i="4"/>
  <c r="T20" i="4" s="1"/>
  <c r="S10" i="4"/>
  <c r="T10" i="4" s="1"/>
  <c r="S52" i="4"/>
  <c r="T52" i="4" s="1"/>
  <c r="S21" i="4"/>
  <c r="T21" i="4" s="1"/>
  <c r="S34" i="4"/>
  <c r="T34" i="4" s="1"/>
  <c r="S65" i="4"/>
  <c r="T65" i="4" s="1"/>
  <c r="S61" i="4"/>
  <c r="T61" i="4" s="1"/>
  <c r="S58" i="4"/>
  <c r="T58" i="4" s="1"/>
  <c r="K95" i="11" l="1"/>
  <c r="H94" i="3"/>
  <c r="K94" i="3"/>
  <c r="J87" i="3"/>
  <c r="K87" i="3"/>
  <c r="I78" i="4"/>
  <c r="L95" i="11"/>
  <c r="H81" i="3"/>
  <c r="K81" i="3"/>
  <c r="H95" i="3"/>
  <c r="K95" i="3"/>
  <c r="F99" i="11"/>
  <c r="H97" i="3"/>
  <c r="K97" i="3"/>
  <c r="J72" i="3"/>
  <c r="K72" i="3"/>
  <c r="H89" i="3"/>
  <c r="K89" i="3"/>
  <c r="I77" i="4"/>
  <c r="I95" i="11"/>
  <c r="H96" i="3"/>
  <c r="K96" i="3"/>
  <c r="H91" i="3"/>
  <c r="K91" i="3"/>
  <c r="J86" i="3"/>
  <c r="K86" i="3"/>
  <c r="H88" i="3"/>
  <c r="K88" i="3"/>
  <c r="H90" i="3"/>
  <c r="K90" i="3"/>
  <c r="H93" i="3"/>
  <c r="K93" i="3"/>
  <c r="F100" i="11"/>
  <c r="E98" i="3"/>
  <c r="K98" i="3" s="1"/>
  <c r="L90" i="11"/>
  <c r="J88" i="3"/>
  <c r="I90" i="11"/>
  <c r="K90" i="11"/>
  <c r="H87" i="3"/>
  <c r="I96" i="11"/>
  <c r="K96" i="11"/>
  <c r="L89" i="11"/>
  <c r="J94" i="3"/>
  <c r="K89" i="11"/>
  <c r="L96" i="11"/>
  <c r="I89" i="11"/>
  <c r="J91" i="3"/>
  <c r="J89" i="3"/>
  <c r="I88" i="11"/>
  <c r="H86" i="3"/>
  <c r="J96" i="3"/>
  <c r="L91" i="11"/>
  <c r="K98" i="11"/>
  <c r="L98" i="11"/>
  <c r="K91" i="11"/>
  <c r="I91" i="11"/>
  <c r="K88" i="11"/>
  <c r="L88" i="11"/>
  <c r="I97" i="11"/>
  <c r="K97" i="11"/>
  <c r="J95" i="3"/>
  <c r="L97" i="11"/>
  <c r="J81" i="3"/>
  <c r="F76" i="11"/>
  <c r="F87" i="11"/>
  <c r="E85" i="3"/>
  <c r="K85" i="3" s="1"/>
  <c r="E84" i="3"/>
  <c r="K84" i="3" s="1"/>
  <c r="F86" i="11"/>
  <c r="F85" i="11"/>
  <c r="E83" i="3"/>
  <c r="K83" i="3" s="1"/>
  <c r="E79" i="3"/>
  <c r="K79" i="3" s="1"/>
  <c r="F81" i="11"/>
  <c r="F80" i="11"/>
  <c r="E78" i="3"/>
  <c r="K78" i="3" s="1"/>
  <c r="F79" i="11"/>
  <c r="E77" i="3"/>
  <c r="K77" i="3" s="1"/>
  <c r="E76" i="3"/>
  <c r="K76" i="3" s="1"/>
  <c r="F78" i="11"/>
  <c r="F77" i="11"/>
  <c r="E75" i="3"/>
  <c r="J74" i="3"/>
  <c r="H74" i="3"/>
  <c r="E92" i="3"/>
  <c r="I571" i="4"/>
  <c r="I572" i="4"/>
  <c r="I573" i="4"/>
  <c r="I557" i="4"/>
  <c r="I558" i="4"/>
  <c r="I559" i="4"/>
  <c r="I527" i="4"/>
  <c r="I528" i="4"/>
  <c r="I529" i="4"/>
  <c r="I531" i="4"/>
  <c r="I511" i="4"/>
  <c r="I515" i="4"/>
  <c r="I512" i="4"/>
  <c r="I516" i="4"/>
  <c r="I513" i="4"/>
  <c r="I514" i="4"/>
  <c r="I484" i="4"/>
  <c r="I488" i="4"/>
  <c r="I485" i="4"/>
  <c r="I489" i="4"/>
  <c r="I486" i="4"/>
  <c r="I490" i="4"/>
  <c r="I487" i="4"/>
  <c r="I465" i="4"/>
  <c r="I469" i="4"/>
  <c r="I466" i="4"/>
  <c r="I467" i="4"/>
  <c r="I468" i="4"/>
  <c r="I442" i="4"/>
  <c r="I443" i="4"/>
  <c r="I400" i="4"/>
  <c r="I404" i="4"/>
  <c r="I408" i="4"/>
  <c r="I412" i="4"/>
  <c r="I401" i="4"/>
  <c r="I405" i="4"/>
  <c r="I409" i="4"/>
  <c r="I402" i="4"/>
  <c r="I406" i="4"/>
  <c r="I410" i="4"/>
  <c r="I403" i="4"/>
  <c r="I407" i="4"/>
  <c r="I411" i="4"/>
  <c r="I354" i="4"/>
  <c r="I358" i="4"/>
  <c r="I355" i="4"/>
  <c r="I359" i="4"/>
  <c r="I356" i="4"/>
  <c r="I360" i="4"/>
  <c r="I357" i="4"/>
  <c r="I342" i="4"/>
  <c r="I343" i="4"/>
  <c r="I337" i="4"/>
  <c r="I338" i="4"/>
  <c r="I304" i="4"/>
  <c r="I303" i="4"/>
  <c r="I295" i="4"/>
  <c r="I296" i="4"/>
  <c r="I297" i="4"/>
  <c r="I243" i="4"/>
  <c r="I247" i="4"/>
  <c r="I244" i="4"/>
  <c r="I245" i="4"/>
  <c r="I246" i="4"/>
  <c r="I207" i="4"/>
  <c r="I208" i="4"/>
  <c r="I115" i="4"/>
  <c r="I116" i="4"/>
  <c r="I117" i="4"/>
  <c r="I118" i="4"/>
  <c r="I94" i="4"/>
  <c r="I98" i="4"/>
  <c r="I95" i="4"/>
  <c r="I96" i="4"/>
  <c r="I97" i="4"/>
  <c r="I50" i="4"/>
  <c r="I82" i="4"/>
  <c r="I83" i="4"/>
  <c r="I84" i="4"/>
  <c r="I85" i="4"/>
  <c r="I46" i="4"/>
  <c r="I56" i="4"/>
  <c r="I45" i="4"/>
  <c r="I55" i="4"/>
  <c r="I47" i="4"/>
  <c r="I51" i="4"/>
  <c r="I48" i="4"/>
  <c r="I49" i="4"/>
  <c r="I54" i="4"/>
  <c r="I52" i="4"/>
  <c r="I53" i="4"/>
  <c r="I44" i="4"/>
  <c r="I23" i="4"/>
  <c r="I24" i="4"/>
  <c r="I25" i="4"/>
  <c r="I12" i="4"/>
  <c r="I13" i="4"/>
  <c r="I14" i="4"/>
  <c r="H73" i="3"/>
  <c r="K75" i="11"/>
  <c r="L75" i="11"/>
  <c r="I75" i="11"/>
  <c r="H72" i="3"/>
  <c r="J73" i="3"/>
  <c r="H71" i="3"/>
  <c r="L74" i="11"/>
  <c r="K74" i="11"/>
  <c r="J71" i="3"/>
  <c r="I74" i="11"/>
  <c r="I567" i="4"/>
  <c r="G398" i="12"/>
  <c r="H188" i="4"/>
  <c r="I190" i="4" s="1"/>
  <c r="I191" i="4"/>
  <c r="I451" i="4"/>
  <c r="I160" i="4"/>
  <c r="E68" i="3"/>
  <c r="K68" i="3" s="1"/>
  <c r="F70" i="11"/>
  <c r="I566" i="4"/>
  <c r="E67" i="3"/>
  <c r="I564" i="4"/>
  <c r="I563" i="4"/>
  <c r="I565" i="4"/>
  <c r="I455" i="4"/>
  <c r="I454" i="4"/>
  <c r="I453" i="4"/>
  <c r="I457" i="4"/>
  <c r="I456" i="4"/>
  <c r="I452" i="4"/>
  <c r="F69" i="11"/>
  <c r="G362" i="12"/>
  <c r="G327" i="12"/>
  <c r="G232" i="12"/>
  <c r="G277" i="12"/>
  <c r="G348" i="12"/>
  <c r="G276" i="12"/>
  <c r="G361" i="12"/>
  <c r="G391" i="12"/>
  <c r="I499" i="4"/>
  <c r="G240" i="12"/>
  <c r="G390" i="12"/>
  <c r="G418" i="12"/>
  <c r="G290" i="12"/>
  <c r="G239" i="12"/>
  <c r="G410" i="12"/>
  <c r="I261" i="4"/>
  <c r="G231" i="12"/>
  <c r="G411" i="12"/>
  <c r="I433" i="4"/>
  <c r="I427" i="4"/>
  <c r="I426" i="4"/>
  <c r="I428" i="4"/>
  <c r="I429" i="4"/>
  <c r="I432" i="4"/>
  <c r="I258" i="4"/>
  <c r="I260" i="4"/>
  <c r="I259" i="4"/>
  <c r="I498" i="4"/>
  <c r="I500" i="4"/>
  <c r="F67" i="11"/>
  <c r="E66" i="3"/>
  <c r="K66" i="3" s="1"/>
  <c r="I251" i="4"/>
  <c r="G337" i="12"/>
  <c r="G220" i="12"/>
  <c r="G164" i="12"/>
  <c r="I249" i="4"/>
  <c r="I15" i="4"/>
  <c r="I230" i="4"/>
  <c r="G185" i="12"/>
  <c r="I250" i="4"/>
  <c r="G17" i="12"/>
  <c r="G279" i="12"/>
  <c r="G33" i="12"/>
  <c r="G363" i="12"/>
  <c r="G278" i="12"/>
  <c r="G378" i="12"/>
  <c r="G349" i="12"/>
  <c r="G16" i="12"/>
  <c r="G379" i="12"/>
  <c r="I252" i="4"/>
  <c r="G228" i="12"/>
  <c r="G374" i="12"/>
  <c r="H238" i="4"/>
  <c r="H439" i="4"/>
  <c r="G227" i="12"/>
  <c r="G315" i="12"/>
  <c r="G186" i="12"/>
  <c r="G32" i="12"/>
  <c r="G314" i="12"/>
  <c r="G406" i="12"/>
  <c r="G386" i="12"/>
  <c r="G165" i="12"/>
  <c r="H438" i="4"/>
  <c r="H239" i="4"/>
  <c r="G219" i="12"/>
  <c r="G350" i="12"/>
  <c r="G405" i="12"/>
  <c r="G364" i="12"/>
  <c r="G399" i="12"/>
  <c r="E65" i="3"/>
  <c r="H65" i="3" s="1"/>
  <c r="I248" i="4"/>
  <c r="I581" i="4"/>
  <c r="I580" i="4"/>
  <c r="I574" i="4"/>
  <c r="I366" i="4"/>
  <c r="I345" i="4"/>
  <c r="I344" i="4"/>
  <c r="I122" i="4"/>
  <c r="I257" i="4"/>
  <c r="I165" i="4"/>
  <c r="I641" i="4"/>
  <c r="I71" i="4"/>
  <c r="I99" i="4"/>
  <c r="I86" i="4"/>
  <c r="I448" i="4"/>
  <c r="I16" i="4"/>
  <c r="I436" i="4"/>
  <c r="I102" i="4"/>
  <c r="I262" i="4"/>
  <c r="I274" i="4"/>
  <c r="I446" i="4"/>
  <c r="I643" i="4"/>
  <c r="I229" i="4"/>
  <c r="I162" i="4"/>
  <c r="I383" i="4"/>
  <c r="I113" i="4"/>
  <c r="I301" i="4"/>
  <c r="I277" i="4"/>
  <c r="I273" i="4"/>
  <c r="I17" i="4"/>
  <c r="I73" i="4"/>
  <c r="I634" i="4"/>
  <c r="I205" i="4"/>
  <c r="I101" i="4"/>
  <c r="I328" i="4"/>
  <c r="I80" i="4"/>
  <c r="I119" i="4"/>
  <c r="I203" i="4"/>
  <c r="I123" i="4"/>
  <c r="I107" i="4"/>
  <c r="I212" i="4"/>
  <c r="I447" i="4"/>
  <c r="I272" i="4"/>
  <c r="I607" i="4"/>
  <c r="I253" i="4"/>
  <c r="I233" i="4"/>
  <c r="I313" i="4"/>
  <c r="I81" i="4"/>
  <c r="I327" i="4"/>
  <c r="I633" i="4"/>
  <c r="I75" i="4"/>
  <c r="I450" i="4"/>
  <c r="I121" i="4"/>
  <c r="I329" i="4"/>
  <c r="I79" i="4"/>
  <c r="I206" i="4"/>
  <c r="I332" i="4"/>
  <c r="G428" i="12"/>
  <c r="I330" i="4"/>
  <c r="I204" i="4"/>
  <c r="I382" i="4"/>
  <c r="I263" i="4"/>
  <c r="I105" i="4"/>
  <c r="I154" i="4"/>
  <c r="I200" i="4"/>
  <c r="I90" i="4"/>
  <c r="I132" i="4"/>
  <c r="I644" i="4"/>
  <c r="I649" i="4"/>
  <c r="I194" i="4"/>
  <c r="I526" i="4"/>
  <c r="I602" i="4"/>
  <c r="I594" i="4"/>
  <c r="I267" i="4"/>
  <c r="I373" i="4"/>
  <c r="I139" i="4"/>
  <c r="I255" i="4"/>
  <c r="I523" i="4"/>
  <c r="I381" i="4"/>
  <c r="I379" i="4"/>
  <c r="I378" i="4"/>
  <c r="I108" i="4"/>
  <c r="I640" i="4"/>
  <c r="I109" i="4"/>
  <c r="I449" i="4"/>
  <c r="I144" i="4"/>
  <c r="I308" i="4"/>
  <c r="I608" i="4"/>
  <c r="I198" i="4"/>
  <c r="I137" i="4"/>
  <c r="I159" i="4"/>
  <c r="I202" i="4"/>
  <c r="I112" i="4"/>
  <c r="I91" i="4"/>
  <c r="I384" i="4"/>
  <c r="I599" i="4"/>
  <c r="I652" i="4"/>
  <c r="I110" i="4"/>
  <c r="I104" i="4"/>
  <c r="I74" i="4"/>
  <c r="I380" i="4"/>
  <c r="I331" i="4"/>
  <c r="I87" i="4"/>
  <c r="I323" i="4"/>
  <c r="I199" i="4"/>
  <c r="I157" i="4"/>
  <c r="I524" i="4"/>
  <c r="I309" i="4"/>
  <c r="I124" i="4"/>
  <c r="I106" i="4"/>
  <c r="I322" i="4"/>
  <c r="I312" i="4"/>
  <c r="I609" i="4"/>
  <c r="I254" i="4"/>
  <c r="I114" i="4"/>
  <c r="I502" i="4"/>
  <c r="I501" i="4"/>
  <c r="I235" i="4"/>
  <c r="I236" i="4"/>
  <c r="I638" i="4"/>
  <c r="I636" i="4"/>
  <c r="I637" i="4"/>
  <c r="I535" i="4"/>
  <c r="I533" i="4"/>
  <c r="I430" i="4"/>
  <c r="I431" i="4"/>
  <c r="I434" i="4"/>
  <c r="I217" i="4"/>
  <c r="I215" i="4"/>
  <c r="I673" i="4"/>
  <c r="I674" i="4"/>
  <c r="I677" i="4"/>
  <c r="I679" i="4"/>
  <c r="H219" i="4"/>
  <c r="H333" i="4"/>
  <c r="H395" i="4"/>
  <c r="H507" i="4"/>
  <c r="H281" i="4"/>
  <c r="H291" i="4"/>
  <c r="H39" i="4"/>
  <c r="H655" i="4"/>
  <c r="H20" i="4"/>
  <c r="H617" i="4"/>
  <c r="H630" i="4"/>
  <c r="I621" i="4" s="1"/>
  <c r="H352" i="4"/>
  <c r="H479" i="4"/>
  <c r="H8" i="4"/>
  <c r="H553" i="4"/>
  <c r="H460" i="4"/>
  <c r="G414" i="12"/>
  <c r="G373" i="12"/>
  <c r="G415" i="12"/>
  <c r="I305" i="4"/>
  <c r="I234" i="4"/>
  <c r="I140" i="4"/>
  <c r="I210" i="4"/>
  <c r="I213" i="4"/>
  <c r="I670" i="4"/>
  <c r="I525" i="4"/>
  <c r="I668" i="4"/>
  <c r="I265" i="4"/>
  <c r="I374" i="4"/>
  <c r="I148" i="4"/>
  <c r="I603" i="4"/>
  <c r="I675" i="4"/>
  <c r="I314" i="4"/>
  <c r="I604" i="4"/>
  <c r="I671" i="4"/>
  <c r="I232" i="4"/>
  <c r="I214" i="4"/>
  <c r="I534" i="4"/>
  <c r="I369" i="4"/>
  <c r="I375" i="4"/>
  <c r="I368" i="4"/>
  <c r="I377" i="4"/>
  <c r="I370" i="4"/>
  <c r="I376" i="4"/>
  <c r="I317" i="4"/>
  <c r="I320" i="4"/>
  <c r="I319" i="4"/>
  <c r="I315" i="4"/>
  <c r="I326" i="4"/>
  <c r="I321" i="4"/>
  <c r="I324" i="4"/>
  <c r="I128" i="4"/>
  <c r="I201" i="4"/>
  <c r="I269" i="4"/>
  <c r="I103" i="4"/>
  <c r="I597" i="4"/>
  <c r="I307" i="4"/>
  <c r="I650" i="4"/>
  <c r="I645" i="4"/>
  <c r="I653" i="4"/>
  <c r="I654" i="4"/>
  <c r="I648" i="4"/>
  <c r="I197" i="4"/>
  <c r="I196" i="4"/>
  <c r="I193" i="4"/>
  <c r="G429" i="12"/>
  <c r="I141" i="4"/>
  <c r="I127" i="4"/>
  <c r="G420" i="12"/>
  <c r="I129" i="4"/>
  <c r="I149" i="4"/>
  <c r="I131" i="4"/>
  <c r="I151" i="4"/>
  <c r="I138" i="4"/>
  <c r="I306" i="4"/>
  <c r="I642" i="4"/>
  <c r="I93" i="4"/>
  <c r="I136" i="4"/>
  <c r="I195" i="4"/>
  <c r="I211" i="4"/>
  <c r="I209" i="4"/>
  <c r="I268" i="4"/>
  <c r="I318" i="4"/>
  <c r="I372" i="4"/>
  <c r="I669" i="4"/>
  <c r="I532" i="4"/>
  <c r="I371" i="4"/>
  <c r="I646" i="4"/>
  <c r="I270" i="4"/>
  <c r="I143" i="4"/>
  <c r="I316" i="4"/>
  <c r="I276" i="4"/>
  <c r="I89" i="4"/>
  <c r="I130" i="4"/>
  <c r="I672" i="4"/>
  <c r="I126" i="4"/>
  <c r="I164" i="4"/>
  <c r="I161" i="4"/>
  <c r="I163" i="4"/>
  <c r="I166" i="4"/>
  <c r="I635" i="4"/>
  <c r="I231" i="4"/>
  <c r="H280" i="4"/>
  <c r="H480" i="4"/>
  <c r="H618" i="4"/>
  <c r="H38" i="4"/>
  <c r="H34" i="12" s="1"/>
  <c r="H220" i="4"/>
  <c r="H334" i="4"/>
  <c r="H261" i="12" s="1"/>
  <c r="H292" i="4"/>
  <c r="H351" i="4"/>
  <c r="H461" i="4"/>
  <c r="H506" i="4"/>
  <c r="H554" i="4"/>
  <c r="H656" i="4"/>
  <c r="G425" i="12"/>
  <c r="H394" i="4"/>
  <c r="H568" i="4"/>
  <c r="H664" i="4"/>
  <c r="H9" i="4"/>
  <c r="H227" i="4"/>
  <c r="H19" i="4"/>
  <c r="H288" i="4"/>
  <c r="G419" i="12"/>
  <c r="I444" i="4"/>
  <c r="I152" i="4"/>
  <c r="I158" i="4"/>
  <c r="I150" i="4"/>
  <c r="I156" i="4"/>
  <c r="I146" i="4"/>
  <c r="I600" i="4"/>
  <c r="I606" i="4"/>
  <c r="I611" i="4"/>
  <c r="I613" i="4"/>
  <c r="I610" i="4"/>
  <c r="I601" i="4"/>
  <c r="I612" i="4"/>
  <c r="I596" i="4"/>
  <c r="I592" i="4"/>
  <c r="I593" i="4"/>
  <c r="G387" i="12"/>
  <c r="G424" i="12"/>
  <c r="I147" i="4"/>
  <c r="I133" i="4"/>
  <c r="I153" i="4"/>
  <c r="I135" i="4"/>
  <c r="I155" i="4"/>
  <c r="I145" i="4"/>
  <c r="I678" i="4"/>
  <c r="I92" i="4"/>
  <c r="I192" i="4"/>
  <c r="I216" i="4"/>
  <c r="I676" i="4"/>
  <c r="I651" i="4"/>
  <c r="I142" i="4"/>
  <c r="I595" i="4"/>
  <c r="I325" i="4"/>
  <c r="I605" i="4"/>
  <c r="I278" i="4"/>
  <c r="I88" i="4"/>
  <c r="I647" i="4"/>
  <c r="I302" i="4"/>
  <c r="I120" i="4"/>
  <c r="I680" i="4"/>
  <c r="I134" i="4"/>
  <c r="I266" i="4"/>
  <c r="I100" i="4"/>
  <c r="I125" i="4"/>
  <c r="I639" i="4"/>
  <c r="I264" i="4"/>
  <c r="I271" i="4"/>
  <c r="I598" i="4"/>
  <c r="I111" i="4"/>
  <c r="I445" i="4"/>
  <c r="G430" i="12"/>
  <c r="G426" i="12"/>
  <c r="G422" i="12"/>
  <c r="G416" i="12"/>
  <c r="G431" i="12"/>
  <c r="G427" i="12"/>
  <c r="G421" i="12"/>
  <c r="G417" i="12"/>
  <c r="F49" i="11"/>
  <c r="E49" i="3"/>
  <c r="G375" i="12"/>
  <c r="G388" i="12"/>
  <c r="G371" i="12"/>
  <c r="G370" i="12"/>
  <c r="G376" i="12"/>
  <c r="G389" i="12"/>
  <c r="F56" i="11"/>
  <c r="E55" i="3"/>
  <c r="E60" i="3"/>
  <c r="F62" i="11"/>
  <c r="F45" i="11"/>
  <c r="E61" i="3"/>
  <c r="F57" i="11"/>
  <c r="E56" i="3"/>
  <c r="E29" i="3"/>
  <c r="F34" i="11"/>
  <c r="F31" i="11"/>
  <c r="F29" i="11"/>
  <c r="E34" i="3"/>
  <c r="E31" i="3"/>
  <c r="E45" i="3"/>
  <c r="E33" i="3"/>
  <c r="F33" i="11"/>
  <c r="G295" i="12"/>
  <c r="G281" i="12"/>
  <c r="G265" i="12"/>
  <c r="G245" i="12"/>
  <c r="G207" i="12"/>
  <c r="G274" i="12"/>
  <c r="G173" i="12"/>
  <c r="G167" i="12"/>
  <c r="G133" i="12"/>
  <c r="G26" i="12"/>
  <c r="G13" i="12"/>
  <c r="G9" i="12"/>
  <c r="G352" i="12"/>
  <c r="G326" i="12"/>
  <c r="G292" i="12"/>
  <c r="G216" i="12"/>
  <c r="G351" i="12"/>
  <c r="G325" i="12"/>
  <c r="G291" i="12"/>
  <c r="G273" i="12"/>
  <c r="G217" i="12"/>
  <c r="G282" i="12"/>
  <c r="G264" i="12"/>
  <c r="G27" i="12"/>
  <c r="G246" i="12"/>
  <c r="G172" i="12"/>
  <c r="G14" i="12"/>
  <c r="G8" i="12"/>
  <c r="G132" i="12"/>
  <c r="G296" i="12"/>
  <c r="G206" i="12"/>
  <c r="G168" i="12"/>
  <c r="F17" i="12"/>
  <c r="F22" i="12"/>
  <c r="F19" i="12"/>
  <c r="D110" i="2"/>
  <c r="E110" i="2" s="1"/>
  <c r="F21" i="12"/>
  <c r="S16" i="4"/>
  <c r="T16" i="4" s="1"/>
  <c r="F6" i="12"/>
  <c r="D89" i="2"/>
  <c r="E89" i="2" s="1"/>
  <c r="F24" i="12"/>
  <c r="F14" i="12"/>
  <c r="F25" i="12"/>
  <c r="H255" i="12"/>
  <c r="H143" i="12"/>
  <c r="H107" i="12"/>
  <c r="D56" i="2"/>
  <c r="E56" i="2" s="1"/>
  <c r="S64" i="4"/>
  <c r="T64" i="4" s="1"/>
  <c r="D63" i="2"/>
  <c r="E63" i="2" s="1"/>
  <c r="D55" i="2"/>
  <c r="E55" i="2" s="1"/>
  <c r="F16" i="12"/>
  <c r="D46" i="2"/>
  <c r="E46" i="2" s="1"/>
  <c r="S96" i="4"/>
  <c r="T96" i="4" s="1"/>
  <c r="S81" i="4"/>
  <c r="T81" i="4" s="1"/>
  <c r="S31" i="4"/>
  <c r="T31" i="4" s="1"/>
  <c r="D16" i="2"/>
  <c r="E16" i="2" s="1"/>
  <c r="D102" i="2"/>
  <c r="E102" i="2" s="1"/>
  <c r="F10" i="12"/>
  <c r="S55" i="4"/>
  <c r="T55" i="4" s="1"/>
  <c r="S38" i="4"/>
  <c r="T38" i="4" s="1"/>
  <c r="F13" i="12"/>
  <c r="D28" i="2"/>
  <c r="E28" i="2" s="1"/>
  <c r="S45" i="4"/>
  <c r="T45" i="4" s="1"/>
  <c r="F4" i="12"/>
  <c r="F11" i="12"/>
  <c r="F15" i="12"/>
  <c r="F1" i="12"/>
  <c r="H47" i="12"/>
  <c r="F5" i="12"/>
  <c r="D103" i="2"/>
  <c r="E103" i="2" s="1"/>
  <c r="S41" i="4"/>
  <c r="T41" i="4" s="1"/>
  <c r="S107" i="4"/>
  <c r="T107" i="4" s="1"/>
  <c r="D19" i="2"/>
  <c r="E19" i="2" s="1"/>
  <c r="F3" i="12"/>
  <c r="D15" i="2"/>
  <c r="E15" i="2" s="1"/>
  <c r="F9" i="12"/>
  <c r="S40" i="4"/>
  <c r="T40" i="4" s="1"/>
  <c r="S33" i="4"/>
  <c r="T33" i="4" s="1"/>
  <c r="D30" i="2"/>
  <c r="E30" i="2" s="1"/>
  <c r="D47" i="2"/>
  <c r="E47" i="2" s="1"/>
  <c r="F12" i="12"/>
  <c r="F23" i="12"/>
  <c r="F20" i="12"/>
  <c r="D109" i="2"/>
  <c r="E109" i="2" s="1"/>
  <c r="H114" i="12"/>
  <c r="H115" i="12"/>
  <c r="H44" i="12"/>
  <c r="H122" i="12"/>
  <c r="H125" i="12"/>
  <c r="H124" i="12"/>
  <c r="H123" i="12"/>
  <c r="H341" i="12"/>
  <c r="H102" i="12"/>
  <c r="H98" i="12"/>
  <c r="H103" i="12"/>
  <c r="H101" i="12"/>
  <c r="H99" i="12"/>
  <c r="H100" i="12"/>
  <c r="H50" i="12"/>
  <c r="H51" i="12"/>
  <c r="H52" i="12"/>
  <c r="H112" i="12"/>
  <c r="H344" i="12"/>
  <c r="H159" i="12"/>
  <c r="H155" i="12"/>
  <c r="H151" i="12"/>
  <c r="H147" i="12"/>
  <c r="H158" i="12"/>
  <c r="H154" i="12"/>
  <c r="H150" i="12"/>
  <c r="H157" i="12"/>
  <c r="H156" i="12"/>
  <c r="H149" i="12"/>
  <c r="H148" i="12"/>
  <c r="H152" i="12"/>
  <c r="H153" i="12"/>
  <c r="H178" i="12"/>
  <c r="H176" i="12"/>
  <c r="H39" i="12"/>
  <c r="H139" i="12"/>
  <c r="H142" i="12"/>
  <c r="H138" i="12"/>
  <c r="H141" i="12"/>
  <c r="H140" i="12"/>
  <c r="H146" i="12"/>
  <c r="H144" i="12"/>
  <c r="H145" i="12"/>
  <c r="H256" i="12"/>
  <c r="H259" i="12"/>
  <c r="H258" i="12"/>
  <c r="H257" i="12"/>
  <c r="H90" i="12"/>
  <c r="H110" i="12"/>
  <c r="H46" i="12"/>
  <c r="H130" i="12"/>
  <c r="H126" i="12"/>
  <c r="H128" i="12"/>
  <c r="H127" i="12"/>
  <c r="H129" i="12"/>
  <c r="H106" i="12"/>
  <c r="H104" i="12"/>
  <c r="H105" i="12"/>
  <c r="F2" i="12"/>
  <c r="H49" i="12"/>
  <c r="F7" i="12"/>
  <c r="H86" i="12"/>
  <c r="H82" i="12"/>
  <c r="H78" i="12"/>
  <c r="H74" i="12"/>
  <c r="H80" i="12"/>
  <c r="H79" i="12"/>
  <c r="H77" i="12"/>
  <c r="H88" i="12"/>
  <c r="H87" i="12"/>
  <c r="H85" i="12"/>
  <c r="H72" i="12"/>
  <c r="H83" i="12"/>
  <c r="H81" i="12"/>
  <c r="H84" i="12"/>
  <c r="H75" i="12"/>
  <c r="H73" i="12"/>
  <c r="H76" i="12"/>
  <c r="H89" i="12"/>
  <c r="H162" i="12"/>
  <c r="H160" i="12"/>
  <c r="H161" i="12"/>
  <c r="H203" i="12"/>
  <c r="H199" i="12"/>
  <c r="H210" i="12"/>
  <c r="H202" i="12"/>
  <c r="H198" i="12"/>
  <c r="H205" i="12"/>
  <c r="H204" i="12"/>
  <c r="H197" i="12"/>
  <c r="H196" i="12"/>
  <c r="H201" i="12"/>
  <c r="H200" i="12"/>
  <c r="H118" i="12"/>
  <c r="H120" i="12"/>
  <c r="H119" i="12"/>
  <c r="H117" i="12"/>
  <c r="H121" i="12"/>
  <c r="H252" i="12"/>
  <c r="H254" i="12"/>
  <c r="H253" i="12"/>
  <c r="H251" i="12"/>
  <c r="H113" i="12"/>
  <c r="H45" i="12"/>
  <c r="H108" i="12"/>
  <c r="H48" i="12"/>
  <c r="F18" i="12"/>
  <c r="F8" i="12"/>
  <c r="H109" i="12"/>
  <c r="H91" i="12"/>
  <c r="H94" i="12"/>
  <c r="H96" i="12"/>
  <c r="H95" i="12"/>
  <c r="H93" i="12"/>
  <c r="H92" i="12"/>
  <c r="H97" i="12"/>
  <c r="H300" i="12"/>
  <c r="H195" i="12"/>
  <c r="H191" i="12"/>
  <c r="H194" i="12"/>
  <c r="H192" i="12"/>
  <c r="H193" i="12"/>
  <c r="H183" i="12"/>
  <c r="H181" i="12"/>
  <c r="H180" i="12"/>
  <c r="H340" i="12"/>
  <c r="H70" i="12"/>
  <c r="H66" i="12"/>
  <c r="H62" i="12"/>
  <c r="H64" i="12"/>
  <c r="H63" i="12"/>
  <c r="H58" i="12"/>
  <c r="H54" i="12"/>
  <c r="H67" i="12"/>
  <c r="H71" i="12"/>
  <c r="H57" i="12"/>
  <c r="H53" i="12"/>
  <c r="H59" i="12"/>
  <c r="H61" i="12"/>
  <c r="H56" i="12"/>
  <c r="H69" i="12"/>
  <c r="H68" i="12"/>
  <c r="H65" i="12"/>
  <c r="H60" i="12"/>
  <c r="H55" i="12"/>
  <c r="F30" i="11"/>
  <c r="H137" i="12"/>
  <c r="H136" i="12"/>
  <c r="H116" i="12"/>
  <c r="H111" i="12"/>
  <c r="F28" i="11"/>
  <c r="E28" i="3"/>
  <c r="F42" i="11"/>
  <c r="E42" i="3"/>
  <c r="F39" i="11"/>
  <c r="E39" i="3"/>
  <c r="F32" i="11"/>
  <c r="E32" i="3"/>
  <c r="F16" i="11"/>
  <c r="E16" i="3"/>
  <c r="F44" i="11"/>
  <c r="E44" i="3"/>
  <c r="F21" i="11"/>
  <c r="E21" i="3"/>
  <c r="F27" i="11"/>
  <c r="E27" i="3"/>
  <c r="F24" i="11"/>
  <c r="E24" i="3"/>
  <c r="E30" i="3"/>
  <c r="F19" i="11"/>
  <c r="E19" i="3"/>
  <c r="F23" i="11"/>
  <c r="E23" i="3"/>
  <c r="F40" i="11"/>
  <c r="E40" i="3"/>
  <c r="F41" i="11"/>
  <c r="E41" i="3"/>
  <c r="F17" i="11"/>
  <c r="F14" i="11"/>
  <c r="E14" i="3"/>
  <c r="F22" i="11"/>
  <c r="E22" i="3"/>
  <c r="F25" i="11"/>
  <c r="E25" i="3"/>
  <c r="F18" i="11"/>
  <c r="E18" i="3"/>
  <c r="F15" i="11"/>
  <c r="E15" i="3"/>
  <c r="F20" i="11"/>
  <c r="E20" i="3"/>
  <c r="F12" i="11"/>
  <c r="E12" i="3"/>
  <c r="E17" i="3"/>
  <c r="S37" i="4"/>
  <c r="T37" i="4" s="1"/>
  <c r="D20" i="2"/>
  <c r="E20" i="2" s="1"/>
  <c r="S12" i="4"/>
  <c r="T12" i="4" s="1"/>
  <c r="S36" i="4"/>
  <c r="T36" i="4" s="1"/>
  <c r="D71" i="2"/>
  <c r="E71" i="2" s="1"/>
  <c r="S30" i="4"/>
  <c r="T30" i="4" s="1"/>
  <c r="S93" i="4"/>
  <c r="T93" i="4" s="1"/>
  <c r="S29" i="4"/>
  <c r="T29" i="4" s="1"/>
  <c r="S80" i="4"/>
  <c r="T80" i="4" s="1"/>
  <c r="D58" i="2"/>
  <c r="E58" i="2" s="1"/>
  <c r="D61" i="2"/>
  <c r="E61" i="2" s="1"/>
  <c r="D49" i="2"/>
  <c r="E49" i="2" s="1"/>
  <c r="D95" i="2"/>
  <c r="E95" i="2" s="1"/>
  <c r="S18" i="4"/>
  <c r="T18" i="4" s="1"/>
  <c r="S82" i="4"/>
  <c r="T82" i="4" s="1"/>
  <c r="D21" i="2"/>
  <c r="E21" i="2" s="1"/>
  <c r="D44" i="2"/>
  <c r="E44" i="2" s="1"/>
  <c r="D10" i="2"/>
  <c r="E10" i="2" s="1"/>
  <c r="D31" i="2"/>
  <c r="E31" i="2" s="1"/>
  <c r="D9" i="2"/>
  <c r="E9" i="2" s="1"/>
  <c r="S63" i="4"/>
  <c r="T63" i="4" s="1"/>
  <c r="D111" i="2"/>
  <c r="E111" i="2" s="1"/>
  <c r="S74" i="4"/>
  <c r="T74" i="4" s="1"/>
  <c r="S84" i="4"/>
  <c r="T84" i="4" s="1"/>
  <c r="S44" i="4"/>
  <c r="T44" i="4" s="1"/>
  <c r="S111" i="4"/>
  <c r="T111" i="4" s="1"/>
  <c r="S50" i="4"/>
  <c r="T50" i="4" s="1"/>
  <c r="S89" i="4"/>
  <c r="T89" i="4" s="1"/>
  <c r="S19" i="4"/>
  <c r="T19" i="4" s="1"/>
  <c r="S87" i="4"/>
  <c r="T87" i="4" s="1"/>
  <c r="S70" i="4"/>
  <c r="T70" i="4" s="1"/>
  <c r="S108" i="4"/>
  <c r="T108" i="4" s="1"/>
  <c r="S99" i="4"/>
  <c r="T99" i="4" s="1"/>
  <c r="S92" i="4"/>
  <c r="T92" i="4" s="1"/>
  <c r="S35" i="4"/>
  <c r="T35" i="4" s="1"/>
  <c r="S22" i="4"/>
  <c r="T22" i="4" s="1"/>
  <c r="S28" i="4"/>
  <c r="T28" i="4" s="1"/>
  <c r="S76" i="4"/>
  <c r="T76" i="4" s="1"/>
  <c r="S43" i="4"/>
  <c r="T43" i="4" s="1"/>
  <c r="S73" i="4"/>
  <c r="T73" i="4" s="1"/>
  <c r="S39" i="4"/>
  <c r="T39" i="4" s="1"/>
  <c r="S104" i="4"/>
  <c r="T104" i="4" s="1"/>
  <c r="S66" i="4"/>
  <c r="T66" i="4" s="1"/>
  <c r="S14" i="4"/>
  <c r="T14" i="4" s="1"/>
  <c r="S71" i="4"/>
  <c r="T71" i="4" s="1"/>
  <c r="S78" i="4"/>
  <c r="T78" i="4" s="1"/>
  <c r="S102" i="4"/>
  <c r="T102" i="4" s="1"/>
  <c r="S72" i="4"/>
  <c r="T72" i="4" s="1"/>
  <c r="S95" i="4"/>
  <c r="T95" i="4" s="1"/>
  <c r="S42" i="4"/>
  <c r="T42" i="4" s="1"/>
  <c r="S114" i="4"/>
  <c r="T114" i="4" s="1"/>
  <c r="S97" i="4"/>
  <c r="T97" i="4" s="1"/>
  <c r="S88" i="4"/>
  <c r="T88" i="4" s="1"/>
  <c r="S48" i="4"/>
  <c r="T48" i="4" s="1"/>
  <c r="S103" i="4"/>
  <c r="T103" i="4" s="1"/>
  <c r="S49" i="4"/>
  <c r="T49" i="4" s="1"/>
  <c r="S110" i="4"/>
  <c r="T110" i="4" s="1"/>
  <c r="S47" i="4"/>
  <c r="T47" i="4" s="1"/>
  <c r="S53" i="4"/>
  <c r="T53" i="4" s="1"/>
  <c r="S23" i="4"/>
  <c r="T23" i="4" s="1"/>
  <c r="S7" i="4"/>
  <c r="T7" i="4" s="1"/>
  <c r="D22" i="2"/>
  <c r="E22" i="2" s="1"/>
  <c r="S62" i="4"/>
  <c r="T62" i="4" s="1"/>
  <c r="D7" i="2"/>
  <c r="E7" i="2" s="1"/>
  <c r="D73" i="2"/>
  <c r="E73" i="2" s="1"/>
  <c r="D24" i="2"/>
  <c r="E24" i="2" s="1"/>
  <c r="D25" i="2"/>
  <c r="E25" i="2" s="1"/>
  <c r="D68" i="2"/>
  <c r="E68" i="2" s="1"/>
  <c r="D34" i="2"/>
  <c r="E34" i="2" s="1"/>
  <c r="D88" i="2"/>
  <c r="E88" i="2" s="1"/>
  <c r="D92" i="2"/>
  <c r="E92" i="2" s="1"/>
  <c r="D105" i="2"/>
  <c r="E105" i="2" s="1"/>
  <c r="D18" i="2"/>
  <c r="E18" i="2" s="1"/>
  <c r="D74" i="2"/>
  <c r="E74" i="2" s="1"/>
  <c r="D69" i="2"/>
  <c r="E69" i="2" s="1"/>
  <c r="D106" i="2"/>
  <c r="E106" i="2" s="1"/>
  <c r="D96" i="2"/>
  <c r="E96" i="2" s="1"/>
  <c r="D64" i="2"/>
  <c r="E64" i="2" s="1"/>
  <c r="D36" i="2"/>
  <c r="E36" i="2" s="1"/>
  <c r="D12" i="2"/>
  <c r="E12" i="2" s="1"/>
  <c r="D29" i="2"/>
  <c r="E29" i="2" s="1"/>
  <c r="D57" i="2"/>
  <c r="E57" i="2" s="1"/>
  <c r="D40" i="2"/>
  <c r="E40" i="2" s="1"/>
  <c r="D27" i="2"/>
  <c r="E27" i="2" s="1"/>
  <c r="D23" i="2"/>
  <c r="E23" i="2" s="1"/>
  <c r="D39" i="2"/>
  <c r="E39" i="2" s="1"/>
  <c r="D104" i="2"/>
  <c r="E104" i="2" s="1"/>
  <c r="D108" i="2"/>
  <c r="E108" i="2" s="1"/>
  <c r="D72" i="2"/>
  <c r="E72" i="2" s="1"/>
  <c r="D51" i="2"/>
  <c r="E51" i="2" s="1"/>
  <c r="D35" i="2"/>
  <c r="E35" i="2" s="1"/>
  <c r="D94" i="2"/>
  <c r="E94" i="2" s="1"/>
  <c r="D81" i="2"/>
  <c r="E81" i="2" s="1"/>
  <c r="D93" i="2"/>
  <c r="E93" i="2" s="1"/>
  <c r="D87" i="2"/>
  <c r="E87" i="2" s="1"/>
  <c r="D38" i="2"/>
  <c r="E38" i="2" s="1"/>
  <c r="D97" i="2"/>
  <c r="E97" i="2" s="1"/>
  <c r="D59" i="2"/>
  <c r="E59" i="2" s="1"/>
  <c r="D90" i="2"/>
  <c r="E90" i="2" s="1"/>
  <c r="D48" i="2"/>
  <c r="E48" i="2" s="1"/>
  <c r="D79" i="2"/>
  <c r="E79" i="2" s="1"/>
  <c r="D42" i="2"/>
  <c r="E42" i="2" s="1"/>
  <c r="D101" i="2"/>
  <c r="E101" i="2" s="1"/>
  <c r="D85" i="2"/>
  <c r="E85" i="2" s="1"/>
  <c r="D43" i="2"/>
  <c r="E43" i="2" s="1"/>
  <c r="D41" i="2"/>
  <c r="E41" i="2" s="1"/>
  <c r="D75" i="2"/>
  <c r="E75" i="2" s="1"/>
  <c r="D62" i="2"/>
  <c r="E62" i="2" s="1"/>
  <c r="D8" i="2"/>
  <c r="E8" i="2" s="1"/>
  <c r="D86" i="2"/>
  <c r="E86" i="2" s="1"/>
  <c r="D65" i="2"/>
  <c r="E65" i="2" s="1"/>
  <c r="D53" i="2"/>
  <c r="E53" i="2" s="1"/>
  <c r="D14" i="2"/>
  <c r="E14" i="2" s="1"/>
  <c r="D17" i="2"/>
  <c r="E17" i="2" s="1"/>
  <c r="D91" i="2"/>
  <c r="E91" i="2" s="1"/>
  <c r="D37" i="2"/>
  <c r="E37" i="2" s="1"/>
  <c r="D11" i="2"/>
  <c r="E11" i="2" s="1"/>
  <c r="D70" i="2"/>
  <c r="E70" i="2" s="1"/>
  <c r="D83" i="2"/>
  <c r="E83" i="2" s="1"/>
  <c r="D52" i="2"/>
  <c r="E52" i="2" s="1"/>
  <c r="D77" i="2"/>
  <c r="E77" i="2" s="1"/>
  <c r="D66" i="2"/>
  <c r="E66" i="2" s="1"/>
  <c r="D98" i="2"/>
  <c r="E98" i="2" s="1"/>
  <c r="K68" i="11" l="1"/>
  <c r="I98" i="11"/>
  <c r="H334" i="12"/>
  <c r="J67" i="3"/>
  <c r="K67" i="3"/>
  <c r="K76" i="11"/>
  <c r="K75" i="3"/>
  <c r="I94" i="11"/>
  <c r="K92" i="3"/>
  <c r="H40" i="12"/>
  <c r="H395" i="12"/>
  <c r="H42" i="12"/>
  <c r="H38" i="12"/>
  <c r="I76" i="11"/>
  <c r="H43" i="12"/>
  <c r="H41" i="12"/>
  <c r="L76" i="11"/>
  <c r="L93" i="11"/>
  <c r="I93" i="11"/>
  <c r="K93" i="11"/>
  <c r="L99" i="11"/>
  <c r="K99" i="11"/>
  <c r="I99" i="11"/>
  <c r="H182" i="12"/>
  <c r="H98" i="3"/>
  <c r="I100" i="11"/>
  <c r="K100" i="11"/>
  <c r="J98" i="3"/>
  <c r="L100" i="11"/>
  <c r="H179" i="12"/>
  <c r="H190" i="12"/>
  <c r="H177" i="12"/>
  <c r="H396" i="12"/>
  <c r="H333" i="12"/>
  <c r="H332" i="12"/>
  <c r="H346" i="12"/>
  <c r="H85" i="3"/>
  <c r="J85" i="3"/>
  <c r="I87" i="11"/>
  <c r="K87" i="11"/>
  <c r="L87" i="11"/>
  <c r="H84" i="3"/>
  <c r="L86" i="11"/>
  <c r="K86" i="11"/>
  <c r="J84" i="3"/>
  <c r="I86" i="11"/>
  <c r="H83" i="3"/>
  <c r="I85" i="11"/>
  <c r="L85" i="11"/>
  <c r="J83" i="3"/>
  <c r="K85" i="11"/>
  <c r="F84" i="11"/>
  <c r="E82" i="3"/>
  <c r="K82" i="3" s="1"/>
  <c r="I223" i="4"/>
  <c r="E80" i="3"/>
  <c r="L81" i="11" s="1"/>
  <c r="F82" i="11"/>
  <c r="K105" i="11"/>
  <c r="H79" i="3"/>
  <c r="J79" i="3"/>
  <c r="H78" i="3"/>
  <c r="J78" i="3"/>
  <c r="K80" i="11"/>
  <c r="L80" i="11"/>
  <c r="I79" i="11"/>
  <c r="H77" i="3"/>
  <c r="J77" i="3"/>
  <c r="L79" i="11"/>
  <c r="K79" i="11"/>
  <c r="J92" i="3"/>
  <c r="H76" i="3"/>
  <c r="I78" i="11"/>
  <c r="J76" i="3"/>
  <c r="K78" i="11"/>
  <c r="L78" i="11"/>
  <c r="K94" i="11"/>
  <c r="H92" i="3"/>
  <c r="J75" i="3"/>
  <c r="L77" i="11"/>
  <c r="H75" i="3"/>
  <c r="K77" i="11"/>
  <c r="I77" i="11"/>
  <c r="L94" i="11"/>
  <c r="I660" i="4"/>
  <c r="I661" i="4"/>
  <c r="I662" i="4"/>
  <c r="I663" i="4"/>
  <c r="I626" i="4"/>
  <c r="I622" i="4"/>
  <c r="I624" i="4"/>
  <c r="I625" i="4"/>
  <c r="I623" i="4"/>
  <c r="I284" i="4"/>
  <c r="I286" i="4"/>
  <c r="I285" i="4"/>
  <c r="I225" i="4"/>
  <c r="I224" i="4"/>
  <c r="I183" i="4"/>
  <c r="I175" i="4"/>
  <c r="F73" i="11"/>
  <c r="K73" i="11"/>
  <c r="L68" i="11"/>
  <c r="I68" i="11"/>
  <c r="K72" i="11"/>
  <c r="I72" i="11"/>
  <c r="L72" i="11"/>
  <c r="E69" i="3"/>
  <c r="K69" i="3" s="1"/>
  <c r="I174" i="4"/>
  <c r="I180" i="4"/>
  <c r="I185" i="4"/>
  <c r="I182" i="4"/>
  <c r="I176" i="4"/>
  <c r="I186" i="4"/>
  <c r="I188" i="4"/>
  <c r="I173" i="4"/>
  <c r="I179" i="4"/>
  <c r="I187" i="4"/>
  <c r="I184" i="4"/>
  <c r="I189" i="4"/>
  <c r="I181" i="4"/>
  <c r="I178" i="4"/>
  <c r="F71" i="11"/>
  <c r="I177" i="4"/>
  <c r="K69" i="11"/>
  <c r="H68" i="3"/>
  <c r="J68" i="3"/>
  <c r="H67" i="3"/>
  <c r="L69" i="11"/>
  <c r="I69" i="11"/>
  <c r="H288" i="12"/>
  <c r="H331" i="12"/>
  <c r="H394" i="12"/>
  <c r="H234" i="12"/>
  <c r="H330" i="12"/>
  <c r="H231" i="12"/>
  <c r="H287" i="12"/>
  <c r="H359" i="12"/>
  <c r="H289" i="12"/>
  <c r="H320" i="12"/>
  <c r="H345" i="12"/>
  <c r="H321" i="12"/>
  <c r="H410" i="12"/>
  <c r="H233" i="12"/>
  <c r="H189" i="12"/>
  <c r="H235" i="12"/>
  <c r="H343" i="12"/>
  <c r="H342" i="12"/>
  <c r="H411" i="12"/>
  <c r="H224" i="12"/>
  <c r="H232" i="12"/>
  <c r="H412" i="12"/>
  <c r="H409" i="12"/>
  <c r="H66" i="3"/>
  <c r="I67" i="11"/>
  <c r="K67" i="11"/>
  <c r="L67" i="11"/>
  <c r="J66" i="3"/>
  <c r="H33" i="12"/>
  <c r="I242" i="4"/>
  <c r="H348" i="12"/>
  <c r="I241" i="4"/>
  <c r="I237" i="4"/>
  <c r="H184" i="12"/>
  <c r="E38" i="3"/>
  <c r="K38" i="3" s="1"/>
  <c r="H185" i="12"/>
  <c r="H188" i="12"/>
  <c r="H36" i="12"/>
  <c r="H186" i="12"/>
  <c r="H347" i="12"/>
  <c r="I441" i="4"/>
  <c r="I238" i="4"/>
  <c r="H338" i="12"/>
  <c r="I439" i="4"/>
  <c r="F38" i="11"/>
  <c r="H187" i="12"/>
  <c r="I440" i="4"/>
  <c r="H397" i="12"/>
  <c r="H229" i="12"/>
  <c r="I240" i="4"/>
  <c r="J65" i="3"/>
  <c r="I239" i="4"/>
  <c r="H349" i="12"/>
  <c r="H32" i="12"/>
  <c r="H35" i="12"/>
  <c r="H306" i="12"/>
  <c r="H223" i="12"/>
  <c r="I438" i="4"/>
  <c r="H408" i="12"/>
  <c r="H339" i="12"/>
  <c r="H336" i="12"/>
  <c r="E13" i="3"/>
  <c r="H37" i="12"/>
  <c r="H337" i="12"/>
  <c r="K65" i="3"/>
  <c r="F13" i="11"/>
  <c r="H335" i="12"/>
  <c r="I437" i="4"/>
  <c r="J15" i="3"/>
  <c r="K15" i="3"/>
  <c r="J14" i="3"/>
  <c r="K14" i="3"/>
  <c r="J24" i="3"/>
  <c r="K24" i="3"/>
  <c r="J23" i="3"/>
  <c r="K23" i="3"/>
  <c r="J61" i="3"/>
  <c r="K61" i="3"/>
  <c r="J55" i="3"/>
  <c r="K55" i="3"/>
  <c r="J20" i="3"/>
  <c r="K20" i="3"/>
  <c r="J18" i="3"/>
  <c r="K18" i="3"/>
  <c r="K22" i="3"/>
  <c r="J22" i="3"/>
  <c r="J27" i="3"/>
  <c r="K27" i="3"/>
  <c r="J44" i="3"/>
  <c r="K44" i="3"/>
  <c r="J32" i="3"/>
  <c r="K32" i="3"/>
  <c r="J42" i="3"/>
  <c r="K42" i="3"/>
  <c r="J33" i="3"/>
  <c r="K33" i="3"/>
  <c r="H34" i="3"/>
  <c r="J34" i="3"/>
  <c r="K34" i="3"/>
  <c r="L29" i="11"/>
  <c r="J29" i="3"/>
  <c r="K29" i="3"/>
  <c r="J12" i="3"/>
  <c r="K12" i="3"/>
  <c r="J25" i="3"/>
  <c r="K25" i="3"/>
  <c r="J41" i="3"/>
  <c r="K41" i="3"/>
  <c r="K30" i="3"/>
  <c r="J30" i="3"/>
  <c r="H31" i="3"/>
  <c r="J31" i="3"/>
  <c r="K31" i="3"/>
  <c r="J17" i="3"/>
  <c r="K17" i="3"/>
  <c r="J40" i="3"/>
  <c r="K40" i="3"/>
  <c r="J19" i="3"/>
  <c r="K19" i="3"/>
  <c r="J56" i="3"/>
  <c r="K56" i="3"/>
  <c r="J21" i="3"/>
  <c r="K21" i="3"/>
  <c r="J16" i="3"/>
  <c r="K16" i="3"/>
  <c r="J39" i="3"/>
  <c r="K39" i="3"/>
  <c r="J28" i="3"/>
  <c r="K28" i="3"/>
  <c r="J45" i="3"/>
  <c r="K45" i="3"/>
  <c r="J60" i="3"/>
  <c r="K60" i="3"/>
  <c r="J49" i="3"/>
  <c r="K49" i="3"/>
  <c r="H366" i="12"/>
  <c r="H367" i="12"/>
  <c r="H364" i="12"/>
  <c r="H318" i="12"/>
  <c r="H221" i="12"/>
  <c r="H368" i="12"/>
  <c r="H222" i="12"/>
  <c r="H220" i="12"/>
  <c r="H365" i="12"/>
  <c r="H317" i="12"/>
  <c r="H319" i="12"/>
  <c r="H407" i="12"/>
  <c r="H226" i="12"/>
  <c r="H230" i="12"/>
  <c r="H227" i="12"/>
  <c r="H398" i="12"/>
  <c r="H399" i="12"/>
  <c r="H404" i="12"/>
  <c r="H358" i="12"/>
  <c r="H219" i="12"/>
  <c r="H163" i="12"/>
  <c r="H225" i="12"/>
  <c r="H228" i="12"/>
  <c r="H400" i="12"/>
  <c r="H406" i="12"/>
  <c r="H405" i="12"/>
  <c r="H303" i="12"/>
  <c r="H316" i="12"/>
  <c r="H350" i="12"/>
  <c r="H305" i="12"/>
  <c r="H164" i="12"/>
  <c r="H357" i="12"/>
  <c r="H310" i="12"/>
  <c r="H315" i="12"/>
  <c r="H304" i="12"/>
  <c r="H309" i="12"/>
  <c r="H314" i="12"/>
  <c r="H165" i="12"/>
  <c r="H362" i="12"/>
  <c r="H260" i="12"/>
  <c r="H302" i="12"/>
  <c r="H402" i="12"/>
  <c r="H363" i="12"/>
  <c r="H301" i="12"/>
  <c r="H360" i="12"/>
  <c r="H307" i="12"/>
  <c r="H311" i="12"/>
  <c r="H313" i="12"/>
  <c r="H361" i="12"/>
  <c r="H308" i="12"/>
  <c r="H312" i="12"/>
  <c r="H401" i="12"/>
  <c r="H403" i="12"/>
  <c r="H299" i="12"/>
  <c r="I460" i="4"/>
  <c r="H286" i="12"/>
  <c r="H329" i="12"/>
  <c r="H356" i="12"/>
  <c r="I615" i="4"/>
  <c r="F59" i="11"/>
  <c r="I629" i="4"/>
  <c r="I398" i="4"/>
  <c r="H426" i="12"/>
  <c r="I476" i="4"/>
  <c r="H421" i="12"/>
  <c r="I473" i="4"/>
  <c r="I18" i="4"/>
  <c r="I554" i="4"/>
  <c r="I353" i="4"/>
  <c r="I464" i="4"/>
  <c r="I228" i="4"/>
  <c r="I349" i="4"/>
  <c r="I32" i="4"/>
  <c r="I351" i="4"/>
  <c r="I418" i="4"/>
  <c r="F63" i="11"/>
  <c r="I21" i="4"/>
  <c r="I361" i="4"/>
  <c r="I388" i="4"/>
  <c r="I632" i="4"/>
  <c r="I346" i="4"/>
  <c r="I463" i="4"/>
  <c r="I8" i="4"/>
  <c r="I66" i="4"/>
  <c r="H414" i="12"/>
  <c r="I9" i="4"/>
  <c r="I458" i="4"/>
  <c r="I64" i="4"/>
  <c r="I10" i="4"/>
  <c r="I11" i="4"/>
  <c r="I415" i="4"/>
  <c r="I57" i="4"/>
  <c r="I61" i="4"/>
  <c r="I67" i="4"/>
  <c r="H413" i="12"/>
  <c r="I517" i="4"/>
  <c r="I394" i="4"/>
  <c r="I387" i="4"/>
  <c r="I399" i="4"/>
  <c r="I391" i="4"/>
  <c r="I389" i="4"/>
  <c r="I395" i="4"/>
  <c r="I397" i="4"/>
  <c r="I393" i="4"/>
  <c r="I390" i="4"/>
  <c r="I553" i="4"/>
  <c r="I385" i="4"/>
  <c r="I619" i="4"/>
  <c r="I62" i="4"/>
  <c r="I459" i="4"/>
  <c r="I30" i="4"/>
  <c r="I420" i="4"/>
  <c r="I423" i="4"/>
  <c r="I479" i="4"/>
  <c r="I424" i="4"/>
  <c r="I69" i="4"/>
  <c r="I491" i="4"/>
  <c r="I495" i="4"/>
  <c r="I494" i="4"/>
  <c r="I492" i="4"/>
  <c r="I497" i="4"/>
  <c r="I496" i="4"/>
  <c r="I493" i="4"/>
  <c r="I474" i="4"/>
  <c r="I471" i="4"/>
  <c r="I664" i="4"/>
  <c r="I666" i="4"/>
  <c r="I667" i="4"/>
  <c r="I665" i="4"/>
  <c r="I617" i="4"/>
  <c r="I620" i="4"/>
  <c r="I618" i="4"/>
  <c r="I616" i="4"/>
  <c r="I614" i="4"/>
  <c r="I299" i="4"/>
  <c r="I300" i="4"/>
  <c r="I298" i="4"/>
  <c r="I292" i="4"/>
  <c r="I294" i="4"/>
  <c r="I291" i="4"/>
  <c r="I290" i="4"/>
  <c r="I293" i="4"/>
  <c r="I422" i="4"/>
  <c r="I362" i="4"/>
  <c r="I364" i="4"/>
  <c r="I507" i="4"/>
  <c r="I508" i="4"/>
  <c r="I506" i="4"/>
  <c r="I504" i="4"/>
  <c r="I503" i="4"/>
  <c r="I510" i="4"/>
  <c r="I505" i="4"/>
  <c r="I509" i="4"/>
  <c r="I39" i="4"/>
  <c r="I20" i="4"/>
  <c r="I518" i="4"/>
  <c r="I520" i="4"/>
  <c r="I419" i="4"/>
  <c r="I481" i="4"/>
  <c r="I472" i="4"/>
  <c r="I552" i="4"/>
  <c r="I556" i="4"/>
  <c r="I227" i="4"/>
  <c r="H416" i="12"/>
  <c r="I627" i="4"/>
  <c r="I631" i="4"/>
  <c r="I333" i="4"/>
  <c r="I335" i="4"/>
  <c r="I334" i="4"/>
  <c r="I336" i="4"/>
  <c r="I628" i="4"/>
  <c r="H415" i="12"/>
  <c r="I226" i="4"/>
  <c r="I421" i="4"/>
  <c r="I365" i="4"/>
  <c r="I575" i="4"/>
  <c r="I576" i="4"/>
  <c r="I283" i="4"/>
  <c r="I282" i="4"/>
  <c r="I280" i="4"/>
  <c r="I279" i="4"/>
  <c r="I281" i="4"/>
  <c r="I555" i="4"/>
  <c r="I392" i="4"/>
  <c r="I396" i="4"/>
  <c r="I630" i="4"/>
  <c r="I65" i="4"/>
  <c r="I63" i="4"/>
  <c r="I363" i="4"/>
  <c r="I22" i="4"/>
  <c r="I522" i="4"/>
  <c r="I417" i="4"/>
  <c r="I414" i="4"/>
  <c r="I416" i="4"/>
  <c r="I478" i="4"/>
  <c r="I425" i="4"/>
  <c r="I461" i="4"/>
  <c r="I483" i="4"/>
  <c r="I480" i="4"/>
  <c r="I477" i="4"/>
  <c r="I475" i="4"/>
  <c r="I482" i="4"/>
  <c r="I560" i="4"/>
  <c r="I562" i="4"/>
  <c r="I561" i="4"/>
  <c r="I658" i="4"/>
  <c r="I655" i="4"/>
  <c r="I659" i="4"/>
  <c r="I656" i="4"/>
  <c r="I657" i="4"/>
  <c r="I221" i="4"/>
  <c r="I222" i="4"/>
  <c r="I218" i="4"/>
  <c r="I220" i="4"/>
  <c r="I219" i="4"/>
  <c r="I462" i="4"/>
  <c r="I289" i="4"/>
  <c r="I288" i="4"/>
  <c r="I287" i="4"/>
  <c r="I568" i="4"/>
  <c r="I569" i="4"/>
  <c r="I570" i="4"/>
  <c r="I28" i="4"/>
  <c r="I27" i="4"/>
  <c r="I26" i="4"/>
  <c r="I352" i="4"/>
  <c r="I350" i="4"/>
  <c r="I348" i="4"/>
  <c r="I42" i="4"/>
  <c r="I36" i="4"/>
  <c r="I33" i="4"/>
  <c r="I40" i="4"/>
  <c r="I43" i="4"/>
  <c r="I38" i="4"/>
  <c r="I41" i="4"/>
  <c r="I31" i="4"/>
  <c r="I35" i="4"/>
  <c r="I34" i="4"/>
  <c r="I37" i="4"/>
  <c r="I519" i="4"/>
  <c r="I386" i="4"/>
  <c r="I59" i="4"/>
  <c r="I68" i="4"/>
  <c r="I60" i="4"/>
  <c r="I367" i="4"/>
  <c r="I29" i="4"/>
  <c r="I19" i="4"/>
  <c r="I521" i="4"/>
  <c r="I413" i="4"/>
  <c r="I340" i="4"/>
  <c r="I339" i="4"/>
  <c r="I470" i="4"/>
  <c r="I347" i="4"/>
  <c r="I58" i="4"/>
  <c r="H352" i="12"/>
  <c r="H428" i="12"/>
  <c r="H429" i="12"/>
  <c r="H423" i="12"/>
  <c r="H430" i="12"/>
  <c r="H424" i="12"/>
  <c r="H427" i="12"/>
  <c r="H431" i="12"/>
  <c r="H425" i="12"/>
  <c r="H422" i="12"/>
  <c r="H418" i="12"/>
  <c r="H419" i="12"/>
  <c r="H420" i="12"/>
  <c r="H417" i="12"/>
  <c r="E37" i="3"/>
  <c r="H21" i="12"/>
  <c r="H322" i="12"/>
  <c r="H371" i="12"/>
  <c r="F9" i="11"/>
  <c r="H49" i="3"/>
  <c r="I49" i="11"/>
  <c r="K49" i="11"/>
  <c r="L49" i="11"/>
  <c r="H26" i="12"/>
  <c r="F64" i="11"/>
  <c r="H327" i="12"/>
  <c r="H324" i="12"/>
  <c r="H280" i="12"/>
  <c r="H133" i="12"/>
  <c r="H277" i="12"/>
  <c r="H392" i="12"/>
  <c r="F35" i="11"/>
  <c r="H354" i="12"/>
  <c r="H353" i="12"/>
  <c r="H381" i="12"/>
  <c r="H370" i="12"/>
  <c r="H393" i="12"/>
  <c r="F37" i="11"/>
  <c r="H355" i="12"/>
  <c r="H351" i="12"/>
  <c r="H380" i="12"/>
  <c r="H389" i="12"/>
  <c r="H390" i="12"/>
  <c r="F54" i="11"/>
  <c r="H388" i="12"/>
  <c r="H391" i="12"/>
  <c r="E64" i="3"/>
  <c r="F60" i="11"/>
  <c r="F58" i="11"/>
  <c r="H29" i="3"/>
  <c r="H383" i="12"/>
  <c r="H375" i="12"/>
  <c r="H382" i="12"/>
  <c r="H372" i="12"/>
  <c r="H373" i="12"/>
  <c r="K29" i="11"/>
  <c r="F52" i="11"/>
  <c r="H376" i="12"/>
  <c r="H385" i="12"/>
  <c r="H377" i="12"/>
  <c r="H384" i="12"/>
  <c r="H374" i="12"/>
  <c r="H369" i="12"/>
  <c r="E63" i="3"/>
  <c r="H297" i="12"/>
  <c r="E52" i="3"/>
  <c r="I29" i="11"/>
  <c r="H378" i="12"/>
  <c r="H387" i="12"/>
  <c r="H379" i="12"/>
  <c r="H386" i="12"/>
  <c r="E57" i="3"/>
  <c r="I44" i="11" s="1"/>
  <c r="F51" i="11"/>
  <c r="E53" i="3"/>
  <c r="E51" i="3"/>
  <c r="F66" i="11"/>
  <c r="H55" i="3"/>
  <c r="I56" i="11"/>
  <c r="F55" i="11"/>
  <c r="E54" i="3"/>
  <c r="F65" i="11"/>
  <c r="E58" i="3"/>
  <c r="E62" i="3"/>
  <c r="L62" i="11" s="1"/>
  <c r="H56" i="3"/>
  <c r="L57" i="11"/>
  <c r="H61" i="3"/>
  <c r="F53" i="11"/>
  <c r="F61" i="11"/>
  <c r="E59" i="3"/>
  <c r="K71" i="11" s="1"/>
  <c r="E50" i="3"/>
  <c r="H60" i="3"/>
  <c r="I62" i="11"/>
  <c r="K31" i="11"/>
  <c r="H276" i="12"/>
  <c r="H19" i="12"/>
  <c r="H134" i="12"/>
  <c r="H17" i="12"/>
  <c r="H20" i="12"/>
  <c r="L31" i="11"/>
  <c r="H275" i="12"/>
  <c r="H243" i="12"/>
  <c r="H214" i="12"/>
  <c r="H169" i="12"/>
  <c r="H9" i="12"/>
  <c r="H272" i="12"/>
  <c r="F48" i="11"/>
  <c r="H218" i="12"/>
  <c r="E11" i="3"/>
  <c r="H248" i="12"/>
  <c r="H264" i="12"/>
  <c r="H208" i="12"/>
  <c r="H170" i="12"/>
  <c r="E26" i="3"/>
  <c r="H241" i="12"/>
  <c r="H175" i="12"/>
  <c r="H209" i="12"/>
  <c r="H213" i="12"/>
  <c r="H206" i="12"/>
  <c r="H207" i="12"/>
  <c r="H8" i="12"/>
  <c r="H174" i="12"/>
  <c r="I33" i="11"/>
  <c r="L33" i="11"/>
  <c r="H250" i="12"/>
  <c r="H173" i="12"/>
  <c r="H249" i="12"/>
  <c r="H239" i="12"/>
  <c r="H290" i="12"/>
  <c r="H13" i="12"/>
  <c r="E43" i="3"/>
  <c r="K57" i="11" s="1"/>
  <c r="H274" i="12"/>
  <c r="F47" i="11"/>
  <c r="H131" i="12"/>
  <c r="H294" i="12"/>
  <c r="H271" i="12"/>
  <c r="E7" i="3"/>
  <c r="F7" i="11"/>
  <c r="E46" i="3"/>
  <c r="H247" i="12"/>
  <c r="H132" i="12"/>
  <c r="H269" i="12"/>
  <c r="H273" i="12"/>
  <c r="H245" i="12"/>
  <c r="H282" i="12"/>
  <c r="E9" i="3"/>
  <c r="H270" i="12"/>
  <c r="H135" i="12"/>
  <c r="E35" i="3"/>
  <c r="L56" i="11" s="1"/>
  <c r="F46" i="11"/>
  <c r="H246" i="12"/>
  <c r="H237" i="12"/>
  <c r="H236" i="12"/>
  <c r="H296" i="12"/>
  <c r="H240" i="12"/>
  <c r="H22" i="12"/>
  <c r="H171" i="12"/>
  <c r="H265" i="12"/>
  <c r="H24" i="12"/>
  <c r="H30" i="12"/>
  <c r="H281" i="12"/>
  <c r="F26" i="11"/>
  <c r="H31" i="12"/>
  <c r="H7" i="12"/>
  <c r="H285" i="12"/>
  <c r="H211" i="12"/>
  <c r="E10" i="3"/>
  <c r="F36" i="11"/>
  <c r="H28" i="12"/>
  <c r="H25" i="12"/>
  <c r="H18" i="12"/>
  <c r="H11" i="12"/>
  <c r="H10" i="12"/>
  <c r="H283" i="12"/>
  <c r="H278" i="12"/>
  <c r="H167" i="12"/>
  <c r="H291" i="12"/>
  <c r="I31" i="11"/>
  <c r="H212" i="12"/>
  <c r="H215" i="12"/>
  <c r="H33" i="3"/>
  <c r="H326" i="12"/>
  <c r="L45" i="11"/>
  <c r="H45" i="3"/>
  <c r="H268" i="12"/>
  <c r="F8" i="11"/>
  <c r="F43" i="11"/>
  <c r="H284" i="12"/>
  <c r="H166" i="12"/>
  <c r="H216" i="12"/>
  <c r="I45" i="11"/>
  <c r="E8" i="3"/>
  <c r="I7" i="4"/>
  <c r="E47" i="3"/>
  <c r="F10" i="11"/>
  <c r="E48" i="3"/>
  <c r="I34" i="11" s="1"/>
  <c r="H266" i="12"/>
  <c r="H23" i="12"/>
  <c r="H27" i="12"/>
  <c r="H29" i="12"/>
  <c r="H279" i="12"/>
  <c r="H168" i="12"/>
  <c r="H217" i="12"/>
  <c r="H292" i="12"/>
  <c r="H325" i="12"/>
  <c r="H262" i="12"/>
  <c r="H172" i="12"/>
  <c r="H328" i="12"/>
  <c r="H323" i="12"/>
  <c r="K33" i="11"/>
  <c r="L34" i="11"/>
  <c r="K45" i="11"/>
  <c r="H15" i="12"/>
  <c r="H293" i="12"/>
  <c r="H12" i="12"/>
  <c r="H14" i="12"/>
  <c r="H298" i="12"/>
  <c r="H263" i="12"/>
  <c r="H16" i="12"/>
  <c r="H267" i="12"/>
  <c r="H242" i="12"/>
  <c r="H244" i="12"/>
  <c r="E36" i="3"/>
  <c r="H295" i="12"/>
  <c r="H238" i="12"/>
  <c r="S101" i="4"/>
  <c r="T101" i="4" s="1"/>
  <c r="D76" i="2"/>
  <c r="E76" i="2" s="1"/>
  <c r="S46" i="4"/>
  <c r="T46" i="4" s="1"/>
  <c r="D107" i="2"/>
  <c r="E107" i="2" s="1"/>
  <c r="D82" i="2"/>
  <c r="E82" i="2" s="1"/>
  <c r="D26" i="2"/>
  <c r="E26" i="2" s="1"/>
  <c r="D60" i="2"/>
  <c r="E60" i="2" s="1"/>
  <c r="D50" i="2"/>
  <c r="E50" i="2" s="1"/>
  <c r="D33" i="2"/>
  <c r="E33" i="2" s="1"/>
  <c r="D13" i="2"/>
  <c r="E13" i="2" s="1"/>
  <c r="S100" i="4"/>
  <c r="T100" i="4" s="1"/>
  <c r="H17" i="3"/>
  <c r="I17" i="11"/>
  <c r="K17" i="11"/>
  <c r="L17" i="11"/>
  <c r="H12" i="3"/>
  <c r="I12" i="11"/>
  <c r="K12" i="11"/>
  <c r="L12" i="11"/>
  <c r="H15" i="3"/>
  <c r="I15" i="11"/>
  <c r="K15" i="11"/>
  <c r="L15" i="11"/>
  <c r="H25" i="3"/>
  <c r="L25" i="11"/>
  <c r="I25" i="11"/>
  <c r="K25" i="11"/>
  <c r="I14" i="11"/>
  <c r="K14" i="11"/>
  <c r="L14" i="11"/>
  <c r="H14" i="3"/>
  <c r="L40" i="11"/>
  <c r="I40" i="11"/>
  <c r="K40" i="11"/>
  <c r="H40" i="3"/>
  <c r="H19" i="3"/>
  <c r="I19" i="11"/>
  <c r="K19" i="11"/>
  <c r="L19" i="11"/>
  <c r="H30" i="3"/>
  <c r="L30" i="11"/>
  <c r="L21" i="11"/>
  <c r="H21" i="3"/>
  <c r="H16" i="3"/>
  <c r="I16" i="11"/>
  <c r="K16" i="11"/>
  <c r="L16" i="11"/>
  <c r="L32" i="11"/>
  <c r="H32" i="3"/>
  <c r="I32" i="11"/>
  <c r="K32" i="11"/>
  <c r="I39" i="11"/>
  <c r="K39" i="11"/>
  <c r="H39" i="3"/>
  <c r="L39" i="11"/>
  <c r="L20" i="11"/>
  <c r="L24" i="11"/>
  <c r="I24" i="11"/>
  <c r="K24" i="11"/>
  <c r="H24" i="3"/>
  <c r="L28" i="11"/>
  <c r="I28" i="11"/>
  <c r="K28" i="11"/>
  <c r="H28" i="3"/>
  <c r="H20" i="3"/>
  <c r="I20" i="11"/>
  <c r="K20" i="11"/>
  <c r="I18" i="11"/>
  <c r="K18" i="11"/>
  <c r="L18" i="11"/>
  <c r="H18" i="3"/>
  <c r="I22" i="11"/>
  <c r="K22" i="11"/>
  <c r="L22" i="11"/>
  <c r="H22" i="3"/>
  <c r="L41" i="11"/>
  <c r="H41" i="3"/>
  <c r="I41" i="11"/>
  <c r="K41" i="11"/>
  <c r="L23" i="11"/>
  <c r="H23" i="3"/>
  <c r="I23" i="11"/>
  <c r="K23" i="11"/>
  <c r="I27" i="11"/>
  <c r="K27" i="11"/>
  <c r="L27" i="11"/>
  <c r="H27" i="3"/>
  <c r="L44" i="11"/>
  <c r="H44" i="3"/>
  <c r="H42" i="3"/>
  <c r="L42" i="11"/>
  <c r="I42" i="11"/>
  <c r="K42" i="11"/>
  <c r="D32" i="2"/>
  <c r="E32" i="2" s="1"/>
  <c r="F7" i="5"/>
  <c r="S75" i="4"/>
  <c r="T75" i="4" s="1"/>
  <c r="K62" i="11" l="1"/>
  <c r="I80" i="11"/>
  <c r="K81" i="11"/>
  <c r="I81" i="11"/>
  <c r="K80" i="3"/>
  <c r="I83" i="11"/>
  <c r="L83" i="11"/>
  <c r="K83" i="11"/>
  <c r="I70" i="11"/>
  <c r="J82" i="3"/>
  <c r="K84" i="11"/>
  <c r="L84" i="11"/>
  <c r="I84" i="11"/>
  <c r="H82" i="3"/>
  <c r="L82" i="11"/>
  <c r="H80" i="3"/>
  <c r="J80" i="3"/>
  <c r="K82" i="11"/>
  <c r="I82" i="11"/>
  <c r="L73" i="11"/>
  <c r="I73" i="11"/>
  <c r="H69" i="3"/>
  <c r="I57" i="11"/>
  <c r="K44" i="11"/>
  <c r="K30" i="11"/>
  <c r="K56" i="11"/>
  <c r="L71" i="11"/>
  <c r="I71" i="11"/>
  <c r="L70" i="11"/>
  <c r="J13" i="3"/>
  <c r="K50" i="11"/>
  <c r="L50" i="11"/>
  <c r="I50" i="11"/>
  <c r="K21" i="11"/>
  <c r="K34" i="11"/>
  <c r="I21" i="11"/>
  <c r="I30" i="11"/>
  <c r="K70" i="11"/>
  <c r="J69" i="3"/>
  <c r="J38" i="3"/>
  <c r="H38" i="3"/>
  <c r="K38" i="11"/>
  <c r="I38" i="11"/>
  <c r="L38" i="11"/>
  <c r="I13" i="11"/>
  <c r="H13" i="3"/>
  <c r="L13" i="11"/>
  <c r="K13" i="11"/>
  <c r="K13" i="3"/>
  <c r="H8" i="3"/>
  <c r="J8" i="3"/>
  <c r="K8" i="3"/>
  <c r="J11" i="3"/>
  <c r="K11" i="3"/>
  <c r="J54" i="3"/>
  <c r="K54" i="3"/>
  <c r="J52" i="3"/>
  <c r="K52" i="3"/>
  <c r="J46" i="3"/>
  <c r="K46" i="3"/>
  <c r="L63" i="11"/>
  <c r="J62" i="3"/>
  <c r="K62" i="3"/>
  <c r="K47" i="11"/>
  <c r="J47" i="3"/>
  <c r="K47" i="3"/>
  <c r="H9" i="3"/>
  <c r="J9" i="3"/>
  <c r="K9" i="3"/>
  <c r="J26" i="3"/>
  <c r="K26" i="3"/>
  <c r="L59" i="11"/>
  <c r="J58" i="3"/>
  <c r="K58" i="3"/>
  <c r="J57" i="3"/>
  <c r="K57" i="3"/>
  <c r="H63" i="3"/>
  <c r="J63" i="3"/>
  <c r="K63" i="3"/>
  <c r="I48" i="11"/>
  <c r="J48" i="3"/>
  <c r="K48" i="3"/>
  <c r="J50" i="3"/>
  <c r="K50" i="3"/>
  <c r="J53" i="3"/>
  <c r="K53" i="3"/>
  <c r="H10" i="3"/>
  <c r="J10" i="3"/>
  <c r="K10" i="3"/>
  <c r="L43" i="11"/>
  <c r="J43" i="3"/>
  <c r="K43" i="3"/>
  <c r="J59" i="3"/>
  <c r="K59" i="3"/>
  <c r="J36" i="3"/>
  <c r="K36" i="3"/>
  <c r="J35" i="3"/>
  <c r="K35" i="3"/>
  <c r="I7" i="11"/>
  <c r="J7" i="3"/>
  <c r="K7" i="3"/>
  <c r="J51" i="3"/>
  <c r="K51" i="3"/>
  <c r="K66" i="11"/>
  <c r="J64" i="3"/>
  <c r="K64" i="3"/>
  <c r="J37" i="3"/>
  <c r="K37" i="3"/>
  <c r="I37" i="11"/>
  <c r="L37" i="11"/>
  <c r="H37" i="3"/>
  <c r="K37" i="11"/>
  <c r="K63" i="11"/>
  <c r="I63" i="11"/>
  <c r="K59" i="11"/>
  <c r="I59" i="11"/>
  <c r="L66" i="11"/>
  <c r="H64" i="3"/>
  <c r="I66" i="11"/>
  <c r="I53" i="11"/>
  <c r="K53" i="11"/>
  <c r="L53" i="11"/>
  <c r="H52" i="3"/>
  <c r="I65" i="11"/>
  <c r="K65" i="11"/>
  <c r="L65" i="11"/>
  <c r="H59" i="3"/>
  <c r="L61" i="11"/>
  <c r="I61" i="11"/>
  <c r="K61" i="11"/>
  <c r="H62" i="3"/>
  <c r="I64" i="11"/>
  <c r="L64" i="11"/>
  <c r="K64" i="11"/>
  <c r="H54" i="3"/>
  <c r="L55" i="11"/>
  <c r="K55" i="11"/>
  <c r="I55" i="11"/>
  <c r="H57" i="3"/>
  <c r="L58" i="11"/>
  <c r="K58" i="11"/>
  <c r="I58" i="11"/>
  <c r="I60" i="11"/>
  <c r="L60" i="11"/>
  <c r="K60" i="11"/>
  <c r="H58" i="3"/>
  <c r="H51" i="3"/>
  <c r="L52" i="11"/>
  <c r="I52" i="11"/>
  <c r="K52" i="11"/>
  <c r="H50" i="3"/>
  <c r="K51" i="11"/>
  <c r="L51" i="11"/>
  <c r="I51" i="11"/>
  <c r="H53" i="3"/>
  <c r="I54" i="11"/>
  <c r="K54" i="11"/>
  <c r="L54" i="11"/>
  <c r="I26" i="11"/>
  <c r="H26" i="3"/>
  <c r="K26" i="11"/>
  <c r="L26" i="11"/>
  <c r="I43" i="11"/>
  <c r="H11" i="3"/>
  <c r="L48" i="11"/>
  <c r="H48" i="3"/>
  <c r="K7" i="11"/>
  <c r="L7" i="11"/>
  <c r="H7" i="3"/>
  <c r="I36" i="11"/>
  <c r="I9" i="11"/>
  <c r="K46" i="11"/>
  <c r="K43" i="11"/>
  <c r="K8" i="11"/>
  <c r="K10" i="11"/>
  <c r="I10" i="11"/>
  <c r="K48" i="11"/>
  <c r="L10" i="11"/>
  <c r="H43" i="3"/>
  <c r="L47" i="11"/>
  <c r="H46" i="3"/>
  <c r="L35" i="11"/>
  <c r="L46" i="11"/>
  <c r="K9" i="11"/>
  <c r="H47" i="3"/>
  <c r="L9" i="11"/>
  <c r="K35" i="11"/>
  <c r="I46" i="11"/>
  <c r="I35" i="11"/>
  <c r="L8" i="11"/>
  <c r="L36" i="11"/>
  <c r="I8" i="11"/>
  <c r="H35" i="3"/>
  <c r="I47" i="11"/>
  <c r="H36" i="3"/>
  <c r="K36" i="11"/>
</calcChain>
</file>

<file path=xl/sharedStrings.xml><?xml version="1.0" encoding="utf-8"?>
<sst xmlns="http://schemas.openxmlformats.org/spreadsheetml/2006/main" count="5035" uniqueCount="681">
  <si>
    <t>S.NO</t>
  </si>
  <si>
    <t>Ingriedients</t>
  </si>
  <si>
    <t>Total Available</t>
  </si>
  <si>
    <t>Used</t>
  </si>
  <si>
    <t>Left Out</t>
  </si>
  <si>
    <t>Expiry Date</t>
  </si>
  <si>
    <t>Category</t>
  </si>
  <si>
    <t>Last Updated</t>
  </si>
  <si>
    <t>Anchovy fish</t>
  </si>
  <si>
    <t>Apples</t>
  </si>
  <si>
    <t>Baby corn</t>
  </si>
  <si>
    <t>Vegetables</t>
  </si>
  <si>
    <t>BBQ sauce</t>
  </si>
  <si>
    <t>Sauces</t>
  </si>
  <si>
    <t>Boost powder</t>
  </si>
  <si>
    <t>Health products</t>
  </si>
  <si>
    <t>Butter</t>
  </si>
  <si>
    <t>Dairy</t>
  </si>
  <si>
    <t>Carrot</t>
  </si>
  <si>
    <t>Cauliflower</t>
  </si>
  <si>
    <t>Channa</t>
  </si>
  <si>
    <t>Pulses</t>
  </si>
  <si>
    <t>Chappathi</t>
  </si>
  <si>
    <t>Baked products</t>
  </si>
  <si>
    <t>Chettinad spices</t>
  </si>
  <si>
    <t>Spices</t>
  </si>
  <si>
    <t>Chicken</t>
  </si>
  <si>
    <t>Meat</t>
  </si>
  <si>
    <t>Chicken 65</t>
  </si>
  <si>
    <t>Prepared foods</t>
  </si>
  <si>
    <t>Chicken leg</t>
  </si>
  <si>
    <t>Chicken wings</t>
  </si>
  <si>
    <t>Chilli sauce</t>
  </si>
  <si>
    <t>Coconut</t>
  </si>
  <si>
    <t>Coconut milk</t>
  </si>
  <si>
    <t>Dairy/Non-dairy</t>
  </si>
  <si>
    <t>Coffee powder</t>
  </si>
  <si>
    <t>Beverages</t>
  </si>
  <si>
    <t>Coriander</t>
  </si>
  <si>
    <t>Herbs</t>
  </si>
  <si>
    <t>Cucumber</t>
  </si>
  <si>
    <t>Cumin</t>
  </si>
  <si>
    <t>Curd</t>
  </si>
  <si>
    <t>Curry Leaves</t>
  </si>
  <si>
    <t>Dosa batter</t>
  </si>
  <si>
    <t>Eggs</t>
  </si>
  <si>
    <t>Fish</t>
  </si>
  <si>
    <t>Garlic</t>
  </si>
  <si>
    <t>Ghee</t>
  </si>
  <si>
    <t>Ginger</t>
  </si>
  <si>
    <t>Gravy</t>
  </si>
  <si>
    <t>Gravy base</t>
  </si>
  <si>
    <t>Gravy sauce</t>
  </si>
  <si>
    <t>Green Chilies</t>
  </si>
  <si>
    <t>Green peas</t>
  </si>
  <si>
    <t>Green tea leaves</t>
  </si>
  <si>
    <t>Horlicks powder</t>
  </si>
  <si>
    <t>Idiyappam</t>
  </si>
  <si>
    <t>Idli</t>
  </si>
  <si>
    <t>Idli batter</t>
  </si>
  <si>
    <t>Kadai</t>
  </si>
  <si>
    <t>Cooking equipment</t>
  </si>
  <si>
    <t>Kadai spices</t>
  </si>
  <si>
    <t>Lemon</t>
  </si>
  <si>
    <t>Lemons</t>
  </si>
  <si>
    <t>Lentils</t>
  </si>
  <si>
    <t>Grains</t>
  </si>
  <si>
    <t>Milk</t>
  </si>
  <si>
    <t>Mint</t>
  </si>
  <si>
    <t>Mixed greens</t>
  </si>
  <si>
    <t>Mixed Vegetables</t>
  </si>
  <si>
    <t>Momos dough</t>
  </si>
  <si>
    <t>Mushrooms</t>
  </si>
  <si>
    <t>Noodles</t>
  </si>
  <si>
    <t>Grains/Prepared</t>
  </si>
  <si>
    <t>Oil</t>
  </si>
  <si>
    <t>Cooking oils</t>
  </si>
  <si>
    <t>Onion</t>
  </si>
  <si>
    <t>Oranges</t>
  </si>
  <si>
    <t>Paneer</t>
  </si>
  <si>
    <t>Papaya</t>
  </si>
  <si>
    <t>Parotta</t>
  </si>
  <si>
    <t>Peanuts</t>
  </si>
  <si>
    <t>Nuts/Legumes</t>
  </si>
  <si>
    <t>Pepper</t>
  </si>
  <si>
    <t>Pineapple</t>
  </si>
  <si>
    <t>Podi</t>
  </si>
  <si>
    <t>Podi (Spiced powder)</t>
  </si>
  <si>
    <t>Pomegranate</t>
  </si>
  <si>
    <t>Potatoes</t>
  </si>
  <si>
    <t>Prawns</t>
  </si>
  <si>
    <t>Quail</t>
  </si>
  <si>
    <t>Quail 65</t>
  </si>
  <si>
    <t>Rice</t>
  </si>
  <si>
    <t>Roll wrapper</t>
  </si>
  <si>
    <t>Rose syrup</t>
  </si>
  <si>
    <t>Salt</t>
  </si>
  <si>
    <t>Seasoning</t>
  </si>
  <si>
    <t>Sambhar</t>
  </si>
  <si>
    <t>Schezwan sauce</t>
  </si>
  <si>
    <t>Sidedish</t>
  </si>
  <si>
    <t>Soy sauce</t>
  </si>
  <si>
    <t>Sugar</t>
  </si>
  <si>
    <t>Sweeteners</t>
  </si>
  <si>
    <t>Tomato</t>
  </si>
  <si>
    <t>Tomatoes</t>
  </si>
  <si>
    <t>Urad Dal</t>
  </si>
  <si>
    <t>Uthapam batter</t>
  </si>
  <si>
    <t>Water</t>
  </si>
  <si>
    <t>Watermelon</t>
  </si>
  <si>
    <t>Wheat flour</t>
  </si>
  <si>
    <t>Yogurt</t>
  </si>
  <si>
    <t>Almonds</t>
  </si>
  <si>
    <t>Nuts</t>
  </si>
  <si>
    <t>Ingridients</t>
  </si>
  <si>
    <t>Recipe Name</t>
  </si>
  <si>
    <t>Cooking Time</t>
  </si>
  <si>
    <t>Difficulty Level</t>
  </si>
  <si>
    <t>Cost of Making</t>
  </si>
  <si>
    <t>Others Prizing</t>
  </si>
  <si>
    <t>Dosa</t>
  </si>
  <si>
    <t>20 mins</t>
  </si>
  <si>
    <t>Easy</t>
  </si>
  <si>
    <t>Masala Dosa</t>
  </si>
  <si>
    <t>30 mins</t>
  </si>
  <si>
    <t>Medium</t>
  </si>
  <si>
    <t>Ghee Dosa</t>
  </si>
  <si>
    <t>Ghee Roast</t>
  </si>
  <si>
    <t>Paper Roast</t>
  </si>
  <si>
    <t>25 mins</t>
  </si>
  <si>
    <t>15 mins</t>
  </si>
  <si>
    <t>Podi Idli</t>
  </si>
  <si>
    <t>Mini Idli</t>
  </si>
  <si>
    <t>Idli Podimas</t>
  </si>
  <si>
    <t>Tomato Chutney</t>
  </si>
  <si>
    <t>Coconut Chutney</t>
  </si>
  <si>
    <t>10 mins</t>
  </si>
  <si>
    <t>Sambar</t>
  </si>
  <si>
    <t>40 mins</t>
  </si>
  <si>
    <t>Kurma</t>
  </si>
  <si>
    <t>35 mins</t>
  </si>
  <si>
    <t>Ginger Tea</t>
  </si>
  <si>
    <t>Tea</t>
  </si>
  <si>
    <t>5 mins</t>
  </si>
  <si>
    <t>Coffee</t>
  </si>
  <si>
    <t>Boost</t>
  </si>
  <si>
    <t>Horlicks</t>
  </si>
  <si>
    <t>Green Tea</t>
  </si>
  <si>
    <t>Black Coffee</t>
  </si>
  <si>
    <t>Chapathi</t>
  </si>
  <si>
    <t>Chicken Kolambu</t>
  </si>
  <si>
    <t>Hard</t>
  </si>
  <si>
    <t>Fish Kolambu</t>
  </si>
  <si>
    <t>Chicken Fried Rice</t>
  </si>
  <si>
    <t>Kuli Paniyaram</t>
  </si>
  <si>
    <t>Lemon Rice</t>
  </si>
  <si>
    <t>Tomato Rice</t>
  </si>
  <si>
    <t>Plain Rice</t>
  </si>
  <si>
    <t>Curd Rice</t>
  </si>
  <si>
    <t>Chicken Biriyani</t>
  </si>
  <si>
    <t>45 mins</t>
  </si>
  <si>
    <t>Gobi 65</t>
  </si>
  <si>
    <t>Paneer 65</t>
  </si>
  <si>
    <t>Chicken Gravy</t>
  </si>
  <si>
    <t>BBQ</t>
  </si>
  <si>
    <t>Chicken Lollipop</t>
  </si>
  <si>
    <t>Chicken Leg 65</t>
  </si>
  <si>
    <t>Gobi Manchurian Dry</t>
  </si>
  <si>
    <t>French Fries</t>
  </si>
  <si>
    <t>Idly 5 pcs</t>
  </si>
  <si>
    <t>boiled  egg</t>
  </si>
  <si>
    <t>Egg Bhurji</t>
  </si>
  <si>
    <t>Egg Omelette 2 pcs</t>
  </si>
  <si>
    <t>Egg Half Boiled 2 pcs</t>
  </si>
  <si>
    <t>7 mins</t>
  </si>
  <si>
    <t>Chapathi 2 pcs</t>
  </si>
  <si>
    <t>Parotta 3 pcs</t>
  </si>
  <si>
    <t>Chicken Noodles</t>
  </si>
  <si>
    <t>Chicken Kothu Parotta</t>
  </si>
  <si>
    <t>Chicken Schezwan Noodles</t>
  </si>
  <si>
    <t>Prawns Fry</t>
  </si>
  <si>
    <t>Gobi Manchurian Gravy</t>
  </si>
  <si>
    <t>Paneer Fried Rice</t>
  </si>
  <si>
    <t>Paneer Schezwan Fried Rice</t>
  </si>
  <si>
    <t>Gobi Manchurian Fry</t>
  </si>
  <si>
    <t>Ghee Rice</t>
  </si>
  <si>
    <t>Onion Egg Dosa</t>
  </si>
  <si>
    <t>Veg Schezwan Fried Rice</t>
  </si>
  <si>
    <t>24 mins</t>
  </si>
  <si>
    <t>Veg Schezwan Noodles</t>
  </si>
  <si>
    <t>25mins</t>
  </si>
  <si>
    <t>Veg Noodles</t>
  </si>
  <si>
    <t>Egg Schezwan Noodles</t>
  </si>
  <si>
    <t>Egg Fried Rice</t>
  </si>
  <si>
    <t>Egg Noodles</t>
  </si>
  <si>
    <t>Jeera Rice</t>
  </si>
  <si>
    <t>Paneer Schezwan Noodles</t>
  </si>
  <si>
    <t>Ghee Noodles</t>
  </si>
  <si>
    <t>Mixed Noodles</t>
  </si>
  <si>
    <t>Prawn Fried Rice</t>
  </si>
  <si>
    <t>Prawn Noodles</t>
  </si>
  <si>
    <t>Chicken Chilli Parotta</t>
  </si>
  <si>
    <t>Paneer Chilli Dry</t>
  </si>
  <si>
    <t>Chilli Gobi Dry</t>
  </si>
  <si>
    <t>Paneer Chilli Gravy</t>
  </si>
  <si>
    <t>Chettinad Chicken Gravy</t>
  </si>
  <si>
    <t>Chicken 65 Boneless</t>
  </si>
  <si>
    <t>Garlic Chicken Gravy</t>
  </si>
  <si>
    <t>Garlic Chicken Dry</t>
  </si>
  <si>
    <t>Chilli Chicken Dry</t>
  </si>
  <si>
    <t>Ginger Chicken</t>
  </si>
  <si>
    <t>Prawn Fry</t>
  </si>
  <si>
    <t>Chilli Prawns Dry</t>
  </si>
  <si>
    <t>Chicken Dosa</t>
  </si>
  <si>
    <t>Onion Dosa</t>
  </si>
  <si>
    <t>Tomato Dosa</t>
  </si>
  <si>
    <t>Onion Tomato Dosa</t>
  </si>
  <si>
    <t>Chicken 65 Biriyani</t>
  </si>
  <si>
    <t>Prawn Biriyani</t>
  </si>
  <si>
    <t>Chicken Dum Biriyani 1kg</t>
  </si>
  <si>
    <t>1 hr</t>
  </si>
  <si>
    <t>Chicken Dum Biriyani</t>
  </si>
  <si>
    <t>Egg Biriyani</t>
  </si>
  <si>
    <t>Kaadai Biriyani</t>
  </si>
  <si>
    <t>Plain Biriyani</t>
  </si>
  <si>
    <t>Kaadai 65 Biriyani</t>
  </si>
  <si>
    <t>Kaadai Masala</t>
  </si>
  <si>
    <t>Kaadai Fry</t>
  </si>
  <si>
    <t>Kaadai 65</t>
  </si>
  <si>
    <t>Kaadai Roast</t>
  </si>
  <si>
    <t>Kaanava Fish Fry</t>
  </si>
  <si>
    <t>Vanjaram Fish</t>
  </si>
  <si>
    <t>Neethili 65</t>
  </si>
  <si>
    <t>Kaanava Fish 65</t>
  </si>
  <si>
    <t>Egg Fry</t>
  </si>
  <si>
    <t>Chilli Egg Dry</t>
  </si>
  <si>
    <t>Egg Manchurian Dry</t>
  </si>
  <si>
    <t>egg kothu parotta</t>
  </si>
  <si>
    <t>Egg Dosa</t>
  </si>
  <si>
    <t>Ghee Masala Dosa</t>
  </si>
  <si>
    <t>Rose Milk</t>
  </si>
  <si>
    <t>Badam Milk</t>
  </si>
  <si>
    <t>Pomegranate Juice</t>
  </si>
  <si>
    <t>Orange Juice</t>
  </si>
  <si>
    <t>Lemon Juice</t>
  </si>
  <si>
    <t>Mint Lemon</t>
  </si>
  <si>
    <t>Apple Juice</t>
  </si>
  <si>
    <t>Pineapple Juice</t>
  </si>
  <si>
    <t>Papaya Juice</t>
  </si>
  <si>
    <t>Watermelon Juice 300ml</t>
  </si>
  <si>
    <t>Mini Podi Idli</t>
  </si>
  <si>
    <t>Idiyappam and Coconut Milk (2 pcs)</t>
  </si>
  <si>
    <t>Ghee Kara Dosa</t>
  </si>
  <si>
    <t>Chappathi and Channa (2 pcs)</t>
  </si>
  <si>
    <t>Ghee Mini Idli with Sambhar (15 pcs)</t>
  </si>
  <si>
    <t>Ghee Podi Uthapam</t>
  </si>
  <si>
    <t>Idly Upma</t>
  </si>
  <si>
    <t>Carrot and Coriander Uthapam</t>
  </si>
  <si>
    <t>Paneer Butter Masala</t>
  </si>
  <si>
    <t>Butter Chicken Masala</t>
  </si>
  <si>
    <t>Dal Tadka</t>
  </si>
  <si>
    <t>Aloo Jeera Fry</t>
  </si>
  <si>
    <t>Chilli Paneer Dry</t>
  </si>
  <si>
    <t>Garlic Paneer Dry</t>
  </si>
  <si>
    <t>Garlic Mushroom Gravy</t>
  </si>
  <si>
    <t>Chilli Gobi Gravy</t>
  </si>
  <si>
    <t>Mushroom Manchurian Dry</t>
  </si>
  <si>
    <t>Chilli Paneer Gravy</t>
  </si>
  <si>
    <t>Mushroom 65</t>
  </si>
  <si>
    <t>Baby Corn 65</t>
  </si>
  <si>
    <t>Chilli Baby Corn Gravy</t>
  </si>
  <si>
    <t>Paneer Manchurian Gravy</t>
  </si>
  <si>
    <t>Garlic Mushroom Dry</t>
  </si>
  <si>
    <t>Ginger Mushroom Dry</t>
  </si>
  <si>
    <t>Ginger Paneer Dry</t>
  </si>
  <si>
    <t>Chilli Mushroom Dry</t>
  </si>
  <si>
    <t>Garlic Paneer Gravy</t>
  </si>
  <si>
    <t>Ginger Mushroom Gravy</t>
  </si>
  <si>
    <t>Ginger Paneer Gravy</t>
  </si>
  <si>
    <t>Schezwan Gobi 65</t>
  </si>
  <si>
    <t>Schezwan Baby Corn 65</t>
  </si>
  <si>
    <t>Schezwan Paneer 65</t>
  </si>
  <si>
    <t>Garlic Baby Corn Dry</t>
  </si>
  <si>
    <t>Garlic Gobi Dry</t>
  </si>
  <si>
    <t>Garlic Gobi Gravy</t>
  </si>
  <si>
    <t>Ginger Baby Corn Dry</t>
  </si>
  <si>
    <t>Ginger Gobi Dry</t>
  </si>
  <si>
    <t>Ginger Gobi Gravy</t>
  </si>
  <si>
    <t>Chilli Chicken Gravy</t>
  </si>
  <si>
    <t>Lemon Chicken Dry</t>
  </si>
  <si>
    <t>Schezwan Chicken 65 (Boneless)</t>
  </si>
  <si>
    <t>Chicken Ghee Fry</t>
  </si>
  <si>
    <t>Chicken Manchurian Dry</t>
  </si>
  <si>
    <t>Chicken 65 (Boneless)</t>
  </si>
  <si>
    <t>Schezwan Chicken Lollipop</t>
  </si>
  <si>
    <t>Chicken Manchurian Gravy</t>
  </si>
  <si>
    <t>Ginger Chicken Dry</t>
  </si>
  <si>
    <t>Ginger Chicken Gravy</t>
  </si>
  <si>
    <t>Chicken Finger</t>
  </si>
  <si>
    <t>Chicken Tikka Masala</t>
  </si>
  <si>
    <t>Chicken Chettinad Pepper Masala</t>
  </si>
  <si>
    <t>Kadai Chicken Masala</t>
  </si>
  <si>
    <t>Chicken Pepper Fry</t>
  </si>
  <si>
    <t>Chicken Masala</t>
  </si>
  <si>
    <t>Chicken Chettinad Pepper Fry</t>
  </si>
  <si>
    <t>Prawn 65</t>
  </si>
  <si>
    <t>Gobi Rice</t>
  </si>
  <si>
    <t>Green Peas Rice</t>
  </si>
  <si>
    <t>Double Omelette</t>
  </si>
  <si>
    <t>Garlic Egg Dry</t>
  </si>
  <si>
    <t>Egg Booji Dry</t>
  </si>
  <si>
    <t>Boiled Egg</t>
  </si>
  <si>
    <t>Chilli Egg Gravy</t>
  </si>
  <si>
    <t>Schezwan Egg Fry</t>
  </si>
  <si>
    <t>Egg Booji Gravy</t>
  </si>
  <si>
    <t>Egg Manchurian Gravy</t>
  </si>
  <si>
    <t>Garlic Egg Gravy</t>
  </si>
  <si>
    <t>Ginger Egg Dry</t>
  </si>
  <si>
    <t>Ginger Egg Gravy</t>
  </si>
  <si>
    <t>Cucumber Raita</t>
  </si>
  <si>
    <t>Onion Raita</t>
  </si>
  <si>
    <t>Cucumber Salad</t>
  </si>
  <si>
    <t>Green Salad</t>
  </si>
  <si>
    <t>Onion Salad</t>
  </si>
  <si>
    <t>Steamed Veg Momos (8 pcs)</t>
  </si>
  <si>
    <t>Fried Veg Momos (8 pcs)</t>
  </si>
  <si>
    <t>Schezwan Veg Momos (8 pcs)</t>
  </si>
  <si>
    <t>Chicken 65 Roll</t>
  </si>
  <si>
    <t>Mushroom Roll</t>
  </si>
  <si>
    <t>Paneer Roll</t>
  </si>
  <si>
    <t>Egg Masala</t>
  </si>
  <si>
    <t>Egg Chettinadu Pepper Fry</t>
  </si>
  <si>
    <t>Egg Curry</t>
  </si>
  <si>
    <t>Egg Chettinadu Pepper Masala</t>
  </si>
  <si>
    <t>Kadai Egg Masala</t>
  </si>
  <si>
    <t>Fish Tikka Masala</t>
  </si>
  <si>
    <t>Prawn Masala</t>
  </si>
  <si>
    <t>Fish Masala</t>
  </si>
  <si>
    <t>Fish Chettinadu Pepper Fry</t>
  </si>
  <si>
    <t>Prawn Chettinadu Pepper Fry</t>
  </si>
  <si>
    <t>Egg Roast</t>
  </si>
  <si>
    <t>Dish</t>
  </si>
  <si>
    <t>Egg Kothu Parotta</t>
  </si>
  <si>
    <t>Idli Upma</t>
  </si>
  <si>
    <t>Order ID</t>
  </si>
  <si>
    <t>Item Name</t>
  </si>
  <si>
    <t>Quantity Sold</t>
  </si>
  <si>
    <t>Selling Price per Unit</t>
  </si>
  <si>
    <t>Cost Price per Unit</t>
  </si>
  <si>
    <t>Commision</t>
  </si>
  <si>
    <t>Penalty</t>
  </si>
  <si>
    <t>GST</t>
  </si>
  <si>
    <t>Date</t>
  </si>
  <si>
    <t>Quantity(g/ml)</t>
  </si>
  <si>
    <t>ACTUAL COST</t>
  </si>
  <si>
    <t>S.No</t>
  </si>
  <si>
    <t>Quantity Wasted</t>
  </si>
  <si>
    <t>Reason For Waste</t>
  </si>
  <si>
    <t>Day of the week</t>
  </si>
  <si>
    <t>BreakFast</t>
  </si>
  <si>
    <t>Lunch</t>
  </si>
  <si>
    <t xml:space="preserve">Dinner </t>
  </si>
  <si>
    <t>Snacks</t>
  </si>
  <si>
    <t>MONDAY</t>
  </si>
  <si>
    <t>TUEDAY</t>
  </si>
  <si>
    <t>WEDNESDAY</t>
  </si>
  <si>
    <t>THURSDAY</t>
  </si>
  <si>
    <t>FRIDAY</t>
  </si>
  <si>
    <t>SATURDAY</t>
  </si>
  <si>
    <t>SUNDAY</t>
  </si>
  <si>
    <t>Task</t>
  </si>
  <si>
    <t>Frequency</t>
  </si>
  <si>
    <t>LaST coMPLETED</t>
  </si>
  <si>
    <t>Next Due Date</t>
  </si>
  <si>
    <t>Gas Change</t>
  </si>
  <si>
    <t>Wheat</t>
  </si>
  <si>
    <t xml:space="preserve">Ingredient </t>
  </si>
  <si>
    <t>Quantity</t>
  </si>
  <si>
    <t>Paneer 66</t>
  </si>
  <si>
    <t>Paneer 67</t>
  </si>
  <si>
    <t>Chicken Leg 66</t>
  </si>
  <si>
    <t>Chicken Leg 67</t>
  </si>
  <si>
    <t>Mushroom 66</t>
  </si>
  <si>
    <t>Baby Corn 66</t>
  </si>
  <si>
    <t>Schezwan Gobi 66</t>
  </si>
  <si>
    <t>Schezwan Baby Corn 66</t>
  </si>
  <si>
    <t>Schezwan Paneer 66</t>
  </si>
  <si>
    <t>Prawn 66</t>
  </si>
  <si>
    <t>Materials Used</t>
  </si>
  <si>
    <t>Units</t>
  </si>
  <si>
    <t>NeededQuantity</t>
  </si>
  <si>
    <t>Sum</t>
  </si>
  <si>
    <t>Ingredient Ref</t>
  </si>
  <si>
    <t>Row Labels</t>
  </si>
  <si>
    <t>Grand Total</t>
  </si>
  <si>
    <t>(blank)</t>
  </si>
  <si>
    <t>Sum of Materials Used</t>
  </si>
  <si>
    <t>Sum of Quantity(g/ml)</t>
  </si>
  <si>
    <t>ItemWas</t>
  </si>
  <si>
    <t>onion</t>
  </si>
  <si>
    <t>tomato</t>
  </si>
  <si>
    <t>ginger</t>
  </si>
  <si>
    <t>garlic</t>
  </si>
  <si>
    <t>bringal</t>
  </si>
  <si>
    <t>toor dal</t>
  </si>
  <si>
    <t>red chilli</t>
  </si>
  <si>
    <t>green chilli</t>
  </si>
  <si>
    <t>Dosa Batter</t>
  </si>
  <si>
    <t>60 mins</t>
  </si>
  <si>
    <t>BALANCE Cash</t>
  </si>
  <si>
    <t>chilli powder</t>
  </si>
  <si>
    <t>garam masala</t>
  </si>
  <si>
    <t>Bengal Gram</t>
  </si>
  <si>
    <t>oil</t>
  </si>
  <si>
    <t>Mustard Seed</t>
  </si>
  <si>
    <t>Moong Dal</t>
  </si>
  <si>
    <t>Asafoetidia Powder</t>
  </si>
  <si>
    <t>Fennel Seed(Sombu)</t>
  </si>
  <si>
    <t>Curry Leaves(Karuvepulai)</t>
  </si>
  <si>
    <t>Coriander(kothamali)</t>
  </si>
  <si>
    <t>cinamon(pattai)</t>
  </si>
  <si>
    <t>clove(lavagam)</t>
  </si>
  <si>
    <t>True cardamom(yelakai)</t>
  </si>
  <si>
    <t>kolambu molaga thool</t>
  </si>
  <si>
    <t>coconut</t>
  </si>
  <si>
    <t>Tea powder</t>
  </si>
  <si>
    <t>milk</t>
  </si>
  <si>
    <t>Prize Per Gram</t>
  </si>
  <si>
    <t>carrot</t>
  </si>
  <si>
    <t xml:space="preserve"> urad dal</t>
  </si>
  <si>
    <t>Coconut Rice</t>
  </si>
  <si>
    <t>Carrot Rice</t>
  </si>
  <si>
    <t>turmeric powder</t>
  </si>
  <si>
    <t>App</t>
  </si>
  <si>
    <t>Other Charges</t>
  </si>
  <si>
    <t>Onion Podi Dosa</t>
  </si>
  <si>
    <t>26 mins</t>
  </si>
  <si>
    <t>10% Discount</t>
  </si>
  <si>
    <t>40% Discount</t>
  </si>
  <si>
    <t>30% Discount</t>
  </si>
  <si>
    <t>25% Discount</t>
  </si>
  <si>
    <t>15% Discount</t>
  </si>
  <si>
    <t>Profit on 10%</t>
  </si>
  <si>
    <t>Profit on 15%</t>
  </si>
  <si>
    <t>Profit on 25%</t>
  </si>
  <si>
    <t>Profit on 30%</t>
  </si>
  <si>
    <t>Profit on 40%</t>
  </si>
  <si>
    <t>Prepared Extra but unfortunately we ate chicken</t>
  </si>
  <si>
    <t>Cost Per Dish Per Item</t>
  </si>
  <si>
    <t>Cost of an Dish</t>
  </si>
  <si>
    <t>Margin Value</t>
  </si>
  <si>
    <t>Our Prizing</t>
  </si>
  <si>
    <t>Buying Cost</t>
  </si>
  <si>
    <t>Sum of Total Available</t>
  </si>
  <si>
    <t>Sum of Used</t>
  </si>
  <si>
    <t>Sum of Left Out</t>
  </si>
  <si>
    <t>DAY</t>
  </si>
  <si>
    <t>Sum of Cost of Making</t>
  </si>
  <si>
    <t>Sum of Margin Value</t>
  </si>
  <si>
    <t>COST OF ITEMS</t>
  </si>
  <si>
    <t>Sum of Units</t>
  </si>
  <si>
    <t>Sum of Cost Per Dish Per Item</t>
  </si>
  <si>
    <t>Sum of Cost Price per Unit</t>
  </si>
  <si>
    <t>Average of Profit on 10%</t>
  </si>
  <si>
    <t>Average of Profit on 30%</t>
  </si>
  <si>
    <t>Count of Quantity Sold</t>
  </si>
  <si>
    <t>Sum of Our Prizing</t>
  </si>
  <si>
    <t>Count of Prize Per Gram</t>
  </si>
  <si>
    <t>Sum of Buying Cost</t>
  </si>
  <si>
    <t>Sum of Quantity Wasted</t>
  </si>
  <si>
    <t>Count of Frequency</t>
  </si>
  <si>
    <t>Bringal</t>
  </si>
  <si>
    <t>Green Chilli</t>
  </si>
  <si>
    <t>Beans</t>
  </si>
  <si>
    <t xml:space="preserve">Green Beans </t>
  </si>
  <si>
    <t>Algae Lentils(Pasiparupu)</t>
  </si>
  <si>
    <t>Ulundam Dal(Ulunda parupu)</t>
  </si>
  <si>
    <t>Fenugreek(Vendayam)</t>
  </si>
  <si>
    <t>Mustard Urad Dal(Kadugu Uluntha Parupu)</t>
  </si>
  <si>
    <t>Pepper Cumin(Milagu Seragam)</t>
  </si>
  <si>
    <t>Dry Chilli</t>
  </si>
  <si>
    <t>Corn Floor</t>
  </si>
  <si>
    <t>Fried Gram Split(Pottu Kadalai)</t>
  </si>
  <si>
    <t>Tea Powder</t>
  </si>
  <si>
    <t>Star Anise(Annachipu)</t>
  </si>
  <si>
    <t>Fennel Seed(Sombu)-saunf</t>
  </si>
  <si>
    <t>Red chilli Powder</t>
  </si>
  <si>
    <t>Garam Masala</t>
  </si>
  <si>
    <t>Chicken 65 Masala</t>
  </si>
  <si>
    <t>Idli podi</t>
  </si>
  <si>
    <t>Cumin Powder(seraga Thool)</t>
  </si>
  <si>
    <t>Pepper Powder(Milagu Thool)</t>
  </si>
  <si>
    <t>Cardamon(Yelakai)</t>
  </si>
  <si>
    <t>Pulli</t>
  </si>
  <si>
    <t>Rice Powder</t>
  </si>
  <si>
    <t>Bru</t>
  </si>
  <si>
    <t>Bheemas Rice</t>
  </si>
  <si>
    <t>Idli Rice</t>
  </si>
  <si>
    <t>sugar</t>
  </si>
  <si>
    <t>AvgCost</t>
  </si>
  <si>
    <t>Live/Non-Live</t>
  </si>
  <si>
    <t>Non-Live</t>
  </si>
  <si>
    <t>Live</t>
  </si>
  <si>
    <t>sambhar podi</t>
  </si>
  <si>
    <t>seeraga powder</t>
  </si>
  <si>
    <t>toovaram parupu(toor dal)</t>
  </si>
  <si>
    <t>Pasiparupu(algae lenthils)</t>
  </si>
  <si>
    <t>kadalai parupu(bengal gram)</t>
  </si>
  <si>
    <t>Urad Dal(ulunda parupu)</t>
  </si>
  <si>
    <t>Sivasakthi rice</t>
  </si>
  <si>
    <t>idli rice(5r20)</t>
  </si>
  <si>
    <t>ration rice</t>
  </si>
  <si>
    <t>rava</t>
  </si>
  <si>
    <t>maida maavu</t>
  </si>
  <si>
    <t>bring leaf</t>
  </si>
  <si>
    <t>kasakasa</t>
  </si>
  <si>
    <t>cashew nut</t>
  </si>
  <si>
    <t>tomato ketchup</t>
  </si>
  <si>
    <t>mango pickle</t>
  </si>
  <si>
    <t>lemon pickle</t>
  </si>
  <si>
    <t>garlic pickle</t>
  </si>
  <si>
    <t>perugayam(asafoetida)</t>
  </si>
  <si>
    <t>jeeragam</t>
  </si>
  <si>
    <t>black channa</t>
  </si>
  <si>
    <t>corainder powder(mali powder)</t>
  </si>
  <si>
    <t>Soya sauce</t>
  </si>
  <si>
    <t>Short time Use</t>
  </si>
  <si>
    <t>Long time Use</t>
  </si>
  <si>
    <t>Life Span</t>
  </si>
  <si>
    <t>Short Life Span</t>
  </si>
  <si>
    <t>Long Life Span</t>
  </si>
  <si>
    <t>Medium Life Span</t>
  </si>
  <si>
    <t>white channa</t>
  </si>
  <si>
    <t>baby corn</t>
  </si>
  <si>
    <t>butter</t>
  </si>
  <si>
    <t>fish</t>
  </si>
  <si>
    <t>mushroom</t>
  </si>
  <si>
    <t>cauliflower</t>
  </si>
  <si>
    <t>garlic ginger paste</t>
  </si>
  <si>
    <t>carrot dosa</t>
  </si>
  <si>
    <t>Plain Kuli Paniyaram</t>
  </si>
  <si>
    <t>Sweet Kuli Paniyaram</t>
  </si>
  <si>
    <t>vellam(jaggery)</t>
  </si>
  <si>
    <t>ghee idli</t>
  </si>
  <si>
    <t>chappathi and kurma</t>
  </si>
  <si>
    <t>beans</t>
  </si>
  <si>
    <t>Karuvadu</t>
  </si>
  <si>
    <t>Swiggy</t>
  </si>
  <si>
    <t>Idli(2 pcs)</t>
  </si>
  <si>
    <t>Profit</t>
  </si>
  <si>
    <t>Item</t>
  </si>
  <si>
    <t>Mesaure</t>
  </si>
  <si>
    <t>1 1/2 Spoon</t>
  </si>
  <si>
    <t>2 1/2 Spoon</t>
  </si>
  <si>
    <t>1 spoon</t>
  </si>
  <si>
    <t>cooking rice(100g)</t>
  </si>
  <si>
    <t>0.1/g</t>
  </si>
  <si>
    <t>bheesrice</t>
  </si>
  <si>
    <t>25g</t>
  </si>
  <si>
    <t>250g</t>
  </si>
  <si>
    <t>cooked rice</t>
  </si>
  <si>
    <t>Current Profit %</t>
  </si>
  <si>
    <t>PKG Cst</t>
  </si>
  <si>
    <t>2 Masala Dosa</t>
  </si>
  <si>
    <t>2 Ghee Dosa</t>
  </si>
  <si>
    <t xml:space="preserve"> 2 Paper Roast</t>
  </si>
  <si>
    <t>Usage Estimate</t>
  </si>
  <si>
    <t>Low estimate</t>
  </si>
  <si>
    <t>High estimate</t>
  </si>
  <si>
    <t>1Hr</t>
  </si>
  <si>
    <t>cost per litre = 29.5</t>
  </si>
  <si>
    <t>2Hr</t>
  </si>
  <si>
    <t>3Hr</t>
  </si>
  <si>
    <t>one hour = 0.784</t>
  </si>
  <si>
    <t>4Hr</t>
  </si>
  <si>
    <t>5Hr</t>
  </si>
  <si>
    <t>Tomato Chutni(Cooked)</t>
  </si>
  <si>
    <t>Coconut Chutni(Cooked)</t>
  </si>
  <si>
    <t>Lowest</t>
  </si>
  <si>
    <t>Moderate</t>
  </si>
  <si>
    <t>Highest</t>
  </si>
  <si>
    <t>cooked rice(InventorySide)</t>
  </si>
  <si>
    <t>Tea(125ml)</t>
  </si>
  <si>
    <t>Tea(500ml)</t>
  </si>
  <si>
    <t>Tea(750ml)</t>
  </si>
  <si>
    <t>11 mins</t>
  </si>
  <si>
    <t>Tea(250 ml)</t>
  </si>
  <si>
    <t>32 mins</t>
  </si>
  <si>
    <t>33 mins</t>
  </si>
  <si>
    <t>34 mins</t>
  </si>
  <si>
    <t>36 mins</t>
  </si>
  <si>
    <t>37 mins</t>
  </si>
  <si>
    <t>38 mins</t>
  </si>
  <si>
    <t>39 mins</t>
  </si>
  <si>
    <t>41 mins</t>
  </si>
  <si>
    <t>42 mins</t>
  </si>
  <si>
    <t>43 mins</t>
  </si>
  <si>
    <t>44 mins</t>
  </si>
  <si>
    <t>46 mins</t>
  </si>
  <si>
    <t>47 mins</t>
  </si>
  <si>
    <t>Fish Kolambu(Parai Fish)</t>
  </si>
  <si>
    <t>Fish(Parai Fish)</t>
  </si>
  <si>
    <t>Dosa with Fish Kolambu(Parai Fish)</t>
  </si>
  <si>
    <t>2 Masala Dosa with Fish Kolambu(Parai Fish)</t>
  </si>
  <si>
    <t>2 Ghee Dosa with Fish Kolambu(Parai Fish)</t>
  </si>
  <si>
    <t xml:space="preserve"> 2 Paper Roast with Fish Kolambu(Parai Fish)</t>
  </si>
  <si>
    <t>Idli(2 pcs) with Fish Kolambu(Parai Fish)</t>
  </si>
  <si>
    <t>Mini Idli with Fish Kolambu(Parai Fish)</t>
  </si>
  <si>
    <t>Chapathi with Fish Kolambu(Parai Fish)</t>
  </si>
  <si>
    <t>Kuli Paniyaram with Fish Kolambu(Parai Fish)</t>
  </si>
  <si>
    <t>Onion Dosa with Fish Kolambu(Parai Fish)</t>
  </si>
  <si>
    <t>Tomato Dosa with Fish Kolambu(Parai Fish)</t>
  </si>
  <si>
    <t>Egg Dosa with Fish Kolambu(Parai Fish)</t>
  </si>
  <si>
    <t>Masala Dosa with Fish Kolambu(Parai Fish)</t>
  </si>
  <si>
    <t>Paper Roast with Fish Kolambu(Parai Fish)</t>
  </si>
  <si>
    <t>Ghee Dosa with Fish Kolambu(Parai Fish)</t>
  </si>
  <si>
    <t>Plain Rice with Fish Kolambu(Parai Fish)</t>
  </si>
  <si>
    <t>Plain rice with Fish Kolambu(Parai Fish)</t>
  </si>
  <si>
    <t>21 mins</t>
  </si>
  <si>
    <t>onion egg omellete</t>
  </si>
  <si>
    <t>Egg Podimas</t>
  </si>
  <si>
    <t>Masala egg fry</t>
  </si>
  <si>
    <t>bread</t>
  </si>
  <si>
    <t>Plain bread omellete</t>
  </si>
  <si>
    <t>Onion bread omellete</t>
  </si>
  <si>
    <t>Chicken gravy</t>
  </si>
  <si>
    <t>Chicken Gravy(250G)</t>
  </si>
  <si>
    <t>Onion Uttapam</t>
  </si>
  <si>
    <t>Tomato Uttapam</t>
  </si>
  <si>
    <t>Plain Uttapam</t>
  </si>
  <si>
    <t>16 mins</t>
  </si>
  <si>
    <t>17 mins</t>
  </si>
  <si>
    <t>18 mins</t>
  </si>
  <si>
    <t xml:space="preserve"> 2 Paper Roast With Chicken Gravy</t>
  </si>
  <si>
    <t>2 Ghee Dosa With Chicken Gravy</t>
  </si>
  <si>
    <t>2 Masala Dosa With Chicken Gravy</t>
  </si>
  <si>
    <t>Carrot and Coriander Uthapam With Chicken Gravy</t>
  </si>
  <si>
    <t>carrot dosa With Chicken Gravy</t>
  </si>
  <si>
    <t>Chapathi With Chicken Gravy</t>
  </si>
  <si>
    <t>Dosa With Chicken Gravy</t>
  </si>
  <si>
    <t>Egg Dosa With Chicken Gravy</t>
  </si>
  <si>
    <t>Ghee Dosa With Chicken Gravy</t>
  </si>
  <si>
    <t>ghee idli With Chicken Gravy</t>
  </si>
  <si>
    <t>Idli(2 pcs) With Chicken Gravy</t>
  </si>
  <si>
    <t>Idly 5 pcs With Chicken Gravy</t>
  </si>
  <si>
    <t>Kuli Paniyaram With Chicken Gravy</t>
  </si>
  <si>
    <t>Masala Dosa With Chicken Gravy</t>
  </si>
  <si>
    <t>Mini Idli With Chicken Gravy</t>
  </si>
  <si>
    <t>Onion Dosa With Chicken Gravy</t>
  </si>
  <si>
    <t>Onion Egg Dosa With Chicken Gravy</t>
  </si>
  <si>
    <t>Onion Podi Dosa With Chicken Gravy</t>
  </si>
  <si>
    <t>Onion Tomato Dosa With Chicken Gravy</t>
  </si>
  <si>
    <t>Paper Roast With Chicken Gravy</t>
  </si>
  <si>
    <t>Plain Kuli Paniyaram With Chicken Gravy</t>
  </si>
  <si>
    <t>Sweet Kuli Paniyaram With Chicken Gravy</t>
  </si>
  <si>
    <t>Tomato Dosa With Chicken Gravy</t>
  </si>
  <si>
    <t xml:space="preserve"> 2 Paper Roast With Fish Kolambu(Parai Fish)</t>
  </si>
  <si>
    <t>2 Ghee Dosa With Fish Kolambu(Parai Fish)</t>
  </si>
  <si>
    <t>2 Masala Dosa With Fish Kolambu(Parai Fish)</t>
  </si>
  <si>
    <t>Carrot and Coriander Uthapam With Fish Kolambu(Parai Fish)</t>
  </si>
  <si>
    <t>carrot dosa With Fish Kolambu(Parai Fish)</t>
  </si>
  <si>
    <t>Chapathi With Fish Kolambu(Parai Fish)</t>
  </si>
  <si>
    <t>Dosa With Fish Kolambu(Parai Fish)</t>
  </si>
  <si>
    <t>Egg Dosa With Fish Kolambu(Parai Fish)</t>
  </si>
  <si>
    <t>Ghee Dosa With Fish Kolambu(Parai Fish)</t>
  </si>
  <si>
    <t>ghee idli With Fish Kolambu(Parai Fish)</t>
  </si>
  <si>
    <t>Idli(2 pcs) With Fish Kolambu(Parai Fish)</t>
  </si>
  <si>
    <t>Idly 5 pcs With Fish Kolambu(Parai Fish)</t>
  </si>
  <si>
    <t>Kuli Paniyaram With Fish Kolambu(Parai Fish)</t>
  </si>
  <si>
    <t>Masala Dosa With Fish Kolambu(Parai Fish)</t>
  </si>
  <si>
    <t>Mini Idli With Fish Kolambu(Parai Fish)</t>
  </si>
  <si>
    <t>Onion Dosa With Fish Kolambu(Parai Fish)</t>
  </si>
  <si>
    <t>Onion Egg Dosa With Fish Kolambu(Parai Fish)</t>
  </si>
  <si>
    <t>Onion Podi Dosa With Fish Kolambu(Parai Fish)</t>
  </si>
  <si>
    <t>Onion Tomato Dosa With Fish Kolambu(Parai Fish)</t>
  </si>
  <si>
    <t>Paper Roast With Fish Kolambu(Parai Fish)</t>
  </si>
  <si>
    <t>Plain Kuli Paniyaram With Fish Kolambu(Parai Fish)</t>
  </si>
  <si>
    <t>Sweet Kuli Paniyaram With Fish Kolambu(Parai Fish)</t>
  </si>
  <si>
    <t>Tomato Dosa With Fish Kolambu(Parai Fish)</t>
  </si>
  <si>
    <t>Plain Rice with Chicken Gravy</t>
  </si>
  <si>
    <t>30 mind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</si>
</sst>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
      <sz val="12"/>
      <color rgb="FF282C3F"/>
      <name val="Calibri"/>
      <family val="2"/>
      <scheme val="minor"/>
    </font>
    <font>
      <b/>
      <sz val="11"/>
      <color theme="2"/>
      <name val="Calibri"/>
      <family val="2"/>
      <scheme val="minor"/>
    </font>
  </fonts>
  <fills count="7">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theme="9"/>
        <bgColor indexed="64"/>
      </patternFill>
    </fill>
    <fill>
      <patternFill patternType="solid">
        <fgColor theme="4" tint="0.79998168889431442"/>
        <bgColor theme="4" tint="0.79998168889431442"/>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8">
    <xf numFmtId="0" fontId="0" fillId="0" borderId="0" xfId="0"/>
    <xf numFmtId="0" fontId="0" fillId="2" borderId="0" xfId="0" applyFill="1"/>
    <xf numFmtId="0" fontId="0" fillId="3" borderId="0" xfId="0" applyFill="1"/>
    <xf numFmtId="0" fontId="0" fillId="0" borderId="0" xfId="0" applyAlignment="1">
      <alignment horizontal="center" vertical="center"/>
    </xf>
    <xf numFmtId="14" fontId="0" fillId="0" borderId="0" xfId="0" applyNumberFormat="1" applyAlignment="1">
      <alignment horizontal="center" vertical="center"/>
    </xf>
    <xf numFmtId="14" fontId="0" fillId="0" borderId="0" xfId="0" applyNumberFormat="1"/>
    <xf numFmtId="0" fontId="1"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xf>
    <xf numFmtId="0" fontId="0" fillId="0" borderId="0" xfId="0" applyAlignment="1">
      <alignment horizontal="left"/>
    </xf>
    <xf numFmtId="0" fontId="0" fillId="0" borderId="0" xfId="0" pivotButton="1"/>
    <xf numFmtId="0" fontId="0" fillId="0" borderId="0" xfId="0" pivotButton="1" applyAlignment="1">
      <alignment horizontal="center" vertical="center"/>
    </xf>
    <xf numFmtId="0" fontId="1" fillId="0" borderId="0" xfId="0" applyFont="1"/>
    <xf numFmtId="0" fontId="0" fillId="0" borderId="0" xfId="0" applyAlignment="1" applyProtection="1">
      <alignment horizontal="center" vertical="center"/>
      <protection locked="0"/>
    </xf>
    <xf numFmtId="14" fontId="2" fillId="4" borderId="0" xfId="0" applyNumberFormat="1" applyFont="1" applyFill="1" applyAlignment="1" applyProtection="1">
      <alignment horizontal="center" vertical="center"/>
      <protection locked="0"/>
    </xf>
    <xf numFmtId="14" fontId="0" fillId="0" borderId="0" xfId="0" applyNumberFormat="1" applyAlignment="1" applyProtection="1">
      <alignment horizontal="center" vertical="center"/>
      <protection locked="0"/>
    </xf>
    <xf numFmtId="0" fontId="5" fillId="0" borderId="0" xfId="0" applyFont="1" applyAlignment="1">
      <alignment horizontal="center" vertical="center" wrapText="1"/>
    </xf>
    <xf numFmtId="10" fontId="0" fillId="0" borderId="0" xfId="0" applyNumberFormat="1" applyAlignment="1">
      <alignment horizontal="center" vertical="center"/>
    </xf>
    <xf numFmtId="0" fontId="6" fillId="5" borderId="0" xfId="0" applyFont="1" applyFill="1" applyAlignment="1">
      <alignment horizontal="center" vertical="center"/>
    </xf>
    <xf numFmtId="0" fontId="0" fillId="0" borderId="0" xfId="0" applyAlignment="1">
      <alignment horizontal="center"/>
    </xf>
    <xf numFmtId="0" fontId="0" fillId="6" borderId="2" xfId="0" applyFill="1" applyBorder="1" applyAlignment="1">
      <alignment horizontal="center" vertical="center"/>
    </xf>
    <xf numFmtId="0" fontId="0" fillId="0" borderId="2" xfId="0" applyBorder="1" applyAlignment="1">
      <alignment horizontal="center" vertical="center"/>
    </xf>
    <xf numFmtId="10" fontId="0" fillId="6" borderId="2" xfId="0" applyNumberFormat="1" applyFill="1" applyBorder="1" applyAlignment="1">
      <alignment horizontal="center" vertical="center"/>
    </xf>
    <xf numFmtId="0" fontId="0" fillId="6" borderId="3" xfId="0" applyFill="1" applyBorder="1" applyAlignment="1">
      <alignment horizontal="center" vertical="center"/>
    </xf>
    <xf numFmtId="10" fontId="0" fillId="0" borderId="2" xfId="0" applyNumberFormat="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6" fillId="5" borderId="6"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6" fillId="5" borderId="9" xfId="0" applyFont="1" applyFill="1" applyBorder="1" applyAlignment="1">
      <alignment horizontal="center" vertical="center"/>
    </xf>
    <xf numFmtId="0" fontId="0" fillId="6" borderId="10" xfId="0" applyFill="1" applyBorder="1" applyAlignment="1" applyProtection="1">
      <alignment horizontal="center" vertical="center"/>
      <protection locked="0"/>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0" borderId="0" xfId="0" applyNumberFormat="1"/>
  </cellXfs>
  <cellStyles count="1">
    <cellStyle name="Normal" xfId="0" builtinId="0"/>
  </cellStyles>
  <dxfs count="137">
    <dxf>
      <alignment vertical="center"/>
    </dxf>
    <dxf>
      <alignment vertical="center"/>
    </dxf>
    <dxf>
      <alignment horizontal="center"/>
    </dxf>
    <dxf>
      <alignment horizontal="center"/>
    </dxf>
    <dxf>
      <font>
        <color rgb="FF9C0006"/>
      </font>
      <fill>
        <patternFill>
          <bgColor rgb="FFFFC7CE"/>
        </patternFill>
      </fill>
    </dxf>
    <dxf>
      <font>
        <color theme="1"/>
      </font>
      <fill>
        <patternFill>
          <bgColor rgb="FFFF0000"/>
        </patternFill>
      </fill>
    </dxf>
    <dxf>
      <font>
        <color theme="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theme="9"/>
        </patternFill>
      </fill>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numFmt numFmtId="0" formatCode="General"/>
      <alignment horizontal="center" textRotation="0" indent="0" justifyLastLine="0" shrinkToFit="0" readingOrder="0"/>
    </dxf>
    <dxf>
      <numFmt numFmtId="0" formatCode="General"/>
      <alignment horizontal="center" textRotation="0" indent="0" justifyLastLine="0" shrinkToFit="0" readingOrder="0"/>
    </dxf>
    <dxf>
      <numFmt numFmtId="0" formatCode="General"/>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dxf>
    <dxf>
      <alignment horizontal="center"/>
    </dxf>
    <dxf>
      <alignment vertical="center"/>
    </dxf>
    <dxf>
      <alignment vertical="center"/>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strike val="0"/>
        <outline val="0"/>
        <shadow val="0"/>
        <u val="none"/>
        <vertAlign val="baseline"/>
        <sz val="11"/>
        <color theme="2"/>
        <name val="Calibri"/>
        <family val="2"/>
        <scheme val="minor"/>
      </font>
      <numFmt numFmtId="0" formatCode="General"/>
      <fill>
        <patternFill patternType="solid">
          <fgColor indexed="64"/>
          <bgColor theme="9"/>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font>
        <strike val="0"/>
        <outline val="0"/>
        <shadow val="0"/>
        <u val="none"/>
        <vertAlign val="baseline"/>
        <sz val="11"/>
        <color theme="0"/>
        <name val="Calibri"/>
        <family val="2"/>
        <scheme val="minor"/>
      </font>
      <numFmt numFmtId="19" formatCode="m/d/yyyy"/>
      <fill>
        <patternFill patternType="solid">
          <fgColor indexed="64"/>
          <bgColor rgb="FFFF0000"/>
        </patternFill>
      </fill>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rgb="FFFF0000"/>
          <bgColor rgb="FF000000"/>
        </patternFill>
      </fill>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6.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29"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4.xml"/><Relationship Id="rId28" Type="http://schemas.microsoft.com/office/2007/relationships/slicerCache" Target="slicerCaches/slicerCache9.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3.xml"/><Relationship Id="rId27" Type="http://schemas.microsoft.com/office/2007/relationships/slicerCache" Target="slicerCaches/slicerCache8.xml"/><Relationship Id="rId30" Type="http://schemas.microsoft.com/office/2007/relationships/slicerCache" Target="slicerCaches/slicerCache11.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[DashBoard.xlsx]Inventory!PivotTable1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Inventory!$Y$9</c:f>
              <c:strCache>
                <c:ptCount val="1"/>
                <c:pt idx="0">
                  <c:v>Sum of Total Available</c:v>
                </c:pt>
              </c:strCache>
            </c:strRef>
          </c:tx>
          <c:spPr>
            <a:solidFill>
              <a:schemeClr val="accent1"/>
            </a:solidFill>
            <a:ln>
              <a:noFill/>
            </a:ln>
            <a:effectLst/>
            <a:sp3d/>
          </c:spPr>
          <c:invertIfNegative val="0"/>
          <c:cat>
            <c:strRef>
              <c:f>Inventory!$X$10</c:f>
              <c:strCache>
                <c:ptCount val="1"/>
                <c:pt idx="0">
                  <c:v>(blank)</c:v>
                </c:pt>
              </c:strCache>
            </c:strRef>
          </c:cat>
          <c:val>
            <c:numRef>
              <c:f>Inventory!$Y$10</c:f>
              <c:numCache>
                <c:formatCode>General</c:formatCode>
                <c:ptCount val="1"/>
                <c:pt idx="0">
                  <c:v>0</c:v>
                </c:pt>
              </c:numCache>
            </c:numRef>
          </c:val>
          <c:extLst>
            <c:ext xmlns:c16="http://schemas.microsoft.com/office/drawing/2014/chart" uri="{C3380CC4-5D6E-409C-BE32-E72D297353CC}">
              <c16:uniqueId val="{0000000D-F5FC-49C3-9AB9-FEE3C190E0F3}"/>
            </c:ext>
          </c:extLst>
        </c:ser>
        <c:ser>
          <c:idx val="1"/>
          <c:order val="1"/>
          <c:tx>
            <c:strRef>
              <c:f>Inventory!$Z$9</c:f>
              <c:strCache>
                <c:ptCount val="1"/>
                <c:pt idx="0">
                  <c:v>Sum of Used</c:v>
                </c:pt>
              </c:strCache>
            </c:strRef>
          </c:tx>
          <c:spPr>
            <a:solidFill>
              <a:schemeClr val="accent2"/>
            </a:solidFill>
            <a:ln>
              <a:noFill/>
            </a:ln>
            <a:effectLst/>
            <a:sp3d/>
          </c:spPr>
          <c:invertIfNegative val="0"/>
          <c:cat>
            <c:strRef>
              <c:f>Inventory!$X$10</c:f>
              <c:strCache>
                <c:ptCount val="1"/>
                <c:pt idx="0">
                  <c:v>(blank)</c:v>
                </c:pt>
              </c:strCache>
            </c:strRef>
          </c:cat>
          <c:val>
            <c:numRef>
              <c:f>Inventory!$Z$10</c:f>
              <c:numCache>
                <c:formatCode>General</c:formatCode>
                <c:ptCount val="1"/>
                <c:pt idx="0">
                  <c:v>0</c:v>
                </c:pt>
              </c:numCache>
            </c:numRef>
          </c:val>
          <c:extLst>
            <c:ext xmlns:c16="http://schemas.microsoft.com/office/drawing/2014/chart" uri="{C3380CC4-5D6E-409C-BE32-E72D297353CC}">
              <c16:uniqueId val="{0000000E-F5FC-49C3-9AB9-FEE3C190E0F3}"/>
            </c:ext>
          </c:extLst>
        </c:ser>
        <c:ser>
          <c:idx val="2"/>
          <c:order val="2"/>
          <c:tx>
            <c:strRef>
              <c:f>Inventory!$AA$9</c:f>
              <c:strCache>
                <c:ptCount val="1"/>
                <c:pt idx="0">
                  <c:v>Sum of Left Out</c:v>
                </c:pt>
              </c:strCache>
            </c:strRef>
          </c:tx>
          <c:spPr>
            <a:solidFill>
              <a:schemeClr val="accent3"/>
            </a:solidFill>
            <a:ln>
              <a:noFill/>
            </a:ln>
            <a:effectLst/>
            <a:sp3d/>
          </c:spPr>
          <c:invertIfNegative val="0"/>
          <c:cat>
            <c:strRef>
              <c:f>Inventory!$X$10</c:f>
              <c:strCache>
                <c:ptCount val="1"/>
                <c:pt idx="0">
                  <c:v>(blank)</c:v>
                </c:pt>
              </c:strCache>
            </c:strRef>
          </c:cat>
          <c:val>
            <c:numRef>
              <c:f>Inventory!$AA$10</c:f>
              <c:numCache>
                <c:formatCode>General</c:formatCode>
                <c:ptCount val="1"/>
                <c:pt idx="0">
                  <c:v>0</c:v>
                </c:pt>
              </c:numCache>
            </c:numRef>
          </c:val>
          <c:extLst>
            <c:ext xmlns:c16="http://schemas.microsoft.com/office/drawing/2014/chart" uri="{C3380CC4-5D6E-409C-BE32-E72D297353CC}">
              <c16:uniqueId val="{0000000F-F5FC-49C3-9AB9-FEE3C190E0F3}"/>
            </c:ext>
          </c:extLst>
        </c:ser>
        <c:dLbls>
          <c:showLegendKey val="0"/>
          <c:showVal val="0"/>
          <c:showCatName val="0"/>
          <c:showSerName val="0"/>
          <c:showPercent val="0"/>
          <c:showBubbleSize val="0"/>
        </c:dLbls>
        <c:gapWidth val="150"/>
        <c:shape val="box"/>
        <c:axId val="1602356687"/>
        <c:axId val="1602357167"/>
        <c:axId val="0"/>
      </c:bar3DChart>
      <c:catAx>
        <c:axId val="160235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357167"/>
        <c:crosses val="autoZero"/>
        <c:auto val="1"/>
        <c:lblAlgn val="ctr"/>
        <c:lblOffset val="100"/>
        <c:noMultiLvlLbl val="0"/>
      </c:catAx>
      <c:valAx>
        <c:axId val="160235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356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[DashBoard.xlsx]Receipe DataBase!PivotTable2</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'Receipe DataBase'!$V$6</c:f>
              <c:strCache>
                <c:ptCount val="1"/>
                <c:pt idx="0">
                  <c:v>Sum of Cost of Making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'Receipe DataBase'!$U$7:$U$49</c:f>
              <c:strCache>
                <c:ptCount val="42"/>
                <c:pt idx="0">
                  <c:v>Black Coffee</c:v>
                </c:pt>
                <c:pt idx="1">
                  <c:v>Boiled Egg</c:v>
                </c:pt>
                <c:pt idx="2">
                  <c:v>Boost</c:v>
                </c:pt>
                <c:pt idx="3">
                  <c:v>Chapathi</c:v>
                </c:pt>
                <c:pt idx="4">
                  <c:v>Chappathi and Channa (2 pcs)</c:v>
                </c:pt>
                <c:pt idx="5">
                  <c:v>Coconut Chutney</c:v>
                </c:pt>
                <c:pt idx="6">
                  <c:v>Coffee</c:v>
                </c:pt>
                <c:pt idx="7">
                  <c:v>Curd Rice</c:v>
                </c:pt>
                <c:pt idx="8">
                  <c:v>Dosa</c:v>
                </c:pt>
                <c:pt idx="9">
                  <c:v>Egg Dosa</c:v>
                </c:pt>
                <c:pt idx="10">
                  <c:v>Ghee Dosa</c:v>
                </c:pt>
                <c:pt idx="11">
                  <c:v>Ghee Mini Idli with Sambhar (15 pcs)</c:v>
                </c:pt>
                <c:pt idx="12">
                  <c:v>Ginger Tea</c:v>
                </c:pt>
                <c:pt idx="13">
                  <c:v>Horlicks</c:v>
                </c:pt>
                <c:pt idx="14">
                  <c:v>Idli Podimas</c:v>
                </c:pt>
                <c:pt idx="15">
                  <c:v>Idly 5 pcs</c:v>
                </c:pt>
                <c:pt idx="16">
                  <c:v>Kuli Paniyaram</c:v>
                </c:pt>
                <c:pt idx="17">
                  <c:v>Kurma</c:v>
                </c:pt>
                <c:pt idx="18">
                  <c:v>Lemon Rice</c:v>
                </c:pt>
                <c:pt idx="19">
                  <c:v>Masala Dosa</c:v>
                </c:pt>
                <c:pt idx="20">
                  <c:v>Mini Idli</c:v>
                </c:pt>
                <c:pt idx="21">
                  <c:v>Mini Podi Idli</c:v>
                </c:pt>
                <c:pt idx="22">
                  <c:v>Onion Dosa</c:v>
                </c:pt>
                <c:pt idx="23">
                  <c:v>Onion Egg Dosa</c:v>
                </c:pt>
                <c:pt idx="24">
                  <c:v>Onion Podi Dosa</c:v>
                </c:pt>
                <c:pt idx="25">
                  <c:v>Paper Roast</c:v>
                </c:pt>
                <c:pt idx="26">
                  <c:v>Plain Rice</c:v>
                </c:pt>
                <c:pt idx="27">
                  <c:v>Podi Idli</c:v>
                </c:pt>
                <c:pt idx="28">
                  <c:v>Sambar</c:v>
                </c:pt>
                <c:pt idx="29">
                  <c:v>Tomato Chutney</c:v>
                </c:pt>
                <c:pt idx="30">
                  <c:v>Tomato Dosa</c:v>
                </c:pt>
                <c:pt idx="31">
                  <c:v>Tomato Rice</c:v>
                </c:pt>
                <c:pt idx="32">
                  <c:v>Milk</c:v>
                </c:pt>
                <c:pt idx="33">
                  <c:v>Idli(2 pcs)</c:v>
                </c:pt>
                <c:pt idx="34">
                  <c:v>2 Masala Dosa</c:v>
                </c:pt>
                <c:pt idx="35">
                  <c:v>2 Ghee Dosa</c:v>
                </c:pt>
                <c:pt idx="36">
                  <c:v> 2 Paper Roast</c:v>
                </c:pt>
                <c:pt idx="37">
                  <c:v>cooked rice(InventorySide)</c:v>
                </c:pt>
                <c:pt idx="38">
                  <c:v>Tea(125ml)</c:v>
                </c:pt>
                <c:pt idx="39">
                  <c:v>Tea(250 ml)</c:v>
                </c:pt>
                <c:pt idx="40">
                  <c:v>Tea(500ml)</c:v>
                </c:pt>
                <c:pt idx="41">
                  <c:v>Tea(750ml)</c:v>
                </c:pt>
              </c:strCache>
            </c:strRef>
          </c:cat>
          <c:val>
            <c:numRef>
              <c:f>'Receipe DataBase'!$V$7:$V$49</c:f>
              <c:numCache>
                <c:formatCode>General</c:formatCode>
                <c:ptCount val="42"/>
                <c:pt idx="0">
                  <c:v>2.75</c:v>
                </c:pt>
                <c:pt idx="1">
                  <c:v>7</c:v>
                </c:pt>
                <c:pt idx="2">
                  <c:v>16.899999999999999</c:v>
                </c:pt>
                <c:pt idx="3">
                  <c:v>9.0399999999999991</c:v>
                </c:pt>
                <c:pt idx="4">
                  <c:v>29.493560606060605</c:v>
                </c:pt>
                <c:pt idx="5">
                  <c:v>35.172313118448123</c:v>
                </c:pt>
                <c:pt idx="6">
                  <c:v>16.299999999999997</c:v>
                </c:pt>
                <c:pt idx="7">
                  <c:v>14.108182809360329</c:v>
                </c:pt>
                <c:pt idx="8">
                  <c:v>17.34032967032967</c:v>
                </c:pt>
                <c:pt idx="9">
                  <c:v>23.739285714285714</c:v>
                </c:pt>
                <c:pt idx="10">
                  <c:v>25.248901098901101</c:v>
                </c:pt>
                <c:pt idx="11">
                  <c:v>18.8</c:v>
                </c:pt>
                <c:pt idx="12">
                  <c:v>10.54078947368421</c:v>
                </c:pt>
                <c:pt idx="13">
                  <c:v>16.899999999999999</c:v>
                </c:pt>
                <c:pt idx="14">
                  <c:v>27.688230388200473</c:v>
                </c:pt>
                <c:pt idx="15">
                  <c:v>14.285714285714285</c:v>
                </c:pt>
                <c:pt idx="16">
                  <c:v>27.861407186262678</c:v>
                </c:pt>
                <c:pt idx="17">
                  <c:v>17.575657894736842</c:v>
                </c:pt>
                <c:pt idx="18">
                  <c:v>19.85607256801719</c:v>
                </c:pt>
                <c:pt idx="19">
                  <c:v>32.169656372762056</c:v>
                </c:pt>
                <c:pt idx="20">
                  <c:v>17.267857142857142</c:v>
                </c:pt>
                <c:pt idx="21">
                  <c:v>12.344285714285714</c:v>
                </c:pt>
                <c:pt idx="22">
                  <c:v>25.098901098901102</c:v>
                </c:pt>
                <c:pt idx="23">
                  <c:v>30.656043956043952</c:v>
                </c:pt>
                <c:pt idx="24">
                  <c:v>25.398901098901099</c:v>
                </c:pt>
                <c:pt idx="25">
                  <c:v>17.162901098901099</c:v>
                </c:pt>
                <c:pt idx="26">
                  <c:v>5.55</c:v>
                </c:pt>
                <c:pt idx="27">
                  <c:v>15.601692224912563</c:v>
                </c:pt>
                <c:pt idx="28">
                  <c:v>62.043846455654872</c:v>
                </c:pt>
                <c:pt idx="29">
                  <c:v>29.438743535138425</c:v>
                </c:pt>
                <c:pt idx="30">
                  <c:v>15.634615384615385</c:v>
                </c:pt>
                <c:pt idx="31">
                  <c:v>17.842073809080354</c:v>
                </c:pt>
                <c:pt idx="32">
                  <c:v>8.1</c:v>
                </c:pt>
                <c:pt idx="33">
                  <c:v>12.991758241758243</c:v>
                </c:pt>
                <c:pt idx="34">
                  <c:v>63.027049535155214</c:v>
                </c:pt>
                <c:pt idx="35">
                  <c:v>35.383516483516487</c:v>
                </c:pt>
                <c:pt idx="36">
                  <c:v>27.297516483516485</c:v>
                </c:pt>
                <c:pt idx="37">
                  <c:v>22.2</c:v>
                </c:pt>
                <c:pt idx="38">
                  <c:v>5.9619999999999997</c:v>
                </c:pt>
                <c:pt idx="39">
                  <c:v>10.75</c:v>
                </c:pt>
                <c:pt idx="40">
                  <c:v>20.25</c:v>
                </c:pt>
                <c:pt idx="41">
                  <c:v>29.75</c:v>
                </c:pt>
              </c:numCache>
            </c:numRef>
          </c:val>
          <c:smooth val="0"/>
          <c:extLst>
            <c:ext xmlns:c16="http://schemas.microsoft.com/office/drawing/2014/chart" uri="{C3380CC4-5D6E-409C-BE32-E72D297353CC}">
              <c16:uniqueId val="{00000000-A24F-488A-8DBF-18BEFBD9256E}"/>
            </c:ext>
          </c:extLst>
        </c:ser>
        <c:ser>
          <c:idx val="1"/>
          <c:order val="1"/>
          <c:tx>
            <c:strRef>
              <c:f>'Receipe DataBase'!$W$6</c:f>
              <c:strCache>
                <c:ptCount val="1"/>
                <c:pt idx="0">
                  <c:v>Sum of Margin Value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'Receipe DataBase'!$U$7:$U$49</c:f>
              <c:strCache>
                <c:ptCount val="42"/>
                <c:pt idx="0">
                  <c:v>Black Coffee</c:v>
                </c:pt>
                <c:pt idx="1">
                  <c:v>Boiled Egg</c:v>
                </c:pt>
                <c:pt idx="2">
                  <c:v>Boost</c:v>
                </c:pt>
                <c:pt idx="3">
                  <c:v>Chapathi</c:v>
                </c:pt>
                <c:pt idx="4">
                  <c:v>Chappathi and Channa (2 pcs)</c:v>
                </c:pt>
                <c:pt idx="5">
                  <c:v>Coconut Chutney</c:v>
                </c:pt>
                <c:pt idx="6">
                  <c:v>Coffee</c:v>
                </c:pt>
                <c:pt idx="7">
                  <c:v>Curd Rice</c:v>
                </c:pt>
                <c:pt idx="8">
                  <c:v>Dosa</c:v>
                </c:pt>
                <c:pt idx="9">
                  <c:v>Egg Dosa</c:v>
                </c:pt>
                <c:pt idx="10">
                  <c:v>Ghee Dosa</c:v>
                </c:pt>
                <c:pt idx="11">
                  <c:v>Ghee Mini Idli with Sambhar (15 pcs)</c:v>
                </c:pt>
                <c:pt idx="12">
                  <c:v>Ginger Tea</c:v>
                </c:pt>
                <c:pt idx="13">
                  <c:v>Horlicks</c:v>
                </c:pt>
                <c:pt idx="14">
                  <c:v>Idli Podimas</c:v>
                </c:pt>
                <c:pt idx="15">
                  <c:v>Idly 5 pcs</c:v>
                </c:pt>
                <c:pt idx="16">
                  <c:v>Kuli Paniyaram</c:v>
                </c:pt>
                <c:pt idx="17">
                  <c:v>Kurma</c:v>
                </c:pt>
                <c:pt idx="18">
                  <c:v>Lemon Rice</c:v>
                </c:pt>
                <c:pt idx="19">
                  <c:v>Masala Dosa</c:v>
                </c:pt>
                <c:pt idx="20">
                  <c:v>Mini Idli</c:v>
                </c:pt>
                <c:pt idx="21">
                  <c:v>Mini Podi Idli</c:v>
                </c:pt>
                <c:pt idx="22">
                  <c:v>Onion Dosa</c:v>
                </c:pt>
                <c:pt idx="23">
                  <c:v>Onion Egg Dosa</c:v>
                </c:pt>
                <c:pt idx="24">
                  <c:v>Onion Podi Dosa</c:v>
                </c:pt>
                <c:pt idx="25">
                  <c:v>Paper Roast</c:v>
                </c:pt>
                <c:pt idx="26">
                  <c:v>Plain Rice</c:v>
                </c:pt>
                <c:pt idx="27">
                  <c:v>Podi Idli</c:v>
                </c:pt>
                <c:pt idx="28">
                  <c:v>Sambar</c:v>
                </c:pt>
                <c:pt idx="29">
                  <c:v>Tomato Chutney</c:v>
                </c:pt>
                <c:pt idx="30">
                  <c:v>Tomato Dosa</c:v>
                </c:pt>
                <c:pt idx="31">
                  <c:v>Tomato Rice</c:v>
                </c:pt>
                <c:pt idx="32">
                  <c:v>Milk</c:v>
                </c:pt>
                <c:pt idx="33">
                  <c:v>Idli(2 pcs)</c:v>
                </c:pt>
                <c:pt idx="34">
                  <c:v>2 Masala Dosa</c:v>
                </c:pt>
                <c:pt idx="35">
                  <c:v>2 Ghee Dosa</c:v>
                </c:pt>
                <c:pt idx="36">
                  <c:v> 2 Paper Roast</c:v>
                </c:pt>
                <c:pt idx="37">
                  <c:v>cooked rice(InventorySide)</c:v>
                </c:pt>
                <c:pt idx="38">
                  <c:v>Tea(125ml)</c:v>
                </c:pt>
                <c:pt idx="39">
                  <c:v>Tea(250 ml)</c:v>
                </c:pt>
                <c:pt idx="40">
                  <c:v>Tea(500ml)</c:v>
                </c:pt>
                <c:pt idx="41">
                  <c:v>Tea(750ml)</c:v>
                </c:pt>
              </c:strCache>
            </c:strRef>
          </c:cat>
          <c:val>
            <c:numRef>
              <c:f>'Receipe DataBase'!$W$7:$W$49</c:f>
              <c:numCache>
                <c:formatCode>General</c:formatCode>
                <c:ptCount val="42"/>
                <c:pt idx="0">
                  <c:v>5.75</c:v>
                </c:pt>
                <c:pt idx="1">
                  <c:v>10</c:v>
                </c:pt>
                <c:pt idx="2">
                  <c:v>19.899999999999999</c:v>
                </c:pt>
                <c:pt idx="3">
                  <c:v>12.04</c:v>
                </c:pt>
                <c:pt idx="4">
                  <c:v>34.493560606060605</c:v>
                </c:pt>
                <c:pt idx="5">
                  <c:v>38.172313118448123</c:v>
                </c:pt>
                <c:pt idx="6">
                  <c:v>19.299999999999997</c:v>
                </c:pt>
                <c:pt idx="7">
                  <c:v>17.108182809360329</c:v>
                </c:pt>
                <c:pt idx="8">
                  <c:v>20.34032967032967</c:v>
                </c:pt>
                <c:pt idx="9">
                  <c:v>28.739285714285714</c:v>
                </c:pt>
                <c:pt idx="10">
                  <c:v>28.248901098901101</c:v>
                </c:pt>
                <c:pt idx="11">
                  <c:v>23.8</c:v>
                </c:pt>
                <c:pt idx="12">
                  <c:v>13.54078947368421</c:v>
                </c:pt>
                <c:pt idx="13">
                  <c:v>19.899999999999999</c:v>
                </c:pt>
                <c:pt idx="14">
                  <c:v>32.688230388200473</c:v>
                </c:pt>
                <c:pt idx="15">
                  <c:v>17.285714285714285</c:v>
                </c:pt>
                <c:pt idx="16">
                  <c:v>32.861407186262682</c:v>
                </c:pt>
                <c:pt idx="17">
                  <c:v>22.575657894736842</c:v>
                </c:pt>
                <c:pt idx="18">
                  <c:v>22.85607256801719</c:v>
                </c:pt>
                <c:pt idx="19">
                  <c:v>37.169656372762056</c:v>
                </c:pt>
                <c:pt idx="20">
                  <c:v>20.267857142857142</c:v>
                </c:pt>
                <c:pt idx="21">
                  <c:v>17.344285714285714</c:v>
                </c:pt>
                <c:pt idx="22">
                  <c:v>28.098901098901102</c:v>
                </c:pt>
                <c:pt idx="23">
                  <c:v>35.656043956043952</c:v>
                </c:pt>
                <c:pt idx="24">
                  <c:v>30.398901098901099</c:v>
                </c:pt>
                <c:pt idx="25">
                  <c:v>22.162901098901099</c:v>
                </c:pt>
                <c:pt idx="26">
                  <c:v>8.5500000000000007</c:v>
                </c:pt>
                <c:pt idx="27">
                  <c:v>18.601692224912561</c:v>
                </c:pt>
                <c:pt idx="28">
                  <c:v>67.043846455654872</c:v>
                </c:pt>
                <c:pt idx="29">
                  <c:v>32.438743535138428</c:v>
                </c:pt>
                <c:pt idx="30">
                  <c:v>18.634615384615387</c:v>
                </c:pt>
                <c:pt idx="31">
                  <c:v>20.842073809080354</c:v>
                </c:pt>
                <c:pt idx="32">
                  <c:v>11.1</c:v>
                </c:pt>
                <c:pt idx="33">
                  <c:v>15.991758241758243</c:v>
                </c:pt>
                <c:pt idx="34">
                  <c:v>68.027049535155214</c:v>
                </c:pt>
                <c:pt idx="35">
                  <c:v>38.383516483516487</c:v>
                </c:pt>
                <c:pt idx="36">
                  <c:v>32.297516483516489</c:v>
                </c:pt>
                <c:pt idx="37">
                  <c:v>25.2</c:v>
                </c:pt>
                <c:pt idx="38">
                  <c:v>15.962</c:v>
                </c:pt>
                <c:pt idx="39">
                  <c:v>13.75</c:v>
                </c:pt>
                <c:pt idx="40">
                  <c:v>25.25</c:v>
                </c:pt>
                <c:pt idx="41">
                  <c:v>32.75</c:v>
                </c:pt>
              </c:numCache>
            </c:numRef>
          </c:val>
          <c:smooth val="0"/>
          <c:extLst>
            <c:ext xmlns:c16="http://schemas.microsoft.com/office/drawing/2014/chart" uri="{C3380CC4-5D6E-409C-BE32-E72D297353CC}">
              <c16:uniqueId val="{00000001-A24F-488A-8DBF-18BEFBD9256E}"/>
            </c:ext>
          </c:extLst>
        </c:ser>
        <c:ser>
          <c:idx val="2"/>
          <c:order val="2"/>
          <c:tx>
            <c:strRef>
              <c:f>'Receipe DataBase'!$X$6</c:f>
              <c:strCache>
                <c:ptCount val="1"/>
                <c:pt idx="0">
                  <c:v>Sum of Our Prizing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'Receipe DataBase'!$U$7:$U$49</c:f>
              <c:strCache>
                <c:ptCount val="42"/>
                <c:pt idx="0">
                  <c:v>Black Coffee</c:v>
                </c:pt>
                <c:pt idx="1">
                  <c:v>Boiled Egg</c:v>
                </c:pt>
                <c:pt idx="2">
                  <c:v>Boost</c:v>
                </c:pt>
                <c:pt idx="3">
                  <c:v>Chapathi</c:v>
                </c:pt>
                <c:pt idx="4">
                  <c:v>Chappathi and Channa (2 pcs)</c:v>
                </c:pt>
                <c:pt idx="5">
                  <c:v>Coconut Chutney</c:v>
                </c:pt>
                <c:pt idx="6">
                  <c:v>Coffee</c:v>
                </c:pt>
                <c:pt idx="7">
                  <c:v>Curd Rice</c:v>
                </c:pt>
                <c:pt idx="8">
                  <c:v>Dosa</c:v>
                </c:pt>
                <c:pt idx="9">
                  <c:v>Egg Dosa</c:v>
                </c:pt>
                <c:pt idx="10">
                  <c:v>Ghee Dosa</c:v>
                </c:pt>
                <c:pt idx="11">
                  <c:v>Ghee Mini Idli with Sambhar (15 pcs)</c:v>
                </c:pt>
                <c:pt idx="12">
                  <c:v>Ginger Tea</c:v>
                </c:pt>
                <c:pt idx="13">
                  <c:v>Horlicks</c:v>
                </c:pt>
                <c:pt idx="14">
                  <c:v>Idli Podimas</c:v>
                </c:pt>
                <c:pt idx="15">
                  <c:v>Idly 5 pcs</c:v>
                </c:pt>
                <c:pt idx="16">
                  <c:v>Kuli Paniyaram</c:v>
                </c:pt>
                <c:pt idx="17">
                  <c:v>Kurma</c:v>
                </c:pt>
                <c:pt idx="18">
                  <c:v>Lemon Rice</c:v>
                </c:pt>
                <c:pt idx="19">
                  <c:v>Masala Dosa</c:v>
                </c:pt>
                <c:pt idx="20">
                  <c:v>Mini Idli</c:v>
                </c:pt>
                <c:pt idx="21">
                  <c:v>Mini Podi Idli</c:v>
                </c:pt>
                <c:pt idx="22">
                  <c:v>Onion Dosa</c:v>
                </c:pt>
                <c:pt idx="23">
                  <c:v>Onion Egg Dosa</c:v>
                </c:pt>
                <c:pt idx="24">
                  <c:v>Onion Podi Dosa</c:v>
                </c:pt>
                <c:pt idx="25">
                  <c:v>Paper Roast</c:v>
                </c:pt>
                <c:pt idx="26">
                  <c:v>Plain Rice</c:v>
                </c:pt>
                <c:pt idx="27">
                  <c:v>Podi Idli</c:v>
                </c:pt>
                <c:pt idx="28">
                  <c:v>Sambar</c:v>
                </c:pt>
                <c:pt idx="29">
                  <c:v>Tomato Chutney</c:v>
                </c:pt>
                <c:pt idx="30">
                  <c:v>Tomato Dosa</c:v>
                </c:pt>
                <c:pt idx="31">
                  <c:v>Tomato Rice</c:v>
                </c:pt>
                <c:pt idx="32">
                  <c:v>Milk</c:v>
                </c:pt>
                <c:pt idx="33">
                  <c:v>Idli(2 pcs)</c:v>
                </c:pt>
                <c:pt idx="34">
                  <c:v>2 Masala Dosa</c:v>
                </c:pt>
                <c:pt idx="35">
                  <c:v>2 Ghee Dosa</c:v>
                </c:pt>
                <c:pt idx="36">
                  <c:v> 2 Paper Roast</c:v>
                </c:pt>
                <c:pt idx="37">
                  <c:v>cooked rice(InventorySide)</c:v>
                </c:pt>
                <c:pt idx="38">
                  <c:v>Tea(125ml)</c:v>
                </c:pt>
                <c:pt idx="39">
                  <c:v>Tea(250 ml)</c:v>
                </c:pt>
                <c:pt idx="40">
                  <c:v>Tea(500ml)</c:v>
                </c:pt>
                <c:pt idx="41">
                  <c:v>Tea(750ml)</c:v>
                </c:pt>
              </c:strCache>
            </c:strRef>
          </c:cat>
          <c:val>
            <c:numRef>
              <c:f>'Receipe DataBase'!$X$7:$X$49</c:f>
              <c:numCache>
                <c:formatCode>General</c:formatCode>
                <c:ptCount val="42"/>
                <c:pt idx="0">
                  <c:v>30</c:v>
                </c:pt>
                <c:pt idx="1">
                  <c:v>22</c:v>
                </c:pt>
                <c:pt idx="2">
                  <c:v>65</c:v>
                </c:pt>
                <c:pt idx="3">
                  <c:v>40</c:v>
                </c:pt>
                <c:pt idx="4">
                  <c:v>105</c:v>
                </c:pt>
                <c:pt idx="5">
                  <c:v>95</c:v>
                </c:pt>
                <c:pt idx="6">
                  <c:v>60</c:v>
                </c:pt>
                <c:pt idx="7">
                  <c:v>52</c:v>
                </c:pt>
                <c:pt idx="8">
                  <c:v>62</c:v>
                </c:pt>
                <c:pt idx="9">
                  <c:v>85</c:v>
                </c:pt>
                <c:pt idx="10">
                  <c:v>90</c:v>
                </c:pt>
                <c:pt idx="11">
                  <c:v>68</c:v>
                </c:pt>
                <c:pt idx="12">
                  <c:v>38</c:v>
                </c:pt>
                <c:pt idx="13">
                  <c:v>65</c:v>
                </c:pt>
                <c:pt idx="14">
                  <c:v>100</c:v>
                </c:pt>
                <c:pt idx="15">
                  <c:v>52</c:v>
                </c:pt>
                <c:pt idx="16">
                  <c:v>100</c:v>
                </c:pt>
                <c:pt idx="17">
                  <c:v>65</c:v>
                </c:pt>
                <c:pt idx="18">
                  <c:v>70</c:v>
                </c:pt>
                <c:pt idx="19">
                  <c:v>115</c:v>
                </c:pt>
                <c:pt idx="20">
                  <c:v>62</c:v>
                </c:pt>
                <c:pt idx="21">
                  <c:v>50</c:v>
                </c:pt>
                <c:pt idx="22">
                  <c:v>90</c:v>
                </c:pt>
                <c:pt idx="23">
                  <c:v>110</c:v>
                </c:pt>
                <c:pt idx="24">
                  <c:v>90</c:v>
                </c:pt>
                <c:pt idx="25">
                  <c:v>62</c:v>
                </c:pt>
                <c:pt idx="26">
                  <c:v>80</c:v>
                </c:pt>
                <c:pt idx="27">
                  <c:v>56</c:v>
                </c:pt>
                <c:pt idx="28">
                  <c:v>400</c:v>
                </c:pt>
                <c:pt idx="29">
                  <c:v>250</c:v>
                </c:pt>
                <c:pt idx="30">
                  <c:v>60</c:v>
                </c:pt>
                <c:pt idx="31">
                  <c:v>65</c:v>
                </c:pt>
                <c:pt idx="32">
                  <c:v>32</c:v>
                </c:pt>
                <c:pt idx="33">
                  <c:v>48</c:v>
                </c:pt>
                <c:pt idx="34">
                  <c:v>220</c:v>
                </c:pt>
                <c:pt idx="35">
                  <c:v>125</c:v>
                </c:pt>
                <c:pt idx="36">
                  <c:v>96</c:v>
                </c:pt>
                <c:pt idx="37">
                  <c:v>280</c:v>
                </c:pt>
                <c:pt idx="38">
                  <c:v>22</c:v>
                </c:pt>
                <c:pt idx="39">
                  <c:v>40</c:v>
                </c:pt>
                <c:pt idx="40">
                  <c:v>70</c:v>
                </c:pt>
                <c:pt idx="41">
                  <c:v>105</c:v>
                </c:pt>
              </c:numCache>
            </c:numRef>
          </c:val>
          <c:smooth val="0"/>
          <c:extLst>
            <c:ext xmlns:c16="http://schemas.microsoft.com/office/drawing/2014/chart" uri="{C3380CC4-5D6E-409C-BE32-E72D297353CC}">
              <c16:uniqueId val="{00000002-A24F-488A-8DBF-18BEFBD9256E}"/>
            </c:ext>
          </c:extLst>
        </c:ser>
        <c:dLbls>
          <c:showLegendKey val="0"/>
          <c:showVal val="0"/>
          <c:showCatName val="0"/>
          <c:showSerName val="0"/>
          <c:showPercent val="0"/>
          <c:showBubbleSize val="0"/>
        </c:dLbls>
        <c:marker val="1"/>
        <c:smooth val="0"/>
        <c:axId val="1408539648"/>
        <c:axId val="1408542048"/>
      </c:lineChart>
      <c:catAx>
        <c:axId val="1408539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42048"/>
        <c:crosses val="autoZero"/>
        <c:auto val="1"/>
        <c:lblAlgn val="ctr"/>
        <c:lblOffset val="100"/>
        <c:noMultiLvlLbl val="0"/>
      </c:catAx>
      <c:valAx>
        <c:axId val="1408542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39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Tracking!PivotTable1</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'Sales Tracking'!$AC$7</c:f>
              <c:strCache>
                <c:ptCount val="1"/>
                <c:pt idx="0">
                  <c:v>Count of Quantity Sold</c:v>
                </c:pt>
              </c:strCache>
            </c:strRef>
          </c:tx>
          <c:spPr>
            <a:solidFill>
              <a:schemeClr val="accent1"/>
            </a:solidFill>
            <a:ln>
              <a:noFill/>
            </a:ln>
            <a:effectLst/>
            <a:sp3d/>
          </c:spPr>
          <c:invertIfNegative val="0"/>
          <c:cat>
            <c:strRef>
              <c:f>'Sales Tracking'!$AB$8:$AB$10</c:f>
              <c:strCache>
                <c:ptCount val="2"/>
                <c:pt idx="0">
                  <c:v>(blank)</c:v>
                </c:pt>
                <c:pt idx="1">
                  <c:v>Idli(2 pcs)</c:v>
                </c:pt>
              </c:strCache>
            </c:strRef>
          </c:cat>
          <c:val>
            <c:numRef>
              <c:f>'Sales Tracking'!$AC$8:$AC$10</c:f>
              <c:numCache>
                <c:formatCode>General</c:formatCode>
                <c:ptCount val="2"/>
                <c:pt idx="1">
                  <c:v>1</c:v>
                </c:pt>
              </c:numCache>
            </c:numRef>
          </c:val>
          <c:extLst>
            <c:ext xmlns:c16="http://schemas.microsoft.com/office/drawing/2014/chart" uri="{C3380CC4-5D6E-409C-BE32-E72D297353CC}">
              <c16:uniqueId val="{00000000-FF22-473C-AD30-7DC8B8B7CB06}"/>
            </c:ext>
          </c:extLst>
        </c:ser>
        <c:ser>
          <c:idx val="1"/>
          <c:order val="1"/>
          <c:tx>
            <c:strRef>
              <c:f>'Sales Tracking'!$AD$7</c:f>
              <c:strCache>
                <c:ptCount val="1"/>
                <c:pt idx="0">
                  <c:v>Sum of Cost Price per Unit</c:v>
                </c:pt>
              </c:strCache>
            </c:strRef>
          </c:tx>
          <c:spPr>
            <a:solidFill>
              <a:schemeClr val="accent2"/>
            </a:solidFill>
            <a:ln>
              <a:noFill/>
            </a:ln>
            <a:effectLst/>
            <a:sp3d/>
          </c:spPr>
          <c:invertIfNegative val="0"/>
          <c:cat>
            <c:strRef>
              <c:f>'Sales Tracking'!$AB$8:$AB$10</c:f>
              <c:strCache>
                <c:ptCount val="2"/>
                <c:pt idx="0">
                  <c:v>(blank)</c:v>
                </c:pt>
                <c:pt idx="1">
                  <c:v>Idli(2 pcs)</c:v>
                </c:pt>
              </c:strCache>
            </c:strRef>
          </c:cat>
          <c:val>
            <c:numRef>
              <c:f>'Sales Tracking'!$AD$8:$AD$10</c:f>
              <c:numCache>
                <c:formatCode>General</c:formatCode>
                <c:ptCount val="2"/>
                <c:pt idx="0">
                  <c:v>#N/A</c:v>
                </c:pt>
                <c:pt idx="1">
                  <c:v>#N/A</c:v>
                </c:pt>
              </c:numCache>
            </c:numRef>
          </c:val>
          <c:extLst>
            <c:ext xmlns:c16="http://schemas.microsoft.com/office/drawing/2014/chart" uri="{C3380CC4-5D6E-409C-BE32-E72D297353CC}">
              <c16:uniqueId val="{00000001-FF22-473C-AD30-7DC8B8B7CB06}"/>
            </c:ext>
          </c:extLst>
        </c:ser>
        <c:ser>
          <c:idx val="2"/>
          <c:order val="2"/>
          <c:tx>
            <c:strRef>
              <c:f>'Sales Tracking'!$AE$7</c:f>
              <c:strCache>
                <c:ptCount val="1"/>
                <c:pt idx="0">
                  <c:v>Average of Profit on 10%</c:v>
                </c:pt>
              </c:strCache>
            </c:strRef>
          </c:tx>
          <c:spPr>
            <a:solidFill>
              <a:schemeClr val="accent3"/>
            </a:solidFill>
            <a:ln>
              <a:noFill/>
            </a:ln>
            <a:effectLst/>
            <a:sp3d/>
          </c:spPr>
          <c:invertIfNegative val="0"/>
          <c:cat>
            <c:strRef>
              <c:f>'Sales Tracking'!$AB$8:$AB$10</c:f>
              <c:strCache>
                <c:ptCount val="2"/>
                <c:pt idx="0">
                  <c:v>(blank)</c:v>
                </c:pt>
                <c:pt idx="1">
                  <c:v>Idli(2 pcs)</c:v>
                </c:pt>
              </c:strCache>
            </c:strRef>
          </c:cat>
          <c:val>
            <c:numRef>
              <c:f>'Sales Tracking'!$AE$8:$AE$10</c:f>
              <c:numCache>
                <c:formatCode>General</c:formatCode>
                <c:ptCount val="2"/>
                <c:pt idx="0">
                  <c:v>#N/A</c:v>
                </c:pt>
                <c:pt idx="1">
                  <c:v>#N/A</c:v>
                </c:pt>
              </c:numCache>
            </c:numRef>
          </c:val>
          <c:extLst>
            <c:ext xmlns:c16="http://schemas.microsoft.com/office/drawing/2014/chart" uri="{C3380CC4-5D6E-409C-BE32-E72D297353CC}">
              <c16:uniqueId val="{00000002-FF22-473C-AD30-7DC8B8B7CB06}"/>
            </c:ext>
          </c:extLst>
        </c:ser>
        <c:ser>
          <c:idx val="3"/>
          <c:order val="3"/>
          <c:tx>
            <c:strRef>
              <c:f>'Sales Tracking'!$AF$7</c:f>
              <c:strCache>
                <c:ptCount val="1"/>
                <c:pt idx="0">
                  <c:v>Average of Profit on 30%</c:v>
                </c:pt>
              </c:strCache>
            </c:strRef>
          </c:tx>
          <c:spPr>
            <a:solidFill>
              <a:schemeClr val="accent4"/>
            </a:solidFill>
            <a:ln>
              <a:noFill/>
            </a:ln>
            <a:effectLst/>
            <a:sp3d/>
          </c:spPr>
          <c:invertIfNegative val="0"/>
          <c:cat>
            <c:strRef>
              <c:f>'Sales Tracking'!$AB$8:$AB$10</c:f>
              <c:strCache>
                <c:ptCount val="2"/>
                <c:pt idx="0">
                  <c:v>(blank)</c:v>
                </c:pt>
                <c:pt idx="1">
                  <c:v>Idli(2 pcs)</c:v>
                </c:pt>
              </c:strCache>
            </c:strRef>
          </c:cat>
          <c:val>
            <c:numRef>
              <c:f>'Sales Tracking'!$AF$8:$AF$10</c:f>
              <c:numCache>
                <c:formatCode>General</c:formatCode>
                <c:ptCount val="2"/>
                <c:pt idx="0">
                  <c:v>#N/A</c:v>
                </c:pt>
                <c:pt idx="1">
                  <c:v>#N/A</c:v>
                </c:pt>
              </c:numCache>
            </c:numRef>
          </c:val>
          <c:extLst>
            <c:ext xmlns:c16="http://schemas.microsoft.com/office/drawing/2014/chart" uri="{C3380CC4-5D6E-409C-BE32-E72D297353CC}">
              <c16:uniqueId val="{00000003-FF22-473C-AD30-7DC8B8B7CB06}"/>
            </c:ext>
          </c:extLst>
        </c:ser>
        <c:dLbls>
          <c:showLegendKey val="0"/>
          <c:showVal val="0"/>
          <c:showCatName val="0"/>
          <c:showSerName val="0"/>
          <c:showPercent val="0"/>
          <c:showBubbleSize val="0"/>
        </c:dLbls>
        <c:gapWidth val="150"/>
        <c:shape val="box"/>
        <c:axId val="1890599023"/>
        <c:axId val="1890605263"/>
        <c:axId val="0"/>
      </c:bar3DChart>
      <c:catAx>
        <c:axId val="1890599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05263"/>
        <c:crosses val="autoZero"/>
        <c:auto val="1"/>
        <c:lblAlgn val="ctr"/>
        <c:lblOffset val="100"/>
        <c:noMultiLvlLbl val="0"/>
      </c:catAx>
      <c:valAx>
        <c:axId val="1890605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59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85724</xdr:colOff>
      <xdr:row>18</xdr:row>
      <xdr:rowOff>19050</xdr:rowOff>
    </xdr:from>
    <xdr:to>
      <xdr:col>14</xdr:col>
      <xdr:colOff>76200</xdr:colOff>
      <xdr:row>59</xdr:row>
      <xdr:rowOff>152400</xdr:rowOff>
    </xdr:to>
    <xdr:graphicFrame macro="">
      <xdr:nvGraphicFramePr>
        <xdr:cNvPr id="2" name="Chart 1">
          <a:extLst>
            <a:ext uri="{FF2B5EF4-FFF2-40B4-BE49-F238E27FC236}">
              <a16:creationId xmlns:a16="http://schemas.microsoft.com/office/drawing/2014/main" id="{6EDF8DF6-AEA9-299B-4E70-2F6A6286A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4</xdr:row>
      <xdr:rowOff>114300</xdr:rowOff>
    </xdr:from>
    <xdr:to>
      <xdr:col>3</xdr:col>
      <xdr:colOff>9525</xdr:colOff>
      <xdr:row>40</xdr:row>
      <xdr:rowOff>114300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B63A3B68-0251-D820-88AE-A778B06612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675" y="876300"/>
              <a:ext cx="1771650" cy="685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4</xdr:row>
      <xdr:rowOff>104775</xdr:rowOff>
    </xdr:from>
    <xdr:to>
      <xdr:col>9</xdr:col>
      <xdr:colOff>104775</xdr:colOff>
      <xdr:row>17</xdr:row>
      <xdr:rowOff>152400</xdr:rowOff>
    </xdr:to>
    <mc:AlternateContent xmlns:mc="http://schemas.openxmlformats.org/markup-compatibility/2006" xmlns:a14="http://schemas.microsoft.com/office/drawing/2010/main">
      <mc:Choice Requires="a14">
        <xdr:graphicFrame macro="">
          <xdr:nvGraphicFramePr>
            <xdr:cNvPr id="5" name="Months (Last Updated)">
              <a:extLst>
                <a:ext uri="{FF2B5EF4-FFF2-40B4-BE49-F238E27FC236}">
                  <a16:creationId xmlns:a16="http://schemas.microsoft.com/office/drawing/2014/main" id="{9407E61C-147A-41ED-BBD4-64385DE15696}"/>
                </a:ext>
              </a:extLst>
            </xdr:cNvPr>
            <xdr:cNvGraphicFramePr/>
          </xdr:nvGraphicFramePr>
          <xdr:xfrm>
            <a:off x="0" y="0"/>
            <a:ext cx="0" cy="0"/>
          </xdr:xfrm>
          <a:graphic>
            <a:graphicData uri="http://schemas.microsoft.com/office/drawing/2010/slicer">
              <sle:slicer xmlns:sle="http://schemas.microsoft.com/office/drawing/2010/slicer" name="Months (Last Updated)"/>
            </a:graphicData>
          </a:graphic>
        </xdr:graphicFrame>
      </mc:Choice>
      <mc:Fallback xmlns="">
        <xdr:sp macro="" textlink="">
          <xdr:nvSpPr>
            <xdr:cNvPr id="0" name=""/>
            <xdr:cNvSpPr>
              <a:spLocks noTextEdit="1"/>
            </xdr:cNvSpPr>
          </xdr:nvSpPr>
          <xdr:spPr>
            <a:xfrm>
              <a:off x="3762375" y="86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66675</xdr:colOff>
      <xdr:row>4</xdr:row>
      <xdr:rowOff>104775</xdr:rowOff>
    </xdr:from>
    <xdr:to>
      <xdr:col>6</xdr:col>
      <xdr:colOff>66675</xdr:colOff>
      <xdr:row>17</xdr:row>
      <xdr:rowOff>152400</xdr:rowOff>
    </xdr:to>
    <mc:AlternateContent xmlns:mc="http://schemas.openxmlformats.org/markup-compatibility/2006" xmlns:a14="http://schemas.microsoft.com/office/drawing/2010/main">
      <mc:Choice Requires="a14">
        <xdr:graphicFrame macro="">
          <xdr:nvGraphicFramePr>
            <xdr:cNvPr id="6" name="Years (Last Updated)">
              <a:extLst>
                <a:ext uri="{FF2B5EF4-FFF2-40B4-BE49-F238E27FC236}">
                  <a16:creationId xmlns:a16="http://schemas.microsoft.com/office/drawing/2014/main" id="{A3EE3FBA-5F67-458F-B09F-2A0184FADA29}"/>
                </a:ext>
              </a:extLst>
            </xdr:cNvPr>
            <xdr:cNvGraphicFramePr/>
          </xdr:nvGraphicFramePr>
          <xdr:xfrm>
            <a:off x="0" y="0"/>
            <a:ext cx="0" cy="0"/>
          </xdr:xfrm>
          <a:graphic>
            <a:graphicData uri="http://schemas.microsoft.com/office/drawing/2010/slicer">
              <sle:slicer xmlns:sle="http://schemas.microsoft.com/office/drawing/2010/slicer" name="Years (Last Updated)"/>
            </a:graphicData>
          </a:graphic>
        </xdr:graphicFrame>
      </mc:Choice>
      <mc:Fallback xmlns="">
        <xdr:sp macro="" textlink="">
          <xdr:nvSpPr>
            <xdr:cNvPr id="0" name=""/>
            <xdr:cNvSpPr>
              <a:spLocks noTextEdit="1"/>
            </xdr:cNvSpPr>
          </xdr:nvSpPr>
          <xdr:spPr>
            <a:xfrm>
              <a:off x="1895475" y="86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257175</xdr:colOff>
      <xdr:row>4</xdr:row>
      <xdr:rowOff>104775</xdr:rowOff>
    </xdr:from>
    <xdr:to>
      <xdr:col>18</xdr:col>
      <xdr:colOff>257175</xdr:colOff>
      <xdr:row>17</xdr:row>
      <xdr:rowOff>152400</xdr:rowOff>
    </xdr:to>
    <mc:AlternateContent xmlns:mc="http://schemas.openxmlformats.org/markup-compatibility/2006" xmlns:a14="http://schemas.microsoft.com/office/drawing/2010/main">
      <mc:Choice Requires="a14">
        <xdr:graphicFrame macro="">
          <xdr:nvGraphicFramePr>
            <xdr:cNvPr id="9" name="Difficulty Level">
              <a:extLst>
                <a:ext uri="{FF2B5EF4-FFF2-40B4-BE49-F238E27FC236}">
                  <a16:creationId xmlns:a16="http://schemas.microsoft.com/office/drawing/2014/main" id="{0874FF30-A28E-4C3E-A539-5DD234E6104E}"/>
                </a:ext>
              </a:extLst>
            </xdr:cNvPr>
            <xdr:cNvGraphicFramePr/>
          </xdr:nvGraphicFramePr>
          <xdr:xfrm>
            <a:off x="0" y="0"/>
            <a:ext cx="0" cy="0"/>
          </xdr:xfrm>
          <a:graphic>
            <a:graphicData uri="http://schemas.microsoft.com/office/drawing/2010/slicer">
              <sle:slicer xmlns:sle="http://schemas.microsoft.com/office/drawing/2010/slicer" name="Difficulty Level"/>
            </a:graphicData>
          </a:graphic>
        </xdr:graphicFrame>
      </mc:Choice>
      <mc:Fallback xmlns="">
        <xdr:sp macro="" textlink="">
          <xdr:nvSpPr>
            <xdr:cNvPr id="0" name=""/>
            <xdr:cNvSpPr>
              <a:spLocks noTextEdit="1"/>
            </xdr:cNvSpPr>
          </xdr:nvSpPr>
          <xdr:spPr>
            <a:xfrm>
              <a:off x="9401175" y="86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95249</xdr:colOff>
      <xdr:row>41</xdr:row>
      <xdr:rowOff>0</xdr:rowOff>
    </xdr:from>
    <xdr:to>
      <xdr:col>13</xdr:col>
      <xdr:colOff>523874</xdr:colOff>
      <xdr:row>61</xdr:row>
      <xdr:rowOff>171450</xdr:rowOff>
    </xdr:to>
    <xdr:graphicFrame macro="">
      <xdr:nvGraphicFramePr>
        <xdr:cNvPr id="10" name="Chart 2">
          <a:extLst>
            <a:ext uri="{FF2B5EF4-FFF2-40B4-BE49-F238E27FC236}">
              <a16:creationId xmlns:a16="http://schemas.microsoft.com/office/drawing/2014/main" id="{888BF72C-DFF6-6A8C-A530-ED70E5246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323850</xdr:colOff>
      <xdr:row>12</xdr:row>
      <xdr:rowOff>9525</xdr:rowOff>
    </xdr:from>
    <xdr:to>
      <xdr:col>23</xdr:col>
      <xdr:colOff>219075</xdr:colOff>
      <xdr:row>25</xdr:row>
      <xdr:rowOff>57150</xdr:rowOff>
    </xdr:to>
    <mc:AlternateContent xmlns:mc="http://schemas.openxmlformats.org/markup-compatibility/2006" xmlns:a14="http://schemas.microsoft.com/office/drawing/2010/main">
      <mc:Choice Requires="a14">
        <xdr:graphicFrame macro="">
          <xdr:nvGraphicFramePr>
            <xdr:cNvPr id="2" name="Months (Date)">
              <a:extLst>
                <a:ext uri="{FF2B5EF4-FFF2-40B4-BE49-F238E27FC236}">
                  <a16:creationId xmlns:a16="http://schemas.microsoft.com/office/drawing/2014/main" id="{57418786-1865-8657-60F5-60B9B8DA06B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5879425" y="2295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476250</xdr:colOff>
      <xdr:row>11</xdr:row>
      <xdr:rowOff>142875</xdr:rowOff>
    </xdr:from>
    <xdr:to>
      <xdr:col>25</xdr:col>
      <xdr:colOff>819150</xdr:colOff>
      <xdr:row>25</xdr:row>
      <xdr:rowOff>0</xdr:rowOff>
    </xdr:to>
    <mc:AlternateContent xmlns:mc="http://schemas.openxmlformats.org/markup-compatibility/2006" xmlns:a14="http://schemas.microsoft.com/office/drawing/2010/main">
      <mc:Choice Requires="a14">
        <xdr:graphicFrame macro="">
          <xdr:nvGraphicFramePr>
            <xdr:cNvPr id="3" name="Years (Date)">
              <a:extLst>
                <a:ext uri="{FF2B5EF4-FFF2-40B4-BE49-F238E27FC236}">
                  <a16:creationId xmlns:a16="http://schemas.microsoft.com/office/drawing/2014/main" id="{315E83DB-AA82-6CB3-222D-4FA76783F763}"/>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27965400" y="2238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323850</xdr:colOff>
      <xdr:row>25</xdr:row>
      <xdr:rowOff>123825</xdr:rowOff>
    </xdr:from>
    <xdr:to>
      <xdr:col>23</xdr:col>
      <xdr:colOff>219075</xdr:colOff>
      <xdr:row>38</xdr:row>
      <xdr:rowOff>171450</xdr:rowOff>
    </xdr:to>
    <mc:AlternateContent xmlns:mc="http://schemas.openxmlformats.org/markup-compatibility/2006" xmlns:a14="http://schemas.microsoft.com/office/drawing/2010/main">
      <mc:Choice Requires="a14">
        <xdr:graphicFrame macro="">
          <xdr:nvGraphicFramePr>
            <xdr:cNvPr id="4" name="App">
              <a:extLst>
                <a:ext uri="{FF2B5EF4-FFF2-40B4-BE49-F238E27FC236}">
                  <a16:creationId xmlns:a16="http://schemas.microsoft.com/office/drawing/2014/main" id="{4DCD30EE-7B34-6966-1CFF-67EB04DEEF0F}"/>
                </a:ext>
              </a:extLst>
            </xdr:cNvPr>
            <xdr:cNvGraphicFramePr/>
          </xdr:nvGraphicFramePr>
          <xdr:xfrm>
            <a:off x="0" y="0"/>
            <a:ext cx="0" cy="0"/>
          </xdr:xfrm>
          <a:graphic>
            <a:graphicData uri="http://schemas.microsoft.com/office/drawing/2010/slicer">
              <sle:slicer xmlns:sle="http://schemas.microsoft.com/office/drawing/2010/slicer" name="App"/>
            </a:graphicData>
          </a:graphic>
        </xdr:graphicFrame>
      </mc:Choice>
      <mc:Fallback xmlns="">
        <xdr:sp macro="" textlink="">
          <xdr:nvSpPr>
            <xdr:cNvPr id="0" name=""/>
            <xdr:cNvSpPr>
              <a:spLocks noTextEdit="1"/>
            </xdr:cNvSpPr>
          </xdr:nvSpPr>
          <xdr:spPr>
            <a:xfrm>
              <a:off x="26508075" y="489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323850</xdr:colOff>
      <xdr:row>39</xdr:row>
      <xdr:rowOff>33337</xdr:rowOff>
    </xdr:from>
    <xdr:to>
      <xdr:col>26</xdr:col>
      <xdr:colOff>428625</xdr:colOff>
      <xdr:row>53</xdr:row>
      <xdr:rowOff>109537</xdr:rowOff>
    </xdr:to>
    <xdr:graphicFrame macro="">
      <xdr:nvGraphicFramePr>
        <xdr:cNvPr id="5" name="Chart 4">
          <a:extLst>
            <a:ext uri="{FF2B5EF4-FFF2-40B4-BE49-F238E27FC236}">
              <a16:creationId xmlns:a16="http://schemas.microsoft.com/office/drawing/2014/main" id="{03D5A668-8B74-CBC7-B02C-72EEA6E63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228600</xdr:colOff>
      <xdr:row>5</xdr:row>
      <xdr:rowOff>171450</xdr:rowOff>
    </xdr:from>
    <xdr:to>
      <xdr:col>11</xdr:col>
      <xdr:colOff>228600</xdr:colOff>
      <xdr:row>19</xdr:row>
      <xdr:rowOff>28575</xdr:rowOff>
    </xdr:to>
    <mc:AlternateContent xmlns:mc="http://schemas.openxmlformats.org/markup-compatibility/2006" xmlns:a14="http://schemas.microsoft.com/office/drawing/2010/main">
      <mc:Choice Requires="a14">
        <xdr:graphicFrame macro="">
          <xdr:nvGraphicFramePr>
            <xdr:cNvPr id="2" name="Months (DAY)">
              <a:extLst>
                <a:ext uri="{FF2B5EF4-FFF2-40B4-BE49-F238E27FC236}">
                  <a16:creationId xmlns:a16="http://schemas.microsoft.com/office/drawing/2014/main" id="{AF15FC87-0A19-4A2C-7B5C-D9E3843905C5}"/>
                </a:ext>
              </a:extLst>
            </xdr:cNvPr>
            <xdr:cNvGraphicFramePr/>
          </xdr:nvGraphicFramePr>
          <xdr:xfrm>
            <a:off x="0" y="0"/>
            <a:ext cx="0" cy="0"/>
          </xdr:xfrm>
          <a:graphic>
            <a:graphicData uri="http://schemas.microsoft.com/office/drawing/2010/slicer">
              <sle:slicer xmlns:sle="http://schemas.microsoft.com/office/drawing/2010/slicer" name="Months (DAY)"/>
            </a:graphicData>
          </a:graphic>
        </xdr:graphicFrame>
      </mc:Choice>
      <mc:Fallback xmlns="">
        <xdr:sp macro="" textlink="">
          <xdr:nvSpPr>
            <xdr:cNvPr id="0" name=""/>
            <xdr:cNvSpPr>
              <a:spLocks noTextEdit="1"/>
            </xdr:cNvSpPr>
          </xdr:nvSpPr>
          <xdr:spPr>
            <a:xfrm>
              <a:off x="11668125" y="1123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123825</xdr:colOff>
      <xdr:row>20</xdr:row>
      <xdr:rowOff>104775</xdr:rowOff>
    </xdr:from>
    <xdr:to>
      <xdr:col>11</xdr:col>
      <xdr:colOff>123825</xdr:colOff>
      <xdr:row>33</xdr:row>
      <xdr:rowOff>152400</xdr:rowOff>
    </xdr:to>
    <mc:AlternateContent xmlns:mc="http://schemas.openxmlformats.org/markup-compatibility/2006" xmlns:a14="http://schemas.microsoft.com/office/drawing/2010/main">
      <mc:Choice Requires="a14">
        <xdr:graphicFrame macro="">
          <xdr:nvGraphicFramePr>
            <xdr:cNvPr id="3" name="Years (DAY)">
              <a:extLst>
                <a:ext uri="{FF2B5EF4-FFF2-40B4-BE49-F238E27FC236}">
                  <a16:creationId xmlns:a16="http://schemas.microsoft.com/office/drawing/2014/main" id="{33ABA63F-9C79-5B85-36C1-AC1AE8252934}"/>
                </a:ext>
              </a:extLst>
            </xdr:cNvPr>
            <xdr:cNvGraphicFramePr/>
          </xdr:nvGraphicFramePr>
          <xdr:xfrm>
            <a:off x="0" y="0"/>
            <a:ext cx="0" cy="0"/>
          </xdr:xfrm>
          <a:graphic>
            <a:graphicData uri="http://schemas.microsoft.com/office/drawing/2010/slicer">
              <sle:slicer xmlns:sle="http://schemas.microsoft.com/office/drawing/2010/slicer" name="Years (DAY)"/>
            </a:graphicData>
          </a:graphic>
        </xdr:graphicFrame>
      </mc:Choice>
      <mc:Fallback xmlns="">
        <xdr:sp macro="" textlink="">
          <xdr:nvSpPr>
            <xdr:cNvPr id="0" name=""/>
            <xdr:cNvSpPr>
              <a:spLocks noTextEdit="1"/>
            </xdr:cNvSpPr>
          </xdr:nvSpPr>
          <xdr:spPr>
            <a:xfrm>
              <a:off x="11563350" y="391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10</xdr:row>
      <xdr:rowOff>171450</xdr:rowOff>
    </xdr:from>
    <xdr:to>
      <xdr:col>2</xdr:col>
      <xdr:colOff>390525</xdr:colOff>
      <xdr:row>24</xdr:row>
      <xdr:rowOff>28575</xdr:rowOff>
    </xdr:to>
    <mc:AlternateContent xmlns:mc="http://schemas.openxmlformats.org/markup-compatibility/2006" xmlns:a14="http://schemas.microsoft.com/office/drawing/2010/main">
      <mc:Choice Requires="a14">
        <xdr:graphicFrame macro="">
          <xdr:nvGraphicFramePr>
            <xdr:cNvPr id="2" name="Months (LaST coMPLETED)">
              <a:extLst>
                <a:ext uri="{FF2B5EF4-FFF2-40B4-BE49-F238E27FC236}">
                  <a16:creationId xmlns:a16="http://schemas.microsoft.com/office/drawing/2014/main" id="{6A1E4327-3C77-F7D1-D7D1-495F12A6E170}"/>
                </a:ext>
              </a:extLst>
            </xdr:cNvPr>
            <xdr:cNvGraphicFramePr/>
          </xdr:nvGraphicFramePr>
          <xdr:xfrm>
            <a:off x="0" y="0"/>
            <a:ext cx="0" cy="0"/>
          </xdr:xfrm>
          <a:graphic>
            <a:graphicData uri="http://schemas.microsoft.com/office/drawing/2010/slicer">
              <sle:slicer xmlns:sle="http://schemas.microsoft.com/office/drawing/2010/slicer" name="Months (LaST coMPLETED)"/>
            </a:graphicData>
          </a:graphic>
        </xdr:graphicFrame>
      </mc:Choice>
      <mc:Fallback xmlns="">
        <xdr:sp macro="" textlink="">
          <xdr:nvSpPr>
            <xdr:cNvPr id="0" name=""/>
            <xdr:cNvSpPr>
              <a:spLocks noTextEdit="1"/>
            </xdr:cNvSpPr>
          </xdr:nvSpPr>
          <xdr:spPr>
            <a:xfrm>
              <a:off x="0" y="2114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10</xdr:row>
      <xdr:rowOff>180975</xdr:rowOff>
    </xdr:from>
    <xdr:to>
      <xdr:col>3</xdr:col>
      <xdr:colOff>1133475</xdr:colOff>
      <xdr:row>24</xdr:row>
      <xdr:rowOff>38100</xdr:rowOff>
    </xdr:to>
    <mc:AlternateContent xmlns:mc="http://schemas.openxmlformats.org/markup-compatibility/2006" xmlns:a14="http://schemas.microsoft.com/office/drawing/2010/main">
      <mc:Choice Requires="a14">
        <xdr:graphicFrame macro="">
          <xdr:nvGraphicFramePr>
            <xdr:cNvPr id="3" name="Years (LaST coMPLETED)">
              <a:extLst>
                <a:ext uri="{FF2B5EF4-FFF2-40B4-BE49-F238E27FC236}">
                  <a16:creationId xmlns:a16="http://schemas.microsoft.com/office/drawing/2014/main" id="{E129E437-4DF5-AB61-877C-C89DBAE005CB}"/>
                </a:ext>
              </a:extLst>
            </xdr:cNvPr>
            <xdr:cNvGraphicFramePr/>
          </xdr:nvGraphicFramePr>
          <xdr:xfrm>
            <a:off x="0" y="0"/>
            <a:ext cx="0" cy="0"/>
          </xdr:xfrm>
          <a:graphic>
            <a:graphicData uri="http://schemas.microsoft.com/office/drawing/2010/slicer">
              <sle:slicer xmlns:sle="http://schemas.microsoft.com/office/drawing/2010/slicer" name="Years (LaST coMPLETED)"/>
            </a:graphicData>
          </a:graphic>
        </xdr:graphicFrame>
      </mc:Choice>
      <mc:Fallback xmlns="">
        <xdr:sp macro="" textlink="">
          <xdr:nvSpPr>
            <xdr:cNvPr id="0" name=""/>
            <xdr:cNvSpPr>
              <a:spLocks noTextEdit="1"/>
            </xdr:cNvSpPr>
          </xdr:nvSpPr>
          <xdr:spPr>
            <a:xfrm>
              <a:off x="1876425" y="2124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C VASANTH" refreshedDate="45642.91724224537" createdVersion="8" refreshedVersion="8" minRefreshableVersion="3" recordCount="42" xr:uid="{A4935666-D948-4D8B-9FC3-59BA32445447}">
  <cacheSource type="worksheet">
    <worksheetSource name="receipetable"/>
  </cacheSource>
  <cacheFields count="12">
    <cacheField name="S.NO" numFmtId="0">
      <sharedItems containsSemiMixedTypes="0" containsString="0" containsNumber="1" containsInteger="1" minValue="1" maxValue="42"/>
    </cacheField>
    <cacheField name="Recipe Name" numFmtId="0">
      <sharedItems containsBlank="1" count="222">
        <s v="Dosa"/>
        <s v="2 Masala Dosa"/>
        <s v="2 Ghee Dosa"/>
        <s v=" 2 Paper Roast"/>
        <s v="Idli(2 pcs)"/>
        <s v="Podi Idli"/>
        <s v="Mini Idli"/>
        <s v="Idli Podimas"/>
        <s v="Tomato Chutney"/>
        <s v="Coconut Chutney"/>
        <s v="Sambar"/>
        <s v="Kurma"/>
        <s v="Ginger Tea"/>
        <s v="Tea(250 ml)"/>
        <s v="Coffee"/>
        <s v="Boost"/>
        <s v="Horlicks"/>
        <s v="Black Coffee"/>
        <s v="Chapathi"/>
        <s v="Kuli Paniyaram"/>
        <s v="Lemon Rice"/>
        <s v="Tomato Rice"/>
        <s v="Plain Rice"/>
        <s v="Curd Rice"/>
        <s v="Tea(125ml)"/>
        <s v="Idly 5 pcs"/>
        <s v="Tea(500ml)"/>
        <s v="Tea(750ml)"/>
        <s v="Onion Egg Dosa"/>
        <s v="Onion Dosa"/>
        <s v="Tomato Dosa"/>
        <s v="Egg Dosa"/>
        <s v="Mini Podi Idli"/>
        <s v="Chappathi and Channa (2 pcs)"/>
        <s v="Ghee Mini Idli with Sambhar (15 pcs)"/>
        <s v="Boiled Egg"/>
        <s v="Onion Podi Dosa"/>
        <s v="Milk"/>
        <s v="cooked rice(InventorySide)"/>
        <s v="Masala Dosa"/>
        <s v="Paper Roast"/>
        <s v="Ghee Dosa"/>
        <s v="Aloo Jeera Fry" u="1"/>
        <s v="Apple Juice" u="1"/>
        <s v="Baby Corn 65" u="1"/>
        <s v="Badam Milk" u="1"/>
        <s v="BBQ" u="1"/>
        <s v="boiled  egg" u="1"/>
        <s v="Butter Chicken Masala" u="1"/>
        <s v="Carrot and Coriander Uthapam" u="1"/>
        <s v="Chapathi 2 pcs" u="1"/>
        <s v="Chettinad Chicken Gravy" u="1"/>
        <s v="Chicken 65" u="1"/>
        <s v="Chicken 65 (Boneless)" u="1"/>
        <s v="Chicken 65 Biriyani" u="1"/>
        <s v="Chicken 65 Boneless" u="1"/>
        <s v="Chicken 65 Roll" u="1"/>
        <s v="Chicken Biriyani" u="1"/>
        <s v="Chicken Chettinad Pepper Fry" u="1"/>
        <s v="Chicken Chettinad Pepper Masala" u="1"/>
        <s v="Chicken Chilli Parotta" u="1"/>
        <s v="Chicken Dosa" u="1"/>
        <s v="Chicken Dum Biriyani" u="1"/>
        <s v="Chicken Dum Biriyani 1kg" u="1"/>
        <s v="Chicken Finger" u="1"/>
        <s v="Chicken Fried Rice" u="1"/>
        <s v="Chicken Ghee Fry" u="1"/>
        <s v="Chicken Gravy" u="1"/>
        <s v="Chicken Kolambu" u="1"/>
        <s v="Chicken Kothu Parotta" u="1"/>
        <s v="Chicken Leg 65" u="1"/>
        <s v="Chicken Lollipop" u="1"/>
        <s v="Chicken Manchurian Dry" u="1"/>
        <s v="Chicken Manchurian Gravy" u="1"/>
        <s v="Chicken Masala" u="1"/>
        <s v="Chicken Noodles" u="1"/>
        <s v="Chicken Pepper Fry" u="1"/>
        <s v="Chicken Schezwan Noodles" u="1"/>
        <s v="Chicken Tikka Masala" u="1"/>
        <s v="Chilli Baby Corn Gravy" u="1"/>
        <s v="Chilli Chicken Dry" u="1"/>
        <s v="Chilli Chicken Gravy" u="1"/>
        <s v="Chilli Egg Dry" u="1"/>
        <s v="Chilli Egg Gravy" u="1"/>
        <s v="Chilli Gobi Dry" u="1"/>
        <s v="Chilli Gobi Gravy" u="1"/>
        <s v="Chilli Mushroom Dry" u="1"/>
        <s v="Chilli Paneer Dry" u="1"/>
        <s v="Chilli Paneer Gravy" u="1"/>
        <s v="Chilli Prawns Dry" u="1"/>
        <s v="Cucumber Raita" u="1"/>
        <s v="Cucumber Salad" u="1"/>
        <s v="Dal Tadka" u="1"/>
        <s v="Dosa batter" u="1"/>
        <s v="Double Omelette" u="1"/>
        <s v="Egg Bhurji" u="1"/>
        <s v="Egg Biriyani" u="1"/>
        <s v="Egg Booji Dry" u="1"/>
        <s v="Egg Booji Gravy" u="1"/>
        <s v="Egg Chettinadu Pepper Fry" u="1"/>
        <s v="Egg Chettinadu Pepper Masala" u="1"/>
        <s v="Egg Curry" u="1"/>
        <s v="Egg Fried Rice" u="1"/>
        <s v="Egg Fry" u="1"/>
        <s v="Egg Half Boiled 2 pcs" u="1"/>
        <s v="egg kothu parotta" u="1"/>
        <s v="Egg Manchurian Dry" u="1"/>
        <s v="Egg Manchurian Gravy" u="1"/>
        <s v="Egg Masala" u="1"/>
        <s v="Egg Noodles" u="1"/>
        <s v="Egg Omelette 2 pcs" u="1"/>
        <s v="Egg Roast" u="1"/>
        <s v="Egg Schezwan Noodles" u="1"/>
        <s v="Fish Chettinadu Pepper Fry" u="1"/>
        <s v="Fish Kolambu" u="1"/>
        <s v="Fish Masala" u="1"/>
        <s v="Fish Tikka Masala" u="1"/>
        <s v="French Fries" u="1"/>
        <s v="Fried Veg Momos (8 pcs)" u="1"/>
        <s v="Garlic Baby Corn Dry" u="1"/>
        <s v="Garlic Chicken Dry" u="1"/>
        <s v="Garlic Chicken Gravy" u="1"/>
        <s v="Garlic Egg Dry" u="1"/>
        <s v="Garlic Egg Gravy" u="1"/>
        <s v="Garlic Gobi Dry" u="1"/>
        <s v="Garlic Gobi Gravy" u="1"/>
        <s v="Garlic Mushroom Dry" u="1"/>
        <s v="Garlic Mushroom Gravy" u="1"/>
        <s v="Garlic Paneer Dry" u="1"/>
        <s v="Garlic Paneer Gravy" u="1"/>
        <s v="Ghee Kara Dosa" u="1"/>
        <s v="Ghee Masala Dosa" u="1"/>
        <s v="Ghee Noodles" u="1"/>
        <s v="Ghee Podi Uthapam" u="1"/>
        <s v="Ghee Rice" u="1"/>
        <s v="Ghee Roast" u="1"/>
        <s v="Ginger Baby Corn Dry" u="1"/>
        <s v="Ginger Chicken" u="1"/>
        <s v="Ginger Chicken Dry" u="1"/>
        <s v="Ginger Chicken Gravy" u="1"/>
        <s v="Ginger Egg Dry" u="1"/>
        <s v="Ginger Egg Gravy" u="1"/>
        <s v="Ginger Gobi Dry" u="1"/>
        <s v="Ginger Gobi Gravy" u="1"/>
        <s v="Ginger Mushroom Dry" u="1"/>
        <s v="Ginger Mushroom Gravy" u="1"/>
        <s v="Ginger Paneer Dry" u="1"/>
        <s v="Ginger Paneer Gravy" u="1"/>
        <s v="Gobi 65" u="1"/>
        <s v="Gobi Manchurian Dry" u="1"/>
        <s v="Gobi Manchurian Fry" u="1"/>
        <s v="Gobi Manchurian Gravy" u="1"/>
        <s v="Gobi Rice" u="1"/>
        <s v="Green Peas Rice" u="1"/>
        <s v="Green Salad" u="1"/>
        <s v="Green Tea" u="1"/>
        <s v="Idiyappam and Coconut Milk (2 pcs)" u="1"/>
        <s v="Idly Upma" u="1"/>
        <s v="Jeera Rice" u="1"/>
        <s v="Kaadai 65" u="1"/>
        <s v="Kaadai 65 Biriyani" u="1"/>
        <s v="Kaadai Biriyani" u="1"/>
        <s v="Kaadai Fry" u="1"/>
        <s v="Kaadai Masala" u="1"/>
        <s v="Kaadai Roast" u="1"/>
        <s v="Kaanava Fish 65" u="1"/>
        <s v="Kaanava Fish Fry" u="1"/>
        <s v="Kadai Chicken Masala" u="1"/>
        <s v="Kadai Egg Masala" u="1"/>
        <s v="Lemon Chicken Dry" u="1"/>
        <s v="Lemon Juice" u="1"/>
        <s v="Mint Lemon" u="1"/>
        <s v="Mixed Noodles" u="1"/>
        <s v="Mushroom 65" u="1"/>
        <s v="Mushroom Manchurian Dry" u="1"/>
        <s v="Mushroom Roll" u="1"/>
        <s v="Neethili 65" u="1"/>
        <s v="Onion Raita" u="1"/>
        <s v="Onion Salad" u="1"/>
        <s v="Onion Tomato Dosa" u="1"/>
        <s v="Orange Juice" u="1"/>
        <s v="Paneer 65" u="1"/>
        <s v="Paneer Butter Masala" u="1"/>
        <s v="Paneer Chilli Dry" u="1"/>
        <s v="Paneer Chilli Gravy" u="1"/>
        <s v="Paneer Fried Rice" u="1"/>
        <s v="Paneer Manchurian Gravy" u="1"/>
        <s v="Paneer Roll" u="1"/>
        <s v="Paneer Schezwan Fried Rice" u="1"/>
        <s v="Paneer Schezwan Noodles" u="1"/>
        <s v="Papaya Juice" u="1"/>
        <s v="Parotta" u="1"/>
        <s v="Parotta 3 pcs" u="1"/>
        <s v="Pineapple Juice" u="1"/>
        <s v="Plain Biriyani" u="1"/>
        <s v="Pomegranate Juice" u="1"/>
        <s v="Prawn 65" u="1"/>
        <s v="Prawn Biriyani" u="1"/>
        <s v="Prawn Chettinadu Pepper Fry" u="1"/>
        <s v="Prawn Fried Rice" u="1"/>
        <s v="Prawn Fry" u="1"/>
        <s v="Prawn Masala" u="1"/>
        <s v="Prawn Noodles" u="1"/>
        <s v="Prawns Fry" u="1"/>
        <s v="Rose Milk" u="1"/>
        <s v="Schezwan Baby Corn 65" u="1"/>
        <s v="Schezwan Chicken 65 (Boneless)" u="1"/>
        <s v="Schezwan Chicken Lollipop" u="1"/>
        <s v="Schezwan Egg Fry" u="1"/>
        <s v="Schezwan Gobi 65" u="1"/>
        <s v="Schezwan Paneer 65" u="1"/>
        <s v="Schezwan Veg Momos (8 pcs)" u="1"/>
        <s v="Steamed Veg Momos (8 pcs)" u="1"/>
        <s v="Vanjaram Fish" u="1"/>
        <s v="Veg Noodles" u="1"/>
        <s v="Veg Schezwan Fried Rice" u="1"/>
        <s v="Veg Schezwan Noodles" u="1"/>
        <s v="Watermelon Juice 300ml" u="1"/>
        <m u="1"/>
        <s v="Tea" u="1"/>
        <s v="cooked rice" u="1"/>
        <s v="Idli" u="1"/>
      </sharedItems>
    </cacheField>
    <cacheField name="Cooking Time" numFmtId="0">
      <sharedItems/>
    </cacheField>
    <cacheField name="Difficulty Level" numFmtId="0">
      <sharedItems containsBlank="1" count="4">
        <s v="Easy"/>
        <s v="Medium"/>
        <s v="Hard" u="1"/>
        <m u="1"/>
      </sharedItems>
    </cacheField>
    <cacheField name="Cost of Making" numFmtId="0">
      <sharedItems containsSemiMixedTypes="0" containsString="0" containsNumber="1" minValue="2.75" maxValue="63.027049535155214"/>
    </cacheField>
    <cacheField name="PKG Cst" numFmtId="0">
      <sharedItems containsSemiMixedTypes="0" containsString="0" containsNumber="1" containsInteger="1" minValue="3" maxValue="10"/>
    </cacheField>
    <cacheField name="Others Prizing" numFmtId="0">
      <sharedItems containsString="0" containsBlank="1" containsNumber="1" containsInteger="1" minValue="15" maxValue="300"/>
    </cacheField>
    <cacheField name="Margin Value" numFmtId="0">
      <sharedItems containsSemiMixedTypes="0" containsString="0" containsNumber="1" minValue="5.75" maxValue="68.027049535155214"/>
    </cacheField>
    <cacheField name="Our Prizing" numFmtId="0">
      <sharedItems containsSemiMixedTypes="0" containsString="0" containsNumber="1" containsInteger="1" minValue="22" maxValue="400"/>
    </cacheField>
    <cacheField name="Profit" numFmtId="0">
      <sharedItems containsSemiMixedTypes="0" containsString="0" containsNumber="1" minValue="7.0599999999999987" maxValue="227.95615354434511"/>
    </cacheField>
    <cacheField name="Current Profit %" numFmtId="10">
      <sharedItems containsSemiMixedTypes="0" containsString="0" containsNumber="1" minValue="0.91485842211140944" maxValue="9.1621621621621632"/>
    </cacheField>
    <cacheField name="Other Charges" numFmtId="0">
      <sharedItems containsSemiMixedTypes="0" containsString="0" containsNumber="1" containsInteger="1" minValue="2" maxValue="2"/>
    </cacheField>
  </cacheFields>
  <extLst>
    <ext xmlns:x14="http://schemas.microsoft.com/office/spreadsheetml/2009/9/main" uri="{725AE2AE-9491-48be-B2B4-4EB974FC3084}">
      <x14:pivotCacheDefinition pivotCacheId="12113589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C VASANTH" refreshedDate="45642.91724224537" createdVersion="8" refreshedVersion="8" minRefreshableVersion="3" recordCount="3" xr:uid="{317A3C74-616C-448A-9351-FAE8668BFC8A}">
  <cacheSource type="worksheet">
    <worksheetSource name="Maintencetable"/>
  </cacheSource>
  <cacheFields count="7">
    <cacheField name="S.No" numFmtId="0">
      <sharedItems containsSemiMixedTypes="0" containsString="0" containsNumber="1" containsInteger="1" minValue="1" maxValue="3"/>
    </cacheField>
    <cacheField name="Task" numFmtId="0">
      <sharedItems containsBlank="1" count="4">
        <s v="Gas Change"/>
        <m/>
        <s v="Wheat" u="1"/>
        <s v="Maagi" u="1"/>
      </sharedItems>
    </cacheField>
    <cacheField name="Frequency" numFmtId="0">
      <sharedItems containsNonDate="0" containsString="0" containsBlank="1"/>
    </cacheField>
    <cacheField name="LaST coMPLETED" numFmtId="0">
      <sharedItems containsNonDate="0" containsDate="1" containsString="0" containsBlank="1" minDate="2024-11-11T00:00:00" maxDate="2024-11-12T00:00:00" count="2">
        <d v="2024-11-11T00:00:00"/>
        <m/>
      </sharedItems>
      <fieldGroup par="6"/>
    </cacheField>
    <cacheField name="Next Due Date" numFmtId="0">
      <sharedItems containsNonDate="0" containsString="0" containsBlank="1"/>
    </cacheField>
    <cacheField name="Months (LaST coMPLETED)" numFmtId="0" databaseField="0">
      <fieldGroup base="3">
        <rangePr groupBy="months" startDate="2024-11-11T00:00:00" endDate="2024-11-12T00:00:00"/>
        <groupItems count="14">
          <s v="&lt;11/11/2024"/>
          <s v="Jan"/>
          <s v="Feb"/>
          <s v="Mar"/>
          <s v="Apr"/>
          <s v="May"/>
          <s v="Jun"/>
          <s v="Jul"/>
          <s v="Aug"/>
          <s v="Sep"/>
          <s v="Oct"/>
          <s v="Nov"/>
          <s v="Dec"/>
          <s v="&gt;11/12/2024"/>
        </groupItems>
      </fieldGroup>
    </cacheField>
    <cacheField name="Years (LaST coMPLETED)" numFmtId="0" databaseField="0">
      <fieldGroup base="3">
        <rangePr groupBy="years" startDate="2024-11-11T00:00:00" endDate="2024-11-12T00:00:00"/>
        <groupItems count="3">
          <s v="&lt;11/11/2024"/>
          <s v="2024"/>
          <s v="&gt;11/12/2024"/>
        </groupItems>
      </fieldGroup>
    </cacheField>
  </cacheFields>
  <extLst>
    <ext xmlns:x14="http://schemas.microsoft.com/office/spreadsheetml/2009/9/main" uri="{725AE2AE-9491-48be-B2B4-4EB974FC3084}">
      <x14:pivotCacheDefinition pivotCacheId="15809123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C VASANTH" refreshedDate="45642.917242361109" createdVersion="8" refreshedVersion="8" minRefreshableVersion="3" recordCount="25" xr:uid="{42A06E41-2137-46A0-B455-F9459776BE6F}">
  <cacheSource type="worksheet">
    <worksheetSource name="wastetrackingtable"/>
  </cacheSource>
  <cacheFields count="7">
    <cacheField name="DAY" numFmtId="0">
      <sharedItems containsNonDate="0" containsDate="1" containsString="0" containsBlank="1" minDate="2024-10-09T00:00:00" maxDate="2024-10-10T00:00:00" count="2">
        <d v="2024-10-09T00:00:00"/>
        <m/>
      </sharedItems>
      <fieldGroup par="6"/>
    </cacheField>
    <cacheField name="ItemWas" numFmtId="0">
      <sharedItems containsBlank="1" count="2">
        <s v="Coconut Chutney"/>
        <m/>
      </sharedItems>
    </cacheField>
    <cacheField name="Quantity Wasted" numFmtId="0">
      <sharedItems containsString="0" containsBlank="1" containsNumber="1" containsInteger="1" minValue="400" maxValue="400"/>
    </cacheField>
    <cacheField name="Reason For Waste" numFmtId="0">
      <sharedItems containsBlank="1"/>
    </cacheField>
    <cacheField name="Date" numFmtId="0">
      <sharedItems containsNonDate="0" containsDate="1" containsString="0" containsBlank="1" minDate="2024-11-12T00:00:00" maxDate="2024-11-13T00:00:00"/>
    </cacheField>
    <cacheField name="Months (DAY)" numFmtId="0" databaseField="0">
      <fieldGroup base="0">
        <rangePr groupBy="months" startDate="2024-10-09T00:00:00" endDate="2024-10-10T00:00:00"/>
        <groupItems count="14">
          <s v="&lt;10/9/2024"/>
          <s v="Jan"/>
          <s v="Feb"/>
          <s v="Mar"/>
          <s v="Apr"/>
          <s v="May"/>
          <s v="Jun"/>
          <s v="Jul"/>
          <s v="Aug"/>
          <s v="Sep"/>
          <s v="Oct"/>
          <s v="Nov"/>
          <s v="Dec"/>
          <s v="&gt;10/10/2024"/>
        </groupItems>
      </fieldGroup>
    </cacheField>
    <cacheField name="Years (DAY)" numFmtId="0" databaseField="0">
      <fieldGroup base="0">
        <rangePr groupBy="years" startDate="2024-10-09T00:00:00" endDate="2024-10-10T00:00:00"/>
        <groupItems count="3">
          <s v="&lt;10/9/2024"/>
          <s v="2024"/>
          <s v="&gt;10/10/2024"/>
        </groupItems>
      </fieldGroup>
    </cacheField>
  </cacheFields>
  <extLst>
    <ext xmlns:x14="http://schemas.microsoft.com/office/spreadsheetml/2009/9/main" uri="{725AE2AE-9491-48be-B2B4-4EB974FC3084}">
      <x14:pivotCacheDefinition pivotCacheId="138270340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C VASANTH" refreshedDate="45642.917242361109" createdVersion="8" refreshedVersion="8" minRefreshableVersion="3" recordCount="7" xr:uid="{74CAEA21-B1BC-4D2B-81A0-F188904670F5}">
  <cacheSource type="worksheet">
    <worksheetSource name="salestable"/>
  </cacheSource>
  <cacheFields count="23">
    <cacheField name="Date" numFmtId="14">
      <sharedItems containsNonDate="0" containsDate="1" containsString="0" containsBlank="1" minDate="2024-11-09T00:00:00" maxDate="2024-12-15T00:00:00" count="4">
        <d v="2024-12-13T00:00:00"/>
        <d v="2024-12-14T00:00:00"/>
        <m/>
        <d v="2024-11-09T00:00:00" u="1"/>
      </sharedItems>
      <fieldGroup par="22"/>
    </cacheField>
    <cacheField name="Order ID" numFmtId="0">
      <sharedItems containsString="0" containsBlank="1" containsNumber="1" containsInteger="1" minValue="19305036139" maxValue="19305036139"/>
    </cacheField>
    <cacheField name="App" numFmtId="0">
      <sharedItems containsBlank="1" count="3">
        <s v="Swiggy"/>
        <m/>
        <s v="Zomato" u="1"/>
      </sharedItems>
    </cacheField>
    <cacheField name="Item Name" numFmtId="0">
      <sharedItems containsBlank="1" count="8">
        <s v="Idli(2 pcs)"/>
        <m/>
        <s v="Curd Rice" u="1"/>
        <s v="Ghee Dosa" u="1"/>
        <s v="Onion Podi Dosa" u="1"/>
        <s v="Tomato Chutney" u="1"/>
        <s v="Sambar" u="1"/>
        <s v="Coconut Chutney" u="1"/>
      </sharedItems>
    </cacheField>
    <cacheField name="Quantity Sold" numFmtId="0">
      <sharedItems containsString="0" containsBlank="1" containsNumber="1" containsInteger="1" minValue="1" maxValue="1"/>
    </cacheField>
    <cacheField name="Cost Price per Unit" numFmtId="0">
      <sharedItems/>
    </cacheField>
    <cacheField name="Selling Price per Unit" numFmtId="0">
      <sharedItems containsString="0" containsBlank="1" containsNumber="1" containsInteger="1" minValue="0" maxValue="110"/>
    </cacheField>
    <cacheField name="10% Discount" numFmtId="0">
      <sharedItems containsSemiMixedTypes="0" containsString="0" containsNumber="1" minValue="0" maxValue="11"/>
    </cacheField>
    <cacheField name="15% Discount" numFmtId="0">
      <sharedItems containsSemiMixedTypes="0" containsString="0" containsNumber="1" minValue="0" maxValue="16.5"/>
    </cacheField>
    <cacheField name="25% Discount" numFmtId="0">
      <sharedItems containsSemiMixedTypes="0" containsString="0" containsNumber="1" minValue="0" maxValue="27.5"/>
    </cacheField>
    <cacheField name="30% Discount" numFmtId="0">
      <sharedItems containsSemiMixedTypes="0" containsString="0" containsNumber="1" minValue="0" maxValue="33"/>
    </cacheField>
    <cacheField name="40% Discount" numFmtId="0">
      <sharedItems containsSemiMixedTypes="0" containsString="0" containsNumber="1" containsInteger="1" minValue="0" maxValue="44"/>
    </cacheField>
    <cacheField name="Commision" numFmtId="0">
      <sharedItems containsSemiMixedTypes="0" containsString="0" containsNumber="1" minValue="0" maxValue="28.6"/>
    </cacheField>
    <cacheField name="Penalty" numFmtId="0">
      <sharedItems containsSemiMixedTypes="0" containsString="0" containsNumber="1" containsInteger="1" minValue="0" maxValue="0"/>
    </cacheField>
    <cacheField name="Other Charges" numFmtId="0">
      <sharedItems containsSemiMixedTypes="0" containsString="0" containsNumber="1" containsInteger="1" minValue="0" maxValue="0"/>
    </cacheField>
    <cacheField name="GST" numFmtId="0">
      <sharedItems containsSemiMixedTypes="0" containsString="0" containsNumber="1" minValue="0" maxValue="5.5"/>
    </cacheField>
    <cacheField name="Profit on 10%" numFmtId="0">
      <sharedItems/>
    </cacheField>
    <cacheField name="Profit on 15%" numFmtId="0">
      <sharedItems/>
    </cacheField>
    <cacheField name="Profit on 25%" numFmtId="0">
      <sharedItems/>
    </cacheField>
    <cacheField name="Profit on 30%" numFmtId="0">
      <sharedItems/>
    </cacheField>
    <cacheField name="Profit on 40%" numFmtId="0">
      <sharedItems/>
    </cacheField>
    <cacheField name="Months (Date)" numFmtId="0" databaseField="0">
      <fieldGroup base="0">
        <rangePr groupBy="months" startDate="2024-12-13T00:00:00" endDate="2024-12-15T00:00:00"/>
        <groupItems count="14">
          <s v="&lt;12/13/2024"/>
          <s v="Jan"/>
          <s v="Feb"/>
          <s v="Mar"/>
          <s v="Apr"/>
          <s v="May"/>
          <s v="Jun"/>
          <s v="Jul"/>
          <s v="Aug"/>
          <s v="Sep"/>
          <s v="Oct"/>
          <s v="Nov"/>
          <s v="Dec"/>
          <s v="&gt;12/15/2024"/>
        </groupItems>
      </fieldGroup>
    </cacheField>
    <cacheField name="Years (Date)" numFmtId="0" databaseField="0">
      <fieldGroup base="0">
        <rangePr groupBy="years" startDate="2024-12-13T00:00:00" endDate="2024-12-15T00:00:00"/>
        <groupItems count="3">
          <s v="&lt;12/13/2024"/>
          <s v="2024"/>
          <s v="&gt;12/15/2024"/>
        </groupItems>
      </fieldGroup>
    </cacheField>
  </cacheFields>
  <extLst>
    <ext xmlns:x14="http://schemas.microsoft.com/office/spreadsheetml/2009/9/main" uri="{725AE2AE-9491-48be-B2B4-4EB974FC3084}">
      <x14:pivotCacheDefinition pivotCacheId="109236923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C VASANTH" refreshedDate="45642.917242476855" createdVersion="8" refreshedVersion="8" minRefreshableVersion="3" recordCount="362" xr:uid="{12F57277-4E1A-4555-80AF-E0D8F3128FB4}">
  <cacheSource type="worksheet">
    <worksheetSource name="Quantitytable"/>
  </cacheSource>
  <cacheFields count="9">
    <cacheField name="Dish" numFmtId="0">
      <sharedItems/>
    </cacheField>
    <cacheField name="Ingredient " numFmtId="0">
      <sharedItems containsBlank="1" count="142">
        <s v="Eggs"/>
        <s v="Boost"/>
        <s v="clove(lavagam)"/>
        <s v="Cardamon(Yelakai)"/>
        <s v="cinamon(pattai)"/>
        <s v="Horlicks"/>
        <s v="ginger"/>
        <s v="garlic"/>
        <s v="Lemons"/>
        <s v="turmeric powder"/>
        <s v="Urad Dal(ulunda parupu)"/>
        <s v="Chicken Masala"/>
        <s v="Red chilli Powder"/>
        <s v="Garam Masala"/>
        <s v="kadalai parupu(bengal gram)"/>
        <s v="Curry Leaves(Karuvepulai)"/>
        <s v="Mustard Urad Dal(Kadugu Uluntha Parupu)"/>
        <s v="corainder powder(mali powder)"/>
        <s v="Fennel Seed(Sombu)-saunf"/>
        <s v="Pepper Powder(Milagu Thool)"/>
        <s v="garlic ginger paste"/>
        <s v="Coriander(kothamali)"/>
        <s v="green chilli"/>
        <s v="Salt"/>
        <s v="perugayam(asafoetida)"/>
        <s v="Pepper"/>
        <s v="Coffee powder"/>
        <s v="Sugar"/>
        <s v="cashew nut"/>
        <s v="oil"/>
        <s v="Tea powder"/>
        <s v="toovaram parupu(toor dal)"/>
        <s v="Idli podi"/>
        <s v="sambhar podi"/>
        <s v="Pasiparupu(algae lenthils)"/>
        <s v="Ghee"/>
        <s v="Green Beans "/>
        <s v="Coconut"/>
        <s v="kolambu molaga thool"/>
        <s v="Dry Chilli"/>
        <s v="Carrot"/>
        <s v="beans"/>
        <s v="Green tea leaves"/>
        <s v="Peanuts"/>
        <s v="Potatoes"/>
        <s v="Bheemas Rice"/>
        <s v="tomato"/>
        <s v="onion"/>
        <s v="Coconut Chutni(Cooked)"/>
        <s v="Tomato Chutni(Cooked)"/>
        <s v="Dosa Batter"/>
        <s v="vellam(jaggery)"/>
        <s v="Milk"/>
        <s v="Fried Gram Split(Pottu Kadalai)"/>
        <s v="Sambhar"/>
        <s v="Wheat"/>
        <s v="white channa"/>
        <s v="Curd"/>
        <s v="cooked rice"/>
        <s v="Bringal"/>
        <s v="Chicken"/>
        <s v="Spices"/>
        <m/>
        <s v="Gravy"/>
        <s v="Water"/>
        <s v="Cucumber" u="1"/>
        <s v="Yogurt" u="1"/>
        <s v="Lentils" u="1"/>
        <s v="Rice" u="1"/>
        <s v="Chettinad spices" u="1"/>
        <s v="Parotta" u="1"/>
        <s v="Sidedish" u="1"/>
        <s v="Soy sauce" u="1"/>
        <s v="Noodles" u="1"/>
        <s v="Schezwan sauce" u="1"/>
        <s v="Fish" u="1"/>
        <s v="Podi" u="1"/>
        <s v="Uthapam batter" u="1"/>
        <s v="Coconut milk" u="1"/>
        <s v="Idiyappam" u="1"/>
        <s v="Cumin" u="1"/>
        <s v="Apples" u="1"/>
        <s v="Baby corn" u="1"/>
        <s v="Almonds" u="1"/>
        <s v="BBQ sauce" u="1"/>
        <s v="Butter" u="1"/>
        <s v="Curry Leaves" u="1"/>
        <s v="Chicken 65" u="1"/>
        <s v="Roll wrapper" u="1"/>
        <s v="Chilli sauce" u="1"/>
        <s v="Vegetables" u="1"/>
        <s v="Chicken leg" u="1"/>
        <s v="Chicken wings" u="1"/>
        <s v="Cauliflower" u="1"/>
        <s v="Gravy base" u="1"/>
        <s v="Mushrooms" u="1"/>
        <s v="Paneer" u="1"/>
        <s v="Prawns" u="1"/>
        <s v="Momos dough" u="1"/>
        <s v="Gravy sauce" u="1"/>
        <s v="Green peas" u="1"/>
        <s v="Mixed greens" u="1"/>
        <s v="Quail" u="1"/>
        <s v="Quail 65" u="1"/>
        <s v="Kadai" u="1"/>
        <s v="Kadai spices" u="1"/>
        <s v="Lemon" u="1"/>
        <s v="Mint" u="1"/>
        <s v="Mixed Vegetables" u="1"/>
        <s v="Anchovy fish" u="1"/>
        <s v="Oranges" u="1"/>
        <s v="Papaya" u="1"/>
        <s v="Pineapple" u="1"/>
        <s v="Pomegranate" u="1"/>
        <s v="Rose syrup" u="1"/>
        <s v="Watermelon" u="1"/>
        <s v="Coconut Chutni" u="1"/>
        <s v="Tomato Chutni" u="1"/>
        <s v="Bengal Gram" u="1"/>
        <s v="Urad Dal" u="1"/>
        <s v="Horlicks powder" u="1"/>
        <s v="Fennel Seed(Sombu)" u="1"/>
        <s v="True cardamom(yelakai)" u="1"/>
        <s v="Moong Dal" u="1"/>
        <s v="Mustard Seed" u="1"/>
        <s v="Tomatoes" u="1"/>
        <s v="Boost powder" u="1"/>
        <s v="Coriander" u="1"/>
        <s v="Wheat flour" u="1"/>
        <s v="Channa" u="1"/>
        <s v="ginger paste" u="1"/>
        <s v="garlic paste" u="1"/>
        <s v="Green Chilies" u="1"/>
        <s v=" urad dal" u="1"/>
        <s v="Idli batter" u="1"/>
        <s v="chilli powder" u="1"/>
        <s v="Idli" u="1"/>
        <s v="Podi (Spiced powder)" u="1"/>
        <s v="Asafoetidia Powder" u="1"/>
        <s v="toor dal" u="1"/>
        <s v="red chilli" u="1"/>
        <s v="Chappathi" u="1"/>
      </sharedItems>
    </cacheField>
    <cacheField name="NeededQuantity" numFmtId="0">
      <sharedItems containsString="0" containsBlank="1" containsNumber="1" minValue="1" maxValue="500"/>
    </cacheField>
    <cacheField name="Quantity" numFmtId="0">
      <sharedItems containsSemiMixedTypes="0" containsString="0" containsNumber="1" containsInteger="1" minValue="0" maxValue="100"/>
    </cacheField>
    <cacheField name="Units" numFmtId="0">
      <sharedItems containsSemiMixedTypes="0" containsString="0" containsNumber="1" containsInteger="1" minValue="0" maxValue="1"/>
    </cacheField>
    <cacheField name="Materials Used" numFmtId="0">
      <sharedItems containsSemiMixedTypes="0" containsString="0" containsNumber="1" containsInteger="1" minValue="0" maxValue="100"/>
    </cacheField>
    <cacheField name="Cost Per Dish Per Item" numFmtId="0">
      <sharedItems containsSemiMixedTypes="0" containsString="0" containsNumber="1" minValue="0" maxValue="28.5"/>
    </cacheField>
    <cacheField name="Cost of an Dish" numFmtId="0">
      <sharedItems containsSemiMixedTypes="0" containsString="0" containsNumber="1" minValue="0" maxValue="63.027049535155214"/>
    </cacheField>
    <cacheField name="Live/Non-Live"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C VASANTH" refreshedDate="45642.917242592594" createdVersion="8" refreshedVersion="8" minRefreshableVersion="3" recordCount="103" xr:uid="{F28461C7-54D6-488D-8D85-96C8C970E0DD}">
  <cacheSource type="worksheet">
    <worksheetSource name="Inventorytable"/>
  </cacheSource>
  <cacheFields count="11">
    <cacheField name="S.NO" numFmtId="0">
      <sharedItems containsSemiMixedTypes="0" containsString="0" containsNumber="1" containsInteger="1" minValue="1" maxValue="105"/>
    </cacheField>
    <cacheField name="Ingriedients" numFmtId="0">
      <sharedItems containsBlank="1" count="169">
        <s v="Apples"/>
        <s v="Bringal"/>
        <s v="Carrot"/>
        <s v="Chicken"/>
        <s v="Coconut Chutni(Cooked)"/>
        <s v="cooked rice"/>
        <s v="Coriander(kothamali)"/>
        <s v="Curd"/>
        <s v="Curry Leaves(Karuvepulai)"/>
        <s v="Dosa batter"/>
        <s v="Eggs"/>
        <s v="Fish"/>
        <s v="Garlic"/>
        <s v="Ghee"/>
        <s v="Milk"/>
        <s v="Noodles"/>
        <s v="Onion"/>
        <s v="Oranges"/>
        <s v="Paneer"/>
        <s v="Papaya"/>
        <s v="Pineapple"/>
        <s v="Pomegranate"/>
        <s v="Potatoes"/>
        <s v="Sambhar"/>
        <s v="Tomato"/>
        <s v="Tomato Chutni(Cooked)"/>
        <s v="Watermelon"/>
        <s v="Almonds"/>
        <s v="baby corn"/>
        <s v="beans"/>
        <s v="Bheemas Rice"/>
        <s v="black channa"/>
        <s v="Boost"/>
        <s v="bring leaf"/>
        <s v="butter"/>
        <s v="Cardamon(Yelakai)"/>
        <s v="cashew nut"/>
        <s v="cauliflower"/>
        <s v="Chicken 65 Masala"/>
        <s v="Chicken Masala"/>
        <s v="cinamon(pattai)"/>
        <s v="clove(lavagam)"/>
        <s v="Coconut"/>
        <s v="Coffee powder"/>
        <s v="corainder powder(mali powder)"/>
        <s v="Corn Floor"/>
        <s v="Cumin"/>
        <s v="Cumin Powder(seraga Thool)"/>
        <s v="Dry Chilli"/>
        <s v="Fennel Seed(Sombu)-saunf"/>
        <s v="Fenugreek(Vendayam)"/>
        <s v="Fried Gram Split(Pottu Kadalai)"/>
        <s v="Garam Masala"/>
        <s v="garlic ginger paste"/>
        <s v="garlic pickle"/>
        <s v="Ginger"/>
        <s v="Green Beans "/>
        <s v="Green Chilli"/>
        <s v="Horlicks"/>
        <s v="Idli podi"/>
        <s v="idli rice(5r20)"/>
        <s v="jeeragam"/>
        <s v="kadalai parupu(bengal gram)"/>
        <s v="Karuvadu"/>
        <s v="kasakasa"/>
        <s v="kolambu molaga thool"/>
        <s v="lemon pickle"/>
        <s v="Lemons"/>
        <s v="Lentils"/>
        <s v="maida maavu"/>
        <s v="mango pickle"/>
        <s v="mushroom"/>
        <s v="Mustard Urad Dal(Kadugu Uluntha Parupu)"/>
        <s v="Oil"/>
        <s v="Pasiparupu(algae lenthils)"/>
        <s v="Peanuts"/>
        <s v="Pepper"/>
        <s v="Pepper Cumin(Milagu Seragam)"/>
        <s v="Pepper Powder(Milagu Thool)"/>
        <s v="perugayam(asafoetida)"/>
        <s v="Pulli"/>
        <s v="ration rice"/>
        <s v="rava"/>
        <s v="Red chilli Powder"/>
        <s v="Rice Powder"/>
        <s v="Salt"/>
        <s v="sambhar podi"/>
        <s v="Schezwan sauce"/>
        <s v="seeraga powder"/>
        <s v="Sivasakthi rice"/>
        <s v="Soya sauce"/>
        <s v="Star Anise(Annachipu)"/>
        <s v="Sugar"/>
        <s v="Tea Powder"/>
        <s v="tomato ketchup"/>
        <s v="toovaram parupu(toor dal)"/>
        <s v="turmeric powder"/>
        <s v="Urad Dal(ulunda parupu)"/>
        <s v="vellam(jaggery)"/>
        <s v="Wheat"/>
        <s v="white channa"/>
        <m/>
        <s v="Bru" u="1"/>
        <s v="Podi (Spiced powder)" u="1"/>
        <s v="red chilli" u="1"/>
        <s v="Rice" u="1"/>
        <s v="Idli Rice" u="1"/>
        <s v="Soy sauce" u="1"/>
        <s v="Algae Lentils(Pasiparupu)" u="1"/>
        <s v="Ulundam Dal(Ulunda parupu)" u="1"/>
        <s v="Urad Dal" u="1"/>
        <s v="Chiken Masala" u="1"/>
        <s v="True cardamom(yelakai)" u="1"/>
        <s v="Anchovy fish" u="1"/>
        <s v="Asafoetidia Powder" u="1"/>
        <s v="BBQ sauce" u="1"/>
        <s v="Bengal Gram" u="1"/>
        <s v="Boost powder" u="1"/>
        <s v="Channa" u="1"/>
        <s v="Chappathi" u="1"/>
        <s v="Chettinad spices" u="1"/>
        <s v="Chicken 65" u="1"/>
        <s v="Chicken leg" u="1"/>
        <s v="Chicken wings" u="1"/>
        <s v="chilli powder" u="1"/>
        <s v="Chilli sauce" u="1"/>
        <s v="Coconut milk" u="1"/>
        <s v="Coriander" u="1"/>
        <s v="Cucumber" u="1"/>
        <s v="Curry Leaves" u="1"/>
        <s v="Fennel Seed(Sombu)" u="1"/>
        <s v="Gravy" u="1"/>
        <s v="Gravy base" u="1"/>
        <s v="Gravy sauce" u="1"/>
        <s v="Green Chilies" u="1"/>
        <s v="Green peas" u="1"/>
        <s v="Green tea leaves" u="1"/>
        <s v="Horlicks powder" u="1"/>
        <s v="Idiyappam" u="1"/>
        <s v="Idli" u="1"/>
        <s v="Idli batter" u="1"/>
        <s v="Kadai" u="1"/>
        <s v="Kadai spices" u="1"/>
        <s v="Lemon" u="1"/>
        <s v="Maida" u="1"/>
        <s v="Mint" u="1"/>
        <s v="Mixed greens" u="1"/>
        <s v="Mixed Vegetables" u="1"/>
        <s v="Momos dough" u="1"/>
        <s v="Moong Dal" u="1"/>
        <s v="Mushrooms" u="1"/>
        <s v="Mustard Seed" u="1"/>
        <s v="Parotta" u="1"/>
        <s v="Podi" u="1"/>
        <s v="Prawns" u="1"/>
        <s v="Quail" u="1"/>
        <s v="Quail 65" u="1"/>
        <s v="Roll wrapper" u="1"/>
        <s v="Rose syrup" u="1"/>
        <s v="Sidedish" u="1"/>
        <s v="Spices" u="1"/>
        <s v="Tea leaves" u="1"/>
        <s v="Tomatoes" u="1"/>
        <s v="toor dal" u="1"/>
        <s v="Uthapam batter" u="1"/>
        <s v="Vegetables" u="1"/>
        <s v="Water" u="1"/>
        <s v="Wheat flour" u="1"/>
        <s v="Yogurt" u="1"/>
      </sharedItems>
    </cacheField>
    <cacheField name="Total Available" numFmtId="0">
      <sharedItems containsSemiMixedTypes="0" containsString="0" containsNumber="1" containsInteger="1" minValue="0" maxValue="25000"/>
    </cacheField>
    <cacheField name="Used" numFmtId="0">
      <sharedItems containsSemiMixedTypes="0" containsString="0" containsNumber="1" containsInteger="1" minValue="0" maxValue="100"/>
    </cacheField>
    <cacheField name="Left Out" numFmtId="0">
      <sharedItems containsSemiMixedTypes="0" containsString="0" containsNumber="1" containsInteger="1" minValue="0" maxValue="25000"/>
    </cacheField>
    <cacheField name="Expiry Date" numFmtId="14">
      <sharedItems containsSemiMixedTypes="0" containsNonDate="0" containsDate="1" containsString="0" minDate="2024-12-04T00:00:00" maxDate="2025-01-01T00:00:00"/>
    </cacheField>
    <cacheField name="Category" numFmtId="0">
      <sharedItems containsNonDate="0" containsBlank="1" count="23">
        <m/>
        <s v="Nuts" u="1"/>
        <s v="Seafood" u="1"/>
        <s v="Fruits" u="1"/>
        <s v="Vegetables" u="1"/>
        <s v="Sauces" u="1"/>
        <s v="Health products" u="1"/>
        <s v="Dairy" u="1"/>
        <s v="Pulses" u="1"/>
        <s v="Baked products" u="1"/>
        <s v="Spices" u="1"/>
        <s v="Meat" u="1"/>
        <s v="Prepared foods" u="1"/>
        <s v="Dairy/Non-dairy" u="1"/>
        <s v="Beverages" u="1"/>
        <s v="Herbs" u="1"/>
        <s v="Cooking equipment" u="1"/>
        <s v="Grains" u="1"/>
        <s v="Grains/Prepared" u="1"/>
        <s v="Cooking oils" u="1"/>
        <s v="Nuts/Legumes" u="1"/>
        <s v="Seasoning" u="1"/>
        <s v="Sweeteners" u="1"/>
      </sharedItems>
    </cacheField>
    <cacheField name="Last Updated" numFmtId="14">
      <sharedItems containsNonDate="0" containsDate="1" containsString="0" containsBlank="1" minDate="2024-11-02T00:00:00" maxDate="2024-12-14T00:00:00" count="5">
        <d v="2024-12-13T00:00:00"/>
        <m/>
        <d v="2024-11-02T00:00:00" u="1"/>
        <d v="2024-11-09T00:00:00" u="1"/>
        <d v="2024-11-08T00:00:00" u="1"/>
      </sharedItems>
      <fieldGroup par="10"/>
    </cacheField>
    <cacheField name="Life Span" numFmtId="14">
      <sharedItems containsNonDate="0" containsBlank="1"/>
    </cacheField>
    <cacheField name="Months (Last Updated)" numFmtId="0" databaseField="0">
      <fieldGroup base="7">
        <rangePr groupBy="months" startDate="2024-12-13T00:00:00" endDate="2024-12-14T00:00:00"/>
        <groupItems count="14">
          <s v="&lt;12/13/2024"/>
          <s v="Jan"/>
          <s v="Feb"/>
          <s v="Mar"/>
          <s v="Apr"/>
          <s v="May"/>
          <s v="Jun"/>
          <s v="Jul"/>
          <s v="Aug"/>
          <s v="Sep"/>
          <s v="Oct"/>
          <s v="Nov"/>
          <s v="Dec"/>
          <s v="&gt;12/14/2024"/>
        </groupItems>
      </fieldGroup>
    </cacheField>
    <cacheField name="Years (Last Updated)" numFmtId="0" databaseField="0">
      <fieldGroup base="7">
        <rangePr groupBy="years" startDate="2024-12-13T00:00:00" endDate="2024-12-14T00:00:00"/>
        <groupItems count="3">
          <s v="&lt;12/13/2024"/>
          <s v="2024"/>
          <s v="&gt;12/14/2024"/>
        </groupItems>
      </fieldGroup>
    </cacheField>
  </cacheFields>
  <extLst>
    <ext xmlns:x14="http://schemas.microsoft.com/office/spreadsheetml/2009/9/main" uri="{725AE2AE-9491-48be-B2B4-4EB974FC3084}">
      <x14:pivotCacheDefinition pivotCacheId="169931624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OMINIC VASANTH" refreshedDate="45673.816461921298" createdVersion="8" refreshedVersion="8" minRefreshableVersion="3" recordCount="121" xr:uid="{2649BDDD-D532-4BAE-9495-C5175ACB817C}">
  <cacheSource type="worksheet">
    <worksheetSource name="Shoppingtable"/>
  </cacheSource>
  <cacheFields count="8">
    <cacheField name="Date" numFmtId="0">
      <sharedItems containsNonDate="0" containsDate="1" containsString="0" containsBlank="1" minDate="2024-12-02T00:00:00" maxDate="2024-12-23T00:00:00"/>
    </cacheField>
    <cacheField name="Item Name" numFmtId="0">
      <sharedItems containsBlank="1" count="95">
        <s v="Boost"/>
        <s v="Horlicks"/>
        <s v="Lemons"/>
        <s v="Coffee powder"/>
        <s v="corainder powder(mali powder)"/>
        <s v="Eggs"/>
        <s v="turmeric powder"/>
        <s v="Karuvadu"/>
        <s v="clove(lavagam)"/>
        <s v="cashew nut"/>
        <s v="Fish(Parai Fish)"/>
        <s v="lemon pickle"/>
        <s v="Star Anise(Annachipu)"/>
        <s v="Chicken 65 Masala"/>
        <s v="Fennel Seed(Sombu)-saunf"/>
        <s v="garlic ginger paste"/>
        <s v="Cardamon(Yelakai)"/>
        <s v="Pepper Powder(Milagu Thool)"/>
        <s v="bring leaf"/>
        <s v="Curry Leaves(Karuvepulai)"/>
        <s v="kasakasa"/>
        <s v="Tea Powder"/>
        <s v="Idli podi"/>
        <s v="Pepper Cumin(Milagu Seragam)"/>
        <s v="Garam Masala"/>
        <s v="rava"/>
        <s v="Ginger"/>
        <s v="sambhar podi"/>
        <s v="Coriander(kothamali)"/>
        <s v="Chicken Masala"/>
        <s v="perugayam(asafoetida)"/>
        <s v="Pulli"/>
        <s v="Rice Powder"/>
        <s v="seeraga powder"/>
        <s v="Fenugreek(Vendayam)"/>
        <s v="Mustard Urad Dal(Kadugu Uluntha Parupu)"/>
        <s v="Dry Chilli"/>
        <s v="Red chilli Powder"/>
        <s v="Garlic"/>
        <s v="tomato ketchup"/>
        <s v="Green Beans "/>
        <s v="Pasiparupu(algae lenthils)"/>
        <s v="Peanuts"/>
        <s v="Green Chilli"/>
        <s v="black channa"/>
        <s v="kadalai parupu(bengal gram)"/>
        <s v="jeeragam"/>
        <s v="Carrot"/>
        <s v="Corn Floor"/>
        <s v="maida maavu"/>
        <s v="Soya sauce"/>
        <s v="Fried Gram Split(Pottu Kadalai)"/>
        <s v="Bringal"/>
        <s v="Ghee"/>
        <s v="Urad Dal(ulunda parupu)"/>
        <s v="Sugar"/>
        <s v="toovaram parupu(toor dal)"/>
        <s v="Curd"/>
        <s v="idli rice(5r20)"/>
        <s v="Milk"/>
        <s v="Salt"/>
        <s v="vellam(jaggery)"/>
        <s v="Coconut Chutni(Cooked)"/>
        <s v="Tomato Chutni(Cooked)"/>
        <s v="Coconut"/>
        <s v="cooked rice"/>
        <s v="Onion"/>
        <s v="Potatoes"/>
        <s v="Sambhar"/>
        <s v="Oil"/>
        <s v="kolambu molaga thool"/>
        <s v="Wheat"/>
        <s v="Tomato"/>
        <s v="Sivasakthi rice"/>
        <s v="Dosa batter"/>
        <s v="Bheemas Rice"/>
        <s v="ration rice"/>
        <s v="Fish Kolambu(Parai Fish)"/>
        <s v="Pepper"/>
        <s v="bread"/>
        <s v="Chicken"/>
        <s v="Chicken gravy"/>
        <m/>
        <s v="Fish" u="1"/>
        <s v="Tomato Chutni" u="1"/>
        <s v="Coconut Chutni" u="1"/>
        <s v="Beans" u="1"/>
        <s v="Urad Dal" u="1"/>
        <s v="Cumin Powder(seraga Thool)" u="1"/>
        <s v="Bru" u="1"/>
        <s v="Idli Rice" u="1"/>
        <s v="Algae Lentils(Pasiparupu)" u="1"/>
        <s v="Ulundam Dal(Ulunda parupu)" u="1"/>
        <s v="Apples" u="1"/>
        <s v="Tomatoes" u="1"/>
      </sharedItems>
    </cacheField>
    <cacheField name="Quantity(g/ml)" numFmtId="0">
      <sharedItems containsString="0" containsBlank="1" containsNumber="1" containsInteger="1" minValue="1" maxValue="25000"/>
    </cacheField>
    <cacheField name="ACTUAL COST" numFmtId="0">
      <sharedItems containsString="0" containsBlank="1" containsNumber="1" minValue="0" maxValue="750"/>
    </cacheField>
    <cacheField name="AvgCost" numFmtId="0">
      <sharedItems containsSemiMixedTypes="0" containsString="0" containsNumber="1" minValue="0" maxValue="750"/>
    </cacheField>
    <cacheField name="Prize Per Gram" numFmtId="0">
      <sharedItems containsMixedTypes="1" containsNumber="1" minValue="0" maxValue="16.666666666666668"/>
    </cacheField>
    <cacheField name="Buying Cost" numFmtId="0">
      <sharedItems containsString="0" containsBlank="1" containsNumber="1" minValue="0" maxValue="750"/>
    </cacheField>
    <cacheField name="BALANCE Cash" numFmtId="0">
      <sharedItems containsSemiMixedTypes="0" containsString="0" containsNumber="1" minValue="-58.5" maxValue="62"/>
    </cacheField>
  </cacheFields>
  <extLst>
    <ext xmlns:x14="http://schemas.microsoft.com/office/spreadsheetml/2009/9/main" uri="{725AE2AE-9491-48be-B2B4-4EB974FC3084}">
      <x14:pivotCacheDefinition pivotCacheId="1156210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n v="1"/>
    <x v="0"/>
    <s v="20 mins"/>
    <x v="0"/>
    <n v="17.34032967032967"/>
    <n v="3"/>
    <n v="76"/>
    <n v="20.34032967032967"/>
    <n v="62"/>
    <n v="25.919670329670332"/>
    <n v="1.4947622578376016"/>
    <n v="2"/>
  </r>
  <r>
    <n v="2"/>
    <x v="1"/>
    <s v="30 mins"/>
    <x v="1"/>
    <n v="63.027049535155214"/>
    <n v="5"/>
    <n v="110"/>
    <n v="68.027049535155214"/>
    <n v="220"/>
    <n v="95.57295046484478"/>
    <n v="1.5163798903760539"/>
    <n v="2"/>
  </r>
  <r>
    <n v="3"/>
    <x v="2"/>
    <s v="20 mins"/>
    <x v="0"/>
    <n v="35.383516483516487"/>
    <n v="3"/>
    <n v="75"/>
    <n v="38.383516483516487"/>
    <n v="125"/>
    <n v="53.866483516483513"/>
    <n v="1.5223609428864247"/>
    <n v="2"/>
  </r>
  <r>
    <n v="4"/>
    <x v="3"/>
    <s v="25 mins"/>
    <x v="1"/>
    <n v="27.297516483516485"/>
    <n v="5"/>
    <n v="100"/>
    <n v="32.297516483516489"/>
    <n v="96"/>
    <n v="40.782483516483509"/>
    <n v="1.4939997761741395"/>
    <n v="2"/>
  </r>
  <r>
    <n v="5"/>
    <x v="4"/>
    <s v="15 mins"/>
    <x v="0"/>
    <n v="12.991758241758243"/>
    <n v="3"/>
    <n v="45"/>
    <n v="15.991758241758243"/>
    <n v="48"/>
    <n v="20.048241758241758"/>
    <n v="1.5431507718333686"/>
    <n v="2"/>
  </r>
  <r>
    <n v="6"/>
    <x v="5"/>
    <s v="20 mins"/>
    <x v="0"/>
    <n v="15.601692224912563"/>
    <n v="3"/>
    <n v="75"/>
    <n v="18.601692224912561"/>
    <n v="56"/>
    <n v="23.278307775087438"/>
    <n v="1.4920373661721746"/>
    <n v="2"/>
  </r>
  <r>
    <n v="7"/>
    <x v="6"/>
    <s v="15 mins"/>
    <x v="0"/>
    <n v="17.267857142857142"/>
    <n v="3"/>
    <n v="110"/>
    <n v="20.267857142857142"/>
    <n v="62"/>
    <n v="25.992142857142859"/>
    <n v="1.5052326783867633"/>
    <n v="2"/>
  </r>
  <r>
    <n v="8"/>
    <x v="7"/>
    <s v="25 mins"/>
    <x v="1"/>
    <n v="27.688230388200473"/>
    <n v="5"/>
    <n v="90"/>
    <n v="32.688230388200473"/>
    <n v="100"/>
    <n v="43.311769611799519"/>
    <n v="1.5642664411755662"/>
    <n v="2"/>
  </r>
  <r>
    <n v="9"/>
    <x v="8"/>
    <s v="15 mins"/>
    <x v="0"/>
    <n v="29.438743535138425"/>
    <n v="3"/>
    <n v="15"/>
    <n v="32.438743535138428"/>
    <n v="250"/>
    <n v="151.06125646486157"/>
    <n v="5.1313758104028153"/>
    <n v="2"/>
  </r>
  <r>
    <n v="10"/>
    <x v="9"/>
    <s v="10 mins"/>
    <x v="0"/>
    <n v="35.172313118448123"/>
    <n v="3"/>
    <n v="15"/>
    <n v="38.172313118448123"/>
    <n v="95"/>
    <n v="32.177686881551878"/>
    <n v="0.91485842211140944"/>
    <n v="2"/>
  </r>
  <r>
    <n v="11"/>
    <x v="10"/>
    <s v="40 mins"/>
    <x v="1"/>
    <n v="62.043846455654872"/>
    <n v="5"/>
    <n v="20"/>
    <n v="67.043846455654872"/>
    <n v="400"/>
    <n v="227.95615354434511"/>
    <n v="3.674113817351317"/>
    <n v="2"/>
  </r>
  <r>
    <n v="12"/>
    <x v="11"/>
    <s v="35 mins"/>
    <x v="1"/>
    <n v="17.575657894736842"/>
    <n v="5"/>
    <n v="20"/>
    <n v="22.575657894736842"/>
    <n v="65"/>
    <n v="27.874342105263157"/>
    <n v="1.5859629421673216"/>
    <n v="2"/>
  </r>
  <r>
    <n v="13"/>
    <x v="12"/>
    <s v="10 mins"/>
    <x v="0"/>
    <n v="10.54078947368421"/>
    <n v="3"/>
    <n v="50"/>
    <n v="13.54078947368421"/>
    <n v="38"/>
    <n v="15.199210526315788"/>
    <n v="1.4419423292972162"/>
    <n v="2"/>
  </r>
  <r>
    <n v="14"/>
    <x v="13"/>
    <s v="5 mins"/>
    <x v="0"/>
    <n v="10.75"/>
    <n v="3"/>
    <n v="35"/>
    <n v="13.75"/>
    <n v="40"/>
    <n v="16.45"/>
    <n v="1.5302325581395348"/>
    <n v="2"/>
  </r>
  <r>
    <n v="15"/>
    <x v="14"/>
    <s v="5 mins"/>
    <x v="0"/>
    <n v="16.299999999999997"/>
    <n v="3"/>
    <n v="45"/>
    <n v="19.299999999999997"/>
    <n v="60"/>
    <n v="25.5"/>
    <n v="1.5644171779141107"/>
    <n v="2"/>
  </r>
  <r>
    <n v="16"/>
    <x v="15"/>
    <s v="5 mins"/>
    <x v="0"/>
    <n v="16.899999999999999"/>
    <n v="3"/>
    <n v="50"/>
    <n v="19.899999999999999"/>
    <n v="65"/>
    <n v="28.55"/>
    <n v="1.6893491124260356"/>
    <n v="2"/>
  </r>
  <r>
    <n v="17"/>
    <x v="16"/>
    <s v="5 mins"/>
    <x v="0"/>
    <n v="16.899999999999999"/>
    <n v="3"/>
    <n v="50"/>
    <n v="19.899999999999999"/>
    <n v="65"/>
    <n v="28.55"/>
    <n v="1.6893491124260356"/>
    <n v="2"/>
  </r>
  <r>
    <n v="18"/>
    <x v="17"/>
    <s v="5 mins"/>
    <x v="0"/>
    <n v="2.75"/>
    <n v="3"/>
    <n v="30"/>
    <n v="5.75"/>
    <n v="30"/>
    <n v="17.149999999999999"/>
    <n v="6.2363636363636354"/>
    <n v="2"/>
  </r>
  <r>
    <n v="19"/>
    <x v="18"/>
    <s v="20 mins"/>
    <x v="0"/>
    <n v="9.0399999999999991"/>
    <n v="3"/>
    <n v="50"/>
    <n v="12.04"/>
    <n v="40"/>
    <n v="18.16"/>
    <n v="2.0088495575221241"/>
    <n v="2"/>
  </r>
  <r>
    <n v="20"/>
    <x v="19"/>
    <s v="20 mins"/>
    <x v="1"/>
    <n v="27.861407186262678"/>
    <n v="5"/>
    <n v="90"/>
    <n v="32.861407186262682"/>
    <n v="100"/>
    <n v="43.138592813737318"/>
    <n v="1.5483278545603107"/>
    <n v="2"/>
  </r>
  <r>
    <n v="21"/>
    <x v="20"/>
    <s v="15 mins"/>
    <x v="0"/>
    <n v="19.85607256801719"/>
    <n v="3"/>
    <n v="80"/>
    <n v="22.85607256801719"/>
    <n v="70"/>
    <n v="29.243927431982808"/>
    <n v="1.4727951528081609"/>
    <n v="2"/>
  </r>
  <r>
    <n v="22"/>
    <x v="21"/>
    <s v="20 mins"/>
    <x v="0"/>
    <n v="17.842073809080354"/>
    <n v="3"/>
    <n v="80"/>
    <n v="20.842073809080354"/>
    <n v="65"/>
    <n v="27.607926190919645"/>
    <n v="1.5473496234988762"/>
    <n v="2"/>
  </r>
  <r>
    <n v="23"/>
    <x v="22"/>
    <s v="15 mins"/>
    <x v="0"/>
    <n v="5.55"/>
    <n v="3"/>
    <n v="70"/>
    <n v="8.5500000000000007"/>
    <n v="80"/>
    <n v="50.85"/>
    <n v="9.1621621621621632"/>
    <n v="2"/>
  </r>
  <r>
    <n v="24"/>
    <x v="23"/>
    <s v="10 mins"/>
    <x v="0"/>
    <n v="14.108182809360329"/>
    <n v="3"/>
    <n v="80"/>
    <n v="17.108182809360329"/>
    <n v="52"/>
    <n v="21.851817190639672"/>
    <n v="1.5488753928069097"/>
    <n v="2"/>
  </r>
  <r>
    <n v="25"/>
    <x v="24"/>
    <s v="11 mins"/>
    <x v="0"/>
    <n v="5.9619999999999997"/>
    <n v="10"/>
    <n v="27"/>
    <n v="15.962"/>
    <n v="22"/>
    <n v="8.097999999999999"/>
    <n v="1.3582690372358268"/>
    <n v="2"/>
  </r>
  <r>
    <n v="26"/>
    <x v="25"/>
    <s v="15 mins"/>
    <x v="0"/>
    <n v="14.285714285714285"/>
    <n v="3"/>
    <n v="55"/>
    <n v="17.285714285714285"/>
    <n v="52"/>
    <n v="21.674285714285716"/>
    <n v="1.5172000000000003"/>
    <n v="2"/>
  </r>
  <r>
    <n v="27"/>
    <x v="26"/>
    <s v="15 mins"/>
    <x v="0"/>
    <n v="20.25"/>
    <n v="5"/>
    <m/>
    <n v="25.25"/>
    <n v="70"/>
    <n v="28.849999999999998"/>
    <n v="1.4246913580246912"/>
    <n v="2"/>
  </r>
  <r>
    <n v="28"/>
    <x v="27"/>
    <s v="15 mins"/>
    <x v="0"/>
    <n v="29.75"/>
    <n v="3"/>
    <m/>
    <n v="32.75"/>
    <n v="105"/>
    <n v="44.9"/>
    <n v="1.5092436974789916"/>
    <n v="2"/>
  </r>
  <r>
    <n v="29"/>
    <x v="28"/>
    <s v="20 mins"/>
    <x v="1"/>
    <n v="30.656043956043952"/>
    <n v="5"/>
    <n v="120"/>
    <n v="35.656043956043952"/>
    <n v="110"/>
    <n v="47.643956043956038"/>
    <n v="1.5541456070545221"/>
    <n v="2"/>
  </r>
  <r>
    <n v="30"/>
    <x v="29"/>
    <s v="15 mins"/>
    <x v="0"/>
    <n v="25.098901098901102"/>
    <n v="3"/>
    <n v="60"/>
    <n v="28.098901098901102"/>
    <n v="90"/>
    <n v="38.601098901098894"/>
    <n v="1.5379597197898418"/>
    <n v="2"/>
  </r>
  <r>
    <n v="31"/>
    <x v="30"/>
    <s v="15 mins"/>
    <x v="0"/>
    <n v="15.634615384615385"/>
    <n v="3"/>
    <n v="60"/>
    <n v="18.634615384615387"/>
    <n v="60"/>
    <n v="26.16538461538461"/>
    <n v="1.673554735547355"/>
    <n v="2"/>
  </r>
  <r>
    <n v="32"/>
    <x v="31"/>
    <s v="20 mins"/>
    <x v="1"/>
    <n v="23.739285714285714"/>
    <n v="5"/>
    <n v="80"/>
    <n v="28.739285714285714"/>
    <n v="85"/>
    <n v="36.310714285714283"/>
    <n v="1.5295622085151195"/>
    <n v="2"/>
  </r>
  <r>
    <n v="33"/>
    <x v="32"/>
    <s v="15 mins"/>
    <x v="1"/>
    <n v="12.344285714285714"/>
    <n v="5"/>
    <n v="69"/>
    <n v="17.344285714285714"/>
    <n v="50"/>
    <n v="22.155714285714282"/>
    <n v="1.7948154148825364"/>
    <n v="2"/>
  </r>
  <r>
    <n v="34"/>
    <x v="33"/>
    <s v="25 mins"/>
    <x v="1"/>
    <n v="29.493560606060605"/>
    <n v="5"/>
    <n v="90"/>
    <n v="34.493560606060605"/>
    <n v="105"/>
    <n v="45.156439393939387"/>
    <n v="1.5310609660557644"/>
    <n v="2"/>
  </r>
  <r>
    <n v="35"/>
    <x v="34"/>
    <s v="25 mins"/>
    <x v="1"/>
    <n v="18.8"/>
    <n v="5"/>
    <n v="100"/>
    <n v="23.8"/>
    <n v="68"/>
    <n v="28.840000000000003"/>
    <n v="1.5340425531914894"/>
    <n v="2"/>
  </r>
  <r>
    <n v="36"/>
    <x v="35"/>
    <s v="10 mins"/>
    <x v="0"/>
    <n v="7"/>
    <n v="3"/>
    <n v="20"/>
    <n v="10"/>
    <n v="22"/>
    <n v="7.0599999999999987"/>
    <n v="1.0085714285714285"/>
    <n v="2"/>
  </r>
  <r>
    <n v="37"/>
    <x v="36"/>
    <s v="26 mins"/>
    <x v="1"/>
    <n v="25.398901098901099"/>
    <n v="5"/>
    <n v="100"/>
    <n v="30.398901098901099"/>
    <n v="90"/>
    <n v="38.301098901098911"/>
    <n v="1.5079825206593696"/>
    <n v="2"/>
  </r>
  <r>
    <n v="38"/>
    <x v="37"/>
    <s v="15 mins"/>
    <x v="0"/>
    <n v="8.1"/>
    <n v="3"/>
    <n v="100"/>
    <n v="11.1"/>
    <n v="32"/>
    <n v="13.259999999999998"/>
    <n v="1.6370370370370368"/>
    <n v="2"/>
  </r>
  <r>
    <n v="39"/>
    <x v="38"/>
    <s v="30 mins"/>
    <x v="1"/>
    <n v="22.2"/>
    <n v="3"/>
    <n v="300"/>
    <n v="25.2"/>
    <n v="280"/>
    <n v="180.2"/>
    <n v="8.1171171171171164"/>
    <n v="2"/>
  </r>
  <r>
    <n v="40"/>
    <x v="39"/>
    <s v="30 mins"/>
    <x v="1"/>
    <n v="32.169656372762056"/>
    <n v="5"/>
    <n v="110"/>
    <n v="37.169656372762056"/>
    <n v="115"/>
    <n v="49.78034362723794"/>
    <n v="1.5474316247091404"/>
    <n v="2"/>
  </r>
  <r>
    <n v="41"/>
    <x v="40"/>
    <s v="25 mins"/>
    <x v="1"/>
    <n v="17.162901098901099"/>
    <n v="5"/>
    <n v="100"/>
    <n v="22.162901098901099"/>
    <n v="62"/>
    <n v="26.097098901098896"/>
    <n v="1.5205528920031959"/>
    <n v="2"/>
  </r>
  <r>
    <n v="42"/>
    <x v="41"/>
    <s v="20 mins"/>
    <x v="0"/>
    <n v="25.248901098901101"/>
    <n v="3"/>
    <n v="100"/>
    <n v="28.248901098901101"/>
    <n v="90"/>
    <n v="38.451098901098902"/>
    <n v="1.5228820751637542"/>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1"/>
    <x v="0"/>
    <m/>
    <x v="0"/>
    <m/>
  </r>
  <r>
    <n v="2"/>
    <x v="1"/>
    <m/>
    <x v="1"/>
    <m/>
  </r>
  <r>
    <n v="3"/>
    <x v="1"/>
    <m/>
    <x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n v="400"/>
    <s v="Prepared Extra but unfortunately we ate chicken"/>
    <d v="2024-11-12T00:00:00"/>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r>
    <x v="1"/>
    <x v="1"/>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9305036139"/>
    <x v="0"/>
    <x v="0"/>
    <n v="1"/>
    <e v="#REF!"/>
    <n v="45"/>
    <n v="4.5"/>
    <n v="6.75"/>
    <n v="11.25"/>
    <n v="13.5"/>
    <n v="18"/>
    <n v="11.700000000000001"/>
    <n v="0"/>
    <n v="0"/>
    <n v="2.25"/>
    <e v="#REF!"/>
    <e v="#REF!"/>
    <e v="#REF!"/>
    <e v="#REF!"/>
    <e v="#REF!"/>
  </r>
  <r>
    <x v="1"/>
    <m/>
    <x v="1"/>
    <x v="1"/>
    <m/>
    <e v="#N/A"/>
    <n v="110"/>
    <n v="11"/>
    <n v="16.5"/>
    <n v="27.5"/>
    <n v="33"/>
    <n v="44"/>
    <n v="28.6"/>
    <n v="0"/>
    <n v="0"/>
    <n v="5.5"/>
    <e v="#REF!"/>
    <e v="#REF!"/>
    <e v="#REF!"/>
    <e v="#REF!"/>
    <e v="#REF!"/>
  </r>
  <r>
    <x v="1"/>
    <m/>
    <x v="1"/>
    <x v="1"/>
    <m/>
    <e v="#N/A"/>
    <n v="50"/>
    <n v="5"/>
    <n v="7.5"/>
    <n v="12.5"/>
    <n v="15"/>
    <n v="20"/>
    <n v="13"/>
    <n v="0"/>
    <n v="0"/>
    <n v="2.5"/>
    <e v="#REF!"/>
    <e v="#REF!"/>
    <e v="#REF!"/>
    <e v="#REF!"/>
    <e v="#REF!"/>
  </r>
  <r>
    <x v="1"/>
    <m/>
    <x v="1"/>
    <x v="1"/>
    <m/>
    <e v="#N/A"/>
    <n v="0"/>
    <n v="0"/>
    <n v="0"/>
    <n v="0"/>
    <n v="0"/>
    <n v="0"/>
    <n v="0"/>
    <n v="0"/>
    <n v="0"/>
    <n v="0"/>
    <e v="#REF!"/>
    <e v="#REF!"/>
    <e v="#REF!"/>
    <e v="#REF!"/>
    <e v="#REF!"/>
  </r>
  <r>
    <x v="1"/>
    <m/>
    <x v="1"/>
    <x v="1"/>
    <m/>
    <e v="#N/A"/>
    <n v="0"/>
    <n v="0"/>
    <n v="0"/>
    <n v="0"/>
    <n v="0"/>
    <n v="0"/>
    <n v="0"/>
    <n v="0"/>
    <n v="0"/>
    <n v="0"/>
    <e v="#REF!"/>
    <e v="#REF!"/>
    <e v="#REF!"/>
    <e v="#REF!"/>
    <e v="#REF!"/>
  </r>
  <r>
    <x v="1"/>
    <m/>
    <x v="1"/>
    <x v="1"/>
    <m/>
    <e v="#N/A"/>
    <n v="0"/>
    <n v="0"/>
    <n v="0"/>
    <n v="0"/>
    <n v="0"/>
    <n v="0"/>
    <n v="0"/>
    <n v="0"/>
    <n v="0"/>
    <n v="0"/>
    <e v="#REF!"/>
    <e v="#REF!"/>
    <e v="#REF!"/>
    <e v="#REF!"/>
    <e v="#REF!"/>
  </r>
  <r>
    <x v="2"/>
    <m/>
    <x v="1"/>
    <x v="1"/>
    <m/>
    <e v="#N/A"/>
    <m/>
    <n v="0"/>
    <n v="0"/>
    <n v="0"/>
    <n v="0"/>
    <n v="0"/>
    <n v="0"/>
    <n v="0"/>
    <n v="0"/>
    <n v="0"/>
    <e v="#REF!"/>
    <e v="#REF!"/>
    <e v="#REF!"/>
    <e v="#REF!"/>
    <e v="#REF!"/>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2">
  <r>
    <s v="Boiled Egg"/>
    <x v="0"/>
    <n v="1"/>
    <n v="0"/>
    <n v="0"/>
    <n v="0"/>
    <n v="7"/>
    <n v="7"/>
    <s v="Live"/>
  </r>
  <r>
    <s v="Boost"/>
    <x v="1"/>
    <n v="1"/>
    <n v="0"/>
    <n v="0"/>
    <n v="0"/>
    <n v="5"/>
    <n v="16.899999999999999"/>
    <s v="Live"/>
  </r>
  <r>
    <s v="Chappathi and Channa (2 pcs)"/>
    <x v="2"/>
    <n v="1"/>
    <n v="0"/>
    <n v="0"/>
    <n v="0"/>
    <n v="0.5"/>
    <n v="29.493560606060605"/>
    <s v="Live"/>
  </r>
  <r>
    <s v="Chappathi and Channa (2 pcs)"/>
    <x v="3"/>
    <n v="1"/>
    <n v="0"/>
    <n v="0"/>
    <n v="0"/>
    <n v="0.1875"/>
    <n v="29.493560606060605"/>
    <s v="Live"/>
  </r>
  <r>
    <s v="Chappathi and Channa (2 pcs)"/>
    <x v="4"/>
    <n v="1"/>
    <n v="0"/>
    <n v="0"/>
    <n v="0"/>
    <n v="0"/>
    <n v="29.493560606060605"/>
    <s v="Live"/>
  </r>
  <r>
    <s v="chappathi and kurma"/>
    <x v="2"/>
    <n v="1"/>
    <n v="0"/>
    <n v="0"/>
    <n v="0"/>
    <n v="0.5"/>
    <n v="31.68356060606061"/>
    <s v="Live"/>
  </r>
  <r>
    <s v="chappathi and kurma"/>
    <x v="3"/>
    <n v="1"/>
    <n v="0"/>
    <n v="0"/>
    <n v="0"/>
    <n v="0.1875"/>
    <n v="31.68356060606061"/>
    <s v="Live"/>
  </r>
  <r>
    <s v="chappathi and kurma"/>
    <x v="4"/>
    <n v="1"/>
    <n v="0"/>
    <n v="0"/>
    <n v="0"/>
    <n v="0"/>
    <n v="31.68356060606061"/>
    <s v="Live"/>
  </r>
  <r>
    <s v="Horlicks"/>
    <x v="5"/>
    <n v="1"/>
    <n v="0"/>
    <n v="0"/>
    <n v="0"/>
    <n v="5"/>
    <n v="16.899999999999999"/>
    <s v="Live"/>
  </r>
  <r>
    <s v="Kurma"/>
    <x v="2"/>
    <n v="1"/>
    <n v="0"/>
    <n v="0"/>
    <n v="0"/>
    <n v="0.5"/>
    <n v="17.575657894736842"/>
    <s v="Live"/>
  </r>
  <r>
    <s v="Kurma"/>
    <x v="6"/>
    <n v="1"/>
    <n v="0"/>
    <n v="0"/>
    <n v="0"/>
    <n v="0.26315789473684209"/>
    <n v="17.575657894736842"/>
    <s v="Live"/>
  </r>
  <r>
    <s v="Kurma"/>
    <x v="7"/>
    <n v="1"/>
    <n v="0"/>
    <n v="0"/>
    <n v="0"/>
    <n v="0.2"/>
    <n v="17.575657894736842"/>
    <s v="Live"/>
  </r>
  <r>
    <s v="Kurma"/>
    <x v="3"/>
    <n v="1"/>
    <n v="0"/>
    <n v="0"/>
    <n v="0"/>
    <n v="0.1875"/>
    <n v="17.575657894736842"/>
    <s v="Live"/>
  </r>
  <r>
    <s v="Kurma"/>
    <x v="4"/>
    <n v="1"/>
    <n v="0"/>
    <n v="0"/>
    <n v="0"/>
    <n v="0"/>
    <n v="17.575657894736842"/>
    <s v="Live"/>
  </r>
  <r>
    <s v="Lemon Rice"/>
    <x v="8"/>
    <n v="1"/>
    <n v="0"/>
    <n v="0"/>
    <n v="0"/>
    <n v="5"/>
    <n v="19.85607256801719"/>
    <s v="Live"/>
  </r>
  <r>
    <s v="Masala Dosa"/>
    <x v="9"/>
    <n v="1"/>
    <n v="0"/>
    <n v="0"/>
    <n v="0"/>
    <n v="1"/>
    <n v="32.169656372762056"/>
    <s v="Live"/>
  </r>
  <r>
    <s v="Masala Dosa"/>
    <x v="10"/>
    <n v="1"/>
    <n v="0"/>
    <n v="0"/>
    <n v="0"/>
    <n v="0.31111111111111112"/>
    <n v="32.169656372762056"/>
    <s v="Live"/>
  </r>
  <r>
    <s v="Masala Dosa"/>
    <x v="11"/>
    <n v="1"/>
    <n v="0"/>
    <n v="0"/>
    <n v="0"/>
    <n v="0.3"/>
    <n v="32.169656372762056"/>
    <s v="Live"/>
  </r>
  <r>
    <s v="Onion Egg Dosa"/>
    <x v="0"/>
    <n v="1"/>
    <n v="0"/>
    <n v="0"/>
    <n v="0"/>
    <n v="7"/>
    <n v="30.656043956043952"/>
    <s v="Live"/>
  </r>
  <r>
    <s v="Sweet Kuli Paniyaram"/>
    <x v="3"/>
    <n v="1"/>
    <n v="0"/>
    <n v="0"/>
    <n v="0"/>
    <n v="0.1875"/>
    <n v="23.707829670329669"/>
    <s v="Live"/>
  </r>
  <r>
    <s v="2 Masala Dosa"/>
    <x v="9"/>
    <n v="2"/>
    <n v="0"/>
    <n v="0"/>
    <n v="0"/>
    <n v="2"/>
    <n v="63.027049535155214"/>
    <s v="Live"/>
  </r>
  <r>
    <s v="2 Masala Dosa"/>
    <x v="10"/>
    <n v="2"/>
    <n v="0"/>
    <n v="0"/>
    <n v="0"/>
    <n v="0.62222222222222223"/>
    <n v="63.027049535155214"/>
    <s v="Live"/>
  </r>
  <r>
    <s v="2 Masala Dosa"/>
    <x v="11"/>
    <n v="2"/>
    <n v="0"/>
    <n v="0"/>
    <n v="0"/>
    <n v="0.6"/>
    <n v="63.027049535155214"/>
    <s v="Live"/>
  </r>
  <r>
    <s v="2 Masala Dosa"/>
    <x v="12"/>
    <n v="2"/>
    <n v="0"/>
    <n v="0"/>
    <n v="0"/>
    <n v="0.75294117647058822"/>
    <n v="63.027049535155214"/>
    <s v="Live"/>
  </r>
  <r>
    <s v="2 Masala Dosa"/>
    <x v="13"/>
    <n v="2"/>
    <n v="0"/>
    <n v="0"/>
    <n v="0"/>
    <n v="0.33333333333333331"/>
    <n v="63.027049535155214"/>
    <s v="Live"/>
  </r>
  <r>
    <s v="2 Masala Dosa"/>
    <x v="14"/>
    <n v="2"/>
    <n v="0"/>
    <n v="0"/>
    <n v="0"/>
    <n v="0.22598870056497175"/>
    <n v="63.027049535155214"/>
    <s v="Live"/>
  </r>
  <r>
    <s v="carrot dosa"/>
    <x v="15"/>
    <n v="2"/>
    <n v="0"/>
    <n v="0"/>
    <n v="0"/>
    <n v="0.3"/>
    <n v="11.7"/>
    <s v="Live"/>
  </r>
  <r>
    <s v="Carrot Rice"/>
    <x v="10"/>
    <n v="2"/>
    <n v="0"/>
    <n v="0"/>
    <n v="0"/>
    <n v="0.62222222222222223"/>
    <n v="12.025863840719332"/>
    <s v="Live"/>
  </r>
  <r>
    <s v="Carrot Rice"/>
    <x v="16"/>
    <n v="2"/>
    <n v="0"/>
    <n v="0"/>
    <n v="0"/>
    <n v="0.5"/>
    <n v="12.025863840719332"/>
    <s v="Live"/>
  </r>
  <r>
    <s v="Chappathi and Channa (2 pcs)"/>
    <x v="11"/>
    <n v="2"/>
    <n v="0"/>
    <n v="0"/>
    <n v="0"/>
    <n v="0.6"/>
    <n v="29.493560606060605"/>
    <s v="Live"/>
  </r>
  <r>
    <s v="Chappathi and Channa (2 pcs)"/>
    <x v="17"/>
    <n v="2"/>
    <n v="0"/>
    <n v="0"/>
    <n v="0"/>
    <n v="0.56000000000000005"/>
    <n v="29.493560606060605"/>
    <s v="Live"/>
  </r>
  <r>
    <s v="Chappathi and Channa (2 pcs)"/>
    <x v="18"/>
    <n v="2"/>
    <n v="0"/>
    <n v="0"/>
    <n v="0"/>
    <n v="0.4"/>
    <n v="29.493560606060605"/>
    <s v="Live"/>
  </r>
  <r>
    <s v="Chappathi and Channa (2 pcs)"/>
    <x v="13"/>
    <n v="2"/>
    <n v="0"/>
    <n v="0"/>
    <n v="0"/>
    <n v="0.33333333333333331"/>
    <n v="29.493560606060605"/>
    <s v="Live"/>
  </r>
  <r>
    <s v="chappathi and kurma"/>
    <x v="11"/>
    <n v="2"/>
    <n v="0"/>
    <n v="0"/>
    <n v="0"/>
    <n v="0.6"/>
    <n v="31.68356060606061"/>
    <s v="Live"/>
  </r>
  <r>
    <s v="chappathi and kurma"/>
    <x v="17"/>
    <n v="2"/>
    <n v="0"/>
    <n v="0"/>
    <n v="0"/>
    <n v="0.56000000000000005"/>
    <n v="31.68356060606061"/>
    <s v="Live"/>
  </r>
  <r>
    <s v="chappathi and kurma"/>
    <x v="18"/>
    <n v="2"/>
    <n v="0"/>
    <n v="0"/>
    <n v="0"/>
    <n v="0.4"/>
    <n v="31.68356060606061"/>
    <s v="Live"/>
  </r>
  <r>
    <s v="chappathi and kurma"/>
    <x v="13"/>
    <n v="2"/>
    <n v="0"/>
    <n v="0"/>
    <n v="0"/>
    <n v="0.33333333333333331"/>
    <n v="31.68356060606061"/>
    <s v="Live"/>
  </r>
  <r>
    <s v="Coconut Chutney"/>
    <x v="16"/>
    <n v="2"/>
    <n v="0"/>
    <n v="0"/>
    <n v="0"/>
    <n v="0.5"/>
    <n v="35.172313118448123"/>
    <s v="Live"/>
  </r>
  <r>
    <s v="Curd Rice"/>
    <x v="16"/>
    <n v="2"/>
    <n v="0"/>
    <n v="0"/>
    <n v="0"/>
    <n v="0.5"/>
    <n v="14.108182809360329"/>
    <s v="Live"/>
  </r>
  <r>
    <s v="Egg Dosa"/>
    <x v="0"/>
    <n v="2"/>
    <n v="0"/>
    <n v="0"/>
    <n v="0"/>
    <n v="14"/>
    <n v="23.739285714285714"/>
    <s v="Live"/>
  </r>
  <r>
    <s v="Egg Dosa"/>
    <x v="19"/>
    <n v="2"/>
    <n v="0"/>
    <n v="0"/>
    <n v="0"/>
    <n v="0.375"/>
    <n v="23.739285714285714"/>
    <s v="Live"/>
  </r>
  <r>
    <s v="Ginger Tea"/>
    <x v="3"/>
    <n v="2"/>
    <n v="0"/>
    <n v="0"/>
    <n v="0"/>
    <n v="0.375"/>
    <n v="10.54078947368421"/>
    <s v="Live"/>
  </r>
  <r>
    <s v="Idli Podimas"/>
    <x v="11"/>
    <n v="2"/>
    <n v="0"/>
    <n v="0"/>
    <n v="0"/>
    <n v="0.6"/>
    <n v="27.688230388200473"/>
    <s v="Live"/>
  </r>
  <r>
    <s v="Idli Podimas"/>
    <x v="17"/>
    <n v="2"/>
    <n v="0"/>
    <n v="0"/>
    <n v="0"/>
    <n v="0.56000000000000005"/>
    <n v="27.688230388200473"/>
    <s v="Live"/>
  </r>
  <r>
    <s v="Idli Podimas"/>
    <x v="16"/>
    <n v="2"/>
    <n v="0"/>
    <n v="0"/>
    <n v="0"/>
    <n v="0.5"/>
    <n v="27.688230388200473"/>
    <s v="Live"/>
  </r>
  <r>
    <s v="Idli Podimas"/>
    <x v="12"/>
    <n v="2"/>
    <n v="0"/>
    <n v="0"/>
    <n v="0"/>
    <n v="0.75294117647058822"/>
    <n v="27.688230388200473"/>
    <s v="Live"/>
  </r>
  <r>
    <s v="Idli Podimas"/>
    <x v="13"/>
    <n v="2"/>
    <n v="0"/>
    <n v="0"/>
    <n v="0"/>
    <n v="0.33333333333333331"/>
    <n v="27.688230388200473"/>
    <s v="Live"/>
  </r>
  <r>
    <s v="Idli Upma"/>
    <x v="9"/>
    <n v="2"/>
    <n v="0"/>
    <n v="0"/>
    <n v="0"/>
    <n v="2"/>
    <n v="18.378571428571426"/>
    <s v="Live"/>
  </r>
  <r>
    <s v="Idli Upma"/>
    <x v="16"/>
    <n v="2"/>
    <n v="0"/>
    <n v="0"/>
    <n v="0"/>
    <n v="0.5"/>
    <n v="18.378571428571426"/>
    <s v="Live"/>
  </r>
  <r>
    <s v="Idli Upma"/>
    <x v="16"/>
    <n v="2"/>
    <n v="0"/>
    <n v="0"/>
    <n v="0"/>
    <n v="0.5"/>
    <n v="18.378571428571426"/>
    <s v="Live"/>
  </r>
  <r>
    <s v="Idli Upma"/>
    <x v="15"/>
    <n v="2"/>
    <n v="0"/>
    <n v="0"/>
    <n v="0"/>
    <n v="0.3"/>
    <n v="18.378571428571426"/>
    <s v="Live"/>
  </r>
  <r>
    <s v="Kuli Paniyaram"/>
    <x v="15"/>
    <n v="2"/>
    <n v="0"/>
    <n v="0"/>
    <n v="0"/>
    <n v="0.3"/>
    <n v="27.861407186262678"/>
    <s v="Live"/>
  </r>
  <r>
    <s v="Kurma"/>
    <x v="18"/>
    <n v="2"/>
    <n v="0"/>
    <n v="0"/>
    <n v="0"/>
    <n v="0.4"/>
    <n v="17.575657894736842"/>
    <s v="Live"/>
  </r>
  <r>
    <s v="Kurma"/>
    <x v="13"/>
    <n v="2"/>
    <n v="0"/>
    <n v="0"/>
    <n v="0"/>
    <n v="0.33333333333333331"/>
    <n v="17.575657894736842"/>
    <s v="Live"/>
  </r>
  <r>
    <s v="Masala Dosa"/>
    <x v="20"/>
    <n v="2"/>
    <n v="0"/>
    <n v="0"/>
    <n v="0"/>
    <n v="0.4"/>
    <n v="32.169656372762056"/>
    <s v="Live"/>
  </r>
  <r>
    <s v="Masala Dosa"/>
    <x v="12"/>
    <n v="2"/>
    <n v="0"/>
    <n v="0"/>
    <n v="0"/>
    <n v="0.75294117647058822"/>
    <n v="32.169656372762056"/>
    <s v="Live"/>
  </r>
  <r>
    <s v="Masala Dosa"/>
    <x v="13"/>
    <n v="2"/>
    <n v="0"/>
    <n v="0"/>
    <n v="0"/>
    <n v="0.33333333333333331"/>
    <n v="32.169656372762056"/>
    <s v="Live"/>
  </r>
  <r>
    <s v="Masala Dosa"/>
    <x v="14"/>
    <n v="2"/>
    <n v="0"/>
    <n v="0"/>
    <n v="0"/>
    <n v="0.22598870056497175"/>
    <n v="32.169656372762056"/>
    <s v="Live"/>
  </r>
  <r>
    <s v="Mini Podi Idli"/>
    <x v="15"/>
    <n v="2"/>
    <n v="0"/>
    <n v="0"/>
    <n v="0"/>
    <n v="0.3"/>
    <n v="12.344285714285714"/>
    <s v="Live"/>
  </r>
  <r>
    <s v="Onion Egg Dosa"/>
    <x v="15"/>
    <n v="2"/>
    <n v="0"/>
    <n v="0"/>
    <n v="0"/>
    <n v="0.3"/>
    <n v="30.656043956043952"/>
    <s v="Live"/>
  </r>
  <r>
    <s v="Onion Podi Dosa"/>
    <x v="15"/>
    <n v="2"/>
    <n v="0"/>
    <n v="0"/>
    <n v="0"/>
    <n v="0.3"/>
    <n v="25.398901098901099"/>
    <s v="Live"/>
  </r>
  <r>
    <s v="Sambar"/>
    <x v="18"/>
    <n v="2"/>
    <n v="0"/>
    <n v="0"/>
    <n v="0"/>
    <n v="0.4"/>
    <n v="62.043846455654872"/>
    <s v="Live"/>
  </r>
  <r>
    <s v="Sambar"/>
    <x v="15"/>
    <n v="2"/>
    <n v="0"/>
    <n v="0"/>
    <n v="0"/>
    <n v="0.3"/>
    <n v="62.043846455654872"/>
    <s v="Live"/>
  </r>
  <r>
    <s v="Sambar"/>
    <x v="21"/>
    <n v="2"/>
    <n v="0"/>
    <n v="0"/>
    <n v="0"/>
    <n v="0.22727272727272727"/>
    <n v="62.043846455654872"/>
    <s v="Live"/>
  </r>
  <r>
    <s v="Tomato Chutney"/>
    <x v="6"/>
    <n v="2"/>
    <n v="0"/>
    <n v="0"/>
    <n v="0"/>
    <n v="0.52631578947368418"/>
    <n v="29.438743535138425"/>
    <s v="Live"/>
  </r>
  <r>
    <s v="Tomato Chutney"/>
    <x v="16"/>
    <n v="2"/>
    <n v="0"/>
    <n v="0"/>
    <n v="0"/>
    <n v="0.5"/>
    <n v="29.438743535138425"/>
    <s v="Live"/>
  </r>
  <r>
    <s v="Tomato Chutney"/>
    <x v="7"/>
    <n v="2"/>
    <n v="0"/>
    <n v="0"/>
    <n v="0"/>
    <n v="0.4"/>
    <n v="29.438743535138425"/>
    <s v="Live"/>
  </r>
  <r>
    <s v="Tomato Chutney"/>
    <x v="15"/>
    <n v="2"/>
    <n v="0"/>
    <n v="0"/>
    <n v="0"/>
    <n v="0.3"/>
    <n v="29.438743535138425"/>
    <s v="Live"/>
  </r>
  <r>
    <s v="Tomato Rice"/>
    <x v="16"/>
    <n v="2"/>
    <n v="0"/>
    <n v="0"/>
    <n v="0"/>
    <n v="0.5"/>
    <n v="17.842073809080354"/>
    <s v="Live"/>
  </r>
  <r>
    <s v="Tomato Rice"/>
    <x v="18"/>
    <n v="2"/>
    <n v="0"/>
    <n v="0"/>
    <n v="0"/>
    <n v="0.4"/>
    <n v="17.842073809080354"/>
    <s v="Live"/>
  </r>
  <r>
    <s v="Tomato Rice"/>
    <x v="22"/>
    <n v="2"/>
    <n v="0"/>
    <n v="0"/>
    <n v="0"/>
    <n v="0.23121387283236994"/>
    <n v="17.842073809080354"/>
    <s v="Live"/>
  </r>
  <r>
    <s v="Tomato Rice"/>
    <x v="21"/>
    <n v="2"/>
    <n v="0"/>
    <n v="0"/>
    <n v="0"/>
    <n v="0.22727272727272727"/>
    <n v="17.842073809080354"/>
    <s v="Live"/>
  </r>
  <r>
    <s v="Podi Idli"/>
    <x v="10"/>
    <n v="2.5"/>
    <n v="0"/>
    <n v="0"/>
    <n v="0"/>
    <n v="0.77777777777777779"/>
    <n v="15.601692224912563"/>
    <s v="Live"/>
  </r>
  <r>
    <s v="Podi Idli"/>
    <x v="14"/>
    <n v="2.5"/>
    <n v="0"/>
    <n v="0"/>
    <n v="0"/>
    <n v="0.2824858757062147"/>
    <n v="15.601692224912563"/>
    <s v="Live"/>
  </r>
  <r>
    <s v="Tomato Rice"/>
    <x v="6"/>
    <n v="2.5"/>
    <n v="0"/>
    <n v="0"/>
    <n v="0"/>
    <n v="0.6578947368421052"/>
    <n v="17.842073809080354"/>
    <s v="Live"/>
  </r>
  <r>
    <s v="Tomato Rice"/>
    <x v="7"/>
    <n v="2.5"/>
    <n v="0"/>
    <n v="0"/>
    <n v="0"/>
    <n v="0.5"/>
    <n v="17.842073809080354"/>
    <s v="Live"/>
  </r>
  <r>
    <s v="Carrot Rice"/>
    <x v="9"/>
    <n v="3"/>
    <n v="0"/>
    <n v="0"/>
    <n v="0"/>
    <n v="3"/>
    <n v="12.025863840719332"/>
    <s v="Live"/>
  </r>
  <r>
    <s v="Chapathi"/>
    <x v="23"/>
    <n v="3"/>
    <n v="0"/>
    <n v="0"/>
    <n v="0"/>
    <n v="0.15000000000000002"/>
    <n v="9.0399999999999991"/>
    <s v="Live"/>
  </r>
  <r>
    <s v="Coconut Rice"/>
    <x v="6"/>
    <n v="3"/>
    <n v="0"/>
    <n v="0"/>
    <n v="0"/>
    <n v="0.78947368421052633"/>
    <n v="31.810000991178512"/>
    <s v="Live"/>
  </r>
  <r>
    <s v="Curd Rice"/>
    <x v="6"/>
    <n v="3"/>
    <n v="0"/>
    <n v="0"/>
    <n v="0"/>
    <n v="0.78947368421052633"/>
    <n v="14.108182809360329"/>
    <s v="Live"/>
  </r>
  <r>
    <s v="Idli Podimas"/>
    <x v="23"/>
    <n v="3"/>
    <n v="0"/>
    <n v="0"/>
    <n v="0"/>
    <n v="0.15000000000000002"/>
    <n v="27.688230388200473"/>
    <s v="Live"/>
  </r>
  <r>
    <s v="Mini Podi Idli"/>
    <x v="16"/>
    <n v="3"/>
    <n v="0"/>
    <n v="0"/>
    <n v="0"/>
    <n v="0.75"/>
    <n v="12.344285714285714"/>
    <s v="Live"/>
  </r>
  <r>
    <s v="Sambar"/>
    <x v="24"/>
    <n v="3"/>
    <n v="0"/>
    <n v="0"/>
    <n v="0"/>
    <n v="1.7999999999999998"/>
    <n v="62.043846455654872"/>
    <s v="Live"/>
  </r>
  <r>
    <s v="2 Masala Dosa"/>
    <x v="20"/>
    <n v="4"/>
    <n v="0"/>
    <n v="0"/>
    <n v="0"/>
    <n v="0.8"/>
    <n v="63.027049535155214"/>
    <s v="Live"/>
  </r>
  <r>
    <s v="Onion Dosa"/>
    <x v="15"/>
    <n v="4"/>
    <n v="0"/>
    <n v="0"/>
    <n v="0"/>
    <n v="0.6"/>
    <n v="25.098901098901102"/>
    <s v="Live"/>
  </r>
  <r>
    <s v="Onion Egg Dosa"/>
    <x v="25"/>
    <n v="4"/>
    <n v="0"/>
    <n v="0"/>
    <n v="0"/>
    <n v="0"/>
    <n v="30.656043956043952"/>
    <s v="Live"/>
  </r>
  <r>
    <s v="Podi Idli"/>
    <x v="15"/>
    <n v="4"/>
    <n v="0"/>
    <n v="0"/>
    <n v="0"/>
    <n v="0.6"/>
    <n v="15.601692224912563"/>
    <s v="Live"/>
  </r>
  <r>
    <s v="Sambar"/>
    <x v="22"/>
    <n v="4"/>
    <n v="0"/>
    <n v="0"/>
    <n v="0"/>
    <n v="0.46242774566473988"/>
    <n v="62.043846455654872"/>
    <s v="Live"/>
  </r>
  <r>
    <s v="Tomato Chutney"/>
    <x v="22"/>
    <n v="4"/>
    <n v="0"/>
    <n v="0"/>
    <n v="0"/>
    <n v="0.46242774566473988"/>
    <n v="29.438743535138425"/>
    <s v="Live"/>
  </r>
  <r>
    <s v="Tomato Chutney"/>
    <x v="23"/>
    <n v="4"/>
    <n v="0"/>
    <n v="0"/>
    <n v="0"/>
    <n v="0.2"/>
    <n v="29.438743535138425"/>
    <s v="Live"/>
  </r>
  <r>
    <s v="Black Coffee"/>
    <x v="26"/>
    <n v="5"/>
    <n v="0"/>
    <n v="0"/>
    <n v="0"/>
    <n v="2.5"/>
    <n v="2.75"/>
    <s v="Live"/>
  </r>
  <r>
    <s v="Black Coffee"/>
    <x v="27"/>
    <n v="5"/>
    <n v="0"/>
    <n v="0"/>
    <n v="0"/>
    <n v="0.25"/>
    <n v="2.75"/>
    <s v="Live"/>
  </r>
  <r>
    <s v="Carrot Rice"/>
    <x v="7"/>
    <n v="5"/>
    <n v="0"/>
    <n v="0"/>
    <n v="0"/>
    <n v="1"/>
    <n v="12.025863840719332"/>
    <s v="Live"/>
  </r>
  <r>
    <s v="Chappathi and Channa (2 pcs)"/>
    <x v="28"/>
    <n v="5"/>
    <n v="0"/>
    <n v="0"/>
    <n v="0"/>
    <n v="1.6666666666666665"/>
    <n v="29.493560606060605"/>
    <s v="Live"/>
  </r>
  <r>
    <s v="Chappathi and Channa (2 pcs)"/>
    <x v="20"/>
    <n v="5"/>
    <n v="0"/>
    <n v="0"/>
    <n v="0"/>
    <n v="1"/>
    <n v="29.493560606060605"/>
    <s v="Live"/>
  </r>
  <r>
    <s v="chappathi and kurma"/>
    <x v="28"/>
    <n v="5"/>
    <n v="0"/>
    <n v="0"/>
    <n v="0"/>
    <n v="1.6666666666666665"/>
    <n v="31.68356060606061"/>
    <s v="Live"/>
  </r>
  <r>
    <s v="chappathi and kurma"/>
    <x v="20"/>
    <n v="5"/>
    <n v="0"/>
    <n v="0"/>
    <n v="0"/>
    <n v="1"/>
    <n v="31.68356060606061"/>
    <s v="Live"/>
  </r>
  <r>
    <s v="Coconut Chutney"/>
    <x v="15"/>
    <n v="5"/>
    <n v="0"/>
    <n v="0"/>
    <n v="0"/>
    <n v="0.75"/>
    <n v="35.172313118448123"/>
    <s v="Live"/>
  </r>
  <r>
    <s v="Coconut Rice"/>
    <x v="10"/>
    <n v="5"/>
    <n v="0"/>
    <n v="0"/>
    <n v="0"/>
    <n v="1.5555555555555556"/>
    <n v="31.810000991178512"/>
    <s v="Live"/>
  </r>
  <r>
    <s v="Coconut Rice"/>
    <x v="14"/>
    <n v="5"/>
    <n v="0"/>
    <n v="0"/>
    <n v="0"/>
    <n v="0.56497175141242939"/>
    <n v="31.810000991178512"/>
    <s v="Live"/>
  </r>
  <r>
    <s v="Coffee"/>
    <x v="26"/>
    <n v="5"/>
    <n v="0"/>
    <n v="0"/>
    <n v="0"/>
    <n v="2.5"/>
    <n v="16.299999999999997"/>
    <s v="Live"/>
  </r>
  <r>
    <s v="Curd Rice"/>
    <x v="10"/>
    <n v="5"/>
    <n v="0"/>
    <n v="0"/>
    <n v="0"/>
    <n v="1.5555555555555556"/>
    <n v="14.108182809360329"/>
    <s v="Live"/>
  </r>
  <r>
    <s v="Curd Rice"/>
    <x v="15"/>
    <n v="5"/>
    <n v="0"/>
    <n v="0"/>
    <n v="0"/>
    <n v="0.75"/>
    <n v="14.108182809360329"/>
    <s v="Live"/>
  </r>
  <r>
    <s v="Curd Rice"/>
    <x v="29"/>
    <n v="5"/>
    <n v="0"/>
    <n v="0"/>
    <n v="0"/>
    <n v="0.73"/>
    <n v="14.108182809360329"/>
    <s v="Live"/>
  </r>
  <r>
    <s v="Curd Rice"/>
    <x v="21"/>
    <n v="5"/>
    <n v="0"/>
    <n v="0"/>
    <n v="0"/>
    <n v="0.56818181818181812"/>
    <n v="14.108182809360329"/>
    <s v="Live"/>
  </r>
  <r>
    <s v="Curd Rice"/>
    <x v="14"/>
    <n v="5"/>
    <n v="0"/>
    <n v="0"/>
    <n v="0"/>
    <n v="0.56497175141242939"/>
    <n v="14.108182809360329"/>
    <s v="Live"/>
  </r>
  <r>
    <s v="Ginger Tea"/>
    <x v="6"/>
    <n v="5"/>
    <n v="0"/>
    <n v="0"/>
    <n v="0"/>
    <n v="1.3157894736842104"/>
    <n v="10.54078947368421"/>
    <s v="Live"/>
  </r>
  <r>
    <s v="Ginger Tea"/>
    <x v="30"/>
    <n v="5"/>
    <n v="0"/>
    <n v="0"/>
    <n v="0"/>
    <n v="0.75"/>
    <n v="10.54078947368421"/>
    <s v="Live"/>
  </r>
  <r>
    <s v="Idli Podimas"/>
    <x v="10"/>
    <n v="5"/>
    <n v="0"/>
    <n v="0"/>
    <n v="0"/>
    <n v="1.5555555555555556"/>
    <n v="27.688230388200473"/>
    <s v="Live"/>
  </r>
  <r>
    <s v="Idli Podimas"/>
    <x v="15"/>
    <n v="5"/>
    <n v="0"/>
    <n v="0"/>
    <n v="0"/>
    <n v="0.75"/>
    <n v="27.688230388200473"/>
    <s v="Live"/>
  </r>
  <r>
    <s v="Idli Podimas"/>
    <x v="14"/>
    <n v="5"/>
    <n v="0"/>
    <n v="0"/>
    <n v="0"/>
    <n v="0.56497175141242939"/>
    <n v="27.688230388200473"/>
    <s v="Live"/>
  </r>
  <r>
    <s v="Lemon Rice"/>
    <x v="10"/>
    <n v="5"/>
    <n v="0"/>
    <n v="0"/>
    <n v="0"/>
    <n v="1.5555555555555556"/>
    <n v="19.85607256801719"/>
    <s v="Live"/>
  </r>
  <r>
    <s v="Lemon Rice"/>
    <x v="31"/>
    <n v="5"/>
    <n v="0"/>
    <n v="0"/>
    <n v="0"/>
    <n v="0.91836734693877553"/>
    <n v="19.85607256801719"/>
    <s v="Live"/>
  </r>
  <r>
    <s v="Lemon Rice"/>
    <x v="14"/>
    <n v="5"/>
    <n v="0"/>
    <n v="0"/>
    <n v="0"/>
    <n v="0.56497175141242939"/>
    <n v="19.85607256801719"/>
    <s v="Live"/>
  </r>
  <r>
    <s v="Onion Podi Dosa"/>
    <x v="32"/>
    <n v="5"/>
    <n v="0"/>
    <n v="0"/>
    <n v="0"/>
    <n v="0.6"/>
    <n v="25.398901098901099"/>
    <s v="Live"/>
  </r>
  <r>
    <s v="Podi Idli"/>
    <x v="16"/>
    <n v="5"/>
    <n v="0"/>
    <n v="0"/>
    <n v="0"/>
    <n v="1.25"/>
    <n v="15.601692224912563"/>
    <s v="Live"/>
  </r>
  <r>
    <s v="Sambar"/>
    <x v="16"/>
    <n v="5"/>
    <n v="0"/>
    <n v="0"/>
    <n v="0"/>
    <n v="1.25"/>
    <n v="62.043846455654872"/>
    <s v="Live"/>
  </r>
  <r>
    <s v="Sambar"/>
    <x v="33"/>
    <n v="5"/>
    <n v="0"/>
    <n v="0"/>
    <n v="0"/>
    <n v="1"/>
    <n v="62.043846455654872"/>
    <s v="Live"/>
  </r>
  <r>
    <s v="Tea(125ml)"/>
    <x v="30"/>
    <n v="5"/>
    <n v="0"/>
    <n v="0"/>
    <n v="0"/>
    <n v="0.75"/>
    <n v="5.9619999999999997"/>
    <s v="Live"/>
  </r>
  <r>
    <s v="Tea(250 ml)"/>
    <x v="30"/>
    <n v="5"/>
    <n v="0"/>
    <n v="0"/>
    <n v="0"/>
    <n v="0.75"/>
    <n v="10.75"/>
    <s v="Live"/>
  </r>
  <r>
    <s v="Tea(500ml)"/>
    <x v="30"/>
    <n v="5"/>
    <n v="0"/>
    <n v="0"/>
    <n v="0"/>
    <n v="0.75"/>
    <n v="20.25"/>
    <s v="Live"/>
  </r>
  <r>
    <s v="Tea(750ml)"/>
    <x v="30"/>
    <n v="5"/>
    <n v="0"/>
    <n v="0"/>
    <n v="0"/>
    <n v="0.75"/>
    <n v="29.75"/>
    <s v="Live"/>
  </r>
  <r>
    <s v="Tomato Rice"/>
    <x v="15"/>
    <n v="5"/>
    <n v="0"/>
    <n v="0"/>
    <n v="0"/>
    <n v="0.75"/>
    <n v="17.842073809080354"/>
    <s v="Live"/>
  </r>
  <r>
    <s v="Tomato Rice"/>
    <x v="34"/>
    <n v="5"/>
    <n v="0"/>
    <n v="0"/>
    <n v="0"/>
    <n v="0.72072072072072069"/>
    <n v="17.842073809080354"/>
    <s v="Live"/>
  </r>
  <r>
    <s v="Tomato Rice"/>
    <x v="14"/>
    <n v="5"/>
    <n v="0"/>
    <n v="0"/>
    <n v="0"/>
    <n v="0.56497175141242939"/>
    <n v="17.842073809080354"/>
    <s v="Live"/>
  </r>
  <r>
    <s v="Carrot Rice"/>
    <x v="22"/>
    <n v="6"/>
    <n v="0"/>
    <n v="0"/>
    <n v="0"/>
    <n v="0.69364161849710981"/>
    <n v="12.025863840719332"/>
    <s v="Live"/>
  </r>
  <r>
    <s v="Kuli Paniyaram"/>
    <x v="22"/>
    <n v="6"/>
    <n v="0"/>
    <n v="0"/>
    <n v="0"/>
    <n v="0.69364161849710981"/>
    <n v="27.861407186262678"/>
    <s v="Live"/>
  </r>
  <r>
    <s v="Sambar"/>
    <x v="7"/>
    <n v="6"/>
    <n v="0"/>
    <n v="0"/>
    <n v="0"/>
    <n v="1.2000000000000002"/>
    <n v="62.043846455654872"/>
    <s v="Live"/>
  </r>
  <r>
    <s v="Coconut Chutney"/>
    <x v="22"/>
    <n v="8"/>
    <n v="0"/>
    <n v="0"/>
    <n v="0"/>
    <n v="0.92485549132947975"/>
    <n v="35.172313118448123"/>
    <s v="Live"/>
  </r>
  <r>
    <s v=" 2 Paper Roast"/>
    <x v="29"/>
    <n v="9"/>
    <n v="0"/>
    <n v="0"/>
    <n v="0"/>
    <n v="1.3139999999999998"/>
    <n v="27.297516483516485"/>
    <s v="Live"/>
  </r>
  <r>
    <s v="Paper Roast"/>
    <x v="29"/>
    <n v="9"/>
    <n v="0"/>
    <n v="0"/>
    <n v="0"/>
    <n v="1.3139999999999998"/>
    <n v="17.162901098901099"/>
    <s v="Live"/>
  </r>
  <r>
    <s v="2 Ghee Dosa"/>
    <x v="35"/>
    <n v="10"/>
    <n v="0"/>
    <n v="0"/>
    <n v="0"/>
    <n v="7.4"/>
    <n v="35.383516483516487"/>
    <s v="Live"/>
  </r>
  <r>
    <s v="Boost"/>
    <x v="27"/>
    <n v="10"/>
    <n v="0"/>
    <n v="0"/>
    <n v="0"/>
    <n v="0.5"/>
    <n v="16.899999999999999"/>
    <s v="Live"/>
  </r>
  <r>
    <s v="Carrot Rice"/>
    <x v="29"/>
    <n v="10"/>
    <n v="0"/>
    <n v="0"/>
    <n v="0"/>
    <n v="1.46"/>
    <n v="12.025863840719332"/>
    <s v="Live"/>
  </r>
  <r>
    <s v="Chappathi and Channa (2 pcs)"/>
    <x v="36"/>
    <n v="10"/>
    <n v="0"/>
    <n v="0"/>
    <n v="0"/>
    <n v="2.2727272727272725"/>
    <n v="29.493560606060605"/>
    <s v="Live"/>
  </r>
  <r>
    <s v="Chappathi and Channa (2 pcs)"/>
    <x v="37"/>
    <n v="10"/>
    <n v="0"/>
    <n v="0"/>
    <n v="0"/>
    <n v="1.3333333333333333"/>
    <n v="29.493560606060605"/>
    <s v="Live"/>
  </r>
  <r>
    <s v="chappathi and kurma"/>
    <x v="36"/>
    <n v="10"/>
    <n v="0"/>
    <n v="0"/>
    <n v="0"/>
    <n v="2.2727272727272725"/>
    <n v="31.68356060606061"/>
    <s v="Live"/>
  </r>
  <r>
    <s v="chappathi and kurma"/>
    <x v="37"/>
    <n v="10"/>
    <n v="0"/>
    <n v="0"/>
    <n v="0"/>
    <n v="1.3333333333333333"/>
    <n v="31.68356060606061"/>
    <s v="Live"/>
  </r>
  <r>
    <s v="Coconut Rice"/>
    <x v="15"/>
    <n v="10"/>
    <n v="0"/>
    <n v="0"/>
    <n v="0"/>
    <n v="1.5"/>
    <n v="31.810000991178512"/>
    <s v="Live"/>
  </r>
  <r>
    <s v="Coffee"/>
    <x v="27"/>
    <n v="10"/>
    <n v="0"/>
    <n v="0"/>
    <n v="0"/>
    <n v="0.5"/>
    <n v="16.299999999999997"/>
    <s v="Live"/>
  </r>
  <r>
    <s v="Ghee Dosa"/>
    <x v="35"/>
    <n v="10"/>
    <n v="0"/>
    <n v="0"/>
    <n v="0"/>
    <n v="7.4"/>
    <n v="25.248901098901101"/>
    <s v="Live"/>
  </r>
  <r>
    <s v="Ginger Tea"/>
    <x v="27"/>
    <n v="10"/>
    <n v="0"/>
    <n v="0"/>
    <n v="0"/>
    <n v="0.5"/>
    <n v="10.54078947368421"/>
    <s v="Live"/>
  </r>
  <r>
    <s v="Horlicks"/>
    <x v="27"/>
    <n v="10"/>
    <n v="0"/>
    <n v="0"/>
    <n v="0"/>
    <n v="0.5"/>
    <n v="16.899999999999999"/>
    <s v="Live"/>
  </r>
  <r>
    <s v="Milk"/>
    <x v="27"/>
    <n v="10"/>
    <n v="0"/>
    <n v="0"/>
    <n v="0"/>
    <n v="0.5"/>
    <n v="8.1"/>
    <s v="Live"/>
  </r>
  <r>
    <s v="Mini Podi Idli"/>
    <x v="32"/>
    <n v="10"/>
    <n v="0"/>
    <n v="0"/>
    <n v="0"/>
    <n v="1.2"/>
    <n v="12.344285714285714"/>
    <s v="Live"/>
  </r>
  <r>
    <s v="Podi Idli"/>
    <x v="32"/>
    <n v="10"/>
    <n v="0"/>
    <n v="0"/>
    <n v="0"/>
    <n v="1.2"/>
    <n v="15.601692224912563"/>
    <s v="Live"/>
  </r>
  <r>
    <s v="Sambar"/>
    <x v="38"/>
    <n v="10"/>
    <n v="0"/>
    <n v="0"/>
    <n v="0"/>
    <n v="3.75"/>
    <n v="62.043846455654872"/>
    <s v="Live"/>
  </r>
  <r>
    <s v="Sweet Kuli Paniyaram"/>
    <x v="37"/>
    <n v="10"/>
    <n v="0"/>
    <n v="0"/>
    <n v="0"/>
    <n v="1.3333333333333333"/>
    <n v="23.707829670329669"/>
    <s v="Live"/>
  </r>
  <r>
    <s v="Tea(125ml)"/>
    <x v="27"/>
    <n v="10"/>
    <n v="0"/>
    <n v="0"/>
    <n v="0"/>
    <n v="0.5"/>
    <n v="5.9619999999999997"/>
    <s v="Live"/>
  </r>
  <r>
    <s v="Tea(250 ml)"/>
    <x v="27"/>
    <n v="10"/>
    <n v="0"/>
    <n v="0"/>
    <n v="0"/>
    <n v="0.5"/>
    <n v="10.75"/>
    <s v="Live"/>
  </r>
  <r>
    <s v="Tea(500ml)"/>
    <x v="27"/>
    <n v="10"/>
    <n v="0"/>
    <n v="0"/>
    <n v="0"/>
    <n v="0.5"/>
    <n v="20.25"/>
    <s v="Live"/>
  </r>
  <r>
    <s v="Tea(750ml)"/>
    <x v="27"/>
    <n v="10"/>
    <n v="0"/>
    <n v="0"/>
    <n v="0"/>
    <n v="0.5"/>
    <n v="29.75"/>
    <s v="Live"/>
  </r>
  <r>
    <s v="Tomato Chutney"/>
    <x v="39"/>
    <n v="10"/>
    <n v="0"/>
    <n v="0"/>
    <n v="0"/>
    <n v="1.25"/>
    <n v="29.438743535138425"/>
    <s v="Live"/>
  </r>
  <r>
    <s v="ghee idli"/>
    <x v="35"/>
    <n v="12"/>
    <n v="0"/>
    <n v="0"/>
    <n v="0"/>
    <n v="8.879999999999999"/>
    <n v="23.014615384615382"/>
    <s v="Live"/>
  </r>
  <r>
    <s v="Carrot Rice"/>
    <x v="40"/>
    <n v="15"/>
    <n v="0"/>
    <n v="0"/>
    <n v="0"/>
    <n v="2.25"/>
    <n v="12.025863840719332"/>
    <s v="Live"/>
  </r>
  <r>
    <s v="Chappathi and Channa (2 pcs)"/>
    <x v="41"/>
    <n v="15"/>
    <n v="0"/>
    <n v="0"/>
    <n v="0"/>
    <n v="0"/>
    <n v="29.493560606060605"/>
    <s v="Live"/>
  </r>
  <r>
    <s v="chappathi and kurma"/>
    <x v="41"/>
    <n v="15"/>
    <n v="0"/>
    <n v="0"/>
    <n v="0"/>
    <n v="0"/>
    <n v="31.68356060606061"/>
    <s v="Live"/>
  </r>
  <r>
    <s v="Kurma"/>
    <x v="38"/>
    <n v="15"/>
    <n v="0"/>
    <n v="0"/>
    <n v="0"/>
    <n v="5.625"/>
    <n v="17.575657894736842"/>
    <s v="Live"/>
  </r>
  <r>
    <s v="Dosa"/>
    <x v="29"/>
    <n v="20"/>
    <n v="0"/>
    <n v="0"/>
    <n v="0"/>
    <n v="2.92"/>
    <n v="17.34032967032967"/>
    <s v="Live"/>
  </r>
  <r>
    <s v="Ghee Mini Idli with Sambhar (15 pcs)"/>
    <x v="35"/>
    <n v="20"/>
    <n v="0"/>
    <n v="0"/>
    <n v="0"/>
    <n v="14.8"/>
    <n v="18.8"/>
    <s v="Live"/>
  </r>
  <r>
    <s v="Green Tea"/>
    <x v="42"/>
    <n v="20"/>
    <n v="0"/>
    <n v="0"/>
    <n v="0"/>
    <n v="0"/>
    <n v="0"/>
    <s v="Live"/>
  </r>
  <r>
    <s v="Kurma"/>
    <x v="37"/>
    <n v="20"/>
    <n v="0"/>
    <n v="0"/>
    <n v="0"/>
    <n v="2.6666666666666665"/>
    <n v="17.575657894736842"/>
    <s v="Live"/>
  </r>
  <r>
    <s v="Lemon Rice"/>
    <x v="43"/>
    <n v="20"/>
    <n v="0"/>
    <n v="0"/>
    <n v="0"/>
    <n v="4.4171779141104297"/>
    <n v="19.85607256801719"/>
    <s v="Live"/>
  </r>
  <r>
    <s v="Masala Dosa"/>
    <x v="29"/>
    <n v="20"/>
    <n v="0"/>
    <n v="0"/>
    <n v="0"/>
    <n v="2.92"/>
    <n v="32.169656372762056"/>
    <s v="Live"/>
  </r>
  <r>
    <s v="Podi Idli"/>
    <x v="29"/>
    <n v="20"/>
    <n v="0"/>
    <n v="0"/>
    <n v="0"/>
    <n v="2.92"/>
    <n v="15.601692224912563"/>
    <s v="Live"/>
  </r>
  <r>
    <s v="carrot dosa"/>
    <x v="40"/>
    <n v="25"/>
    <n v="0"/>
    <n v="0"/>
    <n v="0"/>
    <n v="3.75"/>
    <n v="11.7"/>
    <s v="Live"/>
  </r>
  <r>
    <s v="carrot dosa"/>
    <x v="29"/>
    <n v="25"/>
    <n v="0"/>
    <n v="0"/>
    <n v="0"/>
    <n v="3.65"/>
    <n v="11.7"/>
    <s v="Live"/>
  </r>
  <r>
    <s v="Chapathi"/>
    <x v="29"/>
    <n v="25"/>
    <n v="0"/>
    <n v="0"/>
    <n v="0"/>
    <n v="3.65"/>
    <n v="9.0399999999999991"/>
    <s v="Live"/>
  </r>
  <r>
    <s v="Chappathi and Channa (2 pcs)"/>
    <x v="40"/>
    <n v="25"/>
    <n v="0"/>
    <n v="0"/>
    <n v="0"/>
    <n v="3.75"/>
    <n v="29.493560606060605"/>
    <s v="Live"/>
  </r>
  <r>
    <s v="Chappathi and Channa (2 pcs)"/>
    <x v="29"/>
    <n v="25"/>
    <n v="0"/>
    <n v="0"/>
    <n v="0"/>
    <n v="3.65"/>
    <n v="29.493560606060605"/>
    <s v="Live"/>
  </r>
  <r>
    <s v="Chappathi and Channa (2 pcs)"/>
    <x v="44"/>
    <n v="25"/>
    <n v="0"/>
    <n v="0"/>
    <n v="0"/>
    <n v="1.5"/>
    <n v="29.493560606060605"/>
    <s v="Live"/>
  </r>
  <r>
    <s v="chappathi and kurma"/>
    <x v="40"/>
    <n v="25"/>
    <n v="0"/>
    <n v="0"/>
    <n v="0"/>
    <n v="3.75"/>
    <n v="31.68356060606061"/>
    <s v="Live"/>
  </r>
  <r>
    <s v="chappathi and kurma"/>
    <x v="44"/>
    <n v="25"/>
    <n v="0"/>
    <n v="0"/>
    <n v="0"/>
    <n v="1.5"/>
    <n v="31.68356060606061"/>
    <s v="Live"/>
  </r>
  <r>
    <s v="Coconut Chutney"/>
    <x v="29"/>
    <n v="25"/>
    <n v="0"/>
    <n v="0"/>
    <n v="0"/>
    <n v="3.65"/>
    <n v="35.172313118448123"/>
    <s v="Live"/>
  </r>
  <r>
    <s v="Curd Rice"/>
    <x v="45"/>
    <n v="25"/>
    <n v="0"/>
    <n v="0"/>
    <n v="0"/>
    <n v="1.8499999999999999"/>
    <n v="14.108182809360329"/>
    <s v="Live"/>
  </r>
  <r>
    <s v="Egg Dosa"/>
    <x v="29"/>
    <n v="25"/>
    <n v="0"/>
    <n v="0"/>
    <n v="0"/>
    <n v="3.65"/>
    <n v="23.739285714285714"/>
    <s v="Live"/>
  </r>
  <r>
    <s v="Idli Upma"/>
    <x v="29"/>
    <n v="25"/>
    <n v="0"/>
    <n v="0"/>
    <n v="0"/>
    <n v="3.65"/>
    <n v="18.378571428571426"/>
    <s v="Live"/>
  </r>
  <r>
    <s v="Masala Dosa"/>
    <x v="46"/>
    <n v="25"/>
    <n v="0"/>
    <n v="0"/>
    <n v="0"/>
    <n v="0.75"/>
    <n v="32.169656372762056"/>
    <s v="Live"/>
  </r>
  <r>
    <s v="Onion Dosa"/>
    <x v="29"/>
    <n v="25"/>
    <n v="0"/>
    <n v="0"/>
    <n v="0"/>
    <n v="3.65"/>
    <n v="25.098901098901102"/>
    <s v="Live"/>
  </r>
  <r>
    <s v="Onion Egg Dosa"/>
    <x v="29"/>
    <n v="25"/>
    <n v="0"/>
    <n v="0"/>
    <n v="0"/>
    <n v="3.65"/>
    <n v="30.656043956043952"/>
    <s v="Live"/>
  </r>
  <r>
    <s v="Onion Podi Dosa"/>
    <x v="29"/>
    <n v="25"/>
    <n v="0"/>
    <n v="0"/>
    <n v="0"/>
    <n v="3.65"/>
    <n v="25.398901098901099"/>
    <s v="Live"/>
  </r>
  <r>
    <s v="Tomato Rice"/>
    <x v="45"/>
    <n v="25"/>
    <n v="0"/>
    <n v="0"/>
    <n v="0"/>
    <n v="1.8499999999999999"/>
    <n v="17.842073809080354"/>
    <s v="Live"/>
  </r>
  <r>
    <s v="Kuli Paniyaram"/>
    <x v="40"/>
    <n v="30"/>
    <n v="0"/>
    <n v="0"/>
    <n v="0"/>
    <n v="4.5"/>
    <n v="27.861407186262678"/>
    <s v="Live"/>
  </r>
  <r>
    <s v="Kuli Paniyaram"/>
    <x v="47"/>
    <n v="30"/>
    <n v="0"/>
    <n v="0"/>
    <n v="0"/>
    <n v="1.5"/>
    <n v="27.861407186262678"/>
    <s v="Live"/>
  </r>
  <r>
    <s v="Mini Podi Idli"/>
    <x v="29"/>
    <n v="30"/>
    <n v="0"/>
    <n v="0"/>
    <n v="0"/>
    <n v="4.38"/>
    <n v="12.344285714285714"/>
    <s v="Live"/>
  </r>
  <r>
    <s v="Idli Podimas"/>
    <x v="46"/>
    <n v="35"/>
    <n v="0"/>
    <n v="0"/>
    <n v="0"/>
    <n v="1.05"/>
    <n v="27.688230388200473"/>
    <s v="Live"/>
  </r>
  <r>
    <s v="2 Masala Dosa"/>
    <x v="29"/>
    <n v="40"/>
    <n v="0"/>
    <n v="0"/>
    <n v="0"/>
    <n v="5.84"/>
    <n v="63.027049535155214"/>
    <s v="Live"/>
  </r>
  <r>
    <s v="chappathi and kurma"/>
    <x v="29"/>
    <n v="40"/>
    <n v="0"/>
    <n v="0"/>
    <n v="0"/>
    <n v="5.84"/>
    <n v="31.68356060606061"/>
    <s v="Live"/>
  </r>
  <r>
    <s v="Sambar"/>
    <x v="31"/>
    <n v="40"/>
    <n v="0"/>
    <n v="0"/>
    <n v="0"/>
    <n v="7.3469387755102042"/>
    <n v="62.043846455654872"/>
    <s v="Live"/>
  </r>
  <r>
    <s v="Tomato Rice"/>
    <x v="29"/>
    <n v="40"/>
    <n v="0"/>
    <n v="0"/>
    <n v="0"/>
    <n v="5.84"/>
    <n v="17.842073809080354"/>
    <s v="Live"/>
  </r>
  <r>
    <s v="Tomato Rice"/>
    <x v="47"/>
    <n v="40"/>
    <n v="0"/>
    <n v="0"/>
    <n v="0"/>
    <n v="2"/>
    <n v="17.842073809080354"/>
    <s v="Live"/>
  </r>
  <r>
    <s v="2 Masala Dosa"/>
    <x v="46"/>
    <n v="50"/>
    <n v="0"/>
    <n v="0"/>
    <n v="0"/>
    <n v="1.5"/>
    <n v="63.027049535155214"/>
    <s v="Live"/>
  </r>
  <r>
    <s v="Carrot Rice"/>
    <x v="47"/>
    <n v="50"/>
    <n v="0"/>
    <n v="0"/>
    <n v="0"/>
    <n v="2.5"/>
    <n v="12.025863840719332"/>
    <s v="Live"/>
  </r>
  <r>
    <s v="Chappathi and Channa (2 pcs)"/>
    <x v="46"/>
    <n v="50"/>
    <n v="0"/>
    <n v="0"/>
    <n v="0"/>
    <n v="1.5"/>
    <n v="29.493560606060605"/>
    <s v="Live"/>
  </r>
  <r>
    <s v="chappathi and kurma"/>
    <x v="46"/>
    <n v="50"/>
    <n v="0"/>
    <n v="0"/>
    <n v="0"/>
    <n v="1.5"/>
    <n v="31.68356060606061"/>
    <s v="Live"/>
  </r>
  <r>
    <s v="Dosa"/>
    <x v="48"/>
    <n v="50"/>
    <n v="0"/>
    <n v="0"/>
    <n v="0"/>
    <n v="2.8846153846153846"/>
    <n v="17.34032967032967"/>
    <s v="Live"/>
  </r>
  <r>
    <s v="Dosa"/>
    <x v="49"/>
    <n v="50"/>
    <n v="0"/>
    <n v="0"/>
    <n v="0"/>
    <n v="2.9166666666666665"/>
    <n v="17.34032967032967"/>
    <s v="Live"/>
  </r>
  <r>
    <s v="Ghee Dosa"/>
    <x v="49"/>
    <n v="50"/>
    <n v="0"/>
    <n v="0"/>
    <n v="0"/>
    <n v="2.9166666666666665"/>
    <n v="25.248901098901101"/>
    <s v="Live"/>
  </r>
  <r>
    <s v="Ghee Dosa"/>
    <x v="48"/>
    <n v="50"/>
    <n v="0"/>
    <n v="0"/>
    <n v="0"/>
    <n v="2.8846153846153846"/>
    <n v="25.248901098901101"/>
    <s v="Live"/>
  </r>
  <r>
    <s v="ghee idli"/>
    <x v="48"/>
    <n v="50"/>
    <n v="0"/>
    <n v="0"/>
    <n v="0"/>
    <n v="2.8846153846153846"/>
    <n v="23.014615384615382"/>
    <s v="Live"/>
  </r>
  <r>
    <s v="ghee idli"/>
    <x v="49"/>
    <n v="50"/>
    <n v="0"/>
    <n v="0"/>
    <n v="0"/>
    <n v="2.9166666666666665"/>
    <n v="23.014615384615382"/>
    <s v="Live"/>
  </r>
  <r>
    <s v="Idli Podimas"/>
    <x v="29"/>
    <n v="50"/>
    <n v="0"/>
    <n v="0"/>
    <n v="0"/>
    <n v="7.3"/>
    <n v="27.688230388200473"/>
    <s v="Live"/>
  </r>
  <r>
    <s v="Idli(2 pcs)"/>
    <x v="48"/>
    <n v="50"/>
    <n v="50"/>
    <n v="1"/>
    <n v="50"/>
    <n v="2.8846153846153846"/>
    <n v="12.991758241758243"/>
    <s v="Live"/>
  </r>
  <r>
    <s v="Idli(2 pcs)"/>
    <x v="49"/>
    <n v="50"/>
    <n v="50"/>
    <n v="1"/>
    <n v="50"/>
    <n v="2.9166666666666665"/>
    <n v="12.991758241758243"/>
    <s v="Live"/>
  </r>
  <r>
    <s v="Kuli Paniyaram"/>
    <x v="29"/>
    <n v="50"/>
    <n v="0"/>
    <n v="0"/>
    <n v="0"/>
    <n v="7.3"/>
    <n v="27.861407186262678"/>
    <s v="Live"/>
  </r>
  <r>
    <s v="Masala Dosa"/>
    <x v="49"/>
    <n v="50"/>
    <n v="0"/>
    <n v="0"/>
    <n v="0"/>
    <n v="2.9166666666666665"/>
    <n v="32.169656372762056"/>
    <s v="Live"/>
  </r>
  <r>
    <s v="Masala Dosa"/>
    <x v="48"/>
    <n v="50"/>
    <n v="0"/>
    <n v="0"/>
    <n v="0"/>
    <n v="2.8846153846153846"/>
    <n v="32.169656372762056"/>
    <s v="Live"/>
  </r>
  <r>
    <s v="Onion Dosa"/>
    <x v="48"/>
    <n v="50"/>
    <n v="0"/>
    <n v="0"/>
    <n v="0"/>
    <n v="2.8846153846153846"/>
    <n v="25.098901098901102"/>
    <s v="Live"/>
  </r>
  <r>
    <s v="Onion Dosa"/>
    <x v="49"/>
    <n v="50"/>
    <n v="0"/>
    <n v="0"/>
    <n v="0"/>
    <n v="2.9166666666666665"/>
    <n v="25.098901098901102"/>
    <s v="Live"/>
  </r>
  <r>
    <s v="Onion Egg Dosa"/>
    <x v="48"/>
    <n v="50"/>
    <n v="0"/>
    <n v="0"/>
    <n v="0"/>
    <n v="2.8846153846153846"/>
    <n v="30.656043956043952"/>
    <s v="Live"/>
  </r>
  <r>
    <s v="Onion Egg Dosa"/>
    <x v="49"/>
    <n v="50"/>
    <n v="0"/>
    <n v="0"/>
    <n v="0"/>
    <n v="2.9166666666666665"/>
    <n v="30.656043956043952"/>
    <s v="Live"/>
  </r>
  <r>
    <s v="Onion Podi Dosa"/>
    <x v="49"/>
    <n v="50"/>
    <n v="0"/>
    <n v="0"/>
    <n v="0"/>
    <n v="2.9166666666666665"/>
    <n v="25.398901098901099"/>
    <s v="Live"/>
  </r>
  <r>
    <s v="Onion Podi Dosa"/>
    <x v="48"/>
    <n v="50"/>
    <n v="0"/>
    <n v="0"/>
    <n v="0"/>
    <n v="2.8846153846153846"/>
    <n v="25.398901098901099"/>
    <s v="Live"/>
  </r>
  <r>
    <s v="Paper Roast"/>
    <x v="48"/>
    <n v="50"/>
    <n v="0"/>
    <n v="0"/>
    <n v="0"/>
    <n v="2.8846153846153846"/>
    <n v="17.162901098901099"/>
    <s v="Live"/>
  </r>
  <r>
    <s v="Paper Roast"/>
    <x v="49"/>
    <n v="50"/>
    <n v="0"/>
    <n v="0"/>
    <n v="0"/>
    <n v="2.9166666666666665"/>
    <n v="17.162901098901099"/>
    <s v="Live"/>
  </r>
  <r>
    <s v="Sambar"/>
    <x v="29"/>
    <n v="50"/>
    <n v="0"/>
    <n v="0"/>
    <n v="0"/>
    <n v="7.3"/>
    <n v="62.043846455654872"/>
    <s v="Live"/>
  </r>
  <r>
    <s v="Sambar"/>
    <x v="34"/>
    <n v="50"/>
    <n v="0"/>
    <n v="0"/>
    <n v="0"/>
    <n v="7.2072072072072073"/>
    <n v="62.043846455654872"/>
    <s v="Live"/>
  </r>
  <r>
    <s v="Sweet Kuli Paniyaram"/>
    <x v="29"/>
    <n v="50"/>
    <n v="0"/>
    <n v="0"/>
    <n v="0"/>
    <n v="7.3"/>
    <n v="23.707829670329669"/>
    <s v="Live"/>
  </r>
  <r>
    <s v="Sweet Kuli Paniyaram"/>
    <x v="48"/>
    <n v="50"/>
    <n v="0"/>
    <n v="0"/>
    <n v="0"/>
    <n v="2.8846153846153846"/>
    <n v="23.707829670329669"/>
    <s v="Live"/>
  </r>
  <r>
    <s v="Sweet Kuli Paniyaram"/>
    <x v="49"/>
    <n v="50"/>
    <n v="0"/>
    <n v="0"/>
    <n v="0"/>
    <n v="2.9166666666666665"/>
    <n v="23.707829670329669"/>
    <s v="Live"/>
  </r>
  <r>
    <s v="Tomato Chutney"/>
    <x v="29"/>
    <n v="50"/>
    <n v="0"/>
    <n v="0"/>
    <n v="0"/>
    <n v="7.3"/>
    <n v="29.438743535138425"/>
    <s v="Live"/>
  </r>
  <r>
    <s v="Tomato Dosa"/>
    <x v="48"/>
    <n v="50"/>
    <n v="0"/>
    <n v="0"/>
    <n v="0"/>
    <n v="2.8846153846153846"/>
    <n v="15.634615384615385"/>
    <s v="Live"/>
  </r>
  <r>
    <s v="Tomato Dosa"/>
    <x v="49"/>
    <n v="50"/>
    <n v="0"/>
    <n v="0"/>
    <n v="0"/>
    <n v="2.9166666666666665"/>
    <n v="15.634615384615385"/>
    <s v="Live"/>
  </r>
  <r>
    <s v="Tomato Dosa"/>
    <x v="46"/>
    <n v="50"/>
    <n v="0"/>
    <n v="0"/>
    <n v="0"/>
    <n v="1.5"/>
    <n v="15.634615384615385"/>
    <s v="Live"/>
  </r>
  <r>
    <s v="Masala Dosa"/>
    <x v="47"/>
    <n v="60"/>
    <n v="0"/>
    <n v="0"/>
    <n v="0"/>
    <n v="3"/>
    <n v="32.169656372762056"/>
    <s v="Live"/>
  </r>
  <r>
    <s v="Mini Idli"/>
    <x v="50"/>
    <n v="60"/>
    <n v="0"/>
    <n v="0"/>
    <n v="0"/>
    <n v="1.7142857142857142"/>
    <n v="17.267857142857142"/>
    <s v="Live"/>
  </r>
  <r>
    <s v="Mini Idli"/>
    <x v="50"/>
    <n v="60"/>
    <n v="0"/>
    <n v="0"/>
    <n v="0"/>
    <n v="1.7142857142857142"/>
    <n v="17.267857142857142"/>
    <s v="Live"/>
  </r>
  <r>
    <s v="Sambar"/>
    <x v="46"/>
    <n v="60"/>
    <n v="0"/>
    <n v="0"/>
    <n v="0"/>
    <n v="1.7999999999999998"/>
    <n v="62.043846455654872"/>
    <s v="Live"/>
  </r>
  <r>
    <s v="Sweet Kuli Paniyaram"/>
    <x v="51"/>
    <n v="60"/>
    <n v="0"/>
    <n v="0"/>
    <n v="0"/>
    <n v="4.8"/>
    <n v="23.707829670329669"/>
    <s v="Live"/>
  </r>
  <r>
    <s v="Tea(125ml)"/>
    <x v="52"/>
    <n v="62"/>
    <n v="0"/>
    <n v="0"/>
    <n v="0"/>
    <n v="4.7119999999999997"/>
    <n v="5.9619999999999997"/>
    <s v="Live"/>
  </r>
  <r>
    <s v="Coconut Chutney"/>
    <x v="53"/>
    <n v="70"/>
    <n v="0"/>
    <n v="0"/>
    <n v="0"/>
    <n v="13.347457627118644"/>
    <n v="35.172313118448123"/>
    <s v="Live"/>
  </r>
  <r>
    <s v="Dosa"/>
    <x v="54"/>
    <n v="80"/>
    <n v="0"/>
    <n v="0"/>
    <n v="0"/>
    <n v="4.3333333333333339"/>
    <n v="17.34032967032967"/>
    <s v="Live"/>
  </r>
  <r>
    <s v="Ghee Dosa"/>
    <x v="54"/>
    <n v="80"/>
    <n v="0"/>
    <n v="0"/>
    <n v="0"/>
    <n v="4.3333333333333339"/>
    <n v="25.248901098901101"/>
    <s v="Live"/>
  </r>
  <r>
    <s v="ghee idli"/>
    <x v="54"/>
    <n v="80"/>
    <n v="0"/>
    <n v="0"/>
    <n v="0"/>
    <n v="4.3333333333333339"/>
    <n v="23.014615384615382"/>
    <s v="Live"/>
  </r>
  <r>
    <s v="Idli(2 pcs)"/>
    <x v="54"/>
    <n v="80"/>
    <n v="80"/>
    <n v="1"/>
    <n v="80"/>
    <n v="4.3333333333333339"/>
    <n v="12.991758241758243"/>
    <s v="Live"/>
  </r>
  <r>
    <s v="Kuli Paniyaram"/>
    <x v="49"/>
    <n v="80"/>
    <n v="0"/>
    <n v="0"/>
    <n v="0"/>
    <n v="4.666666666666667"/>
    <n v="27.861407186262678"/>
    <s v="Live"/>
  </r>
  <r>
    <s v="Kuli Paniyaram"/>
    <x v="48"/>
    <n v="80"/>
    <n v="0"/>
    <n v="0"/>
    <n v="0"/>
    <n v="4.6153846153846159"/>
    <n v="27.861407186262678"/>
    <s v="Live"/>
  </r>
  <r>
    <s v="Kurma"/>
    <x v="46"/>
    <n v="80"/>
    <n v="0"/>
    <n v="0"/>
    <n v="0"/>
    <n v="2.4"/>
    <n v="17.575657894736842"/>
    <s v="Live"/>
  </r>
  <r>
    <s v="Onion Dosa"/>
    <x v="54"/>
    <n v="80"/>
    <n v="0"/>
    <n v="0"/>
    <n v="0"/>
    <n v="4.3333333333333339"/>
    <n v="25.098901098901102"/>
    <s v="Live"/>
  </r>
  <r>
    <s v="Onion Egg Dosa"/>
    <x v="54"/>
    <n v="80"/>
    <n v="0"/>
    <n v="0"/>
    <n v="0"/>
    <n v="4.3333333333333339"/>
    <n v="30.656043956043952"/>
    <s v="Live"/>
  </r>
  <r>
    <s v="Onion Podi Dosa"/>
    <x v="54"/>
    <n v="80"/>
    <n v="0"/>
    <n v="0"/>
    <n v="0"/>
    <n v="4.3333333333333339"/>
    <n v="25.398901098901099"/>
    <s v="Live"/>
  </r>
  <r>
    <s v="Paper Roast"/>
    <x v="54"/>
    <n v="80"/>
    <n v="0"/>
    <n v="0"/>
    <n v="0"/>
    <n v="4.3333333333333339"/>
    <n v="17.162901098901099"/>
    <s v="Live"/>
  </r>
  <r>
    <s v="Plain Kuli Paniyaram"/>
    <x v="49"/>
    <n v="80"/>
    <n v="0"/>
    <n v="0"/>
    <n v="0"/>
    <n v="4.666666666666667"/>
    <n v="32.453479853479855"/>
    <s v="Live"/>
  </r>
  <r>
    <s v="Plain Kuli Paniyaram"/>
    <x v="48"/>
    <n v="80"/>
    <n v="0"/>
    <n v="0"/>
    <n v="0"/>
    <n v="4.6153846153846159"/>
    <n v="32.453479853479855"/>
    <s v="Live"/>
  </r>
  <r>
    <s v="Tomato Dosa"/>
    <x v="54"/>
    <n v="80"/>
    <n v="0"/>
    <n v="0"/>
    <n v="0"/>
    <n v="4.3333333333333339"/>
    <n v="15.634615384615385"/>
    <s v="Live"/>
  </r>
  <r>
    <s v="Masala Dosa"/>
    <x v="54"/>
    <n v="90"/>
    <n v="0"/>
    <n v="0"/>
    <n v="0"/>
    <n v="4.875"/>
    <n v="32.169656372762056"/>
    <s v="Live"/>
  </r>
  <r>
    <s v=" 2 Paper Roast"/>
    <x v="48"/>
    <n v="100"/>
    <n v="0"/>
    <n v="0"/>
    <n v="0"/>
    <n v="5.7692307692307692"/>
    <n v="27.297516483516485"/>
    <s v="Live"/>
  </r>
  <r>
    <s v=" 2 Paper Roast"/>
    <x v="49"/>
    <n v="100"/>
    <n v="0"/>
    <n v="0"/>
    <n v="0"/>
    <n v="5.833333333333333"/>
    <n v="27.297516483516485"/>
    <s v="Live"/>
  </r>
  <r>
    <s v="2 Ghee Dosa"/>
    <x v="49"/>
    <n v="100"/>
    <n v="0"/>
    <n v="0"/>
    <n v="0"/>
    <n v="5.833333333333333"/>
    <n v="35.383516483516487"/>
    <s v="Live"/>
  </r>
  <r>
    <s v="2 Ghee Dosa"/>
    <x v="48"/>
    <n v="100"/>
    <n v="0"/>
    <n v="0"/>
    <n v="0"/>
    <n v="5.7692307692307692"/>
    <n v="35.383516483516487"/>
    <s v="Live"/>
  </r>
  <r>
    <s v="2 Masala Dosa"/>
    <x v="49"/>
    <n v="100"/>
    <n v="0"/>
    <n v="0"/>
    <n v="0"/>
    <n v="5.833333333333333"/>
    <n v="63.027049535155214"/>
    <s v="Live"/>
  </r>
  <r>
    <s v="2 Masala Dosa"/>
    <x v="48"/>
    <n v="100"/>
    <n v="0"/>
    <n v="0"/>
    <n v="0"/>
    <n v="5.7692307692307692"/>
    <n v="63.027049535155214"/>
    <s v="Live"/>
  </r>
  <r>
    <s v="Chapathi"/>
    <x v="55"/>
    <n v="100"/>
    <n v="0"/>
    <n v="0"/>
    <n v="0"/>
    <n v="5.24"/>
    <n v="9.0399999999999991"/>
    <s v="Live"/>
  </r>
  <r>
    <s v="Chappathi and Channa (2 pcs)"/>
    <x v="55"/>
    <n v="100"/>
    <n v="0"/>
    <n v="0"/>
    <n v="0"/>
    <n v="5.24"/>
    <n v="29.493560606060605"/>
    <s v="Live"/>
  </r>
  <r>
    <s v="Chappathi and Channa (2 pcs)"/>
    <x v="47"/>
    <n v="100"/>
    <n v="0"/>
    <n v="0"/>
    <n v="0"/>
    <n v="5"/>
    <n v="29.493560606060605"/>
    <s v="Live"/>
  </r>
  <r>
    <s v="Chappathi and Channa (2 pcs)"/>
    <x v="56"/>
    <n v="100"/>
    <n v="0"/>
    <n v="0"/>
    <n v="0"/>
    <n v="0"/>
    <n v="29.493560606060605"/>
    <s v="Live"/>
  </r>
  <r>
    <s v="chappathi and kurma"/>
    <x v="55"/>
    <n v="100"/>
    <n v="0"/>
    <n v="0"/>
    <n v="0"/>
    <n v="5.24"/>
    <n v="31.68356060606061"/>
    <s v="Live"/>
  </r>
  <r>
    <s v="chappathi and kurma"/>
    <x v="47"/>
    <n v="100"/>
    <n v="0"/>
    <n v="0"/>
    <n v="0"/>
    <n v="5"/>
    <n v="31.68356060606061"/>
    <s v="Live"/>
  </r>
  <r>
    <s v="Coconut Rice"/>
    <x v="45"/>
    <n v="100"/>
    <n v="0"/>
    <n v="0"/>
    <n v="0"/>
    <n v="7.3999999999999995"/>
    <n v="31.810000991178512"/>
    <s v="Live"/>
  </r>
  <r>
    <s v="Curd Rice"/>
    <x v="57"/>
    <n v="100"/>
    <n v="0"/>
    <n v="0"/>
    <n v="0"/>
    <n v="6.8000000000000007"/>
    <n v="14.108182809360329"/>
    <s v="Live"/>
  </r>
  <r>
    <s v="Ginger Tea"/>
    <x v="52"/>
    <n v="100"/>
    <n v="0"/>
    <n v="0"/>
    <n v="0"/>
    <n v="7.6"/>
    <n v="10.54078947368421"/>
    <s v="Live"/>
  </r>
  <r>
    <s v="Idli Podimas"/>
    <x v="47"/>
    <n v="100"/>
    <n v="0"/>
    <n v="0"/>
    <n v="0"/>
    <n v="5"/>
    <n v="27.688230388200473"/>
    <s v="Live"/>
  </r>
  <r>
    <s v="Idli(2 pcs)"/>
    <x v="50"/>
    <n v="100"/>
    <n v="100"/>
    <n v="1"/>
    <n v="100"/>
    <n v="2.8571428571428572"/>
    <n v="12.991758241758243"/>
    <s v="Live"/>
  </r>
  <r>
    <s v="Kurma"/>
    <x v="47"/>
    <n v="100"/>
    <n v="0"/>
    <n v="0"/>
    <n v="0"/>
    <n v="5"/>
    <n v="17.575657894736842"/>
    <s v="Live"/>
  </r>
  <r>
    <s v="Lemon Rice"/>
    <x v="45"/>
    <n v="100"/>
    <n v="0"/>
    <n v="0"/>
    <n v="0"/>
    <n v="7.3999999999999995"/>
    <n v="19.85607256801719"/>
    <s v="Live"/>
  </r>
  <r>
    <s v="Milk"/>
    <x v="52"/>
    <n v="100"/>
    <n v="0"/>
    <n v="0"/>
    <n v="0"/>
    <n v="7.6"/>
    <n v="8.1"/>
    <s v="Live"/>
  </r>
  <r>
    <s v="Onion Dosa"/>
    <x v="47"/>
    <n v="100"/>
    <n v="0"/>
    <n v="0"/>
    <n v="0"/>
    <n v="5"/>
    <n v="25.098901098901102"/>
    <s v="Live"/>
  </r>
  <r>
    <s v="Onion Egg Dosa"/>
    <x v="47"/>
    <n v="100"/>
    <n v="0"/>
    <n v="0"/>
    <n v="0"/>
    <n v="5"/>
    <n v="30.656043956043952"/>
    <s v="Live"/>
  </r>
  <r>
    <s v="Onion Podi Dosa"/>
    <x v="47"/>
    <n v="100"/>
    <n v="0"/>
    <n v="0"/>
    <n v="0"/>
    <n v="5"/>
    <n v="25.398901098901099"/>
    <s v="Live"/>
  </r>
  <r>
    <s v="Plain Kuli Paniyaram"/>
    <x v="29"/>
    <n v="100"/>
    <n v="0"/>
    <n v="0"/>
    <n v="0"/>
    <n v="14.6"/>
    <n v="32.453479853479855"/>
    <s v="Live"/>
  </r>
  <r>
    <s v="2 Masala Dosa"/>
    <x v="47"/>
    <n v="120"/>
    <n v="0"/>
    <n v="0"/>
    <n v="0"/>
    <n v="6"/>
    <n v="63.027049535155214"/>
    <s v="Live"/>
  </r>
  <r>
    <s v="Coconut Chutney"/>
    <x v="37"/>
    <n v="120"/>
    <n v="0"/>
    <n v="0"/>
    <n v="0"/>
    <n v="16"/>
    <n v="35.172313118448123"/>
    <s v="Live"/>
  </r>
  <r>
    <s v="Tomato Rice"/>
    <x v="46"/>
    <n v="120"/>
    <n v="0"/>
    <n v="0"/>
    <n v="0"/>
    <n v="3.5999999999999996"/>
    <n v="17.842073809080354"/>
    <s v="Live"/>
  </r>
  <r>
    <s v="Masala Dosa"/>
    <x v="44"/>
    <n v="125"/>
    <n v="0"/>
    <n v="0"/>
    <n v="0"/>
    <n v="7.5"/>
    <n v="32.169656372762056"/>
    <s v="Live"/>
  </r>
  <r>
    <s v="Tea(250 ml)"/>
    <x v="52"/>
    <n v="125"/>
    <n v="0"/>
    <n v="0"/>
    <n v="0"/>
    <n v="9.5"/>
    <n v="10.75"/>
    <s v="Live"/>
  </r>
  <r>
    <s v="carrot dosa"/>
    <x v="50"/>
    <n v="140"/>
    <n v="0"/>
    <n v="0"/>
    <n v="0"/>
    <n v="4"/>
    <n v="11.7"/>
    <s v="Live"/>
  </r>
  <r>
    <s v="ghee idli"/>
    <x v="50"/>
    <n v="140"/>
    <n v="0"/>
    <n v="0"/>
    <n v="0"/>
    <n v="4"/>
    <n v="23.014615384615382"/>
    <s v="Live"/>
  </r>
  <r>
    <s v="Ghee Mini Idli with Sambhar (15 pcs)"/>
    <x v="50"/>
    <n v="140"/>
    <n v="0"/>
    <n v="0"/>
    <n v="0"/>
    <n v="4"/>
    <n v="18.8"/>
    <s v="Live"/>
  </r>
  <r>
    <s v="Masala Dosa"/>
    <x v="50"/>
    <n v="140"/>
    <n v="0"/>
    <n v="0"/>
    <n v="0"/>
    <n v="4"/>
    <n v="32.169656372762056"/>
    <s v="Live"/>
  </r>
  <r>
    <s v="Tomato Dosa"/>
    <x v="50"/>
    <n v="140"/>
    <n v="0"/>
    <n v="0"/>
    <n v="0"/>
    <n v="4"/>
    <n v="15.634615384615385"/>
    <s v="Live"/>
  </r>
  <r>
    <s v="Boost"/>
    <x v="52"/>
    <n v="150"/>
    <n v="0"/>
    <n v="0"/>
    <n v="0"/>
    <n v="11.4"/>
    <n v="16.899999999999999"/>
    <s v="Live"/>
  </r>
  <r>
    <s v="Coconut Rice"/>
    <x v="37"/>
    <n v="150"/>
    <n v="0"/>
    <n v="0"/>
    <n v="0"/>
    <n v="20"/>
    <n v="31.810000991178512"/>
    <s v="Live"/>
  </r>
  <r>
    <s v="Dosa"/>
    <x v="50"/>
    <n v="150"/>
    <n v="0"/>
    <n v="0"/>
    <n v="0"/>
    <n v="4.2857142857142856"/>
    <n v="17.34032967032967"/>
    <s v="Live"/>
  </r>
  <r>
    <s v="Horlicks"/>
    <x v="52"/>
    <n v="150"/>
    <n v="0"/>
    <n v="0"/>
    <n v="0"/>
    <n v="11.4"/>
    <n v="16.899999999999999"/>
    <s v="Live"/>
  </r>
  <r>
    <s v="Kuli Paniyaram"/>
    <x v="50"/>
    <n v="150"/>
    <n v="0"/>
    <n v="0"/>
    <n v="0"/>
    <n v="4.2857142857142856"/>
    <n v="27.861407186262678"/>
    <s v="Live"/>
  </r>
  <r>
    <s v="Mini Idli"/>
    <x v="54"/>
    <n v="150"/>
    <n v="0"/>
    <n v="0"/>
    <n v="0"/>
    <n v="8.125"/>
    <n v="17.267857142857142"/>
    <s v="Live"/>
  </r>
  <r>
    <s v="Sweet Kuli Paniyaram"/>
    <x v="50"/>
    <n v="150"/>
    <n v="0"/>
    <n v="0"/>
    <n v="0"/>
    <n v="4.2857142857142856"/>
    <n v="23.707829670329669"/>
    <s v="Live"/>
  </r>
  <r>
    <s v=" 2 Paper Roast"/>
    <x v="54"/>
    <n v="160"/>
    <n v="0"/>
    <n v="0"/>
    <n v="0"/>
    <n v="8.6666666666666679"/>
    <n v="27.297516483516485"/>
    <s v="Live"/>
  </r>
  <r>
    <s v="2 Ghee Dosa"/>
    <x v="54"/>
    <n v="160"/>
    <n v="0"/>
    <n v="0"/>
    <n v="0"/>
    <n v="8.6666666666666679"/>
    <n v="35.383516483516487"/>
    <s v="Live"/>
  </r>
  <r>
    <s v="Onion Egg Dosa"/>
    <x v="50"/>
    <n v="160"/>
    <n v="0"/>
    <n v="0"/>
    <n v="0"/>
    <n v="4.5714285714285712"/>
    <n v="30.656043956043952"/>
    <s v="Live"/>
  </r>
  <r>
    <s v="Sambar"/>
    <x v="47"/>
    <n v="160"/>
    <n v="0"/>
    <n v="0"/>
    <n v="0"/>
    <n v="8"/>
    <n v="62.043846455654872"/>
    <s v="Live"/>
  </r>
  <r>
    <s v="Coffee"/>
    <x v="52"/>
    <n v="175"/>
    <n v="0"/>
    <n v="0"/>
    <n v="0"/>
    <n v="13.299999999999999"/>
    <n v="16.299999999999997"/>
    <s v="Live"/>
  </r>
  <r>
    <s v="2 Masala Dosa"/>
    <x v="54"/>
    <n v="180"/>
    <n v="0"/>
    <n v="0"/>
    <n v="0"/>
    <n v="9.75"/>
    <n v="63.027049535155214"/>
    <s v="Live"/>
  </r>
  <r>
    <s v=" 2 Paper Roast"/>
    <x v="50"/>
    <n v="200"/>
    <n v="0"/>
    <n v="0"/>
    <n v="0"/>
    <n v="5.7142857142857144"/>
    <n v="27.297516483516485"/>
    <s v="Live"/>
  </r>
  <r>
    <s v="Egg Dosa"/>
    <x v="50"/>
    <n v="200"/>
    <n v="0"/>
    <n v="0"/>
    <n v="0"/>
    <n v="5.7142857142857144"/>
    <n v="23.739285714285714"/>
    <s v="Live"/>
  </r>
  <r>
    <s v="Mini Idli"/>
    <x v="50"/>
    <n v="200"/>
    <n v="0"/>
    <n v="0"/>
    <n v="0"/>
    <n v="5.7142857142857144"/>
    <n v="17.267857142857142"/>
    <s v="Live"/>
  </r>
  <r>
    <s v="Mini Podi Idli"/>
    <x v="50"/>
    <n v="200"/>
    <n v="0"/>
    <n v="0"/>
    <n v="0"/>
    <n v="5.7142857142857144"/>
    <n v="12.344285714285714"/>
    <s v="Live"/>
  </r>
  <r>
    <s v="Onion Dosa"/>
    <x v="50"/>
    <n v="200"/>
    <n v="0"/>
    <n v="0"/>
    <n v="0"/>
    <n v="5.7142857142857144"/>
    <n v="25.098901098901102"/>
    <s v="Live"/>
  </r>
  <r>
    <s v="Onion Podi Dosa"/>
    <x v="50"/>
    <n v="200"/>
    <n v="0"/>
    <n v="0"/>
    <n v="0"/>
    <n v="5.7142857142857144"/>
    <n v="25.398901098901099"/>
    <s v="Live"/>
  </r>
  <r>
    <s v="Paper Roast"/>
    <x v="50"/>
    <n v="200"/>
    <n v="0"/>
    <n v="0"/>
    <n v="0"/>
    <n v="5.7142857142857144"/>
    <n v="17.162901098901099"/>
    <s v="Live"/>
  </r>
  <r>
    <s v="Tomato Chutney"/>
    <x v="46"/>
    <n v="200"/>
    <n v="0"/>
    <n v="0"/>
    <n v="0"/>
    <n v="6"/>
    <n v="29.438743535138425"/>
    <s v="Live"/>
  </r>
  <r>
    <s v="2 Masala Dosa"/>
    <x v="44"/>
    <n v="250"/>
    <n v="0"/>
    <n v="0"/>
    <n v="0"/>
    <n v="15"/>
    <n v="63.027049535155214"/>
    <s v="Live"/>
  </r>
  <r>
    <s v="Plain Rice"/>
    <x v="58"/>
    <n v="250"/>
    <n v="0"/>
    <n v="0"/>
    <n v="0"/>
    <n v="5.55"/>
    <n v="5.55"/>
    <s v="Live"/>
  </r>
  <r>
    <s v="Sambar"/>
    <x v="59"/>
    <n v="250"/>
    <n v="0"/>
    <n v="0"/>
    <n v="0"/>
    <n v="20"/>
    <n v="62.043846455654872"/>
    <s v="Live"/>
  </r>
  <r>
    <s v="Tea(500ml)"/>
    <x v="52"/>
    <n v="250"/>
    <n v="0"/>
    <n v="0"/>
    <n v="0"/>
    <n v="19"/>
    <n v="20.25"/>
    <s v="Live"/>
  </r>
  <r>
    <s v="Tomato Chutney"/>
    <x v="47"/>
    <n v="250"/>
    <n v="0"/>
    <n v="0"/>
    <n v="0"/>
    <n v="12.5"/>
    <n v="29.438743535138425"/>
    <s v="Live"/>
  </r>
  <r>
    <s v="2 Ghee Dosa"/>
    <x v="50"/>
    <n v="270"/>
    <n v="0"/>
    <n v="0"/>
    <n v="0"/>
    <n v="7.7142857142857144"/>
    <n v="35.383516483516487"/>
    <s v="Live"/>
  </r>
  <r>
    <s v="Ghee Dosa"/>
    <x v="50"/>
    <n v="270"/>
    <n v="0"/>
    <n v="0"/>
    <n v="0"/>
    <n v="7.7142857142857144"/>
    <n v="25.248901098901101"/>
    <s v="Live"/>
  </r>
  <r>
    <s v="2 Masala Dosa"/>
    <x v="50"/>
    <n v="280"/>
    <n v="0"/>
    <n v="0"/>
    <n v="0"/>
    <n v="8"/>
    <n v="63.027049535155214"/>
    <s v="Live"/>
  </r>
  <r>
    <s v="cooked rice(InventorySide)"/>
    <x v="45"/>
    <n v="300"/>
    <n v="0"/>
    <n v="0"/>
    <n v="0"/>
    <n v="22.2"/>
    <n v="22.2"/>
    <s v="Live"/>
  </r>
  <r>
    <s v="Idli Podimas"/>
    <x v="50"/>
    <n v="300"/>
    <n v="0"/>
    <n v="0"/>
    <n v="0"/>
    <n v="8.5714285714285712"/>
    <n v="27.688230388200473"/>
    <s v="Live"/>
  </r>
  <r>
    <s v="Plain Kuli Paniyaram"/>
    <x v="50"/>
    <n v="300"/>
    <n v="0"/>
    <n v="0"/>
    <n v="0"/>
    <n v="8.5714285714285712"/>
    <n v="32.453479853479855"/>
    <s v="Live"/>
  </r>
  <r>
    <s v="Podi Idli"/>
    <x v="50"/>
    <n v="300"/>
    <n v="0"/>
    <n v="0"/>
    <n v="0"/>
    <n v="8.5714285714285712"/>
    <n v="15.601692224912563"/>
    <s v="Live"/>
  </r>
  <r>
    <s v="Tea(750ml)"/>
    <x v="52"/>
    <n v="375"/>
    <n v="0"/>
    <n v="0"/>
    <n v="0"/>
    <n v="28.5"/>
    <n v="29.75"/>
    <s v="Live"/>
  </r>
  <r>
    <s v="Idli Upma"/>
    <x v="50"/>
    <n v="400"/>
    <n v="0"/>
    <n v="0"/>
    <n v="0"/>
    <n v="11.428571428571429"/>
    <n v="18.378571428571426"/>
    <s v="Live"/>
  </r>
  <r>
    <s v="Idly 5 pcs"/>
    <x v="50"/>
    <n v="500"/>
    <n v="0"/>
    <n v="0"/>
    <n v="0"/>
    <n v="14.285714285714285"/>
    <n v="14.285714285714285"/>
    <s v="Live"/>
  </r>
  <r>
    <s v="Carrot and Coriander Uthapam"/>
    <x v="40"/>
    <m/>
    <n v="0"/>
    <n v="0"/>
    <n v="0"/>
    <n v="0"/>
    <n v="0"/>
    <s v="Live"/>
  </r>
  <r>
    <s v="Carrot and Coriander Uthapam"/>
    <x v="21"/>
    <m/>
    <n v="0"/>
    <n v="0"/>
    <n v="0"/>
    <n v="0"/>
    <n v="0"/>
    <s v="Live"/>
  </r>
  <r>
    <s v="Carrot and Coriander Uthapam"/>
    <x v="50"/>
    <m/>
    <n v="0"/>
    <n v="0"/>
    <n v="0"/>
    <n v="0"/>
    <n v="0"/>
    <s v="Live"/>
  </r>
  <r>
    <s v="Chicken 65"/>
    <x v="60"/>
    <m/>
    <n v="0"/>
    <n v="0"/>
    <n v="0"/>
    <n v="0"/>
    <n v="0"/>
    <s v="Live"/>
  </r>
  <r>
    <s v="Chicken 65"/>
    <x v="61"/>
    <m/>
    <n v="0"/>
    <n v="0"/>
    <n v="0"/>
    <n v="0"/>
    <n v="0"/>
    <s v="Live"/>
  </r>
  <r>
    <s v="Chicken 65"/>
    <x v="62"/>
    <m/>
    <n v="0"/>
    <n v="0"/>
    <n v="0"/>
    <n v="0"/>
    <n v="0"/>
    <s v="Live"/>
  </r>
  <r>
    <s v="Chicken 65"/>
    <x v="62"/>
    <m/>
    <n v="0"/>
    <n v="0"/>
    <n v="0"/>
    <n v="0"/>
    <n v="0"/>
    <s v="Live"/>
  </r>
  <r>
    <s v="Chicken 65"/>
    <x v="62"/>
    <m/>
    <n v="0"/>
    <n v="0"/>
    <n v="0"/>
    <n v="0"/>
    <n v="0"/>
    <s v="Live"/>
  </r>
  <r>
    <s v="Chicken 65"/>
    <x v="62"/>
    <m/>
    <n v="0"/>
    <n v="0"/>
    <n v="0"/>
    <n v="0"/>
    <n v="0"/>
    <s v="Live"/>
  </r>
  <r>
    <s v="Chicken 65"/>
    <x v="29"/>
    <m/>
    <n v="0"/>
    <n v="0"/>
    <n v="0"/>
    <n v="0"/>
    <n v="0"/>
    <s v="Live"/>
  </r>
  <r>
    <s v="Chicken 65 (Boneless)"/>
    <x v="62"/>
    <m/>
    <n v="0"/>
    <n v="0"/>
    <n v="0"/>
    <n v="0"/>
    <n v="0"/>
    <s v="Live"/>
  </r>
  <r>
    <s v="Chicken 65 (Boneless)"/>
    <x v="62"/>
    <m/>
    <n v="0"/>
    <n v="0"/>
    <n v="0"/>
    <n v="0"/>
    <n v="0"/>
    <s v="Live"/>
  </r>
  <r>
    <s v="Chicken 65 (Boneless)"/>
    <x v="62"/>
    <m/>
    <n v="0"/>
    <n v="0"/>
    <n v="0"/>
    <n v="0"/>
    <n v="0"/>
    <s v="Live"/>
  </r>
  <r>
    <s v="Chicken 65 (Boneless)"/>
    <x v="62"/>
    <m/>
    <n v="0"/>
    <n v="0"/>
    <n v="0"/>
    <n v="0"/>
    <n v="0"/>
    <s v="Live"/>
  </r>
  <r>
    <s v="Chicken 65 (Boneless)"/>
    <x v="60"/>
    <m/>
    <n v="0"/>
    <n v="0"/>
    <n v="0"/>
    <n v="0"/>
    <n v="0"/>
    <s v="Live"/>
  </r>
  <r>
    <s v="Chicken 65 (Boneless)"/>
    <x v="61"/>
    <m/>
    <n v="0"/>
    <n v="0"/>
    <n v="0"/>
    <n v="0"/>
    <n v="0"/>
    <s v="Live"/>
  </r>
  <r>
    <s v="Double Omelette"/>
    <x v="0"/>
    <m/>
    <n v="0"/>
    <n v="0"/>
    <n v="0"/>
    <n v="0"/>
    <n v="0"/>
    <s v="Live"/>
  </r>
  <r>
    <s v="Double Omelette"/>
    <x v="61"/>
    <m/>
    <n v="0"/>
    <n v="0"/>
    <n v="0"/>
    <n v="0"/>
    <n v="0"/>
    <s v="Live"/>
  </r>
  <r>
    <s v="Egg Bhurji"/>
    <x v="0"/>
    <m/>
    <n v="0"/>
    <n v="0"/>
    <n v="0"/>
    <n v="0"/>
    <n v="0"/>
    <s v="Live"/>
  </r>
  <r>
    <s v="Egg Bhurji"/>
    <x v="47"/>
    <m/>
    <n v="0"/>
    <n v="0"/>
    <n v="0"/>
    <n v="0"/>
    <n v="0"/>
    <s v="Live"/>
  </r>
  <r>
    <s v="Egg Bhurji"/>
    <x v="61"/>
    <m/>
    <n v="0"/>
    <n v="0"/>
    <n v="0"/>
    <n v="0"/>
    <n v="0"/>
    <s v="Live"/>
  </r>
  <r>
    <s v="Egg Curry"/>
    <x v="0"/>
    <m/>
    <n v="0"/>
    <n v="0"/>
    <n v="0"/>
    <n v="0"/>
    <n v="0"/>
    <s v="Live"/>
  </r>
  <r>
    <s v="Egg Curry"/>
    <x v="63"/>
    <m/>
    <n v="0"/>
    <n v="0"/>
    <n v="0"/>
    <n v="0"/>
    <n v="0"/>
    <s v="Live"/>
  </r>
  <r>
    <s v="Egg Curry"/>
    <x v="61"/>
    <m/>
    <n v="0"/>
    <n v="0"/>
    <n v="0"/>
    <n v="0"/>
    <n v="0"/>
    <s v="Live"/>
  </r>
  <r>
    <s v="Egg Fry"/>
    <x v="0"/>
    <m/>
    <n v="0"/>
    <n v="0"/>
    <n v="0"/>
    <n v="0"/>
    <n v="0"/>
    <s v="Live"/>
  </r>
  <r>
    <s v="Egg Fry"/>
    <x v="29"/>
    <m/>
    <n v="0"/>
    <n v="0"/>
    <n v="0"/>
    <n v="0"/>
    <n v="0"/>
    <s v="Live"/>
  </r>
  <r>
    <s v="Egg Fry"/>
    <x v="61"/>
    <m/>
    <n v="0"/>
    <n v="0"/>
    <n v="0"/>
    <n v="0"/>
    <n v="0"/>
    <s v="Live"/>
  </r>
  <r>
    <s v="Egg Half Boiled 2 pcs"/>
    <x v="0"/>
    <m/>
    <n v="0"/>
    <n v="0"/>
    <n v="0"/>
    <n v="0"/>
    <n v="0"/>
    <s v="Live"/>
  </r>
  <r>
    <s v="Egg Half Boiled 2 pcs"/>
    <x v="64"/>
    <m/>
    <n v="0"/>
    <n v="0"/>
    <n v="0"/>
    <n v="0"/>
    <n v="0"/>
    <s v="Live"/>
  </r>
  <r>
    <s v="Egg Masala"/>
    <x v="0"/>
    <m/>
    <n v="0"/>
    <n v="0"/>
    <n v="0"/>
    <n v="0"/>
    <n v="0"/>
    <s v="Live"/>
  </r>
  <r>
    <s v="Egg Masala"/>
    <x v="61"/>
    <m/>
    <n v="0"/>
    <n v="0"/>
    <n v="0"/>
    <n v="0"/>
    <n v="0"/>
    <s v="Live"/>
  </r>
  <r>
    <s v="Egg Omelette 2 pcs"/>
    <x v="0"/>
    <m/>
    <n v="0"/>
    <n v="0"/>
    <n v="0"/>
    <n v="0"/>
    <n v="0"/>
    <s v="Live"/>
  </r>
  <r>
    <s v="Egg Omelette 2 pcs"/>
    <x v="47"/>
    <m/>
    <n v="0"/>
    <n v="0"/>
    <n v="0"/>
    <n v="0"/>
    <n v="0"/>
    <s v="Live"/>
  </r>
  <r>
    <s v="Egg Omelette 2 pcs"/>
    <x v="61"/>
    <m/>
    <n v="0"/>
    <n v="0"/>
    <n v="0"/>
    <n v="0"/>
    <n v="0"/>
    <s v="Live"/>
  </r>
  <r>
    <s v="Egg Roast"/>
    <x v="0"/>
    <m/>
    <n v="0"/>
    <n v="0"/>
    <n v="0"/>
    <n v="0"/>
    <n v="0"/>
    <s v="Live"/>
  </r>
  <r>
    <s v="Egg Roast"/>
    <x v="61"/>
    <m/>
    <n v="0"/>
    <n v="0"/>
    <n v="0"/>
    <n v="0"/>
    <n v="0"/>
    <s v="Live"/>
  </r>
  <r>
    <s v="Garlic Egg Dry"/>
    <x v="0"/>
    <m/>
    <n v="0"/>
    <n v="0"/>
    <n v="0"/>
    <n v="0"/>
    <n v="0"/>
    <s v="Live"/>
  </r>
  <r>
    <s v="Garlic Egg Dry"/>
    <x v="7"/>
    <m/>
    <n v="0"/>
    <n v="0"/>
    <n v="0"/>
    <n v="0"/>
    <n v="0"/>
    <s v="Live"/>
  </r>
  <r>
    <s v="Garlic Egg Dry"/>
    <x v="61"/>
    <m/>
    <n v="0"/>
    <n v="0"/>
    <n v="0"/>
    <n v="0"/>
    <n v="0"/>
    <s v="Live"/>
  </r>
  <r>
    <s v="Garlic Egg Gravy"/>
    <x v="0"/>
    <m/>
    <n v="0"/>
    <n v="0"/>
    <n v="0"/>
    <n v="0"/>
    <n v="0"/>
    <s v="Live"/>
  </r>
  <r>
    <s v="Garlic Egg Gravy"/>
    <x v="7"/>
    <m/>
    <n v="0"/>
    <n v="0"/>
    <n v="0"/>
    <n v="0"/>
    <n v="0"/>
    <s v="Live"/>
  </r>
  <r>
    <s v="Garlic Egg Gravy"/>
    <x v="63"/>
    <m/>
    <n v="0"/>
    <n v="0"/>
    <n v="0"/>
    <n v="0"/>
    <n v="0"/>
    <s v="Live"/>
  </r>
  <r>
    <s v="Onion Tomato Dosa"/>
    <x v="50"/>
    <m/>
    <n v="0"/>
    <n v="0"/>
    <n v="0"/>
    <n v="0"/>
    <n v="0"/>
    <s v="Live"/>
  </r>
  <r>
    <s v="Onion Tomato Dosa"/>
    <x v="47"/>
    <m/>
    <n v="0"/>
    <n v="0"/>
    <n v="0"/>
    <n v="0"/>
    <n v="0"/>
    <s v="Live"/>
  </r>
  <r>
    <s v="Onion Tomato Dosa"/>
    <x v="61"/>
    <m/>
    <n v="0"/>
    <n v="0"/>
    <n v="0"/>
    <n v="0"/>
    <n v="0"/>
    <s v="Live"/>
  </r>
  <r>
    <s v="Onion Tomato Dosa"/>
    <x v="46"/>
    <m/>
    <n v="0"/>
    <n v="0"/>
    <n v="0"/>
    <n v="0"/>
    <n v="0"/>
    <s v="Live"/>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3"/>
    <x v="0"/>
    <n v="0"/>
    <n v="0"/>
    <n v="0"/>
    <d v="2024-12-16T00:00:00"/>
    <x v="0"/>
    <x v="0"/>
    <s v="Short Life Span"/>
  </r>
  <r>
    <n v="7"/>
    <x v="1"/>
    <n v="250"/>
    <n v="0"/>
    <n v="250"/>
    <d v="2024-12-16T00:00:00"/>
    <x v="0"/>
    <x v="0"/>
    <s v="Short Life Span"/>
  </r>
  <r>
    <n v="10"/>
    <x v="2"/>
    <n v="200"/>
    <n v="0"/>
    <n v="200"/>
    <d v="2024-12-16T00:00:00"/>
    <x v="0"/>
    <x v="0"/>
    <s v="Short Life Span"/>
  </r>
  <r>
    <n v="11"/>
    <x v="3"/>
    <n v="0"/>
    <n v="0"/>
    <n v="0"/>
    <d v="2024-12-16T00:00:00"/>
    <x v="0"/>
    <x v="0"/>
    <s v="Short Life Span"/>
  </r>
  <r>
    <n v="60"/>
    <x v="4"/>
    <n v="520"/>
    <n v="50"/>
    <n v="470"/>
    <d v="2024-12-31T00:00:00"/>
    <x v="0"/>
    <x v="0"/>
    <s v="Short Life Span"/>
  </r>
  <r>
    <n v="63"/>
    <x v="5"/>
    <n v="1000"/>
    <n v="0"/>
    <n v="1000"/>
    <d v="2024-12-04T00:00:00"/>
    <x v="0"/>
    <x v="0"/>
    <s v="Short Life Span"/>
  </r>
  <r>
    <n v="18"/>
    <x v="6"/>
    <n v="44"/>
    <n v="0"/>
    <n v="44"/>
    <d v="2024-12-31T00:00:00"/>
    <x v="0"/>
    <x v="0"/>
    <s v="Short Life Span"/>
  </r>
  <r>
    <n v="22"/>
    <x v="7"/>
    <n v="500"/>
    <n v="0"/>
    <n v="500"/>
    <d v="2024-12-16T00:00:00"/>
    <x v="0"/>
    <x v="0"/>
    <s v="Short Life Span"/>
  </r>
  <r>
    <n v="23"/>
    <x v="8"/>
    <n v="20"/>
    <n v="0"/>
    <n v="20"/>
    <d v="2024-12-31T00:00:00"/>
    <x v="0"/>
    <x v="0"/>
    <s v="Short Life Span"/>
  </r>
  <r>
    <n v="24"/>
    <x v="9"/>
    <n v="7000"/>
    <n v="100"/>
    <n v="6900"/>
    <d v="2024-12-16T00:00:00"/>
    <x v="0"/>
    <x v="0"/>
    <s v="Short Life Span"/>
  </r>
  <r>
    <n v="26"/>
    <x v="10"/>
    <n v="2"/>
    <n v="0"/>
    <n v="2"/>
    <d v="2024-12-20T00:00:00"/>
    <x v="0"/>
    <x v="0"/>
    <s v="Short Life Span"/>
  </r>
  <r>
    <n v="8"/>
    <x v="11"/>
    <n v="8"/>
    <n v="0"/>
    <n v="8"/>
    <d v="2024-12-04T00:00:00"/>
    <x v="0"/>
    <x v="0"/>
    <s v="Short Life Span"/>
  </r>
  <r>
    <n v="31"/>
    <x v="12"/>
    <n v="100"/>
    <n v="0"/>
    <n v="100"/>
    <d v="2024-12-16T00:00:00"/>
    <x v="0"/>
    <x v="0"/>
    <s v="Short Life Span"/>
  </r>
  <r>
    <n v="32"/>
    <x v="13"/>
    <n v="250"/>
    <n v="0"/>
    <n v="250"/>
    <d v="2024-12-16T00:00:00"/>
    <x v="0"/>
    <x v="0"/>
    <s v="Short Life Span"/>
  </r>
  <r>
    <n v="41"/>
    <x v="14"/>
    <n v="500"/>
    <n v="0"/>
    <n v="500"/>
    <d v="2024-12-16T00:00:00"/>
    <x v="0"/>
    <x v="0"/>
    <s v="Short Life Span"/>
  </r>
  <r>
    <n v="43"/>
    <x v="15"/>
    <n v="0"/>
    <n v="0"/>
    <n v="0"/>
    <d v="2024-12-16T00:00:00"/>
    <x v="0"/>
    <x v="0"/>
    <s v="Short Life Span"/>
  </r>
  <r>
    <n v="45"/>
    <x v="16"/>
    <n v="1000"/>
    <n v="0"/>
    <n v="1000"/>
    <d v="2024-12-16T00:00:00"/>
    <x v="0"/>
    <x v="0"/>
    <s v="Short Life Span"/>
  </r>
  <r>
    <n v="46"/>
    <x v="17"/>
    <n v="0"/>
    <n v="0"/>
    <n v="0"/>
    <d v="2024-12-16T00:00:00"/>
    <x v="0"/>
    <x v="0"/>
    <s v="Short Life Span"/>
  </r>
  <r>
    <n v="47"/>
    <x v="18"/>
    <n v="0"/>
    <n v="0"/>
    <n v="0"/>
    <d v="2024-12-16T00:00:00"/>
    <x v="0"/>
    <x v="0"/>
    <s v="Short Life Span"/>
  </r>
  <r>
    <n v="48"/>
    <x v="19"/>
    <n v="0"/>
    <n v="0"/>
    <n v="0"/>
    <d v="2024-12-16T00:00:00"/>
    <x v="0"/>
    <x v="0"/>
    <s v="Short Life Span"/>
  </r>
  <r>
    <n v="53"/>
    <x v="20"/>
    <n v="0"/>
    <n v="0"/>
    <n v="0"/>
    <d v="2024-12-16T00:00:00"/>
    <x v="0"/>
    <x v="0"/>
    <s v="Short Life Span"/>
  </r>
  <r>
    <n v="55"/>
    <x v="21"/>
    <n v="0"/>
    <n v="0"/>
    <n v="0"/>
    <d v="2024-12-16T00:00:00"/>
    <x v="0"/>
    <x v="0"/>
    <s v="Short Life Span"/>
  </r>
  <r>
    <n v="56"/>
    <x v="22"/>
    <n v="1000"/>
    <n v="0"/>
    <n v="1000"/>
    <d v="2024-12-16T00:00:00"/>
    <x v="0"/>
    <x v="0"/>
    <s v="Short Life Span"/>
  </r>
  <r>
    <n v="54"/>
    <x v="23"/>
    <n v="1200"/>
    <n v="80"/>
    <n v="1120"/>
    <d v="2024-12-04T00:00:00"/>
    <x v="0"/>
    <x v="0"/>
    <s v="Short Life Span"/>
  </r>
  <r>
    <n v="70"/>
    <x v="24"/>
    <n v="3000"/>
    <n v="0"/>
    <n v="3000"/>
    <d v="2024-12-16T00:00:00"/>
    <x v="0"/>
    <x v="0"/>
    <s v="Short Life Span"/>
  </r>
  <r>
    <n v="58"/>
    <x v="25"/>
    <n v="600"/>
    <n v="50"/>
    <n v="550"/>
    <d v="2024-12-04T00:00:00"/>
    <x v="0"/>
    <x v="0"/>
    <s v="Short Life Span"/>
  </r>
  <r>
    <n v="74"/>
    <x v="26"/>
    <n v="0"/>
    <n v="0"/>
    <n v="0"/>
    <d v="2024-12-16T00:00:00"/>
    <x v="0"/>
    <x v="0"/>
    <s v="Short Life Span"/>
  </r>
  <r>
    <n v="2"/>
    <x v="27"/>
    <n v="0"/>
    <n v="0"/>
    <n v="0"/>
    <d v="2024-12-31T00:00:00"/>
    <x v="0"/>
    <x v="0"/>
    <s v="Long Life Span"/>
  </r>
  <r>
    <n v="98"/>
    <x v="28"/>
    <n v="0"/>
    <n v="0"/>
    <n v="0"/>
    <d v="2024-12-31T00:00:00"/>
    <x v="0"/>
    <x v="0"/>
    <s v="Short Life Span"/>
  </r>
  <r>
    <n v="4"/>
    <x v="29"/>
    <n v="0"/>
    <n v="0"/>
    <n v="0"/>
    <d v="2024-12-31T00:00:00"/>
    <x v="0"/>
    <x v="0"/>
    <s v="Long Life Span"/>
  </r>
  <r>
    <n v="5"/>
    <x v="30"/>
    <n v="10000"/>
    <n v="0"/>
    <n v="10000"/>
    <d v="2024-12-31T00:00:00"/>
    <x v="0"/>
    <x v="0"/>
    <s v="Long Life Span"/>
  </r>
  <r>
    <n v="95"/>
    <x v="31"/>
    <n v="174"/>
    <n v="0"/>
    <n v="174"/>
    <d v="2024-12-26T00:00:00"/>
    <x v="0"/>
    <x v="0"/>
    <s v="Long Life Span"/>
  </r>
  <r>
    <n v="6"/>
    <x v="32"/>
    <n v="1"/>
    <n v="0"/>
    <n v="1"/>
    <d v="2024-12-26T00:00:00"/>
    <x v="0"/>
    <x v="0"/>
    <s v="Medium Life Span"/>
  </r>
  <r>
    <n v="86"/>
    <x v="33"/>
    <n v="20"/>
    <n v="0"/>
    <n v="20"/>
    <d v="2024-12-31T00:00:00"/>
    <x v="0"/>
    <x v="0"/>
    <s v="Long Life Span"/>
  </r>
  <r>
    <n v="99"/>
    <x v="34"/>
    <n v="0"/>
    <n v="0"/>
    <n v="0"/>
    <d v="2024-12-26T00:00:00"/>
    <x v="0"/>
    <x v="0"/>
    <s v="Short Life Span"/>
  </r>
  <r>
    <n v="9"/>
    <x v="35"/>
    <n v="16"/>
    <n v="0"/>
    <n v="16"/>
    <d v="2024-12-31T00:00:00"/>
    <x v="0"/>
    <x v="0"/>
    <s v="Long Life Span"/>
  </r>
  <r>
    <n v="88"/>
    <x v="36"/>
    <n v="6"/>
    <n v="0"/>
    <n v="6"/>
    <d v="2024-12-31T00:00:00"/>
    <x v="0"/>
    <x v="0"/>
    <s v="Long Life Span"/>
  </r>
  <r>
    <n v="102"/>
    <x v="37"/>
    <n v="0"/>
    <n v="0"/>
    <n v="0"/>
    <d v="2024-12-26T00:00:00"/>
    <x v="0"/>
    <x v="0"/>
    <s v="Short Life Span"/>
  </r>
  <r>
    <n v="12"/>
    <x v="38"/>
    <n v="15"/>
    <n v="0"/>
    <n v="15"/>
    <d v="2024-12-31T00:00:00"/>
    <x v="0"/>
    <x v="0"/>
    <s v="Long Life Span"/>
  </r>
  <r>
    <n v="13"/>
    <x v="39"/>
    <n v="50"/>
    <n v="0"/>
    <n v="50"/>
    <d v="2024-12-31T00:00:00"/>
    <x v="0"/>
    <x v="0"/>
    <s v="Long Life Span"/>
  </r>
  <r>
    <n v="14"/>
    <x v="40"/>
    <n v="0"/>
    <n v="0"/>
    <n v="0"/>
    <d v="2024-12-31T00:00:00"/>
    <x v="0"/>
    <x v="0"/>
    <s v="Long Life Span"/>
  </r>
  <r>
    <n v="15"/>
    <x v="41"/>
    <n v="4"/>
    <n v="0"/>
    <n v="4"/>
    <d v="2024-12-31T00:00:00"/>
    <x v="0"/>
    <x v="0"/>
    <s v="Long Life Span"/>
  </r>
  <r>
    <n v="16"/>
    <x v="42"/>
    <n v="900"/>
    <n v="0"/>
    <n v="900"/>
    <d v="2024-12-26T00:00:00"/>
    <x v="0"/>
    <x v="0"/>
    <s v="Medium Life Span"/>
  </r>
  <r>
    <n v="17"/>
    <x v="43"/>
    <n v="2"/>
    <n v="0"/>
    <n v="2"/>
    <d v="2024-12-31T00:00:00"/>
    <x v="0"/>
    <x v="0"/>
    <s v="Long Life Span"/>
  </r>
  <r>
    <n v="96"/>
    <x v="44"/>
    <n v="2"/>
    <n v="0"/>
    <n v="2"/>
    <d v="2024-12-26T00:00:00"/>
    <x v="0"/>
    <x v="0"/>
    <s v="Long Life Span"/>
  </r>
  <r>
    <n v="19"/>
    <x v="45"/>
    <n v="200"/>
    <n v="0"/>
    <n v="200"/>
    <d v="2024-12-26T00:00:00"/>
    <x v="0"/>
    <x v="0"/>
    <s v="Medium Life Span"/>
  </r>
  <r>
    <n v="20"/>
    <x v="46"/>
    <n v="0"/>
    <n v="0"/>
    <n v="0"/>
    <d v="2024-12-31T00:00:00"/>
    <x v="0"/>
    <x v="0"/>
    <s v="Long Life Span"/>
  </r>
  <r>
    <n v="21"/>
    <x v="47"/>
    <n v="0"/>
    <n v="0"/>
    <n v="0"/>
    <d v="2024-12-31T00:00:00"/>
    <x v="0"/>
    <x v="0"/>
    <s v="Long Life Span"/>
  </r>
  <r>
    <n v="25"/>
    <x v="48"/>
    <n v="72"/>
    <n v="0"/>
    <n v="72"/>
    <d v="2024-12-31T00:00:00"/>
    <x v="0"/>
    <x v="0"/>
    <s v="Long Life Span"/>
  </r>
  <r>
    <n v="27"/>
    <x v="49"/>
    <n v="15"/>
    <n v="0"/>
    <n v="15"/>
    <d v="2024-12-31T00:00:00"/>
    <x v="0"/>
    <x v="0"/>
    <s v="Long Life Span"/>
  </r>
  <r>
    <n v="28"/>
    <x v="50"/>
    <n v="54"/>
    <n v="0"/>
    <n v="54"/>
    <d v="2024-12-31T00:00:00"/>
    <x v="0"/>
    <x v="0"/>
    <s v="Long Life Span"/>
  </r>
  <r>
    <n v="100"/>
    <x v="11"/>
    <n v="8"/>
    <n v="0"/>
    <n v="8"/>
    <d v="2024-12-26T00:00:00"/>
    <x v="0"/>
    <x v="0"/>
    <s v="Short Life Span"/>
  </r>
  <r>
    <n v="29"/>
    <x v="51"/>
    <n v="236"/>
    <n v="0"/>
    <n v="236"/>
    <d v="2024-12-31T00:00:00"/>
    <x v="0"/>
    <x v="0"/>
    <s v="Long Life Span"/>
  </r>
  <r>
    <n v="30"/>
    <x v="52"/>
    <n v="30"/>
    <n v="0"/>
    <n v="30"/>
    <d v="2024-12-26T00:00:00"/>
    <x v="0"/>
    <x v="0"/>
    <s v="Medium Life Span"/>
  </r>
  <r>
    <n v="103"/>
    <x v="53"/>
    <n v="15"/>
    <n v="0"/>
    <n v="15"/>
    <d v="2024-12-31T00:00:00"/>
    <x v="0"/>
    <x v="0"/>
    <s v="Short Life Span"/>
  </r>
  <r>
    <n v="92"/>
    <x v="54"/>
    <n v="0"/>
    <n v="0"/>
    <n v="0"/>
    <d v="2024-12-26T00:00:00"/>
    <x v="0"/>
    <x v="0"/>
    <s v="Medium Life Span"/>
  </r>
  <r>
    <n v="33"/>
    <x v="55"/>
    <n v="38"/>
    <n v="0"/>
    <n v="38"/>
    <d v="2024-12-31T00:00:00"/>
    <x v="0"/>
    <x v="0"/>
    <s v="Long Life Span"/>
  </r>
  <r>
    <n v="34"/>
    <x v="56"/>
    <n v="110"/>
    <n v="0"/>
    <n v="110"/>
    <d v="2024-12-31T00:00:00"/>
    <x v="0"/>
    <x v="0"/>
    <s v="Long Life Span"/>
  </r>
  <r>
    <n v="35"/>
    <x v="57"/>
    <n v="173"/>
    <n v="0"/>
    <n v="173"/>
    <d v="2024-12-31T00:00:00"/>
    <x v="0"/>
    <x v="0"/>
    <s v="Long Life Span"/>
  </r>
  <r>
    <n v="36"/>
    <x v="58"/>
    <n v="1"/>
    <n v="0"/>
    <n v="1"/>
    <d v="2024-12-26T00:00:00"/>
    <x v="0"/>
    <x v="0"/>
    <s v="Medium Life Span"/>
  </r>
  <r>
    <n v="37"/>
    <x v="59"/>
    <n v="25"/>
    <n v="0"/>
    <n v="25"/>
    <d v="2024-12-31T00:00:00"/>
    <x v="0"/>
    <x v="0"/>
    <s v="Long Life Span"/>
  </r>
  <r>
    <n v="82"/>
    <x v="60"/>
    <n v="500"/>
    <n v="0"/>
    <n v="500"/>
    <d v="2024-12-31T00:00:00"/>
    <x v="0"/>
    <x v="0"/>
    <s v="Long Life Span"/>
  </r>
  <r>
    <n v="94"/>
    <x v="61"/>
    <n v="185"/>
    <n v="0"/>
    <n v="185"/>
    <d v="2024-12-26T00:00:00"/>
    <x v="0"/>
    <x v="0"/>
    <s v="Long Life Span"/>
  </r>
  <r>
    <n v="80"/>
    <x v="62"/>
    <n v="177"/>
    <n v="0"/>
    <n v="177"/>
    <d v="2024-12-31T00:00:00"/>
    <x v="0"/>
    <x v="0"/>
    <s v="Long Life Span"/>
  </r>
  <r>
    <n v="38"/>
    <x v="63"/>
    <n v="3"/>
    <n v="0"/>
    <n v="3"/>
    <d v="2024-12-31T00:00:00"/>
    <x v="0"/>
    <x v="0"/>
    <s v="Long Life Span"/>
  </r>
  <r>
    <n v="87"/>
    <x v="64"/>
    <n v="20"/>
    <n v="0"/>
    <n v="20"/>
    <d v="2024-12-31T00:00:00"/>
    <x v="0"/>
    <x v="0"/>
    <s v="Long Life Span"/>
  </r>
  <r>
    <n v="76"/>
    <x v="65"/>
    <n v="2000"/>
    <n v="0"/>
    <n v="2000"/>
    <d v="2024-12-31T00:00:00"/>
    <x v="0"/>
    <x v="0"/>
    <s v="Long Life Span"/>
  </r>
  <r>
    <n v="91"/>
    <x v="66"/>
    <n v="11"/>
    <n v="0"/>
    <n v="11"/>
    <d v="2024-12-26T00:00:00"/>
    <x v="0"/>
    <x v="0"/>
    <s v="Medium Life Span"/>
  </r>
  <r>
    <n v="39"/>
    <x v="67"/>
    <n v="1"/>
    <n v="0"/>
    <n v="1"/>
    <d v="2024-12-31T00:00:00"/>
    <x v="0"/>
    <x v="0"/>
    <s v="Long Life Span"/>
  </r>
  <r>
    <n v="40"/>
    <x v="68"/>
    <n v="0"/>
    <n v="0"/>
    <n v="0"/>
    <d v="2024-12-31T00:00:00"/>
    <x v="0"/>
    <x v="0"/>
    <s v="Long Life Span"/>
  </r>
  <r>
    <n v="85"/>
    <x v="69"/>
    <n v="200"/>
    <n v="0"/>
    <n v="200"/>
    <d v="2024-12-31T00:00:00"/>
    <x v="0"/>
    <x v="0"/>
    <s v="Long Life Span"/>
  </r>
  <r>
    <n v="90"/>
    <x v="70"/>
    <n v="0"/>
    <n v="0"/>
    <n v="0"/>
    <d v="2024-12-26T00:00:00"/>
    <x v="0"/>
    <x v="0"/>
    <s v="Medium Life Span"/>
  </r>
  <r>
    <n v="101"/>
    <x v="71"/>
    <n v="0"/>
    <n v="0"/>
    <n v="0"/>
    <d v="2024-12-26T00:00:00"/>
    <x v="0"/>
    <x v="0"/>
    <s v="Short Life Span"/>
  </r>
  <r>
    <n v="42"/>
    <x v="72"/>
    <n v="60"/>
    <n v="0"/>
    <n v="60"/>
    <d v="2024-12-31T00:00:00"/>
    <x v="0"/>
    <x v="0"/>
    <s v="Long Life Span"/>
  </r>
  <r>
    <n v="44"/>
    <x v="73"/>
    <n v="1500"/>
    <n v="0"/>
    <n v="1500"/>
    <d v="2024-12-26T00:00:00"/>
    <x v="0"/>
    <x v="0"/>
    <s v="Medium Life Span"/>
  </r>
  <r>
    <n v="1"/>
    <x v="74"/>
    <n v="111"/>
    <n v="0"/>
    <n v="111"/>
    <d v="2024-12-31T00:00:00"/>
    <x v="0"/>
    <x v="0"/>
    <s v="Long Life Span"/>
  </r>
  <r>
    <n v="49"/>
    <x v="75"/>
    <n v="163"/>
    <n v="0"/>
    <n v="163"/>
    <d v="2024-12-26T00:00:00"/>
    <x v="0"/>
    <x v="0"/>
    <s v="Medium Life Span"/>
  </r>
  <r>
    <n v="50"/>
    <x v="76"/>
    <n v="0"/>
    <n v="0"/>
    <n v="0"/>
    <d v="2024-12-31T00:00:00"/>
    <x v="0"/>
    <x v="0"/>
    <s v="Long Life Span"/>
  </r>
  <r>
    <n v="51"/>
    <x v="77"/>
    <n v="29"/>
    <n v="0"/>
    <n v="29"/>
    <d v="2024-12-31T00:00:00"/>
    <x v="0"/>
    <x v="0"/>
    <s v="Long Life Span"/>
  </r>
  <r>
    <n v="52"/>
    <x v="78"/>
    <n v="16"/>
    <n v="0"/>
    <n v="16"/>
    <d v="2024-12-31T00:00:00"/>
    <x v="0"/>
    <x v="0"/>
    <s v="Long Life Span"/>
  </r>
  <r>
    <n v="93"/>
    <x v="79"/>
    <n v="50"/>
    <n v="0"/>
    <n v="50"/>
    <d v="2024-12-31T00:00:00"/>
    <x v="0"/>
    <x v="0"/>
    <s v="Long Life Span"/>
  </r>
  <r>
    <n v="57"/>
    <x v="80"/>
    <n v="50"/>
    <n v="0"/>
    <n v="50"/>
    <d v="2024-12-31T00:00:00"/>
    <x v="0"/>
    <x v="0"/>
    <s v="Long Life Span"/>
  </r>
  <r>
    <n v="83"/>
    <x v="81"/>
    <n v="25000"/>
    <n v="0"/>
    <n v="25000"/>
    <d v="2024-12-31T00:00:00"/>
    <x v="0"/>
    <x v="0"/>
    <s v="Long Life Span"/>
  </r>
  <r>
    <n v="84"/>
    <x v="82"/>
    <n v="35"/>
    <n v="0"/>
    <n v="35"/>
    <d v="2024-12-31T00:00:00"/>
    <x v="0"/>
    <x v="0"/>
    <s v="Long Life Span"/>
  </r>
  <r>
    <n v="59"/>
    <x v="83"/>
    <n v="85"/>
    <n v="0"/>
    <n v="85"/>
    <d v="2024-12-31T00:00:00"/>
    <x v="0"/>
    <x v="0"/>
    <s v="Long Life Span"/>
  </r>
  <r>
    <n v="61"/>
    <x v="84"/>
    <n v="50"/>
    <n v="0"/>
    <n v="50"/>
    <d v="2024-12-31T00:00:00"/>
    <x v="0"/>
    <x v="0"/>
    <s v="Long Life Span"/>
  </r>
  <r>
    <n v="62"/>
    <x v="85"/>
    <n v="500"/>
    <n v="0"/>
    <n v="500"/>
    <d v="2024-12-31T00:00:00"/>
    <x v="0"/>
    <x v="0"/>
    <s v="Long Life Span"/>
  </r>
  <r>
    <n v="77"/>
    <x v="86"/>
    <n v="40"/>
    <n v="0"/>
    <n v="40"/>
    <d v="2024-12-31T00:00:00"/>
    <x v="0"/>
    <x v="0"/>
    <s v="Long Life Span"/>
  </r>
  <r>
    <n v="64"/>
    <x v="87"/>
    <n v="0"/>
    <n v="0"/>
    <n v="0"/>
    <d v="2024-12-26T00:00:00"/>
    <x v="0"/>
    <x v="0"/>
    <s v="Medium Life Span"/>
  </r>
  <r>
    <n v="78"/>
    <x v="88"/>
    <n v="50"/>
    <n v="0"/>
    <n v="50"/>
    <d v="2024-12-31T00:00:00"/>
    <x v="0"/>
    <x v="0"/>
    <s v="Long Life Span"/>
  </r>
  <r>
    <n v="81"/>
    <x v="89"/>
    <n v="6000"/>
    <n v="0"/>
    <n v="6000"/>
    <d v="2024-12-31T00:00:00"/>
    <x v="0"/>
    <x v="0"/>
    <s v="Long Life Span"/>
  </r>
  <r>
    <n v="65"/>
    <x v="90"/>
    <n v="200"/>
    <n v="0"/>
    <n v="200"/>
    <d v="2024-12-26T00:00:00"/>
    <x v="0"/>
    <x v="0"/>
    <s v="Medium Life Span"/>
  </r>
  <r>
    <n v="66"/>
    <x v="91"/>
    <n v="14"/>
    <n v="0"/>
    <n v="14"/>
    <d v="2024-12-31T00:00:00"/>
    <x v="0"/>
    <x v="0"/>
    <s v="Long Life Span"/>
  </r>
  <r>
    <n v="67"/>
    <x v="92"/>
    <n v="460"/>
    <n v="0"/>
    <n v="460"/>
    <d v="2024-12-26T00:00:00"/>
    <x v="0"/>
    <x v="0"/>
    <s v="Medium Life Span"/>
  </r>
  <r>
    <n v="69"/>
    <x v="93"/>
    <n v="20"/>
    <n v="0"/>
    <n v="20"/>
    <d v="2024-12-31T00:00:00"/>
    <x v="0"/>
    <x v="0"/>
    <s v="Long Life Span"/>
  </r>
  <r>
    <n v="89"/>
    <x v="94"/>
    <n v="102"/>
    <n v="0"/>
    <n v="102"/>
    <d v="2024-12-26T00:00:00"/>
    <x v="0"/>
    <x v="0"/>
    <s v="Medium Life Span"/>
  </r>
  <r>
    <n v="79"/>
    <x v="95"/>
    <n v="490"/>
    <n v="0"/>
    <n v="490"/>
    <d v="2024-12-31T00:00:00"/>
    <x v="0"/>
    <x v="0"/>
    <s v="Long Life Span"/>
  </r>
  <r>
    <n v="71"/>
    <x v="96"/>
    <n v="2"/>
    <n v="0"/>
    <n v="2"/>
    <d v="2024-12-31T00:00:00"/>
    <x v="0"/>
    <x v="0"/>
    <s v="Long Life Span"/>
  </r>
  <r>
    <n v="73"/>
    <x v="97"/>
    <n v="450"/>
    <n v="0"/>
    <n v="450"/>
    <d v="2024-12-31T00:00:00"/>
    <x v="0"/>
    <x v="0"/>
    <s v="Long Life Span"/>
  </r>
  <r>
    <n v="104"/>
    <x v="98"/>
    <n v="500"/>
    <n v="0"/>
    <n v="500"/>
    <d v="2024-12-26T00:00:00"/>
    <x v="0"/>
    <x v="0"/>
    <s v="Long Life Span"/>
  </r>
  <r>
    <n v="75"/>
    <x v="99"/>
    <n v="2500"/>
    <n v="0"/>
    <n v="2500"/>
    <d v="2024-12-26T00:00:00"/>
    <x v="0"/>
    <x v="0"/>
    <s v="Medium Life Span"/>
  </r>
  <r>
    <n v="97"/>
    <x v="100"/>
    <n v="0"/>
    <n v="0"/>
    <n v="0"/>
    <d v="2024-12-26T00:00:00"/>
    <x v="0"/>
    <x v="0"/>
    <s v="Short Life Span"/>
  </r>
  <r>
    <n v="105"/>
    <x v="101"/>
    <n v="0"/>
    <n v="0"/>
    <n v="0"/>
    <d v="2024-12-26T00:00:00"/>
    <x v="0"/>
    <x v="1"/>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d v="2024-12-13T00:00:00"/>
    <x v="0"/>
    <n v="1"/>
    <n v="5"/>
    <n v="5"/>
    <n v="5"/>
    <n v="5"/>
    <n v="0"/>
  </r>
  <r>
    <d v="2024-12-13T00:00:00"/>
    <x v="1"/>
    <n v="1"/>
    <n v="5"/>
    <n v="5"/>
    <n v="5"/>
    <n v="5"/>
    <n v="0"/>
  </r>
  <r>
    <d v="2024-12-13T00:00:00"/>
    <x v="2"/>
    <n v="1"/>
    <n v="5"/>
    <n v="5"/>
    <n v="5"/>
    <n v="5"/>
    <n v="0"/>
  </r>
  <r>
    <d v="2024-12-13T00:00:00"/>
    <x v="3"/>
    <n v="2"/>
    <n v="1"/>
    <n v="1"/>
    <n v="0.5"/>
    <n v="20"/>
    <n v="19"/>
  </r>
  <r>
    <d v="2024-12-13T00:00:00"/>
    <x v="4"/>
    <n v="2"/>
    <n v="0.56000000000000005"/>
    <n v="0.56000000000000005"/>
    <n v="0.28000000000000003"/>
    <n v="0.56000000000000005"/>
    <n v="0"/>
  </r>
  <r>
    <d v="2024-12-13T00:00:00"/>
    <x v="5"/>
    <n v="2"/>
    <n v="14"/>
    <n v="14"/>
    <n v="7"/>
    <n v="7"/>
    <n v="-7"/>
  </r>
  <r>
    <d v="2024-12-13T00:00:00"/>
    <x v="6"/>
    <n v="2"/>
    <n v="0.6"/>
    <n v="0.6"/>
    <n v="0.3"/>
    <n v="2"/>
    <n v="1.4"/>
  </r>
  <r>
    <d v="2024-12-14T00:00:00"/>
    <x v="7"/>
    <n v="3"/>
    <n v="50"/>
    <n v="50"/>
    <n v="16.666666666666668"/>
    <n v="50"/>
    <n v="0"/>
  </r>
  <r>
    <d v="2024-12-13T00:00:00"/>
    <x v="8"/>
    <n v="4"/>
    <n v="2"/>
    <n v="2"/>
    <n v="0.5"/>
    <n v="10"/>
    <n v="8"/>
  </r>
  <r>
    <d v="2024-12-13T00:00:00"/>
    <x v="9"/>
    <n v="6"/>
    <n v="1"/>
    <n v="1"/>
    <n v="0.16666666666666666"/>
    <n v="10"/>
    <n v="9"/>
  </r>
  <r>
    <d v="2024-12-14T00:00:00"/>
    <x v="10"/>
    <n v="16"/>
    <n v="150"/>
    <n v="175"/>
    <n v="10.9375"/>
    <n v="150"/>
    <n v="0"/>
  </r>
  <r>
    <d v="2024-12-13T00:00:00"/>
    <x v="11"/>
    <n v="11"/>
    <n v="11"/>
    <n v="11"/>
    <n v="1"/>
    <n v="11"/>
    <n v="0"/>
  </r>
  <r>
    <d v="2024-12-13T00:00:00"/>
    <x v="12"/>
    <n v="14"/>
    <n v="3"/>
    <n v="3"/>
    <n v="0.21428571428571427"/>
    <n v="10"/>
    <n v="7"/>
  </r>
  <r>
    <d v="2024-12-13T00:00:00"/>
    <x v="13"/>
    <n v="15"/>
    <n v="3"/>
    <n v="3"/>
    <n v="0.2"/>
    <n v="25"/>
    <n v="22"/>
  </r>
  <r>
    <d v="2024-12-13T00:00:00"/>
    <x v="14"/>
    <n v="15"/>
    <n v="3"/>
    <n v="3"/>
    <n v="0.2"/>
    <n v="20"/>
    <n v="17"/>
  </r>
  <r>
    <d v="2024-12-14T00:00:00"/>
    <x v="15"/>
    <n v="15"/>
    <n v="3"/>
    <n v="3"/>
    <n v="0.2"/>
    <n v="35"/>
    <n v="32"/>
  </r>
  <r>
    <d v="2024-12-13T00:00:00"/>
    <x v="16"/>
    <n v="16"/>
    <n v="3"/>
    <n v="3"/>
    <n v="0.1875"/>
    <n v="20"/>
    <n v="17"/>
  </r>
  <r>
    <d v="2024-12-13T00:00:00"/>
    <x v="17"/>
    <n v="16"/>
    <n v="3"/>
    <n v="3"/>
    <n v="0.1875"/>
    <n v="20"/>
    <n v="17"/>
  </r>
  <r>
    <d v="2024-12-13T00:00:00"/>
    <x v="18"/>
    <n v="20"/>
    <n v="3"/>
    <n v="3"/>
    <n v="0.15"/>
    <n v="10"/>
    <n v="7"/>
  </r>
  <r>
    <d v="2024-12-13T00:00:00"/>
    <x v="19"/>
    <n v="20"/>
    <n v="3"/>
    <n v="3"/>
    <n v="0.15"/>
    <n v="5"/>
    <n v="2"/>
  </r>
  <r>
    <d v="2024-12-13T00:00:00"/>
    <x v="20"/>
    <n v="20"/>
    <n v="3"/>
    <n v="3"/>
    <n v="0.15"/>
    <n v="10"/>
    <n v="7"/>
  </r>
  <r>
    <d v="2024-12-13T00:00:00"/>
    <x v="21"/>
    <n v="20"/>
    <n v="3"/>
    <n v="3"/>
    <n v="0.15"/>
    <n v="10"/>
    <n v="7"/>
  </r>
  <r>
    <d v="2024-12-13T00:00:00"/>
    <x v="22"/>
    <n v="25"/>
    <n v="3"/>
    <n v="3"/>
    <n v="0.12"/>
    <n v="15"/>
    <n v="12"/>
  </r>
  <r>
    <d v="2024-12-13T00:00:00"/>
    <x v="23"/>
    <n v="29"/>
    <n v="5"/>
    <n v="5"/>
    <n v="0.17241379310344829"/>
    <n v="30"/>
    <n v="25"/>
  </r>
  <r>
    <d v="2024-12-13T00:00:00"/>
    <x v="24"/>
    <n v="30"/>
    <n v="18"/>
    <n v="31.5"/>
    <n v="1.05"/>
    <n v="40"/>
    <n v="22"/>
  </r>
  <r>
    <d v="2024-12-13T00:00:00"/>
    <x v="25"/>
    <n v="35"/>
    <n v="3"/>
    <n v="3"/>
    <n v="8.5714285714285715E-2"/>
    <n v="3"/>
    <n v="0"/>
  </r>
  <r>
    <d v="2024-12-13T00:00:00"/>
    <x v="26"/>
    <n v="38"/>
    <n v="10"/>
    <n v="10"/>
    <n v="0.26315789473684209"/>
    <n v="20"/>
    <n v="10"/>
  </r>
  <r>
    <d v="2024-12-13T00:00:00"/>
    <x v="27"/>
    <n v="40"/>
    <n v="8"/>
    <n v="21.5"/>
    <n v="0.53749999999999998"/>
    <n v="20"/>
    <n v="12"/>
  </r>
  <r>
    <d v="2024-12-13T00:00:00"/>
    <x v="28"/>
    <n v="44"/>
    <n v="5"/>
    <n v="5"/>
    <n v="0.11363636363636363"/>
    <n v="20"/>
    <n v="15"/>
  </r>
  <r>
    <d v="2024-12-13T00:00:00"/>
    <x v="29"/>
    <n v="50"/>
    <n v="15"/>
    <n v="15"/>
    <n v="0.3"/>
    <n v="23"/>
    <n v="8"/>
  </r>
  <r>
    <d v="2024-12-13T00:00:00"/>
    <x v="30"/>
    <n v="50"/>
    <n v="30"/>
    <n v="30"/>
    <n v="0.6"/>
    <n v="92"/>
    <n v="62"/>
  </r>
  <r>
    <d v="2024-12-13T00:00:00"/>
    <x v="31"/>
    <n v="50"/>
    <n v="18"/>
    <n v="18"/>
    <n v="0.36"/>
    <n v="50"/>
    <n v="32"/>
  </r>
  <r>
    <d v="2024-12-13T00:00:00"/>
    <x v="32"/>
    <n v="50"/>
    <n v="20"/>
    <n v="20"/>
    <n v="0.4"/>
    <n v="20"/>
    <n v="0"/>
  </r>
  <r>
    <d v="2024-12-13T00:00:00"/>
    <x v="33"/>
    <n v="50"/>
    <n v="10"/>
    <n v="10"/>
    <n v="0.2"/>
    <n v="10"/>
    <n v="0"/>
  </r>
  <r>
    <d v="2024-12-13T00:00:00"/>
    <x v="34"/>
    <n v="54"/>
    <n v="8"/>
    <n v="8"/>
    <n v="0.14814814814814814"/>
    <n v="8"/>
    <n v="0"/>
  </r>
  <r>
    <d v="2024-12-13T00:00:00"/>
    <x v="35"/>
    <n v="60"/>
    <n v="15"/>
    <n v="15"/>
    <n v="0.25"/>
    <n v="15"/>
    <n v="0"/>
  </r>
  <r>
    <d v="2024-12-13T00:00:00"/>
    <x v="36"/>
    <n v="72"/>
    <n v="9"/>
    <n v="9"/>
    <n v="0.125"/>
    <n v="9"/>
    <n v="0"/>
  </r>
  <r>
    <d v="2024-12-13T00:00:00"/>
    <x v="37"/>
    <n v="85"/>
    <n v="32"/>
    <n v="31"/>
    <n v="0.36470588235294116"/>
    <n v="32"/>
    <n v="0"/>
  </r>
  <r>
    <d v="2024-12-13T00:00:00"/>
    <x v="38"/>
    <n v="100"/>
    <n v="20"/>
    <n v="20"/>
    <n v="0.2"/>
    <n v="40"/>
    <n v="20"/>
  </r>
  <r>
    <d v="2024-12-13T00:00:00"/>
    <x v="39"/>
    <n v="102"/>
    <n v="102"/>
    <n v="102"/>
    <n v="1"/>
    <n v="102"/>
    <n v="0"/>
  </r>
  <r>
    <d v="2024-12-13T00:00:00"/>
    <x v="40"/>
    <n v="110"/>
    <n v="25"/>
    <n v="25"/>
    <n v="0.22727272727272727"/>
    <n v="25"/>
    <n v="0"/>
  </r>
  <r>
    <d v="2024-12-13T00:00:00"/>
    <x v="41"/>
    <n v="111"/>
    <n v="16"/>
    <n v="16"/>
    <n v="0.14414414414414414"/>
    <n v="20"/>
    <n v="4"/>
  </r>
  <r>
    <d v="2024-12-13T00:00:00"/>
    <x v="42"/>
    <n v="163"/>
    <n v="36"/>
    <n v="36"/>
    <n v="0.22085889570552147"/>
    <n v="36"/>
    <n v="0"/>
  </r>
  <r>
    <d v="2024-12-13T00:00:00"/>
    <x v="43"/>
    <n v="173"/>
    <n v="20"/>
    <n v="20"/>
    <n v="0.11560693641618497"/>
    <n v="20"/>
    <n v="0"/>
  </r>
  <r>
    <d v="2024-12-13T00:00:00"/>
    <x v="44"/>
    <n v="174"/>
    <n v="22.5"/>
    <n v="22.5"/>
    <n v="0.12931034482758622"/>
    <n v="40"/>
    <n v="17.5"/>
  </r>
  <r>
    <d v="2024-12-13T00:00:00"/>
    <x v="45"/>
    <n v="177"/>
    <n v="20"/>
    <n v="20"/>
    <n v="0.11299435028248588"/>
    <n v="20"/>
    <n v="0"/>
  </r>
  <r>
    <d v="2024-12-13T00:00:00"/>
    <x v="46"/>
    <n v="185"/>
    <n v="88.5"/>
    <n v="88.5"/>
    <n v="0.47837837837837838"/>
    <n v="30"/>
    <n v="-58.5"/>
  </r>
  <r>
    <d v="2024-12-13T00:00:00"/>
    <x v="47"/>
    <n v="200"/>
    <n v="30"/>
    <n v="30"/>
    <n v="0.15"/>
    <n v="30"/>
    <n v="0"/>
  </r>
  <r>
    <d v="2024-12-13T00:00:00"/>
    <x v="48"/>
    <n v="200"/>
    <n v="25"/>
    <n v="25"/>
    <n v="0.125"/>
    <n v="25"/>
    <n v="0"/>
  </r>
  <r>
    <d v="2024-12-13T00:00:00"/>
    <x v="49"/>
    <n v="200"/>
    <n v="6"/>
    <n v="6"/>
    <n v="0.03"/>
    <n v="6"/>
    <n v="0"/>
  </r>
  <r>
    <d v="2024-12-13T00:00:00"/>
    <x v="50"/>
    <n v="200"/>
    <n v="60"/>
    <n v="60"/>
    <n v="0.3"/>
    <n v="60"/>
    <n v="0"/>
  </r>
  <r>
    <d v="2024-12-13T00:00:00"/>
    <x v="51"/>
    <n v="236"/>
    <n v="45"/>
    <n v="57.5"/>
    <n v="0.24364406779661016"/>
    <n v="45"/>
    <n v="0"/>
  </r>
  <r>
    <d v="2024-12-13T00:00:00"/>
    <x v="52"/>
    <n v="250"/>
    <n v="20"/>
    <n v="20"/>
    <n v="0.08"/>
    <n v="20"/>
    <n v="0"/>
  </r>
  <r>
    <d v="2024-12-13T00:00:00"/>
    <x v="53"/>
    <n v="250"/>
    <n v="185"/>
    <n v="185"/>
    <n v="0.74"/>
    <n v="185"/>
    <n v="0"/>
  </r>
  <r>
    <d v="2024-12-13T00:00:00"/>
    <x v="54"/>
    <n v="450"/>
    <n v="140"/>
    <n v="140"/>
    <n v="0.31111111111111112"/>
    <n v="140"/>
    <n v="0"/>
  </r>
  <r>
    <d v="2024-12-13T00:00:00"/>
    <x v="55"/>
    <n v="460"/>
    <n v="23"/>
    <n v="23"/>
    <n v="0.05"/>
    <n v="23"/>
    <n v="0"/>
  </r>
  <r>
    <d v="2024-12-13T00:00:00"/>
    <x v="56"/>
    <n v="490"/>
    <n v="90"/>
    <n v="90"/>
    <n v="0.18367346938775511"/>
    <n v="90"/>
    <n v="0"/>
  </r>
  <r>
    <d v="2024-12-13T00:00:00"/>
    <x v="57"/>
    <n v="500"/>
    <n v="34"/>
    <n v="34"/>
    <n v="6.8000000000000005E-2"/>
    <n v="34"/>
    <n v="0"/>
  </r>
  <r>
    <d v="2024-12-15T00:00:00"/>
    <x v="58"/>
    <n v="500"/>
    <n v="46"/>
    <n v="46"/>
    <n v="9.1999999999999998E-2"/>
    <n v="46"/>
    <n v="0"/>
  </r>
  <r>
    <d v="2024-12-16T00:00:00"/>
    <x v="59"/>
    <n v="500"/>
    <n v="38"/>
    <n v="38"/>
    <n v="7.5999999999999998E-2"/>
    <n v="38"/>
    <n v="0"/>
  </r>
  <r>
    <d v="2024-12-13T00:00:00"/>
    <x v="60"/>
    <n v="500"/>
    <n v="25"/>
    <n v="25"/>
    <n v="0.05"/>
    <n v="25"/>
    <n v="0"/>
  </r>
  <r>
    <d v="2024-12-15T00:00:00"/>
    <x v="61"/>
    <n v="500"/>
    <n v="40"/>
    <n v="40"/>
    <n v="0.08"/>
    <n v="40"/>
    <n v="0"/>
  </r>
  <r>
    <d v="2024-12-13T00:00:00"/>
    <x v="62"/>
    <n v="520"/>
    <n v="30"/>
    <n v="30"/>
    <n v="5.7692307692307696E-2"/>
    <n v="30"/>
    <n v="0"/>
  </r>
  <r>
    <d v="2024-12-13T00:00:00"/>
    <x v="63"/>
    <n v="600"/>
    <n v="35"/>
    <n v="35"/>
    <n v="5.8333333333333334E-2"/>
    <n v="35"/>
    <n v="0"/>
  </r>
  <r>
    <d v="2024-12-13T00:00:00"/>
    <x v="64"/>
    <n v="900"/>
    <n v="120"/>
    <n v="120"/>
    <n v="0.13333333333333333"/>
    <n v="120"/>
    <n v="0"/>
  </r>
  <r>
    <d v="2024-12-13T00:00:00"/>
    <x v="65"/>
    <n v="1000"/>
    <n v="22.2"/>
    <n v="22.2"/>
    <n v="2.2200000000000001E-2"/>
    <n v="22.2"/>
    <n v="0"/>
  </r>
  <r>
    <d v="2024-12-13T00:00:00"/>
    <x v="66"/>
    <n v="1000"/>
    <n v="50"/>
    <n v="41.5"/>
    <n v="4.1500000000000002E-2"/>
    <n v="50"/>
    <n v="0"/>
  </r>
  <r>
    <d v="2024-12-13T00:00:00"/>
    <x v="67"/>
    <n v="1000"/>
    <n v="60"/>
    <n v="60"/>
    <n v="0.06"/>
    <n v="60"/>
    <n v="0"/>
  </r>
  <r>
    <d v="2024-12-13T00:00:00"/>
    <x v="68"/>
    <n v="1200"/>
    <n v="65"/>
    <n v="65"/>
    <n v="5.4166666666666669E-2"/>
    <n v="65"/>
    <n v="0"/>
  </r>
  <r>
    <d v="2024-12-13T00:00:00"/>
    <x v="69"/>
    <n v="1500"/>
    <n v="219"/>
    <n v="219"/>
    <n v="0.14599999999999999"/>
    <n v="219"/>
    <n v="0"/>
  </r>
  <r>
    <d v="2024-12-13T00:00:00"/>
    <x v="70"/>
    <n v="2000"/>
    <n v="750"/>
    <n v="750"/>
    <n v="0.375"/>
    <n v="750"/>
    <n v="0"/>
  </r>
  <r>
    <d v="2024-12-13T00:00:00"/>
    <x v="71"/>
    <n v="2500"/>
    <n v="131"/>
    <n v="131"/>
    <n v="5.2400000000000002E-2"/>
    <n v="131"/>
    <n v="0"/>
  </r>
  <r>
    <d v="2024-12-13T00:00:00"/>
    <x v="72"/>
    <n v="3000"/>
    <n v="90"/>
    <n v="90"/>
    <n v="0.03"/>
    <n v="90"/>
    <n v="0"/>
  </r>
  <r>
    <d v="2024-12-13T00:00:00"/>
    <x v="73"/>
    <n v="6000"/>
    <n v="270"/>
    <n v="270"/>
    <n v="4.4999999999999998E-2"/>
    <n v="270"/>
    <n v="0"/>
  </r>
  <r>
    <d v="2024-12-13T00:00:00"/>
    <x v="74"/>
    <n v="7000"/>
    <n v="200"/>
    <n v="200"/>
    <n v="2.8571428571428571E-2"/>
    <n v="190"/>
    <n v="-10"/>
  </r>
  <r>
    <d v="2024-12-02T00:00:00"/>
    <x v="75"/>
    <n v="10000"/>
    <n v="740"/>
    <n v="740"/>
    <n v="7.3999999999999996E-2"/>
    <n v="740"/>
    <n v="0"/>
  </r>
  <r>
    <d v="2024-12-13T00:00:00"/>
    <x v="76"/>
    <n v="25000"/>
    <n v="0"/>
    <n v="0"/>
    <n v="0"/>
    <n v="0"/>
    <n v="0"/>
  </r>
  <r>
    <d v="2024-12-20T00:00:00"/>
    <x v="27"/>
    <n v="100"/>
    <n v="35"/>
    <n v="21.5"/>
    <n v="0.215"/>
    <n v="35"/>
    <n v="0"/>
  </r>
  <r>
    <d v="2024-12-20T00:00:00"/>
    <x v="37"/>
    <n v="100"/>
    <n v="30"/>
    <n v="31"/>
    <n v="0.31"/>
    <n v="30"/>
    <n v="0"/>
  </r>
  <r>
    <d v="2024-12-20T00:00:00"/>
    <x v="24"/>
    <n v="100"/>
    <n v="45"/>
    <n v="31.5"/>
    <n v="0.315"/>
    <n v="45"/>
    <n v="0"/>
  </r>
  <r>
    <d v="2024-12-20T00:00:00"/>
    <x v="51"/>
    <n v="500"/>
    <n v="70"/>
    <n v="57.5"/>
    <n v="0.115"/>
    <n v="70"/>
    <n v="0"/>
  </r>
  <r>
    <d v="2024-12-21T00:00:00"/>
    <x v="10"/>
    <n v="12"/>
    <n v="200"/>
    <n v="175"/>
    <n v="14.583333333333334"/>
    <n v="200"/>
    <n v="0"/>
  </r>
  <r>
    <d v="2024-12-21T00:00:00"/>
    <x v="77"/>
    <n v="1600"/>
    <n v="142"/>
    <n v="142"/>
    <n v="8.8749999999999996E-2"/>
    <n v="142"/>
    <n v="0"/>
  </r>
  <r>
    <d v="2024-12-21T00:00:00"/>
    <x v="66"/>
    <n v="500"/>
    <n v="33"/>
    <n v="41.5"/>
    <n v="8.3000000000000004E-2"/>
    <n v="33"/>
    <n v="0"/>
  </r>
  <r>
    <d v="2024-12-20T00:00:00"/>
    <x v="78"/>
    <n v="100"/>
    <n v="70"/>
    <n v="70"/>
    <n v="0.7"/>
    <n v="70"/>
    <n v="0"/>
  </r>
  <r>
    <d v="2024-12-21T00:00:00"/>
    <x v="79"/>
    <n v="14"/>
    <n v="40"/>
    <n v="40"/>
    <n v="2.8571428571428572"/>
    <n v="40"/>
    <n v="0"/>
  </r>
  <r>
    <d v="2024-12-22T00:00:00"/>
    <x v="80"/>
    <n v="500"/>
    <n v="200"/>
    <n v="200"/>
    <n v="0.4"/>
    <n v="200"/>
    <n v="0"/>
  </r>
  <r>
    <d v="2024-12-22T00:00:00"/>
    <x v="81"/>
    <n v="1250"/>
    <n v="276"/>
    <n v="276"/>
    <n v="0.2208"/>
    <n v="276"/>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r>
    <m/>
    <x v="82"/>
    <m/>
    <m/>
    <n v="0"/>
    <s v=""/>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EC6A53-8041-47D5-A04F-7B8194D8D3E6}"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X9:AA10" firstHeaderRow="0" firstDataRow="1" firstDataCol="1"/>
  <pivotFields count="11">
    <pivotField showAll="0"/>
    <pivotField axis="axisRow" showAll="0">
      <items count="170">
        <item x="27"/>
        <item m="1" x="113"/>
        <item x="0"/>
        <item m="1" x="114"/>
        <item x="28"/>
        <item m="1" x="115"/>
        <item m="1" x="116"/>
        <item m="1" x="117"/>
        <item x="1"/>
        <item x="34"/>
        <item x="2"/>
        <item x="37"/>
        <item m="1" x="118"/>
        <item m="1" x="119"/>
        <item m="1" x="120"/>
        <item x="3"/>
        <item m="1" x="121"/>
        <item m="1" x="122"/>
        <item m="1" x="123"/>
        <item m="1" x="124"/>
        <item m="1" x="125"/>
        <item x="40"/>
        <item x="41"/>
        <item x="42"/>
        <item m="1" x="126"/>
        <item x="43"/>
        <item m="1" x="127"/>
        <item x="6"/>
        <item m="1" x="128"/>
        <item x="46"/>
        <item x="7"/>
        <item m="1" x="129"/>
        <item x="8"/>
        <item x="9"/>
        <item x="10"/>
        <item m="1" x="130"/>
        <item x="11"/>
        <item x="52"/>
        <item x="12"/>
        <item x="13"/>
        <item x="55"/>
        <item m="1" x="131"/>
        <item m="1" x="132"/>
        <item m="1" x="133"/>
        <item m="1" x="134"/>
        <item x="57"/>
        <item m="1" x="135"/>
        <item m="1" x="136"/>
        <item m="1" x="137"/>
        <item m="1" x="138"/>
        <item m="1" x="139"/>
        <item m="1" x="140"/>
        <item m="1" x="141"/>
        <item m="1" x="142"/>
        <item x="65"/>
        <item m="1" x="143"/>
        <item x="67"/>
        <item x="68"/>
        <item m="1" x="144"/>
        <item x="14"/>
        <item m="1" x="145"/>
        <item m="1" x="146"/>
        <item m="1" x="147"/>
        <item m="1" x="148"/>
        <item m="1" x="149"/>
        <item m="1" x="150"/>
        <item m="1" x="151"/>
        <item x="15"/>
        <item x="73"/>
        <item x="16"/>
        <item x="17"/>
        <item x="18"/>
        <item x="19"/>
        <item m="1" x="152"/>
        <item x="75"/>
        <item x="76"/>
        <item x="20"/>
        <item m="1" x="153"/>
        <item m="1" x="103"/>
        <item x="21"/>
        <item x="22"/>
        <item m="1" x="154"/>
        <item m="1" x="155"/>
        <item m="1" x="156"/>
        <item m="1" x="104"/>
        <item m="1" x="105"/>
        <item m="1" x="157"/>
        <item m="1" x="158"/>
        <item x="85"/>
        <item x="23"/>
        <item x="87"/>
        <item m="1" x="159"/>
        <item m="1" x="107"/>
        <item m="1" x="160"/>
        <item x="92"/>
        <item m="1" x="161"/>
        <item x="93"/>
        <item x="24"/>
        <item m="1" x="162"/>
        <item m="1" x="163"/>
        <item m="1" x="112"/>
        <item x="96"/>
        <item m="1" x="110"/>
        <item m="1" x="164"/>
        <item m="1" x="165"/>
        <item m="1" x="166"/>
        <item x="26"/>
        <item m="1" x="167"/>
        <item m="1" x="168"/>
        <item m="1" x="108"/>
        <item x="29"/>
        <item x="30"/>
        <item x="32"/>
        <item m="1" x="102"/>
        <item x="35"/>
        <item x="38"/>
        <item m="1" x="111"/>
        <item x="45"/>
        <item x="47"/>
        <item x="48"/>
        <item x="49"/>
        <item x="50"/>
        <item x="51"/>
        <item x="56"/>
        <item x="58"/>
        <item x="59"/>
        <item m="1" x="106"/>
        <item x="72"/>
        <item x="77"/>
        <item x="78"/>
        <item x="80"/>
        <item x="83"/>
        <item x="84"/>
        <item x="91"/>
        <item m="1" x="109"/>
        <item x="99"/>
        <item x="101"/>
        <item x="39"/>
        <item x="74"/>
        <item x="97"/>
        <item x="86"/>
        <item x="88"/>
        <item x="95"/>
        <item x="62"/>
        <item x="89"/>
        <item x="60"/>
        <item x="81"/>
        <item x="82"/>
        <item x="69"/>
        <item x="33"/>
        <item x="64"/>
        <item x="36"/>
        <item x="94"/>
        <item x="70"/>
        <item x="66"/>
        <item x="54"/>
        <item x="79"/>
        <item x="61"/>
        <item x="90"/>
        <item x="31"/>
        <item x="44"/>
        <item x="63"/>
        <item x="100"/>
        <item x="71"/>
        <item x="53"/>
        <item x="98"/>
        <item x="4"/>
        <item x="5"/>
        <item x="25"/>
        <item t="default"/>
      </items>
    </pivotField>
    <pivotField dataField="1" showAll="0"/>
    <pivotField dataField="1" showAll="0"/>
    <pivotField dataField="1" showAll="0"/>
    <pivotField showAll="0"/>
    <pivotField showAll="0">
      <items count="24">
        <item m="1" x="9"/>
        <item m="1" x="14"/>
        <item m="1" x="16"/>
        <item m="1" x="19"/>
        <item m="1" x="7"/>
        <item m="1" x="13"/>
        <item m="1" x="3"/>
        <item m="1" x="17"/>
        <item m="1" x="18"/>
        <item m="1" x="6"/>
        <item m="1" x="15"/>
        <item m="1" x="11"/>
        <item m="1" x="1"/>
        <item m="1" x="20"/>
        <item m="1" x="12"/>
        <item m="1" x="8"/>
        <item m="1" x="5"/>
        <item m="1" x="2"/>
        <item m="1" x="21"/>
        <item m="1" x="10"/>
        <item m="1" x="22"/>
        <item m="1" x="4"/>
        <item x="0"/>
        <item t="default"/>
      </items>
    </pivotField>
    <pivotField showAll="0">
      <items count="6">
        <item m="1" x="4"/>
        <item m="1" x="3"/>
        <item x="1"/>
        <item m="1" x="2"/>
        <item x="0"/>
        <item t="default"/>
      </items>
    </pivotField>
    <pivotField showAll="0"/>
    <pivotField showAll="0">
      <items count="15">
        <item x="0"/>
        <item h="1" x="1"/>
        <item h="1" x="2"/>
        <item h="1" x="3"/>
        <item h="1" x="4"/>
        <item h="1" x="5"/>
        <item h="1" x="6"/>
        <item h="1" x="7"/>
        <item h="1" x="8"/>
        <item h="1" x="9"/>
        <item h="1" x="10"/>
        <item x="11"/>
        <item h="1" x="12"/>
        <item h="1" x="13"/>
        <item t="default"/>
      </items>
    </pivotField>
    <pivotField showAll="0">
      <items count="4">
        <item x="1"/>
        <item x="0"/>
        <item x="2"/>
        <item t="default"/>
      </items>
    </pivotField>
  </pivotFields>
  <rowFields count="1">
    <field x="1"/>
  </rowFields>
  <rowItems count="1">
    <i>
      <x v="136"/>
    </i>
  </rowItems>
  <colFields count="1">
    <field x="-2"/>
  </colFields>
  <colItems count="3">
    <i>
      <x/>
    </i>
    <i i="1">
      <x v="1"/>
    </i>
    <i i="2">
      <x v="2"/>
    </i>
  </colItems>
  <dataFields count="3">
    <dataField name="Sum of Total Available" fld="2" baseField="0" baseItem="0"/>
    <dataField name="Sum of Used" fld="3" baseField="0" baseItem="0"/>
    <dataField name="Sum of Left Out" fld="4" baseField="0" baseItem="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ED9CE2-766A-4D3F-8261-2E1ED4D57A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6:X49" firstHeaderRow="0" firstDataRow="1" firstDataCol="1"/>
  <pivotFields count="12">
    <pivotField showAll="0"/>
    <pivotField axis="axisRow" showAll="0">
      <items count="223">
        <item m="1" x="42"/>
        <item m="1" x="43"/>
        <item m="1" x="44"/>
        <item m="1" x="45"/>
        <item m="1" x="46"/>
        <item x="17"/>
        <item m="1" x="47"/>
        <item x="35"/>
        <item x="15"/>
        <item m="1" x="48"/>
        <item m="1" x="49"/>
        <item x="18"/>
        <item m="1" x="50"/>
        <item x="33"/>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x="9"/>
        <item x="14"/>
        <item m="1" x="90"/>
        <item m="1" x="91"/>
        <item x="23"/>
        <item m="1" x="92"/>
        <item x="0"/>
        <item m="1" x="93"/>
        <item m="1" x="94"/>
        <item m="1" x="95"/>
        <item m="1" x="96"/>
        <item m="1" x="97"/>
        <item m="1" x="98"/>
        <item m="1" x="99"/>
        <item m="1" x="100"/>
        <item m="1" x="101"/>
        <item x="3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x="41"/>
        <item m="1" x="130"/>
        <item m="1" x="131"/>
        <item x="34"/>
        <item m="1" x="132"/>
        <item m="1" x="133"/>
        <item m="1" x="134"/>
        <item m="1" x="135"/>
        <item m="1" x="136"/>
        <item m="1" x="137"/>
        <item m="1" x="138"/>
        <item m="1" x="139"/>
        <item m="1" x="140"/>
        <item m="1" x="141"/>
        <item m="1" x="142"/>
        <item m="1" x="143"/>
        <item m="1" x="144"/>
        <item m="1" x="145"/>
        <item m="1" x="146"/>
        <item m="1" x="147"/>
        <item x="12"/>
        <item m="1" x="148"/>
        <item m="1" x="149"/>
        <item m="1" x="150"/>
        <item m="1" x="151"/>
        <item m="1" x="152"/>
        <item m="1" x="153"/>
        <item m="1" x="154"/>
        <item m="1" x="155"/>
        <item x="16"/>
        <item m="1" x="156"/>
        <item m="1" x="221"/>
        <item x="7"/>
        <item x="25"/>
        <item m="1" x="157"/>
        <item m="1" x="158"/>
        <item m="1" x="159"/>
        <item m="1" x="160"/>
        <item m="1" x="161"/>
        <item m="1" x="162"/>
        <item m="1" x="163"/>
        <item m="1" x="164"/>
        <item m="1" x="165"/>
        <item m="1" x="166"/>
        <item m="1" x="167"/>
        <item m="1" x="168"/>
        <item x="19"/>
        <item x="11"/>
        <item m="1" x="169"/>
        <item m="1" x="170"/>
        <item x="20"/>
        <item x="39"/>
        <item x="6"/>
        <item x="32"/>
        <item m="1" x="171"/>
        <item m="1" x="172"/>
        <item m="1" x="173"/>
        <item m="1" x="174"/>
        <item m="1" x="175"/>
        <item m="1" x="176"/>
        <item x="29"/>
        <item x="28"/>
        <item x="36"/>
        <item m="1" x="177"/>
        <item m="1" x="178"/>
        <item m="1" x="179"/>
        <item m="1" x="180"/>
        <item m="1" x="181"/>
        <item m="1" x="182"/>
        <item m="1" x="183"/>
        <item m="1" x="184"/>
        <item m="1" x="185"/>
        <item m="1" x="186"/>
        <item m="1" x="187"/>
        <item m="1" x="188"/>
        <item m="1" x="189"/>
        <item m="1" x="190"/>
        <item x="40"/>
        <item m="1" x="191"/>
        <item m="1" x="192"/>
        <item m="1" x="193"/>
        <item m="1" x="194"/>
        <item x="22"/>
        <item x="5"/>
        <item m="1" x="195"/>
        <item m="1" x="196"/>
        <item m="1" x="197"/>
        <item m="1" x="198"/>
        <item m="1" x="199"/>
        <item m="1" x="200"/>
        <item m="1" x="201"/>
        <item m="1" x="202"/>
        <item m="1" x="203"/>
        <item m="1" x="204"/>
        <item x="10"/>
        <item m="1" x="205"/>
        <item m="1" x="206"/>
        <item m="1" x="207"/>
        <item m="1" x="208"/>
        <item m="1" x="209"/>
        <item m="1" x="210"/>
        <item m="1" x="211"/>
        <item m="1" x="212"/>
        <item m="1" x="219"/>
        <item x="8"/>
        <item x="30"/>
        <item x="21"/>
        <item m="1" x="213"/>
        <item m="1" x="214"/>
        <item m="1" x="215"/>
        <item m="1" x="216"/>
        <item m="1" x="217"/>
        <item x="37"/>
        <item x="4"/>
        <item m="1" x="218"/>
        <item x="1"/>
        <item x="2"/>
        <item x="3"/>
        <item m="1" x="220"/>
        <item x="38"/>
        <item x="24"/>
        <item x="13"/>
        <item x="26"/>
        <item x="27"/>
        <item t="default"/>
      </items>
    </pivotField>
    <pivotField showAll="0"/>
    <pivotField showAll="0">
      <items count="5">
        <item x="0"/>
        <item m="1" x="2"/>
        <item x="1"/>
        <item m="1" x="3"/>
        <item t="default"/>
      </items>
    </pivotField>
    <pivotField dataField="1" showAll="0"/>
    <pivotField showAll="0"/>
    <pivotField showAll="0"/>
    <pivotField dataField="1" showAll="0"/>
    <pivotField dataField="1" showAll="0"/>
    <pivotField showAll="0"/>
    <pivotField showAll="0"/>
    <pivotField showAll="0"/>
  </pivotFields>
  <rowFields count="1">
    <field x="1"/>
  </rowFields>
  <rowItems count="43">
    <i>
      <x v="5"/>
    </i>
    <i>
      <x v="7"/>
    </i>
    <i>
      <x v="8"/>
    </i>
    <i>
      <x v="11"/>
    </i>
    <i>
      <x v="13"/>
    </i>
    <i>
      <x v="53"/>
    </i>
    <i>
      <x v="54"/>
    </i>
    <i>
      <x v="57"/>
    </i>
    <i>
      <x v="59"/>
    </i>
    <i>
      <x v="69"/>
    </i>
    <i>
      <x v="98"/>
    </i>
    <i>
      <x v="101"/>
    </i>
    <i>
      <x v="118"/>
    </i>
    <i>
      <x v="127"/>
    </i>
    <i>
      <x v="130"/>
    </i>
    <i>
      <x v="131"/>
    </i>
    <i>
      <x v="144"/>
    </i>
    <i>
      <x v="145"/>
    </i>
    <i>
      <x v="148"/>
    </i>
    <i>
      <x v="149"/>
    </i>
    <i>
      <x v="150"/>
    </i>
    <i>
      <x v="151"/>
    </i>
    <i>
      <x v="158"/>
    </i>
    <i>
      <x v="159"/>
    </i>
    <i>
      <x v="160"/>
    </i>
    <i>
      <x v="175"/>
    </i>
    <i>
      <x v="180"/>
    </i>
    <i>
      <x v="181"/>
    </i>
    <i>
      <x v="192"/>
    </i>
    <i>
      <x v="202"/>
    </i>
    <i>
      <x v="203"/>
    </i>
    <i>
      <x v="204"/>
    </i>
    <i>
      <x v="210"/>
    </i>
    <i>
      <x v="211"/>
    </i>
    <i>
      <x v="213"/>
    </i>
    <i>
      <x v="214"/>
    </i>
    <i>
      <x v="215"/>
    </i>
    <i>
      <x v="217"/>
    </i>
    <i>
      <x v="218"/>
    </i>
    <i>
      <x v="219"/>
    </i>
    <i>
      <x v="220"/>
    </i>
    <i>
      <x v="221"/>
    </i>
    <i t="grand">
      <x/>
    </i>
  </rowItems>
  <colFields count="1">
    <field x="-2"/>
  </colFields>
  <colItems count="3">
    <i>
      <x/>
    </i>
    <i i="1">
      <x v="1"/>
    </i>
    <i i="2">
      <x v="2"/>
    </i>
  </colItems>
  <dataFields count="3">
    <dataField name="Sum of Cost of Making" fld="4" baseField="0" baseItem="0"/>
    <dataField name="Sum of Margin Value" fld="7" baseField="0" baseItem="0"/>
    <dataField name="Sum of Our Prizing" fld="8" baseField="1" baseItem="2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3F8D56-3EA8-4997-A339-CAB689915A27}"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7:P73" firstHeaderRow="0" firstDataRow="1" firstDataCol="1"/>
  <pivotFields count="9">
    <pivotField showAll="0"/>
    <pivotField axis="axisRow" showAll="0">
      <items count="143">
        <item m="1" x="133"/>
        <item m="1" x="83"/>
        <item m="1" x="109"/>
        <item m="1" x="81"/>
        <item m="1" x="138"/>
        <item m="1" x="82"/>
        <item m="1" x="84"/>
        <item m="1" x="118"/>
        <item m="1" x="126"/>
        <item x="59"/>
        <item m="1" x="85"/>
        <item x="40"/>
        <item m="1" x="93"/>
        <item m="1" x="129"/>
        <item m="1" x="141"/>
        <item m="1" x="69"/>
        <item x="60"/>
        <item m="1" x="87"/>
        <item m="1" x="91"/>
        <item m="1" x="92"/>
        <item m="1" x="135"/>
        <item m="1" x="89"/>
        <item x="4"/>
        <item x="2"/>
        <item x="37"/>
        <item m="1" x="78"/>
        <item x="26"/>
        <item m="1" x="127"/>
        <item x="21"/>
        <item m="1" x="65"/>
        <item m="1" x="80"/>
        <item x="57"/>
        <item m="1" x="86"/>
        <item x="15"/>
        <item x="50"/>
        <item x="0"/>
        <item m="1" x="121"/>
        <item m="1" x="75"/>
        <item x="13"/>
        <item x="7"/>
        <item x="35"/>
        <item x="6"/>
        <item x="63"/>
        <item m="1" x="94"/>
        <item m="1" x="99"/>
        <item m="1" x="132"/>
        <item x="22"/>
        <item m="1" x="100"/>
        <item x="42"/>
        <item m="1" x="120"/>
        <item m="1" x="79"/>
        <item m="1" x="136"/>
        <item m="1" x="134"/>
        <item m="1" x="104"/>
        <item m="1" x="105"/>
        <item x="38"/>
        <item m="1" x="106"/>
        <item x="8"/>
        <item m="1" x="67"/>
        <item x="52"/>
        <item m="1" x="107"/>
        <item m="1" x="101"/>
        <item m="1" x="108"/>
        <item m="1" x="98"/>
        <item m="1" x="123"/>
        <item m="1" x="95"/>
        <item m="1" x="124"/>
        <item m="1" x="73"/>
        <item x="29"/>
        <item x="47"/>
        <item m="1" x="110"/>
        <item m="1" x="96"/>
        <item m="1" x="111"/>
        <item m="1" x="70"/>
        <item x="43"/>
        <item x="25"/>
        <item m="1" x="112"/>
        <item m="1" x="76"/>
        <item m="1" x="137"/>
        <item m="1" x="113"/>
        <item x="44"/>
        <item m="1" x="97"/>
        <item m="1" x="102"/>
        <item m="1" x="103"/>
        <item m="1" x="140"/>
        <item m="1" x="68"/>
        <item m="1" x="88"/>
        <item m="1" x="114"/>
        <item x="23"/>
        <item x="54"/>
        <item m="1" x="74"/>
        <item m="1" x="71"/>
        <item m="1" x="72"/>
        <item x="61"/>
        <item x="27"/>
        <item x="30"/>
        <item x="46"/>
        <item m="1" x="125"/>
        <item m="1" x="139"/>
        <item m="1" x="122"/>
        <item x="9"/>
        <item m="1" x="119"/>
        <item m="1" x="77"/>
        <item m="1" x="90"/>
        <item x="64"/>
        <item m="1" x="115"/>
        <item m="1" x="128"/>
        <item m="1" x="66"/>
        <item m="1" x="130"/>
        <item m="1" x="131"/>
        <item x="11"/>
        <item x="62"/>
        <item x="3"/>
        <item x="1"/>
        <item x="16"/>
        <item x="10"/>
        <item x="55"/>
        <item x="20"/>
        <item x="41"/>
        <item x="36"/>
        <item x="17"/>
        <item x="28"/>
        <item x="56"/>
        <item x="18"/>
        <item x="53"/>
        <item x="14"/>
        <item x="45"/>
        <item x="19"/>
        <item x="12"/>
        <item x="32"/>
        <item x="24"/>
        <item x="31"/>
        <item x="33"/>
        <item x="34"/>
        <item x="51"/>
        <item x="39"/>
        <item m="1" x="116"/>
        <item m="1" x="117"/>
        <item x="5"/>
        <item x="58"/>
        <item x="48"/>
        <item x="49"/>
        <item t="default"/>
      </items>
    </pivotField>
    <pivotField showAll="0"/>
    <pivotField showAll="0"/>
    <pivotField dataField="1" showAll="0"/>
    <pivotField dataField="1" showAll="0"/>
    <pivotField dataField="1" showAll="0"/>
    <pivotField showAll="0"/>
    <pivotField showAll="0"/>
  </pivotFields>
  <rowFields count="1">
    <field x="1"/>
  </rowFields>
  <rowItems count="66">
    <i>
      <x v="9"/>
    </i>
    <i>
      <x v="11"/>
    </i>
    <i>
      <x v="16"/>
    </i>
    <i>
      <x v="22"/>
    </i>
    <i>
      <x v="23"/>
    </i>
    <i>
      <x v="24"/>
    </i>
    <i>
      <x v="26"/>
    </i>
    <i>
      <x v="28"/>
    </i>
    <i>
      <x v="31"/>
    </i>
    <i>
      <x v="33"/>
    </i>
    <i>
      <x v="34"/>
    </i>
    <i>
      <x v="35"/>
    </i>
    <i>
      <x v="38"/>
    </i>
    <i>
      <x v="39"/>
    </i>
    <i>
      <x v="40"/>
    </i>
    <i>
      <x v="41"/>
    </i>
    <i>
      <x v="42"/>
    </i>
    <i>
      <x v="46"/>
    </i>
    <i>
      <x v="48"/>
    </i>
    <i>
      <x v="55"/>
    </i>
    <i>
      <x v="57"/>
    </i>
    <i>
      <x v="59"/>
    </i>
    <i>
      <x v="68"/>
    </i>
    <i>
      <x v="69"/>
    </i>
    <i>
      <x v="74"/>
    </i>
    <i>
      <x v="75"/>
    </i>
    <i>
      <x v="80"/>
    </i>
    <i>
      <x v="88"/>
    </i>
    <i>
      <x v="89"/>
    </i>
    <i>
      <x v="93"/>
    </i>
    <i>
      <x v="94"/>
    </i>
    <i>
      <x v="95"/>
    </i>
    <i>
      <x v="96"/>
    </i>
    <i>
      <x v="100"/>
    </i>
    <i>
      <x v="104"/>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8"/>
    </i>
    <i>
      <x v="139"/>
    </i>
    <i>
      <x v="140"/>
    </i>
    <i>
      <x v="141"/>
    </i>
    <i t="grand">
      <x/>
    </i>
  </rowItems>
  <colFields count="1">
    <field x="-2"/>
  </colFields>
  <colItems count="3">
    <i>
      <x/>
    </i>
    <i i="1">
      <x v="1"/>
    </i>
    <i i="2">
      <x v="2"/>
    </i>
  </colItems>
  <dataFields count="3">
    <dataField name="Sum of Cost Per Dish Per Item" fld="6" baseField="0" baseItem="0"/>
    <dataField name="Sum of Units" fld="4" baseField="0" baseItem="0"/>
    <dataField name="Sum of Materials Used" fld="5" baseField="0" baseItem="0"/>
  </dataFields>
  <chartFormats count="1">
    <chartFormat chart="1" format="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AEE45F-769A-4BFE-9CB2-DF69C349404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B7:AF10" firstHeaderRow="0" firstDataRow="1" firstDataCol="1"/>
  <pivotFields count="23">
    <pivotField showAll="0">
      <items count="5">
        <item m="1" x="3"/>
        <item x="2"/>
        <item x="0"/>
        <item x="1"/>
        <item t="default"/>
      </items>
    </pivotField>
    <pivotField showAll="0"/>
    <pivotField showAll="0">
      <items count="4">
        <item x="0"/>
        <item m="1" x="2"/>
        <item x="1"/>
        <item t="default"/>
      </items>
    </pivotField>
    <pivotField axis="axisRow" showAll="0">
      <items count="9">
        <item m="1" x="7"/>
        <item m="1" x="2"/>
        <item m="1" x="3"/>
        <item m="1" x="4"/>
        <item m="1" x="6"/>
        <item m="1" x="5"/>
        <item x="1"/>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4">
        <item x="1"/>
        <item x="0"/>
        <item x="2"/>
        <item t="default"/>
      </items>
    </pivotField>
  </pivotFields>
  <rowFields count="1">
    <field x="3"/>
  </rowFields>
  <rowItems count="3">
    <i>
      <x v="6"/>
    </i>
    <i>
      <x v="7"/>
    </i>
    <i t="grand">
      <x/>
    </i>
  </rowItems>
  <colFields count="1">
    <field x="-2"/>
  </colFields>
  <colItems count="4">
    <i>
      <x/>
    </i>
    <i i="1">
      <x v="1"/>
    </i>
    <i i="2">
      <x v="2"/>
    </i>
    <i i="3">
      <x v="3"/>
    </i>
  </colItems>
  <dataFields count="4">
    <dataField name="Count of Quantity Sold" fld="4" subtotal="count" baseField="1" baseItem="0"/>
    <dataField name="Sum of Cost Price per Unit" fld="5" baseField="1" baseItem="0"/>
    <dataField name="Average of Profit on 10%" fld="16" subtotal="average" baseField="1" baseItem="0"/>
    <dataField name="Average of Profit on 30%" fld="19" subtotal="average" baseField="1"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E843AE-CE15-4810-B728-59FB00ECCA45}"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6:O90" firstHeaderRow="0" firstDataRow="1" firstDataCol="1"/>
  <pivotFields count="8">
    <pivotField showAll="0"/>
    <pivotField axis="axisRow" showAll="0" sortType="ascending">
      <items count="96">
        <item m="1" x="91"/>
        <item m="1" x="93"/>
        <item m="1" x="86"/>
        <item x="75"/>
        <item x="44"/>
        <item x="0"/>
        <item x="79"/>
        <item x="18"/>
        <item x="52"/>
        <item m="1" x="89"/>
        <item x="16"/>
        <item x="47"/>
        <item x="9"/>
        <item x="80"/>
        <item x="13"/>
        <item x="81"/>
        <item x="29"/>
        <item x="8"/>
        <item x="64"/>
        <item m="1" x="85"/>
        <item x="62"/>
        <item x="3"/>
        <item x="65"/>
        <item x="4"/>
        <item x="28"/>
        <item x="48"/>
        <item m="1" x="88"/>
        <item x="57"/>
        <item x="19"/>
        <item x="74"/>
        <item x="36"/>
        <item x="5"/>
        <item x="14"/>
        <item x="34"/>
        <item m="1" x="83"/>
        <item x="77"/>
        <item x="10"/>
        <item x="51"/>
        <item x="24"/>
        <item x="38"/>
        <item x="15"/>
        <item x="53"/>
        <item x="26"/>
        <item x="40"/>
        <item x="43"/>
        <item x="1"/>
        <item x="22"/>
        <item m="1" x="90"/>
        <item x="58"/>
        <item x="46"/>
        <item x="45"/>
        <item x="7"/>
        <item x="20"/>
        <item x="70"/>
        <item x="11"/>
        <item x="2"/>
        <item x="49"/>
        <item x="59"/>
        <item x="35"/>
        <item x="69"/>
        <item x="66"/>
        <item x="41"/>
        <item x="42"/>
        <item x="78"/>
        <item x="23"/>
        <item x="17"/>
        <item x="30"/>
        <item x="67"/>
        <item x="31"/>
        <item x="76"/>
        <item x="25"/>
        <item x="37"/>
        <item x="32"/>
        <item x="60"/>
        <item x="68"/>
        <item x="27"/>
        <item x="33"/>
        <item x="73"/>
        <item x="50"/>
        <item x="12"/>
        <item x="55"/>
        <item x="21"/>
        <item x="72"/>
        <item m="1" x="84"/>
        <item x="63"/>
        <item x="39"/>
        <item m="1" x="94"/>
        <item x="56"/>
        <item x="6"/>
        <item m="1" x="92"/>
        <item m="1" x="87"/>
        <item x="54"/>
        <item x="61"/>
        <item x="71"/>
        <item x="82"/>
        <item t="default"/>
      </items>
    </pivotField>
    <pivotField dataField="1" showAll="0"/>
    <pivotField showAll="0"/>
    <pivotField showAll="0"/>
    <pivotField dataField="1" showAll="0"/>
    <pivotField dataField="1" showAll="0"/>
    <pivotField showAll="0"/>
  </pivotFields>
  <rowFields count="1">
    <field x="1"/>
  </rowFields>
  <rowItems count="84">
    <i>
      <x v="3"/>
    </i>
    <i>
      <x v="4"/>
    </i>
    <i>
      <x v="5"/>
    </i>
    <i>
      <x v="6"/>
    </i>
    <i>
      <x v="7"/>
    </i>
    <i>
      <x v="8"/>
    </i>
    <i>
      <x v="10"/>
    </i>
    <i>
      <x v="11"/>
    </i>
    <i>
      <x v="12"/>
    </i>
    <i>
      <x v="13"/>
    </i>
    <i>
      <x v="14"/>
    </i>
    <i>
      <x v="15"/>
    </i>
    <i>
      <x v="16"/>
    </i>
    <i>
      <x v="17"/>
    </i>
    <i>
      <x v="18"/>
    </i>
    <i>
      <x v="20"/>
    </i>
    <i>
      <x v="21"/>
    </i>
    <i>
      <x v="22"/>
    </i>
    <i>
      <x v="23"/>
    </i>
    <i>
      <x v="24"/>
    </i>
    <i>
      <x v="25"/>
    </i>
    <i>
      <x v="27"/>
    </i>
    <i>
      <x v="28"/>
    </i>
    <i>
      <x v="29"/>
    </i>
    <i>
      <x v="30"/>
    </i>
    <i>
      <x v="31"/>
    </i>
    <i>
      <x v="32"/>
    </i>
    <i>
      <x v="33"/>
    </i>
    <i>
      <x v="35"/>
    </i>
    <i>
      <x v="36"/>
    </i>
    <i>
      <x v="37"/>
    </i>
    <i>
      <x v="38"/>
    </i>
    <i>
      <x v="39"/>
    </i>
    <i>
      <x v="40"/>
    </i>
    <i>
      <x v="41"/>
    </i>
    <i>
      <x v="42"/>
    </i>
    <i>
      <x v="43"/>
    </i>
    <i>
      <x v="44"/>
    </i>
    <i>
      <x v="45"/>
    </i>
    <i>
      <x v="46"/>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4"/>
    </i>
    <i>
      <x v="85"/>
    </i>
    <i>
      <x v="87"/>
    </i>
    <i>
      <x v="88"/>
    </i>
    <i>
      <x v="91"/>
    </i>
    <i>
      <x v="92"/>
    </i>
    <i>
      <x v="93"/>
    </i>
    <i>
      <x v="94"/>
    </i>
    <i t="grand">
      <x/>
    </i>
  </rowItems>
  <colFields count="1">
    <field x="-2"/>
  </colFields>
  <colItems count="3">
    <i>
      <x/>
    </i>
    <i i="1">
      <x v="1"/>
    </i>
    <i i="2">
      <x v="2"/>
    </i>
  </colItems>
  <dataFields count="3">
    <dataField name="Sum of Quantity(g/ml)" fld="2" baseField="0" baseItem="0"/>
    <dataField name="Count of Prize Per Gram" fld="5" subtotal="count" baseField="0" baseItem="0"/>
    <dataField name="Sum of Buying Cost" fld="6" baseField="0" baseItem="0"/>
  </dataFields>
  <formats count="4">
    <format dxfId="66">
      <pivotArea field="1" type="button" dataOnly="0" labelOnly="1" outline="0" axis="axisRow" fieldPosition="0"/>
    </format>
    <format dxfId="65">
      <pivotArea dataOnly="0" labelOnly="1" outline="0" axis="axisValues" fieldPosition="0"/>
    </format>
    <format dxfId="64">
      <pivotArea field="1" type="button" dataOnly="0" labelOnly="1" outline="0" axis="axisRow" fieldPosition="0"/>
    </format>
    <format dxfId="6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D5A33C-A782-451C-ADB2-C7CBF785B93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6:N9" firstHeaderRow="1" firstDataRow="1" firstDataCol="1"/>
  <pivotFields count="7">
    <pivotField showAll="0">
      <items count="3">
        <item x="0"/>
        <item x="1"/>
        <item t="default"/>
      </items>
    </pivotField>
    <pivotField axis="axisRow" showAll="0">
      <items count="3">
        <item x="0"/>
        <item x="1"/>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
  </rowFields>
  <rowItems count="3">
    <i>
      <x/>
    </i>
    <i>
      <x v="1"/>
    </i>
    <i t="grand">
      <x/>
    </i>
  </rowItems>
  <colItems count="1">
    <i/>
  </colItems>
  <dataFields count="1">
    <dataField name="Sum of Quantity Wast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159585-86BB-454D-97F5-997BA14CB9D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6:T9" firstHeaderRow="1" firstDataRow="1" firstDataCol="1"/>
  <pivotFields count="7">
    <pivotField showAll="0"/>
    <pivotField axis="axisRow" showAll="0">
      <items count="5">
        <item x="0"/>
        <item m="1" x="3"/>
        <item m="1" x="2"/>
        <item x="1"/>
        <item t="default"/>
      </items>
    </pivotField>
    <pivotField dataField="1"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
  </rowFields>
  <rowItems count="3">
    <i>
      <x/>
    </i>
    <i>
      <x v="3"/>
    </i>
    <i t="grand">
      <x/>
    </i>
  </rowItems>
  <colItems count="1">
    <i/>
  </colItems>
  <dataFields count="1">
    <dataField name="Count of Frequenc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F61931C-B994-4019-B5A2-1C17C50DED2C}" sourceName="Category">
  <pivotTables>
    <pivotTable tabId="2" name="PivotTable1"/>
  </pivotTables>
  <data>
    <tabular pivotCacheId="1699316244">
      <items count="23">
        <i x="0" s="1"/>
        <i x="9" s="1" nd="1"/>
        <i x="14" s="1" nd="1"/>
        <i x="16" s="1" nd="1"/>
        <i x="19" s="1" nd="1"/>
        <i x="7" s="1" nd="1"/>
        <i x="13" s="1" nd="1"/>
        <i x="3" s="1" nd="1"/>
        <i x="17" s="1" nd="1"/>
        <i x="18" s="1" nd="1"/>
        <i x="6" s="1" nd="1"/>
        <i x="15" s="1" nd="1"/>
        <i x="11" s="1" nd="1"/>
        <i x="1" s="1" nd="1"/>
        <i x="20" s="1" nd="1"/>
        <i x="12" s="1" nd="1"/>
        <i x="8" s="1" nd="1"/>
        <i x="5" s="1" nd="1"/>
        <i x="2" s="1" nd="1"/>
        <i x="21" s="1" nd="1"/>
        <i x="10" s="1" nd="1"/>
        <i x="22" s="1" nd="1"/>
        <i x="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LaST_coMPLETED" xr10:uid="{D296A885-42B8-419A-BD36-534B401D2AE5}" sourceName="Months (LaST coMPLETED)">
  <pivotTables>
    <pivotTable tabId="9" name="PivotTable3"/>
  </pivotTables>
  <data>
    <tabular pivotCacheId="1580912350">
      <items count="14">
        <i x="1" s="1" nd="1"/>
        <i x="2" s="1" nd="1"/>
        <i x="3" s="1" nd="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LaST_coMPLETED" xr10:uid="{66011D9D-8E98-442D-9ADC-CA3121F60309}" sourceName="Years (LaST coMPLETED)">
  <pivotTables>
    <pivotTable tabId="9" name="PivotTable3"/>
  </pivotTables>
  <data>
    <tabular pivotCacheId="1580912350">
      <items count="3">
        <i x="0" s="1" nd="1"/>
        <i x="2" s="1" nd="1"/>
        <i x="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Last_Updated" xr10:uid="{63D1278F-07AA-4CEE-BF44-282720D04554}" sourceName="Months (Last Updated)">
  <pivotTables>
    <pivotTable tabId="2" name="PivotTable1"/>
  </pivotTables>
  <data>
    <tabular pivotCacheId="1699316244">
      <items count="14">
        <i x="12"/>
        <i x="0" s="1"/>
        <i x="1" nd="1"/>
        <i x="2" nd="1"/>
        <i x="3" nd="1"/>
        <i x="4" nd="1"/>
        <i x="5" nd="1"/>
        <i x="6" nd="1"/>
        <i x="7" nd="1"/>
        <i x="8" nd="1"/>
        <i x="9" nd="1"/>
        <i x="10" nd="1"/>
        <i x="11" s="1" nd="1"/>
        <i x="1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Last_Updated" xr10:uid="{C41C41ED-64A5-4004-82D7-B2F4416CCB54}" sourceName="Years (Last Updated)">
  <pivotTables>
    <pivotTable tabId="2" name="PivotTable1"/>
  </pivotTables>
  <data>
    <tabular pivotCacheId="1699316244">
      <items count="3">
        <i x="0" s="1"/>
        <i x="2" s="1" nd="1"/>
        <i x="1"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fficulty_Level" xr10:uid="{2454E069-4C4C-48FF-A008-126ECB49A814}" sourceName="Difficulty Level">
  <pivotTables>
    <pivotTable tabId="3" name="PivotTable2"/>
  </pivotTables>
  <data>
    <tabular pivotCacheId="1211358926">
      <items count="4">
        <i x="0" s="1"/>
        <i x="1" s="1"/>
        <i x="2"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F16559F-6716-45FA-BBD5-7B2D9B9D64A5}" sourceName="Months (Date)">
  <pivotTables>
    <pivotTable tabId="5" name="PivotTable1"/>
  </pivotTables>
  <data>
    <tabular pivotCacheId="1092369230">
      <items count="14">
        <i x="12" s="1"/>
        <i x="0" s="1"/>
        <i x="1" s="1" nd="1"/>
        <i x="2" s="1" nd="1"/>
        <i x="3" s="1" nd="1"/>
        <i x="4" s="1" nd="1"/>
        <i x="5" s="1" nd="1"/>
        <i x="6" s="1" nd="1"/>
        <i x="7" s="1" nd="1"/>
        <i x="8" s="1" nd="1"/>
        <i x="9" s="1" nd="1"/>
        <i x="10" s="1" nd="1"/>
        <i x="11" s="1" nd="1"/>
        <i x="1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5B89CEF-0DF2-46C1-A19D-E83A0A96551B}" sourceName="Years (Date)">
  <pivotTables>
    <pivotTable tabId="5" name="PivotTable1"/>
  </pivotTables>
  <data>
    <tabular pivotCacheId="1092369230">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 xr10:uid="{D9FCD813-2236-4CD7-9785-9AD21DE1000A}" sourceName="App">
  <pivotTables>
    <pivotTable tabId="5" name="PivotTable1"/>
  </pivotTables>
  <data>
    <tabular pivotCacheId="1092369230">
      <items count="3">
        <i x="0" s="1"/>
        <i x="1" s="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Y" xr10:uid="{21D0DE2D-4ED2-4DB3-BDBE-84D9AFA4ADC4}" sourceName="Months (DAY)">
  <pivotTables>
    <pivotTable tabId="7" name="PivotTable2"/>
  </pivotTables>
  <data>
    <tabular pivotCacheId="1382703400">
      <items count="14">
        <i x="10" s="1"/>
        <i x="1" s="1" nd="1"/>
        <i x="2" s="1" nd="1"/>
        <i x="3" s="1" nd="1"/>
        <i x="4" s="1" nd="1"/>
        <i x="5" s="1" nd="1"/>
        <i x="6" s="1" nd="1"/>
        <i x="7" s="1" nd="1"/>
        <i x="8" s="1" nd="1"/>
        <i x="9"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Y" xr10:uid="{78EAFF1D-741F-419B-8317-EBB218DE3B67}" sourceName="Years (DAY)">
  <pivotTables>
    <pivotTable tabId="7" name="PivotTable2"/>
  </pivotTables>
  <data>
    <tabular pivotCacheId="1382703400">
      <items count="3">
        <i x="1" s="1"/>
        <i x="0"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20CE73A-AC2D-4E4A-9C5D-0FD005F41857}" cache="Slicer_Category" caption="Category" style="SlicerStyleDark5" rowHeight="241300"/>
  <slicer name="Months (Last Updated)" xr10:uid="{708BC4C0-8378-46D0-835E-0CD12F486779}" cache="Slicer_Months__Last_Updated" caption="Months (Last Updated)" style="SlicerStyleDark2" rowHeight="241300"/>
  <slicer name="Years (Last Updated)" xr10:uid="{347CEE58-8702-4ABA-AA73-E2363D5E6693}" cache="Slicer_Years__Last_Updated" caption="Years (Last Updated)" style="SlicerStyleDark2" rowHeight="241300"/>
  <slicer name="Difficulty Level" xr10:uid="{75341EA4-3D19-48C5-8E21-F7E19EDA43BC}" cache="Slicer_Difficulty_Level" caption="Difficulty Lev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E32B7800-0517-4E1F-A459-0FC8DB4E5AFF}" cache="Slicer_Months__Date" caption="Months (Date)" rowHeight="241300"/>
  <slicer name="Years (Date)" xr10:uid="{29F1880C-6532-458A-9A3D-2902557A0E43}" cache="Slicer_Years__Date" caption="Years (Date)" rowHeight="241300"/>
  <slicer name="App" xr10:uid="{44213BAB-A3E9-4A84-95E7-8243743517BE}" cache="Slicer_App" caption="App"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Y)" xr10:uid="{4E96E8B9-9DE1-4BBE-B058-CCBF7A9C6530}" cache="Slicer_Months__DAY" caption="Months (DAY)" rowHeight="241300"/>
  <slicer name="Years (DAY)" xr10:uid="{2B43A8FD-A344-4E33-B04E-7C368FBDBCC8}" cache="Slicer_Years__DAY" caption="Years (DA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LaST coMPLETED)" xr10:uid="{E0918627-42D5-4FB3-BDD2-EED258F064A9}" cache="Slicer_Months__LaST_coMPLETED" caption="Months (LaST coMPLETED)" rowHeight="241300"/>
  <slicer name="Years (LaST coMPLETED)" xr10:uid="{09E2D061-09C4-4483-A2CA-96E286B10CB4}" cache="Slicer_Years__LaST_coMPLETED" caption="Years (LaST coMPLETE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54AE3B-F717-4B4C-85F7-E2D9B45452C7}" name="Inventorytable" displayName="Inventorytable" ref="A6:I113" totalsRowShown="0" headerRowDxfId="136">
  <autoFilter ref="A6:I113" xr:uid="{6454AE3B-F717-4B4C-85F7-E2D9B45452C7}"/>
  <sortState xmlns:xlrd2="http://schemas.microsoft.com/office/spreadsheetml/2017/richdata2" ref="A7:I111">
    <sortCondition sortBy="cellColor" ref="F6:F111" dxfId="135"/>
  </sortState>
  <tableColumns count="9">
    <tableColumn id="1" xr3:uid="{E182E6F6-B647-4639-A06F-CD12A2A5E4F5}" name="S.NO" dataDxfId="134"/>
    <tableColumn id="2" xr3:uid="{C5CFD8B7-DF58-4CA3-A4C2-9339CA7B095C}" name="Ingriedients" dataDxfId="133"/>
    <tableColumn id="7" xr3:uid="{63ABAF76-D7F7-4EE1-913E-EAE30DE0C6B8}" name="Total Available" dataDxfId="132">
      <calculatedColumnFormula>SUMIF(Shoppingtable[Item Name],Inventorytable[[#This Row],[Ingriedients]],Shoppingtable[Quantity(g/ml)])</calculatedColumnFormula>
    </tableColumn>
    <tableColumn id="8" xr3:uid="{B539F44E-FBAB-432E-9DBB-5F4912344293}" name="Used" dataDxfId="131">
      <calculatedColumnFormula>SUMIF(Quantitytable[[Ingredient ]],Inventorytable[[#This Row],[Ingriedients]],Quantitytable[Materials Used])</calculatedColumnFormula>
    </tableColumn>
    <tableColumn id="3" xr3:uid="{F9F323C0-21DC-4B08-B959-21DCA4E13276}" name="Left Out" dataDxfId="130">
      <calculatedColumnFormula>Inventorytable[[#This Row],[Total Available]]-Inventorytable[[#This Row],[Used]]</calculatedColumnFormula>
    </tableColumn>
    <tableColumn id="4" xr3:uid="{A5F50F04-69EF-4254-84D7-8DCA87DCD3B4}" name="Expiry Date" dataDxfId="129"/>
    <tableColumn id="5" xr3:uid="{6BFE2856-3325-4E14-8016-0F547BFC181A}" name="Category" dataDxfId="128"/>
    <tableColumn id="6" xr3:uid="{A2345ADC-2697-4AB3-8863-FB21CED6FA29}" name="Last Updated" dataDxfId="127"/>
    <tableColumn id="11" xr3:uid="{6E8BD450-6B43-424E-9139-741514A05F4D}" name="Life Span" dataDxfId="12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BF2A6AD-D23A-45EC-8D34-0A39E6630D30}" name="mealplanningtable" displayName="mealplanningtable" ref="A6:F13" totalsRowShown="0" headerRowDxfId="45" dataDxfId="44">
  <autoFilter ref="A6:F13" xr:uid="{7BF2A6AD-D23A-45EC-8D34-0A39E6630D30}"/>
  <tableColumns count="6">
    <tableColumn id="1" xr3:uid="{7857BD35-8041-4AA6-9D74-FF523034629D}" name="S.NO" dataDxfId="43"/>
    <tableColumn id="2" xr3:uid="{8B7CA1E8-849D-4EE4-B83E-8956B9171F6D}" name="Day of the week" dataDxfId="42"/>
    <tableColumn id="3" xr3:uid="{E0B8F571-B6F3-4D97-9F99-D63BB1034601}" name="BreakFast" dataDxfId="41"/>
    <tableColumn id="4" xr3:uid="{74A2DE93-B4CC-4FD2-9729-0603996C95BD}" name="Lunch" dataDxfId="40"/>
    <tableColumn id="5" xr3:uid="{875293A1-6C6C-40C6-A6BF-D39B94418CD2}" name="Dinner " dataDxfId="39"/>
    <tableColumn id="6" xr3:uid="{17E462A8-0F52-46D7-89D6-7634840E48BA}" name="Snacks" dataDxfId="3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F756FEE-C074-4F1C-9619-DD5F5C273F88}" name="Maintencetable" displayName="Maintencetable" ref="A6:E9" totalsRowShown="0" headerRowDxfId="37" dataDxfId="36">
  <autoFilter ref="A6:E9" xr:uid="{5F756FEE-C074-4F1C-9619-DD5F5C273F88}"/>
  <tableColumns count="5">
    <tableColumn id="1" xr3:uid="{CB602DC8-85F6-42B6-B5E2-E6C67CB9D312}" name="S.No" dataDxfId="35"/>
    <tableColumn id="2" xr3:uid="{A5E38950-DDCF-46D6-A8B9-CDA35B353787}" name="Task" dataDxfId="34"/>
    <tableColumn id="3" xr3:uid="{77559223-2E4D-4C18-8E48-4CF27611FF95}" name="Frequency" dataDxfId="33"/>
    <tableColumn id="4" xr3:uid="{9DE92DD0-28A3-49B6-925E-87C80569F29D}" name="LaST coMPLETED" dataDxfId="32"/>
    <tableColumn id="5" xr3:uid="{36B61712-F6EB-4141-B0E5-BEB42FD29447}" name="Next Due Date" dataDxfId="3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F1352D-776D-4912-8954-675B64E30E30}" name="Table5" displayName="Table5" ref="O6:Q11" totalsRowShown="0" headerRowDxfId="30" dataDxfId="29">
  <autoFilter ref="O6:Q11" xr:uid="{FEF1352D-776D-4912-8954-675B64E30E30}"/>
  <tableColumns count="3">
    <tableColumn id="1" xr3:uid="{4EBF2E4F-7691-4B39-A2D8-1A2CC477C684}" name="Item" dataDxfId="28"/>
    <tableColumn id="2" xr3:uid="{94FAB185-F3C3-4924-A8CD-5E13DBC65F76}" name="Quantity" dataDxfId="27"/>
    <tableColumn id="3" xr3:uid="{A3210A07-CD4E-4396-B313-99EA6240C526}" name="Mesaure" dataDxfId="2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B1047B8-FBF6-4058-B229-AD31B8466042}" name="Table12" displayName="Table12" ref="H6:M8" totalsRowShown="0" headerRowDxfId="25" dataDxfId="24">
  <autoFilter ref="H6:M8" xr:uid="{0B1047B8-FBF6-4058-B229-AD31B8466042}"/>
  <tableColumns count="6">
    <tableColumn id="1" xr3:uid="{64DA5752-0093-4D20-A166-FA9567F13B32}" name="Usage Estimate" dataDxfId="23"/>
    <tableColumn id="2" xr3:uid="{4F7035B4-1F1D-429C-AB82-55BA85221F55}" name="1Hr" dataDxfId="22">
      <calculatedColumnFormula>0.98*29.5</calculatedColumnFormula>
    </tableColumn>
    <tableColumn id="3" xr3:uid="{8FFE09D6-A9B5-4249-87CC-A358F3A4D60F}" name="2Hr" dataDxfId="21">
      <calculatedColumnFormula>Table12[[#This Row],[1Hr]]*2</calculatedColumnFormula>
    </tableColumn>
    <tableColumn id="4" xr3:uid="{9FE9B5FC-53FF-4B72-A549-8356291F242C}" name="3Hr" dataDxfId="20">
      <calculatedColumnFormula>Table12[[#This Row],[1Hr]]*3</calculatedColumnFormula>
    </tableColumn>
    <tableColumn id="5" xr3:uid="{DF475031-1F1B-4DC9-ACFB-7FE5CE2B090D}" name="4Hr" dataDxfId="19"/>
    <tableColumn id="6" xr3:uid="{BB14C7E9-3F68-4F19-AD2C-01E3F39B427D}" name="5Hr" dataDxfId="1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AA2B206-33E8-46E7-9794-B29A501002C3}" name="Table14" displayName="Table14" ref="A1:D40" totalsRowShown="0" headerRowDxfId="17">
  <autoFilter ref="A1:D40" xr:uid="{0AA2B206-33E8-46E7-9794-B29A501002C3}"/>
  <tableColumns count="4">
    <tableColumn id="1" xr3:uid="{30E6353A-7766-470B-9ECC-E7CD27E63F3A}" name="Item"/>
    <tableColumn id="2" xr3:uid="{7537AD31-0BBE-480F-BC70-AB2B396501D4}" name="Lowest"/>
    <tableColumn id="3" xr3:uid="{E6DC87DA-9DEF-4204-ACCD-06C361799847}" name="Moderate"/>
    <tableColumn id="4" xr3:uid="{E16EFF7E-BF46-4E1A-BFBD-A69C4194B93B}" name="Highes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61FBD7-DF99-4A80-98C1-79DCF2A7DB5F}" name="Categorytable" displayName="Categorytable" ref="S7:S29" totalsRowShown="0" headerRowDxfId="125" dataDxfId="124">
  <autoFilter ref="S7:S29" xr:uid="{E561FBD7-DF99-4A80-98C1-79DCF2A7DB5F}"/>
  <tableColumns count="1">
    <tableColumn id="1" xr3:uid="{37351E18-0E4F-4487-8FE2-18C11625C58B}" name="Category" dataDxfId="1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A50067-96F7-457B-B1DB-279AD34634BC}" name="ingridienttable" displayName="ingridienttable" ref="U7:U97" totalsRowShown="0" headerRowDxfId="122" dataDxfId="121">
  <autoFilter ref="U7:U97" xr:uid="{E7E4D355-F1A4-4E86-B036-A75762997202}"/>
  <tableColumns count="1">
    <tableColumn id="1" xr3:uid="{1C308D02-33E0-452C-BE94-C0660ADA3E05}" name="Ingridients" dataDxfId="1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F7A881-AD24-4286-804C-40024D0771DA}" name="receipetable" displayName="receipetable" ref="A6:L98" totalsRowShown="0" headerRowDxfId="119" dataDxfId="118">
  <autoFilter ref="A6:L98" xr:uid="{D4F7A881-AD24-4286-804C-40024D0771DA}"/>
  <sortState xmlns:xlrd2="http://schemas.microsoft.com/office/spreadsheetml/2017/richdata2" ref="A7:L96">
    <sortCondition ref="A6:A70"/>
  </sortState>
  <tableColumns count="12">
    <tableColumn id="1" xr3:uid="{9C3BCE53-CD84-42A5-B7CA-0FC3ECA0FC43}" name="S.NO" dataDxfId="117"/>
    <tableColumn id="2" xr3:uid="{6AFE4978-0B84-4A2E-8D05-10B64605FE7C}" name="Recipe Name" dataDxfId="116"/>
    <tableColumn id="4" xr3:uid="{054140FF-E407-4A6C-B19F-2F944F2E4F34}" name="Cooking Time" dataDxfId="115"/>
    <tableColumn id="5" xr3:uid="{1315EB74-4BE3-4758-A8A1-860FC54ED0A5}" name="Difficulty Level" dataDxfId="114"/>
    <tableColumn id="7" xr3:uid="{BE3FDAD4-CA8C-47F8-B81C-2A063BE60AE1}" name="Cost of Making" dataDxfId="113">
      <calculatedColumnFormula>SUMIF(Quantitytable[Dish],receipetable[[#This Row],[Recipe Name]],Quantitytable[Cost Per Dish Per Item])</calculatedColumnFormula>
    </tableColumn>
    <tableColumn id="8" xr3:uid="{E24D5256-DCDF-4FE6-96B2-F218C4E06DFC}" name="PKG Cst" dataDxfId="112"/>
    <tableColumn id="10" xr3:uid="{7F4DB33C-47F7-4706-9710-50A0CA88053B}" name="Others Prizing" dataDxfId="111"/>
    <tableColumn id="9" xr3:uid="{4AB51F0E-0B26-4DB7-9934-A9CE32EA3ABE}" name="Margin Value" dataDxfId="110">
      <calculatedColumnFormula>receipetable[[#This Row],[Cost of Making]]+receipetable[[#This Row],[PKG Cst]]</calculatedColumnFormula>
    </tableColumn>
    <tableColumn id="6" xr3:uid="{CFC72354-D361-48FD-B1DA-A1B4487CB4D9}" name="Our Prizing" dataDxfId="109"/>
    <tableColumn id="11" xr3:uid="{8E34CE34-5C46-46E1-898D-10B21CB50CC1}" name="Profit" dataDxfId="108">
      <calculatedColumnFormula>receipetable[[#This Row],[Our Prizing]]-receipetable[[#This Row],[Cost of Making]]-(receipetable[[#This Row],[Our Prizing]]*0.27)-receipetable[[#This Row],[Other Charges]]</calculatedColumnFormula>
    </tableColumn>
    <tableColumn id="14" xr3:uid="{730BC1CE-10D5-4C4C-963A-A82C1C85DCD9}" name="Current Profit %" dataDxfId="107">
      <calculatedColumnFormula>(receipetable[[#This Row],[Our Prizing]]-receipetable[[#This Row],[Cost of Making]]-receipetable[[#This Row],[Other Charges]]-(receipetable[[#This Row],[Our Prizing]]*0.27))/receipetable[[#This Row],[Cost of Making]]</calculatedColumnFormula>
    </tableColumn>
    <tableColumn id="15" xr3:uid="{7563CCF6-70D1-4395-B86D-12292A64D2CB}" name="Other Charges" dataDxfId="1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D7DCBE4-16A8-4027-BC11-FF56B56307EF}" name="Ingredienttablereference" displayName="Ingredienttablereference" ref="R6:T114" totalsRowShown="0" headerRowDxfId="105" dataDxfId="104">
  <autoFilter ref="R6:T114" xr:uid="{2D7DCBE4-16A8-4027-BC11-FF56B56307EF}"/>
  <tableColumns count="3">
    <tableColumn id="1" xr3:uid="{4688E313-0E64-4CDB-8F6C-6CDEA78E1430}" name="Ingredient Ref" dataDxfId="103"/>
    <tableColumn id="2" xr3:uid="{69322594-D8A7-4C84-B47D-039AD93AE343}" name="Sum" dataDxfId="102">
      <calculatedColumnFormula>SUMIF(Quantitytable[[Ingredient ]],Ingredienttablereference[[#This Row],[Ingredient Ref]],Quantitytable[Materials Used])</calculatedColumnFormula>
    </tableColumn>
    <tableColumn id="3" xr3:uid="{99BCC442-E3AE-443D-B0DF-332F146FF0A0}" name="COST OF ITEMS" dataDxfId="101">
      <calculatedColumnFormula>SUMIF(Shoppingtable[Item Name],Ingredienttablereference[[#This Row],[Ingredient Ref]],Shoppingtable[Prize Per Gram])*Ingredienttablereference[[#This Row],[Sum]]</calculatedColumnFormula>
    </tableColumn>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B1F736-0395-4B52-B03F-6B928FAF4AE9}" name="Quantitytable" displayName="Quantitytable" ref="B6:J694" totalsRowShown="0" headerRowDxfId="100" dataDxfId="99">
  <autoFilter ref="B6:J694" xr:uid="{41B1F736-0395-4B52-B03F-6B928FAF4AE9}"/>
  <sortState xmlns:xlrd2="http://schemas.microsoft.com/office/spreadsheetml/2017/richdata2" ref="B7:J694">
    <sortCondition ref="B6:B694"/>
  </sortState>
  <tableColumns count="9">
    <tableColumn id="1" xr3:uid="{666C1AB8-0F45-45CF-8572-965101BE623A}" name="Dish" dataDxfId="98"/>
    <tableColumn id="2" xr3:uid="{0B4DAB69-CB72-4E35-8256-58DE71D993E0}" name="Ingredient " dataDxfId="97"/>
    <tableColumn id="3" xr3:uid="{A7DFE7F5-7B6A-4D64-A7FC-D75C645CDBB0}" name="NeededQuantity" dataDxfId="96"/>
    <tableColumn id="5" xr3:uid="{39F12DFB-9D26-496B-AC88-D1EFD158E562}" name="Quantity" dataDxfId="95">
      <calculatedColumnFormula>IF(Quantitytable[[#This Row],[Units]]=0,0,SUMIFS(Quantitytable[NeededQuantity],Quantitytable[Dish],Quantitytable[[#This Row],[Dish]],Quantitytable[[Ingredient ]],Quantitytable[[#This Row],[Ingredient ]]))</calculatedColumnFormula>
    </tableColumn>
    <tableColumn id="6" xr3:uid="{D486867E-4AB3-41D3-8094-7A165D3FC165}" name="Units" dataDxfId="94">
      <calculatedColumnFormula>SUMIFS(salestable[Quantity Sold],salestable[Item Name],Quantitytable[[#This Row],[Dish]])</calculatedColumnFormula>
    </tableColumn>
    <tableColumn id="7" xr3:uid="{C3D4415B-DEF5-4F17-A105-057F68E81694}" name="Materials Used" dataDxfId="93">
      <calculatedColumnFormula>'Quantity Table'!$E7*'Quantity Table'!$F7</calculatedColumnFormula>
    </tableColumn>
    <tableColumn id="13" xr3:uid="{049DAFD5-7CFA-4B93-9338-32C71ABE1D9F}" name="Cost Per Dish Per Item" dataDxfId="92">
      <calculatedColumnFormula>_xlfn.IFNA(VLOOKUP(Quantitytable[[#This Row],[Ingredient ]],Shoppingtable[[Item Name]:[BALANCE Cash]],5,FALSE),0)*Quantitytable[[#This Row],[NeededQuantity]]</calculatedColumnFormula>
    </tableColumn>
    <tableColumn id="14" xr3:uid="{B451451D-362C-436E-9934-A98401321F33}" name="Cost of an Dish" dataDxfId="91">
      <calculatedColumnFormula>SUMIF(Quantitytable[Dish],Quantitytable[[#This Row],[Dish]],Quantitytable[Cost Per Dish Per Item])</calculatedColumnFormula>
    </tableColumn>
    <tableColumn id="4" xr3:uid="{23EBFA23-C39D-4013-A199-A2CFF8212F60}" name="Live/Non-Live" dataDxfId="90"/>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D8E814-48A9-4647-8AD2-77180957C4DB}" name="salestable" displayName="salestable" ref="A6:U13" totalsRowShown="0" headerRowDxfId="89" dataDxfId="88">
  <autoFilter ref="A6:U13" xr:uid="{3CD8E814-48A9-4647-8AD2-77180957C4DB}"/>
  <tableColumns count="21">
    <tableColumn id="12" xr3:uid="{783901FB-3D84-47DF-B871-D6818CED4F19}" name="Date" dataDxfId="87"/>
    <tableColumn id="1" xr3:uid="{1F227A96-7C78-4255-88D1-0515AF68DF28}" name="Order ID" dataDxfId="86"/>
    <tableColumn id="13" xr3:uid="{EDEF50AF-7AFD-4FB2-AFDE-EEB9523F4007}" name="App" dataDxfId="85"/>
    <tableColumn id="2" xr3:uid="{3C45C5C3-5A99-40C5-A761-24AD141530AA}" name="Item Name" dataDxfId="84"/>
    <tableColumn id="3" xr3:uid="{4D8A2B73-4F18-4F35-8A1A-1242E57AC617}" name="Quantity Sold" dataDxfId="83"/>
    <tableColumn id="4" xr3:uid="{F6B2B5CC-A7D8-411A-BC0C-56BDC2C57435}" name="Cost Price per Unit" dataDxfId="82">
      <calculatedColumnFormula>VLOOKUP(salestable[[#This Row],[Item Name]],receipetable[[Recipe Name]:[Cost of Making]],5,FALSE)</calculatedColumnFormula>
    </tableColumn>
    <tableColumn id="5" xr3:uid="{804B6247-9700-450D-8F57-A4E90324933D}" name="Selling Price per Unit" dataDxfId="81"/>
    <tableColumn id="16" xr3:uid="{AED76F6D-4F52-412F-A1A4-8A35AA5ED0BC}" name="10% Discount" dataDxfId="80">
      <calculatedColumnFormula>salestable[[#This Row],[Selling Price per Unit]]-salestable[[#This Row],[Selling Price per Unit]]*(100-10)/100</calculatedColumnFormula>
    </tableColumn>
    <tableColumn id="15" xr3:uid="{59393F32-D004-450C-8588-820B9231706F}" name="15% Discount" dataDxfId="79">
      <calculatedColumnFormula>salestable[[#This Row],[Selling Price per Unit]]-salestable[[#This Row],[Selling Price per Unit]]*(100-15)/100</calculatedColumnFormula>
    </tableColumn>
    <tableColumn id="6" xr3:uid="{DA5B69E0-7248-4604-A600-BC72E33B4F8E}" name="25% Discount" dataDxfId="78">
      <calculatedColumnFormula>salestable[[#This Row],[Selling Price per Unit]]-salestable[[#This Row],[Selling Price per Unit]]*(100-25)/100</calculatedColumnFormula>
    </tableColumn>
    <tableColumn id="17" xr3:uid="{9B27CFB3-1ED8-4132-A24F-923707544A91}" name="30% Discount" dataDxfId="77">
      <calculatedColumnFormula>salestable[[#This Row],[Selling Price per Unit]]-salestable[[#This Row],[Selling Price per Unit]]*(100-30)/100</calculatedColumnFormula>
    </tableColumn>
    <tableColumn id="18" xr3:uid="{E4E94D6C-7683-4333-96AB-9CBE60446F83}" name="40% Discount" dataDxfId="76">
      <calculatedColumnFormula>salestable[[#This Row],[Selling Price per Unit]]-salestable[[#This Row],[Selling Price per Unit]]*(100-40)/100</calculatedColumnFormula>
    </tableColumn>
    <tableColumn id="7" xr3:uid="{6C66D5FF-6BC2-4FC1-8C43-F4E6B254434E}" name="Commision" dataDxfId="75">
      <calculatedColumnFormula>(26/100)*salestable[[#This Row],[Selling Price per Unit]]</calculatedColumnFormula>
    </tableColumn>
    <tableColumn id="8" xr3:uid="{44B4DAFD-7F96-4DCE-A065-8D7C94651336}" name="Penalty" dataDxfId="74"/>
    <tableColumn id="14" xr3:uid="{58870CA2-FEAE-40EF-8651-F3C25E620A3E}" name="Other Charges" dataDxfId="73"/>
    <tableColumn id="9" xr3:uid="{966163D7-E4A1-44D6-9647-95B871CB0D0A}" name="GST" dataDxfId="72">
      <calculatedColumnFormula>(5/100)*salestable[[#This Row],[Selling Price per Unit]]</calculatedColumnFormula>
    </tableColumn>
    <tableColumn id="21" xr3:uid="{0CECD6FA-730E-4A69-84ED-86D864B395B4}" name="Profit on 10%" dataDxfId="71">
      <calculatedColumnFormula>salestable[[#This Row],[Selling Price per Unit]]-VLOOKUP(salestable[[#This Row],[Item Name]],#REF!,9,FALSE)-H7-salestable[[#This Row],[Commision]]-salestable[[#This Row],[Penalty]]-salestable[[#This Row],[Other Charges]]-salestable[[#This Row],[GST]]</calculatedColumnFormula>
    </tableColumn>
    <tableColumn id="20" xr3:uid="{33944A04-D63E-4DF4-8E8C-674CA87CD0DE}" name="Profit on 15%" dataDxfId="70">
      <calculatedColumnFormula>salestable[[#This Row],[Selling Price per Unit]]-VLOOKUP(salestable[[#This Row],[Item Name]],#REF!,9,FALSE)-I7-salestable[[#This Row],[Commision]]-salestable[[#This Row],[Penalty]]-salestable[[#This Row],[Other Charges]]-salestable[[#This Row],[GST]]</calculatedColumnFormula>
    </tableColumn>
    <tableColumn id="19" xr3:uid="{D713200D-AA5D-456A-A22D-0E80B7B0624E}" name="Profit on 25%" dataDxfId="69">
      <calculatedColumnFormula>salestable[[#This Row],[Selling Price per Unit]]+VLOOKUP(salestable[[#This Row],[Item Name]],#REF!,9,FALSE)-J7-salestable[[#This Row],[Penalty]]-salestable[[#This Row],[Other Charges]]-salestable[[#This Row],[GST]]-salestable[[#This Row],[Commision]]</calculatedColumnFormula>
    </tableColumn>
    <tableColumn id="10" xr3:uid="{4A111C99-4BE8-4501-BBFE-7C17AE29564A}" name="Profit on 30%" dataDxfId="68">
      <calculatedColumnFormula>salestable[[#This Row],[Selling Price per Unit]]+VLOOKUP(salestable[[#This Row],[Item Name]],#REF!,9,FALSE)-K7-salestable[[#This Row],[Commision]]-salestable[[#This Row],[Penalty]]-salestable[[#This Row],[Other Charges]]-salestable[[#This Row],[GST]]</calculatedColumnFormula>
    </tableColumn>
    <tableColumn id="11" xr3:uid="{912A9455-C648-486F-9AB2-B7F718110826}" name="Profit on 40%" dataDxfId="67">
      <calculatedColumnFormula>salestable[[#This Row],[Selling Price per Unit]]+VLOOKUP(salestable[[#This Row],[Item Name]],#REF!,9,FALSE)-L7-salestable[[#This Row],[Commision]]-salestable[[#This Row],[Penalty]]-salestable[[#This Row],[Other Charges]]-salestable[[#This Row],[GST]]</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72288C-BC4D-4829-A3D4-DC532FD2D432}" name="Shoppingtable" displayName="Shoppingtable" ref="A6:H127" totalsRowShown="0" headerRowDxfId="62" dataDxfId="61">
  <autoFilter ref="A6:H127" xr:uid="{9F72288C-BC4D-4829-A3D4-DC532FD2D432}"/>
  <sortState xmlns:xlrd2="http://schemas.microsoft.com/office/spreadsheetml/2017/richdata2" ref="A7:H127">
    <sortCondition ref="C6:C127"/>
  </sortState>
  <tableColumns count="8">
    <tableColumn id="7" xr3:uid="{2C3B84ED-876D-4D3A-A364-F2C936232618}" name="Date" dataDxfId="60"/>
    <tableColumn id="1" xr3:uid="{4104F266-7291-42EE-B9E9-F934CF6CAD85}" name="Item Name" dataDxfId="59"/>
    <tableColumn id="2" xr3:uid="{6BD98ED7-D73D-468B-848E-E316616DB914}" name="Quantity(g/ml)" dataDxfId="58"/>
    <tableColumn id="3" xr3:uid="{DC024C50-E863-41C9-80FB-F9D316A8AD71}" name="ACTUAL COST" dataDxfId="57"/>
    <tableColumn id="9" xr3:uid="{462882D8-F60F-4484-94A7-53588299DD53}" name="AvgCost" dataDxfId="56">
      <calculatedColumnFormula>IFERROR(AVERAGEIF(Shoppingtable[Item Name],Shoppingtable[[#This Row],[Item Name]],Shoppingtable[ACTUAL COST]),0)</calculatedColumnFormula>
    </tableColumn>
    <tableColumn id="8" xr3:uid="{C3A84922-1C5A-449F-95BF-06703933F54B}" name="Prize Per Gram" dataDxfId="55">
      <calculatedColumnFormula>IF(B7="","",Shoppingtable[[#This Row],[AvgCost]]/Shoppingtable[[#This Row],[Quantity(g/ml)]])</calculatedColumnFormula>
    </tableColumn>
    <tableColumn id="4" xr3:uid="{64BB0AF4-1824-4018-8AB7-CE727E343088}" name="Buying Cost" dataDxfId="54"/>
    <tableColumn id="5" xr3:uid="{4354E1EC-5FB4-41D1-BA3D-8DA757324E8B}" name="BALANCE Cash" dataDxfId="53">
      <calculatedColumnFormula>Shoppingtable[[#This Row],[Buying Cost]]-Shoppingtable[[#This Row],[ACTUAL COST]]</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87C147C-7720-4BB6-A3EE-2F5B05BF6E38}" name="wastetrackingtable" displayName="wastetrackingtable" ref="A6:E31" totalsRowShown="0" headerRowDxfId="52" dataDxfId="51">
  <autoFilter ref="A6:E31" xr:uid="{187C147C-7720-4BB6-A3EE-2F5B05BF6E38}"/>
  <tableColumns count="5">
    <tableColumn id="5" xr3:uid="{7070F9E3-B123-4FA8-BE32-C74E8D449854}" name="DAY" dataDxfId="50"/>
    <tableColumn id="1" xr3:uid="{041BE939-3FFB-4680-868C-7691B26EA066}" name="ItemWas" dataDxfId="49"/>
    <tableColumn id="2" xr3:uid="{E119BA39-E89A-405F-8E64-D973869BD748}" name="Quantity Wasted" dataDxfId="48"/>
    <tableColumn id="3" xr3:uid="{8BC52D61-DB5D-4F9F-9B92-E5A74DF8E21C}" name="Reason For Waste" dataDxfId="47"/>
    <tableColumn id="4" xr3:uid="{A0348AD1-B37E-40BF-8D83-5D227DFF6982}" name="Date" dataDxfId="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4.xml"/><Relationship Id="rId1" Type="http://schemas.openxmlformats.org/officeDocument/2006/relationships/pivotTable" Target="../pivotTables/pivotTable7.xml"/><Relationship Id="rId6" Type="http://schemas.microsoft.com/office/2007/relationships/slicer" Target="../slicers/slicer4.xml"/><Relationship Id="rId5" Type="http://schemas.openxmlformats.org/officeDocument/2006/relationships/table" Target="../tables/table13.xml"/><Relationship Id="rId4"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4.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3.xml"/><Relationship Id="rId1" Type="http://schemas.openxmlformats.org/officeDocument/2006/relationships/pivotTable" Target="../pivotTables/pivotTable6.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showGridLines="0" workbookViewId="0">
      <selection activeCell="T26" sqref="T26"/>
    </sheetView>
  </sheetViews>
  <sheetFormatPr defaultRowHeight="15" x14ac:dyDescent="0.25"/>
  <sheetData>
    <row r="1" s="1" customFormat="1" x14ac:dyDescent="0.25"/>
    <row r="2" s="1" customFormat="1" x14ac:dyDescent="0.25"/>
    <row r="3" s="1" customFormat="1" x14ac:dyDescent="0.25"/>
    <row r="4" s="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EF7CD-D74D-4A61-9A4F-F7F7336C8B13}">
  <dimension ref="A1:F13"/>
  <sheetViews>
    <sheetView showGridLines="0" workbookViewId="0">
      <pane ySplit="6" topLeftCell="A7" activePane="bottomLeft" state="frozen"/>
      <selection pane="bottomLeft" activeCell="A7" sqref="A7"/>
    </sheetView>
  </sheetViews>
  <sheetFormatPr defaultRowHeight="15" x14ac:dyDescent="0.25"/>
  <cols>
    <col min="1" max="1" width="10.28515625" customWidth="1"/>
    <col min="2" max="2" width="22.28515625" customWidth="1"/>
    <col min="3" max="3" width="54.85546875" customWidth="1"/>
    <col min="4" max="4" width="59" customWidth="1"/>
    <col min="5" max="5" width="52.5703125" customWidth="1"/>
    <col min="6" max="6" width="61.85546875" customWidth="1"/>
  </cols>
  <sheetData>
    <row r="1" spans="1:6" s="2" customFormat="1" x14ac:dyDescent="0.25"/>
    <row r="2" spans="1:6" s="2" customFormat="1" x14ac:dyDescent="0.25"/>
    <row r="3" spans="1:6" s="2" customFormat="1" x14ac:dyDescent="0.25"/>
    <row r="4" spans="1:6" s="2" customFormat="1" x14ac:dyDescent="0.25"/>
    <row r="6" spans="1:6" x14ac:dyDescent="0.25">
      <c r="A6" s="3" t="s">
        <v>0</v>
      </c>
      <c r="B6" s="3" t="s">
        <v>358</v>
      </c>
      <c r="C6" s="3" t="s">
        <v>359</v>
      </c>
      <c r="D6" s="3" t="s">
        <v>360</v>
      </c>
      <c r="E6" s="3" t="s">
        <v>361</v>
      </c>
      <c r="F6" s="3" t="s">
        <v>362</v>
      </c>
    </row>
    <row r="7" spans="1:6" x14ac:dyDescent="0.25">
      <c r="A7" s="3">
        <v>1</v>
      </c>
      <c r="B7" s="3" t="s">
        <v>363</v>
      </c>
      <c r="C7" s="3"/>
      <c r="D7" s="3"/>
      <c r="E7" s="3"/>
      <c r="F7" s="3"/>
    </row>
    <row r="8" spans="1:6" x14ac:dyDescent="0.25">
      <c r="A8" s="3">
        <v>2</v>
      </c>
      <c r="B8" s="3" t="s">
        <v>364</v>
      </c>
      <c r="C8" s="3"/>
      <c r="D8" s="3"/>
      <c r="E8" s="3"/>
      <c r="F8" s="3"/>
    </row>
    <row r="9" spans="1:6" x14ac:dyDescent="0.25">
      <c r="A9" s="3">
        <v>3</v>
      </c>
      <c r="B9" s="3" t="s">
        <v>365</v>
      </c>
      <c r="C9" s="3"/>
      <c r="D9" s="3"/>
      <c r="E9" s="3"/>
      <c r="F9" s="3"/>
    </row>
    <row r="10" spans="1:6" x14ac:dyDescent="0.25">
      <c r="A10" s="3">
        <v>4</v>
      </c>
      <c r="B10" s="3" t="s">
        <v>366</v>
      </c>
      <c r="C10" s="3"/>
      <c r="D10" s="3"/>
      <c r="E10" s="3"/>
      <c r="F10" s="3"/>
    </row>
    <row r="11" spans="1:6" x14ac:dyDescent="0.25">
      <c r="A11" s="3">
        <v>5</v>
      </c>
      <c r="B11" s="3" t="s">
        <v>367</v>
      </c>
      <c r="C11" s="3"/>
      <c r="D11" s="3"/>
      <c r="E11" s="3"/>
      <c r="F11" s="3"/>
    </row>
    <row r="12" spans="1:6" x14ac:dyDescent="0.25">
      <c r="A12" s="3">
        <v>6</v>
      </c>
      <c r="B12" s="3" t="s">
        <v>368</v>
      </c>
      <c r="C12" s="3"/>
      <c r="D12" s="3"/>
      <c r="E12" s="3"/>
      <c r="F12" s="3"/>
    </row>
    <row r="13" spans="1:6" x14ac:dyDescent="0.25">
      <c r="A13" s="3">
        <v>7</v>
      </c>
      <c r="B13" s="3" t="s">
        <v>369</v>
      </c>
      <c r="C13" s="3"/>
      <c r="D13" s="3"/>
      <c r="E13" s="3"/>
      <c r="F13" s="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52A76-F278-4D6E-8064-8B8DBB739366}">
  <dimension ref="A1:T11"/>
  <sheetViews>
    <sheetView showGridLines="0" workbookViewId="0">
      <pane ySplit="6" topLeftCell="A7" activePane="bottomLeft" state="frozen"/>
      <selection pane="bottomLeft" activeCell="K15" sqref="K15"/>
    </sheetView>
  </sheetViews>
  <sheetFormatPr defaultRowHeight="15" x14ac:dyDescent="0.25"/>
  <cols>
    <col min="2" max="2" width="12.42578125" customWidth="1"/>
    <col min="3" max="3" width="17" customWidth="1"/>
    <col min="4" max="4" width="20.5703125" customWidth="1"/>
    <col min="5" max="5" width="20.7109375" customWidth="1"/>
    <col min="6" max="6" width="4" customWidth="1"/>
    <col min="7" max="7" width="3.5703125" customWidth="1"/>
    <col min="8" max="8" width="16.42578125" customWidth="1"/>
    <col min="9" max="9" width="12.7109375" customWidth="1"/>
    <col min="10" max="10" width="13.140625" customWidth="1"/>
    <col min="11" max="11" width="11" customWidth="1"/>
    <col min="12" max="12" width="13.140625" customWidth="1"/>
    <col min="13" max="13" width="12" customWidth="1"/>
    <col min="14" max="14" width="11.140625" customWidth="1"/>
    <col min="15" max="15" width="19.28515625" customWidth="1"/>
    <col min="16" max="16" width="20.28515625" customWidth="1"/>
    <col min="17" max="17" width="22.7109375" customWidth="1"/>
    <col min="18" max="18" width="14.140625" customWidth="1"/>
    <col min="19" max="19" width="13.140625" bestFit="1" customWidth="1"/>
    <col min="20" max="20" width="18.5703125" bestFit="1" customWidth="1"/>
  </cols>
  <sheetData>
    <row r="1" spans="1:20" s="2" customFormat="1" x14ac:dyDescent="0.25"/>
    <row r="2" spans="1:20" s="2" customFormat="1" x14ac:dyDescent="0.25"/>
    <row r="3" spans="1:20" s="2" customFormat="1" x14ac:dyDescent="0.25"/>
    <row r="4" spans="1:20" s="2" customFormat="1" x14ac:dyDescent="0.25"/>
    <row r="5" spans="1:20" x14ac:dyDescent="0.25">
      <c r="H5" t="s">
        <v>573</v>
      </c>
      <c r="I5" t="s">
        <v>570</v>
      </c>
    </row>
    <row r="6" spans="1:20" ht="18" customHeight="1" x14ac:dyDescent="0.25">
      <c r="A6" s="3" t="s">
        <v>355</v>
      </c>
      <c r="B6" s="3" t="s">
        <v>370</v>
      </c>
      <c r="C6" s="3" t="s">
        <v>371</v>
      </c>
      <c r="D6" s="3" t="s">
        <v>372</v>
      </c>
      <c r="E6" s="3" t="s">
        <v>373</v>
      </c>
      <c r="H6" s="6" t="s">
        <v>566</v>
      </c>
      <c r="I6" s="6" t="s">
        <v>569</v>
      </c>
      <c r="J6" s="6" t="s">
        <v>571</v>
      </c>
      <c r="K6" s="6" t="s">
        <v>572</v>
      </c>
      <c r="L6" s="6" t="s">
        <v>574</v>
      </c>
      <c r="M6" s="6" t="s">
        <v>575</v>
      </c>
      <c r="O6" s="3" t="s">
        <v>550</v>
      </c>
      <c r="P6" s="3" t="s">
        <v>377</v>
      </c>
      <c r="Q6" s="3" t="s">
        <v>551</v>
      </c>
      <c r="S6" s="10" t="s">
        <v>393</v>
      </c>
      <c r="T6" t="s">
        <v>470</v>
      </c>
    </row>
    <row r="7" spans="1:20" x14ac:dyDescent="0.25">
      <c r="A7" s="3">
        <v>1</v>
      </c>
      <c r="B7" s="3" t="s">
        <v>374</v>
      </c>
      <c r="C7" s="3"/>
      <c r="D7" s="4">
        <v>45607</v>
      </c>
      <c r="E7" s="3"/>
      <c r="H7" s="6" t="s">
        <v>567</v>
      </c>
      <c r="I7" s="7">
        <f>0.784*29.5</f>
        <v>23.128</v>
      </c>
      <c r="J7" s="7">
        <f>Table12[[#This Row],[1Hr]]*2</f>
        <v>46.256</v>
      </c>
      <c r="K7" s="7">
        <f>Table12[[#This Row],[1Hr]]*3</f>
        <v>69.384</v>
      </c>
      <c r="L7" s="7">
        <f>Table12[[#This Row],[1Hr]]*3</f>
        <v>69.384</v>
      </c>
      <c r="M7" s="7">
        <f>Table12[[#This Row],[1Hr]]*3</f>
        <v>69.384</v>
      </c>
      <c r="O7" s="3" t="s">
        <v>135</v>
      </c>
      <c r="P7" s="3">
        <v>50</v>
      </c>
      <c r="Q7" s="3" t="s">
        <v>552</v>
      </c>
      <c r="S7" s="9" t="s">
        <v>374</v>
      </c>
    </row>
    <row r="8" spans="1:20" x14ac:dyDescent="0.25">
      <c r="A8" s="3">
        <v>2</v>
      </c>
      <c r="B8" s="3"/>
      <c r="C8" s="3"/>
      <c r="D8" s="3"/>
      <c r="E8" s="3"/>
      <c r="H8" s="6" t="s">
        <v>568</v>
      </c>
      <c r="I8" s="7">
        <f>0.98*29.5</f>
        <v>28.91</v>
      </c>
      <c r="J8" s="7">
        <f>Table12[[#This Row],[1Hr]]*2</f>
        <v>57.82</v>
      </c>
      <c r="K8" s="7">
        <f>Table12[[#This Row],[1Hr]]*3</f>
        <v>86.73</v>
      </c>
      <c r="L8" s="7">
        <f>Table12[[#This Row],[1Hr]]*3</f>
        <v>86.73</v>
      </c>
      <c r="M8" s="7">
        <f>Table12[[#This Row],[1Hr]]*3</f>
        <v>86.73</v>
      </c>
      <c r="O8" s="3" t="s">
        <v>134</v>
      </c>
      <c r="P8" s="3">
        <v>50</v>
      </c>
      <c r="Q8" s="3" t="s">
        <v>553</v>
      </c>
      <c r="S8" s="9" t="s">
        <v>395</v>
      </c>
    </row>
    <row r="9" spans="1:20" x14ac:dyDescent="0.25">
      <c r="A9" s="3">
        <v>3</v>
      </c>
      <c r="B9" s="3"/>
      <c r="C9" s="3"/>
      <c r="D9" s="3"/>
      <c r="E9" s="3"/>
      <c r="H9" s="19"/>
      <c r="I9" s="19"/>
      <c r="J9" s="19"/>
      <c r="K9" s="19"/>
      <c r="L9" s="19"/>
      <c r="M9" s="19"/>
      <c r="O9" s="3" t="s">
        <v>98</v>
      </c>
      <c r="P9" s="3">
        <v>80</v>
      </c>
      <c r="Q9" s="3" t="s">
        <v>554</v>
      </c>
      <c r="S9" s="9" t="s">
        <v>394</v>
      </c>
    </row>
    <row r="10" spans="1:20" x14ac:dyDescent="0.25">
      <c r="O10" s="3" t="s">
        <v>555</v>
      </c>
      <c r="P10" s="3">
        <v>1000</v>
      </c>
      <c r="Q10" s="3" t="s">
        <v>556</v>
      </c>
    </row>
    <row r="11" spans="1:20" x14ac:dyDescent="0.25">
      <c r="O11" s="3" t="s">
        <v>557</v>
      </c>
      <c r="P11" s="3" t="s">
        <v>558</v>
      </c>
      <c r="Q11" s="3" t="s">
        <v>559</v>
      </c>
    </row>
  </sheetData>
  <phoneticPr fontId="4" type="noConversion"/>
  <pageMargins left="0.7" right="0.7" top="0.75" bottom="0.75" header="0.3" footer="0.3"/>
  <ignoredErrors>
    <ignoredError sqref="I7" calculatedColumn="1"/>
  </ignoredErrors>
  <drawing r:id="rId2"/>
  <tableParts count="3">
    <tablePart r:id="rId3"/>
    <tablePart r:id="rId4"/>
    <tablePart r:id="rId5"/>
  </tableParts>
  <extLs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7F458-B4FA-40CB-8B07-3F11E717F0A1}">
  <dimension ref="A1:D40"/>
  <sheetViews>
    <sheetView workbookViewId="0">
      <selection activeCell="A3" sqref="A3:A5"/>
    </sheetView>
  </sheetViews>
  <sheetFormatPr defaultRowHeight="15" x14ac:dyDescent="0.25"/>
  <cols>
    <col min="1" max="1" width="37.140625" customWidth="1"/>
    <col min="2" max="2" width="12.42578125" customWidth="1"/>
    <col min="3" max="3" width="15.140625" customWidth="1"/>
    <col min="4" max="4" width="15.7109375" customWidth="1"/>
  </cols>
  <sheetData>
    <row r="1" spans="1:4" x14ac:dyDescent="0.25">
      <c r="A1" s="3" t="s">
        <v>550</v>
      </c>
      <c r="B1" s="3" t="s">
        <v>578</v>
      </c>
      <c r="C1" s="3" t="s">
        <v>579</v>
      </c>
      <c r="D1" s="3" t="s">
        <v>580</v>
      </c>
    </row>
    <row r="2" spans="1:4" x14ac:dyDescent="0.25">
      <c r="A2" t="s">
        <v>120</v>
      </c>
    </row>
    <row r="3" spans="1:4" x14ac:dyDescent="0.25">
      <c r="A3" t="s">
        <v>563</v>
      </c>
    </row>
    <row r="4" spans="1:4" x14ac:dyDescent="0.25">
      <c r="A4" t="s">
        <v>564</v>
      </c>
    </row>
    <row r="5" spans="1:4" x14ac:dyDescent="0.25">
      <c r="A5" t="s">
        <v>565</v>
      </c>
    </row>
    <row r="6" spans="1:4" x14ac:dyDescent="0.25">
      <c r="A6" t="s">
        <v>548</v>
      </c>
    </row>
    <row r="7" spans="1:4" x14ac:dyDescent="0.25">
      <c r="A7" t="s">
        <v>131</v>
      </c>
    </row>
    <row r="8" spans="1:4" x14ac:dyDescent="0.25">
      <c r="A8" t="s">
        <v>132</v>
      </c>
    </row>
    <row r="9" spans="1:4" x14ac:dyDescent="0.25">
      <c r="A9" t="s">
        <v>133</v>
      </c>
    </row>
    <row r="10" spans="1:4" x14ac:dyDescent="0.25">
      <c r="A10" t="s">
        <v>134</v>
      </c>
    </row>
    <row r="11" spans="1:4" x14ac:dyDescent="0.25">
      <c r="A11" t="s">
        <v>135</v>
      </c>
    </row>
    <row r="12" spans="1:4" x14ac:dyDescent="0.25">
      <c r="A12" t="s">
        <v>137</v>
      </c>
    </row>
    <row r="13" spans="1:4" x14ac:dyDescent="0.25">
      <c r="A13" t="s">
        <v>139</v>
      </c>
    </row>
    <row r="14" spans="1:4" x14ac:dyDescent="0.25">
      <c r="A14" t="s">
        <v>141</v>
      </c>
    </row>
    <row r="15" spans="1:4" x14ac:dyDescent="0.25">
      <c r="A15" t="s">
        <v>142</v>
      </c>
    </row>
    <row r="16" spans="1:4" x14ac:dyDescent="0.25">
      <c r="A16" t="s">
        <v>144</v>
      </c>
    </row>
    <row r="17" spans="1:1" x14ac:dyDescent="0.25">
      <c r="A17" t="s">
        <v>145</v>
      </c>
    </row>
    <row r="18" spans="1:1" x14ac:dyDescent="0.25">
      <c r="A18" t="s">
        <v>146</v>
      </c>
    </row>
    <row r="19" spans="1:1" x14ac:dyDescent="0.25">
      <c r="A19" t="s">
        <v>148</v>
      </c>
    </row>
    <row r="20" spans="1:1" x14ac:dyDescent="0.25">
      <c r="A20" t="s">
        <v>149</v>
      </c>
    </row>
    <row r="21" spans="1:1" x14ac:dyDescent="0.25">
      <c r="A21" t="s">
        <v>154</v>
      </c>
    </row>
    <row r="22" spans="1:1" x14ac:dyDescent="0.25">
      <c r="A22" t="s">
        <v>155</v>
      </c>
    </row>
    <row r="23" spans="1:1" x14ac:dyDescent="0.25">
      <c r="A23" t="s">
        <v>156</v>
      </c>
    </row>
    <row r="24" spans="1:1" x14ac:dyDescent="0.25">
      <c r="A24" t="s">
        <v>157</v>
      </c>
    </row>
    <row r="25" spans="1:1" x14ac:dyDescent="0.25">
      <c r="A25" t="s">
        <v>158</v>
      </c>
    </row>
    <row r="26" spans="1:1" x14ac:dyDescent="0.25">
      <c r="A26" t="s">
        <v>169</v>
      </c>
    </row>
    <row r="27" spans="1:1" x14ac:dyDescent="0.25">
      <c r="A27" t="s">
        <v>186</v>
      </c>
    </row>
    <row r="28" spans="1:1" x14ac:dyDescent="0.25">
      <c r="A28" t="s">
        <v>214</v>
      </c>
    </row>
    <row r="29" spans="1:1" x14ac:dyDescent="0.25">
      <c r="A29" t="s">
        <v>215</v>
      </c>
    </row>
    <row r="30" spans="1:1" x14ac:dyDescent="0.25">
      <c r="A30" t="s">
        <v>238</v>
      </c>
    </row>
    <row r="31" spans="1:1" x14ac:dyDescent="0.25">
      <c r="A31" t="s">
        <v>250</v>
      </c>
    </row>
    <row r="32" spans="1:1" x14ac:dyDescent="0.25">
      <c r="A32" t="s">
        <v>253</v>
      </c>
    </row>
    <row r="33" spans="1:1" x14ac:dyDescent="0.25">
      <c r="A33" t="s">
        <v>254</v>
      </c>
    </row>
    <row r="34" spans="1:1" x14ac:dyDescent="0.25">
      <c r="A34" t="s">
        <v>311</v>
      </c>
    </row>
    <row r="35" spans="1:1" x14ac:dyDescent="0.25">
      <c r="A35" t="s">
        <v>435</v>
      </c>
    </row>
    <row r="36" spans="1:1" x14ac:dyDescent="0.25">
      <c r="A36" t="s">
        <v>67</v>
      </c>
    </row>
    <row r="37" spans="1:1" x14ac:dyDescent="0.25">
      <c r="A37" t="s">
        <v>560</v>
      </c>
    </row>
    <row r="38" spans="1:1" x14ac:dyDescent="0.25">
      <c r="A38" t="s">
        <v>123</v>
      </c>
    </row>
    <row r="39" spans="1:1" x14ac:dyDescent="0.25">
      <c r="A39" t="s">
        <v>128</v>
      </c>
    </row>
    <row r="40" spans="1:1" x14ac:dyDescent="0.25">
      <c r="A40" t="s">
        <v>126</v>
      </c>
    </row>
  </sheetData>
  <phoneticPr fontId="4"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692D-AB12-48BD-8E6C-BA130166A5EB}">
  <dimension ref="A1:AA113"/>
  <sheetViews>
    <sheetView showGridLines="0" workbookViewId="0">
      <pane ySplit="6" topLeftCell="A61" activePane="bottomLeft" state="frozen"/>
      <selection pane="bottomLeft" activeCell="I67" sqref="I67"/>
    </sheetView>
  </sheetViews>
  <sheetFormatPr defaultRowHeight="15" outlineLevelCol="1" x14ac:dyDescent="0.25"/>
  <cols>
    <col min="1" max="1" width="10.5703125" customWidth="1"/>
    <col min="2" max="2" width="36.85546875" customWidth="1"/>
    <col min="3" max="3" width="20.140625" customWidth="1"/>
    <col min="4" max="4" width="13.140625" customWidth="1"/>
    <col min="5" max="5" width="15" customWidth="1"/>
    <col min="6" max="6" width="16" customWidth="1"/>
    <col min="7" max="7" width="22.140625" customWidth="1"/>
    <col min="8" max="9" width="16.140625" customWidth="1"/>
    <col min="10" max="10" width="9.7109375" bestFit="1" customWidth="1"/>
    <col min="17" max="17" width="9.140625" customWidth="1" outlineLevel="1"/>
    <col min="18" max="18" width="22.42578125" customWidth="1" outlineLevel="1"/>
    <col min="19" max="19" width="32.28515625" customWidth="1" outlineLevel="1"/>
    <col min="20" max="20" width="39.140625" customWidth="1" outlineLevel="1"/>
    <col min="21" max="21" width="46.5703125" customWidth="1"/>
    <col min="23" max="23" width="39.28515625" bestFit="1" customWidth="1"/>
    <col min="24" max="24" width="13.140625" bestFit="1" customWidth="1"/>
    <col min="25" max="25" width="21" bestFit="1" customWidth="1"/>
    <col min="26" max="26" width="12.140625" bestFit="1" customWidth="1"/>
    <col min="27" max="27" width="14.85546875" bestFit="1" customWidth="1"/>
    <col min="28" max="121" width="10.7109375" bestFit="1" customWidth="1"/>
    <col min="122" max="122" width="12.140625" bestFit="1" customWidth="1"/>
    <col min="123" max="219" width="10.7109375" bestFit="1" customWidth="1"/>
    <col min="220" max="220" width="14.85546875" bestFit="1" customWidth="1"/>
    <col min="221" max="317" width="10.7109375" bestFit="1" customWidth="1"/>
    <col min="318" max="318" width="26.140625" bestFit="1" customWidth="1"/>
    <col min="319" max="319" width="17.28515625" bestFit="1" customWidth="1"/>
    <col min="320" max="320" width="19.85546875" bestFit="1" customWidth="1"/>
  </cols>
  <sheetData>
    <row r="1" spans="1:27" s="2" customFormat="1" x14ac:dyDescent="0.25"/>
    <row r="2" spans="1:27" s="2" customFormat="1" x14ac:dyDescent="0.25"/>
    <row r="3" spans="1:27" s="2" customFormat="1" x14ac:dyDescent="0.25"/>
    <row r="4" spans="1:27" s="2" customFormat="1" x14ac:dyDescent="0.25"/>
    <row r="6" spans="1:27" x14ac:dyDescent="0.25">
      <c r="A6" s="3" t="s">
        <v>0</v>
      </c>
      <c r="B6" s="3" t="s">
        <v>1</v>
      </c>
      <c r="C6" s="3" t="s">
        <v>2</v>
      </c>
      <c r="D6" s="3" t="s">
        <v>3</v>
      </c>
      <c r="E6" s="3" t="s">
        <v>4</v>
      </c>
      <c r="F6" s="3" t="s">
        <v>5</v>
      </c>
      <c r="G6" s="3" t="s">
        <v>6</v>
      </c>
      <c r="H6" s="3" t="s">
        <v>7</v>
      </c>
      <c r="I6" s="3" t="s">
        <v>528</v>
      </c>
    </row>
    <row r="7" spans="1:27" x14ac:dyDescent="0.25">
      <c r="A7" s="13">
        <v>3</v>
      </c>
      <c r="B7" s="13" t="s">
        <v>9</v>
      </c>
      <c r="C7" s="3">
        <f>SUMIF(Shoppingtable[Item Name],Inventorytable[[#This Row],[Ingriedients]],Shoppingtable[Quantity(g/ml)])</f>
        <v>0</v>
      </c>
      <c r="D7" s="3">
        <f>SUMIF(Quantitytable[[Ingredient ]],Inventorytable[[#This Row],[Ingriedients]],Quantitytable[Materials Used])</f>
        <v>0</v>
      </c>
      <c r="E7" s="3">
        <f>Inventorytable[[#This Row],[Total Available]]-Inventorytable[[#This Row],[Used]]</f>
        <v>0</v>
      </c>
      <c r="F7" s="14">
        <v>45642</v>
      </c>
      <c r="G7" s="13"/>
      <c r="H7" s="15">
        <v>45639</v>
      </c>
      <c r="I7" s="15" t="s">
        <v>529</v>
      </c>
      <c r="S7" s="6" t="s">
        <v>6</v>
      </c>
      <c r="U7" s="3" t="s">
        <v>114</v>
      </c>
    </row>
    <row r="8" spans="1:27" x14ac:dyDescent="0.25">
      <c r="A8" s="13">
        <v>7</v>
      </c>
      <c r="B8" s="13" t="s">
        <v>471</v>
      </c>
      <c r="C8" s="3">
        <f>SUMIF(Shoppingtable[Item Name],Inventorytable[[#This Row],[Ingriedients]],Shoppingtable[Quantity(g/ml)])</f>
        <v>250</v>
      </c>
      <c r="D8" s="3">
        <f>SUMIF(Quantitytable[[Ingredient ]],Inventorytable[[#This Row],[Ingriedients]],Quantitytable[Materials Used])</f>
        <v>0</v>
      </c>
      <c r="E8" s="3">
        <f>Inventorytable[[#This Row],[Total Available]]-Inventorytable[[#This Row],[Used]]</f>
        <v>250</v>
      </c>
      <c r="F8" s="14">
        <v>45642</v>
      </c>
      <c r="G8" s="13"/>
      <c r="H8" s="15">
        <v>45639</v>
      </c>
      <c r="I8" s="15" t="s">
        <v>529</v>
      </c>
      <c r="M8" s="5"/>
      <c r="S8" s="7" t="s">
        <v>526</v>
      </c>
      <c r="U8" s="3" t="s">
        <v>475</v>
      </c>
    </row>
    <row r="9" spans="1:27" x14ac:dyDescent="0.25">
      <c r="A9" s="13">
        <v>10</v>
      </c>
      <c r="B9" s="13" t="s">
        <v>18</v>
      </c>
      <c r="C9" s="3">
        <f>SUMIF(Shoppingtable[Item Name],Inventorytable[[#This Row],[Ingriedients]],Shoppingtable[Quantity(g/ml)])</f>
        <v>200</v>
      </c>
      <c r="D9" s="3">
        <f>SUMIF(Quantitytable[[Ingredient ]],Inventorytable[[#This Row],[Ingriedients]],Quantitytable[Materials Used])</f>
        <v>0</v>
      </c>
      <c r="E9" s="3">
        <f>Inventorytable[[#This Row],[Total Available]]-Inventorytable[[#This Row],[Used]]</f>
        <v>200</v>
      </c>
      <c r="F9" s="14">
        <v>45642</v>
      </c>
      <c r="G9" s="13"/>
      <c r="H9" s="15">
        <v>45639</v>
      </c>
      <c r="I9" s="15" t="s">
        <v>529</v>
      </c>
      <c r="S9" s="7" t="s">
        <v>527</v>
      </c>
      <c r="U9" s="3" t="s">
        <v>112</v>
      </c>
      <c r="X9" s="10" t="s">
        <v>393</v>
      </c>
      <c r="Y9" t="s">
        <v>453</v>
      </c>
      <c r="Z9" t="s">
        <v>454</v>
      </c>
      <c r="AA9" t="s">
        <v>455</v>
      </c>
    </row>
    <row r="10" spans="1:27" x14ac:dyDescent="0.25">
      <c r="A10" s="13">
        <v>11</v>
      </c>
      <c r="B10" s="13" t="s">
        <v>26</v>
      </c>
      <c r="C10" s="3">
        <f>SUMIF(Shoppingtable[Item Name],Inventorytable[[#This Row],[Ingriedients]],Shoppingtable[Quantity(g/ml)])</f>
        <v>500</v>
      </c>
      <c r="D10" s="3">
        <f>SUMIF(Quantitytable[[Ingredient ]],Inventorytable[[#This Row],[Ingriedients]],Quantitytable[Materials Used])</f>
        <v>0</v>
      </c>
      <c r="E10" s="3">
        <f>Inventorytable[[#This Row],[Total Available]]-Inventorytable[[#This Row],[Used]]</f>
        <v>500</v>
      </c>
      <c r="F10" s="14">
        <v>45642</v>
      </c>
      <c r="G10" s="13"/>
      <c r="H10" s="15">
        <v>45639</v>
      </c>
      <c r="I10" s="15" t="s">
        <v>529</v>
      </c>
      <c r="S10" s="7" t="s">
        <v>11</v>
      </c>
      <c r="U10" s="3" t="s">
        <v>9</v>
      </c>
      <c r="X10" s="9" t="s">
        <v>395</v>
      </c>
      <c r="Y10">
        <v>0</v>
      </c>
      <c r="Z10">
        <v>0</v>
      </c>
      <c r="AA10">
        <v>0</v>
      </c>
    </row>
    <row r="11" spans="1:27" x14ac:dyDescent="0.25">
      <c r="A11" s="13">
        <v>63</v>
      </c>
      <c r="B11" s="13" t="s">
        <v>560</v>
      </c>
      <c r="C11" s="3">
        <f>SUMIF(Shoppingtable[Item Name],Inventorytable[[#This Row],[Ingriedients]],Shoppingtable[Quantity(g/ml)])</f>
        <v>1000</v>
      </c>
      <c r="D11" s="3">
        <f>SUMIF(Quantitytable[[Ingredient ]],Inventorytable[[#This Row],[Ingriedients]],Quantitytable[Materials Used])</f>
        <v>0</v>
      </c>
      <c r="E11" s="3">
        <f>Inventorytable[[#This Row],[Total Available]]-Inventorytable[[#This Row],[Used]]</f>
        <v>1000</v>
      </c>
      <c r="F11" s="14">
        <v>45630</v>
      </c>
      <c r="G11" s="13"/>
      <c r="H11" s="15">
        <v>45639</v>
      </c>
      <c r="I11" s="15" t="s">
        <v>529</v>
      </c>
      <c r="L11" s="12"/>
      <c r="S11" s="7" t="s">
        <v>13</v>
      </c>
      <c r="U11" s="3" t="s">
        <v>473</v>
      </c>
    </row>
    <row r="12" spans="1:27" x14ac:dyDescent="0.25">
      <c r="A12" s="13">
        <v>22</v>
      </c>
      <c r="B12" s="13" t="s">
        <v>42</v>
      </c>
      <c r="C12" s="3">
        <f>SUMIF(Shoppingtable[Item Name],Inventorytable[[#This Row],[Ingriedients]],Shoppingtable[Quantity(g/ml)])</f>
        <v>500</v>
      </c>
      <c r="D12" s="3">
        <f>SUMIF(Quantitytable[[Ingredient ]],Inventorytable[[#This Row],[Ingriedients]],Quantitytable[Materials Used])</f>
        <v>0</v>
      </c>
      <c r="E12" s="3">
        <f>Inventorytable[[#This Row],[Total Available]]-Inventorytable[[#This Row],[Used]]</f>
        <v>500</v>
      </c>
      <c r="F12" s="14">
        <v>45642</v>
      </c>
      <c r="G12" s="13"/>
      <c r="H12" s="15">
        <v>45639</v>
      </c>
      <c r="I12" s="15" t="s">
        <v>529</v>
      </c>
      <c r="S12" s="7" t="s">
        <v>15</v>
      </c>
      <c r="U12" s="3" t="s">
        <v>496</v>
      </c>
    </row>
    <row r="13" spans="1:27" x14ac:dyDescent="0.25">
      <c r="A13" s="13">
        <v>24</v>
      </c>
      <c r="B13" s="13" t="s">
        <v>44</v>
      </c>
      <c r="C13" s="3">
        <f>SUMIF(Shoppingtable[Item Name],Inventorytable[[#This Row],[Ingriedients]],Shoppingtable[Quantity(g/ml)])</f>
        <v>7000</v>
      </c>
      <c r="D13" s="3">
        <f>SUMIF(Quantitytable[[Ingredient ]],Inventorytable[[#This Row],[Ingriedients]],Quantitytable[Materials Used])</f>
        <v>100</v>
      </c>
      <c r="E13" s="3">
        <f>Inventorytable[[#This Row],[Total Available]]-Inventorytable[[#This Row],[Used]]</f>
        <v>6900</v>
      </c>
      <c r="F13" s="14">
        <v>45642</v>
      </c>
      <c r="G13" s="13"/>
      <c r="H13" s="15">
        <v>45639</v>
      </c>
      <c r="I13" s="15" t="s">
        <v>529</v>
      </c>
      <c r="S13" s="7" t="s">
        <v>17</v>
      </c>
      <c r="U13" s="3" t="s">
        <v>145</v>
      </c>
    </row>
    <row r="14" spans="1:27" x14ac:dyDescent="0.25">
      <c r="A14" s="13">
        <v>8</v>
      </c>
      <c r="B14" s="13" t="s">
        <v>601</v>
      </c>
      <c r="C14" s="3">
        <f>SUMIF(Shoppingtable[Item Name],Inventorytable[[#This Row],[Ingriedients]],Shoppingtable[Quantity(g/ml)])</f>
        <v>28</v>
      </c>
      <c r="D14" s="3">
        <f>SUMIF(Quantitytable[[Ingredient ]],Inventorytable[[#This Row],[Ingriedients]],Quantitytable[Materials Used])</f>
        <v>0</v>
      </c>
      <c r="E14" s="3">
        <f>Inventorytable[[#This Row],[Total Available]]-Inventorytable[[#This Row],[Used]]</f>
        <v>28</v>
      </c>
      <c r="F14" s="14">
        <v>45630</v>
      </c>
      <c r="G14" s="13"/>
      <c r="H14" s="15">
        <v>45639</v>
      </c>
      <c r="I14" s="15" t="s">
        <v>529</v>
      </c>
      <c r="S14" s="7" t="s">
        <v>21</v>
      </c>
      <c r="U14" s="3" t="s">
        <v>471</v>
      </c>
    </row>
    <row r="15" spans="1:27" x14ac:dyDescent="0.25">
      <c r="A15" s="13">
        <v>31</v>
      </c>
      <c r="B15" s="13" t="s">
        <v>47</v>
      </c>
      <c r="C15" s="3">
        <f>SUMIF(Shoppingtable[Item Name],Inventorytable[[#This Row],[Ingriedients]],Shoppingtable[Quantity(g/ml)])</f>
        <v>100</v>
      </c>
      <c r="D15" s="3">
        <f>SUMIF(Quantitytable[[Ingredient ]],Inventorytable[[#This Row],[Ingriedients]],Quantitytable[Materials Used])</f>
        <v>0</v>
      </c>
      <c r="E15" s="3">
        <f>Inventorytable[[#This Row],[Total Available]]-Inventorytable[[#This Row],[Used]]</f>
        <v>100</v>
      </c>
      <c r="F15" s="14">
        <v>45642</v>
      </c>
      <c r="G15" s="13"/>
      <c r="H15" s="15">
        <v>45639</v>
      </c>
      <c r="I15" s="15" t="s">
        <v>529</v>
      </c>
      <c r="S15" s="7" t="s">
        <v>23</v>
      </c>
      <c r="U15" s="3" t="s">
        <v>495</v>
      </c>
    </row>
    <row r="16" spans="1:27" x14ac:dyDescent="0.25">
      <c r="A16" s="13">
        <v>32</v>
      </c>
      <c r="B16" s="13" t="s">
        <v>48</v>
      </c>
      <c r="C16" s="3">
        <f>SUMIF(Shoppingtable[Item Name],Inventorytable[[#This Row],[Ingriedients]],Shoppingtable[Quantity(g/ml)])</f>
        <v>250</v>
      </c>
      <c r="D16" s="3">
        <f>SUMIF(Quantitytable[[Ingredient ]],Inventorytable[[#This Row],[Ingriedients]],Quantitytable[Materials Used])</f>
        <v>0</v>
      </c>
      <c r="E16" s="3">
        <f>Inventorytable[[#This Row],[Total Available]]-Inventorytable[[#This Row],[Used]]</f>
        <v>250</v>
      </c>
      <c r="F16" s="14">
        <v>45642</v>
      </c>
      <c r="G16" s="13"/>
      <c r="H16" s="15">
        <v>45639</v>
      </c>
      <c r="I16" s="15" t="s">
        <v>529</v>
      </c>
      <c r="S16" s="7" t="s">
        <v>25</v>
      </c>
      <c r="U16" s="3" t="s">
        <v>492</v>
      </c>
    </row>
    <row r="17" spans="1:21" x14ac:dyDescent="0.25">
      <c r="A17" s="13">
        <v>41</v>
      </c>
      <c r="B17" s="13" t="s">
        <v>67</v>
      </c>
      <c r="C17" s="3">
        <f>SUMIF(Shoppingtable[Item Name],Inventorytable[[#This Row],[Ingriedients]],Shoppingtable[Quantity(g/ml)])</f>
        <v>500</v>
      </c>
      <c r="D17" s="3">
        <f>SUMIF(Quantitytable[[Ingredient ]],Inventorytable[[#This Row],[Ingriedients]],Quantitytable[Materials Used])</f>
        <v>0</v>
      </c>
      <c r="E17" s="3">
        <f>Inventorytable[[#This Row],[Total Available]]-Inventorytable[[#This Row],[Used]]</f>
        <v>500</v>
      </c>
      <c r="F17" s="14">
        <v>45642</v>
      </c>
      <c r="G17" s="13"/>
      <c r="H17" s="15">
        <v>45639</v>
      </c>
      <c r="I17" s="15" t="s">
        <v>529</v>
      </c>
      <c r="S17" s="7" t="s">
        <v>27</v>
      </c>
      <c r="U17" s="3" t="s">
        <v>18</v>
      </c>
    </row>
    <row r="18" spans="1:21" x14ac:dyDescent="0.25">
      <c r="A18" s="13">
        <v>43</v>
      </c>
      <c r="B18" s="13" t="s">
        <v>73</v>
      </c>
      <c r="C18" s="3">
        <f>SUMIF(Shoppingtable[Item Name],Inventorytable[[#This Row],[Ingriedients]],Shoppingtable[Quantity(g/ml)])</f>
        <v>0</v>
      </c>
      <c r="D18" s="3">
        <f>SUMIF(Quantitytable[[Ingredient ]],Inventorytable[[#This Row],[Ingriedients]],Quantitytable[Materials Used])</f>
        <v>0</v>
      </c>
      <c r="E18" s="3">
        <f>Inventorytable[[#This Row],[Total Available]]-Inventorytable[[#This Row],[Used]]</f>
        <v>0</v>
      </c>
      <c r="F18" s="14">
        <v>45642</v>
      </c>
      <c r="G18" s="13"/>
      <c r="H18" s="15">
        <v>45639</v>
      </c>
      <c r="I18" s="15" t="s">
        <v>529</v>
      </c>
      <c r="S18" s="7" t="s">
        <v>29</v>
      </c>
      <c r="U18" s="3" t="s">
        <v>26</v>
      </c>
    </row>
    <row r="19" spans="1:21" x14ac:dyDescent="0.25">
      <c r="A19" s="13">
        <v>45</v>
      </c>
      <c r="B19" s="13" t="s">
        <v>77</v>
      </c>
      <c r="C19" s="3">
        <f>SUMIF(Shoppingtable[Item Name],Inventorytable[[#This Row],[Ingriedients]],Shoppingtable[Quantity(g/ml)])</f>
        <v>1500</v>
      </c>
      <c r="D19" s="3">
        <f>SUMIF(Quantitytable[[Ingredient ]],Inventorytable[[#This Row],[Ingriedients]],Quantitytable[Materials Used])</f>
        <v>0</v>
      </c>
      <c r="E19" s="3">
        <f>Inventorytable[[#This Row],[Total Available]]-Inventorytable[[#This Row],[Used]]</f>
        <v>1500</v>
      </c>
      <c r="F19" s="14">
        <v>45642</v>
      </c>
      <c r="G19" s="13"/>
      <c r="H19" s="15">
        <v>45639</v>
      </c>
      <c r="I19" s="15" t="s">
        <v>529</v>
      </c>
      <c r="S19" s="7" t="s">
        <v>37</v>
      </c>
      <c r="U19" s="3" t="s">
        <v>488</v>
      </c>
    </row>
    <row r="20" spans="1:21" x14ac:dyDescent="0.25">
      <c r="A20" s="13">
        <v>46</v>
      </c>
      <c r="B20" s="13" t="s">
        <v>78</v>
      </c>
      <c r="C20" s="3">
        <f>SUMIF(Shoppingtable[Item Name],Inventorytable[[#This Row],[Ingriedients]],Shoppingtable[Quantity(g/ml)])</f>
        <v>0</v>
      </c>
      <c r="D20" s="3">
        <f>SUMIF(Quantitytable[[Ingredient ]],Inventorytable[[#This Row],[Ingriedients]],Quantitytable[Materials Used])</f>
        <v>0</v>
      </c>
      <c r="E20" s="3">
        <f>Inventorytable[[#This Row],[Total Available]]-Inventorytable[[#This Row],[Used]]</f>
        <v>0</v>
      </c>
      <c r="F20" s="14">
        <v>45642</v>
      </c>
      <c r="G20" s="13"/>
      <c r="H20" s="15">
        <v>45639</v>
      </c>
      <c r="I20" s="15" t="s">
        <v>529</v>
      </c>
      <c r="S20" s="7" t="s">
        <v>39</v>
      </c>
      <c r="U20" s="3" t="s">
        <v>303</v>
      </c>
    </row>
    <row r="21" spans="1:21" x14ac:dyDescent="0.25">
      <c r="A21" s="13">
        <v>47</v>
      </c>
      <c r="B21" s="13" t="s">
        <v>79</v>
      </c>
      <c r="C21" s="3">
        <f>SUMIF(Shoppingtable[Item Name],Inventorytable[[#This Row],[Ingriedients]],Shoppingtable[Quantity(g/ml)])</f>
        <v>0</v>
      </c>
      <c r="D21" s="3">
        <f>SUMIF(Quantitytable[[Ingredient ]],Inventorytable[[#This Row],[Ingriedients]],Quantitytable[Materials Used])</f>
        <v>0</v>
      </c>
      <c r="E21" s="3">
        <f>Inventorytable[[#This Row],[Total Available]]-Inventorytable[[#This Row],[Used]]</f>
        <v>0</v>
      </c>
      <c r="F21" s="14">
        <v>45642</v>
      </c>
      <c r="G21" s="13"/>
      <c r="H21" s="15">
        <v>45639</v>
      </c>
      <c r="I21" s="15" t="s">
        <v>529</v>
      </c>
      <c r="S21" s="7" t="s">
        <v>66</v>
      </c>
      <c r="U21" s="3" t="s">
        <v>420</v>
      </c>
    </row>
    <row r="22" spans="1:21" x14ac:dyDescent="0.25">
      <c r="A22" s="13">
        <v>48</v>
      </c>
      <c r="B22" s="13" t="s">
        <v>80</v>
      </c>
      <c r="C22" s="3">
        <f>SUMIF(Shoppingtable[Item Name],Inventorytable[[#This Row],[Ingriedients]],Shoppingtable[Quantity(g/ml)])</f>
        <v>0</v>
      </c>
      <c r="D22" s="3">
        <f>SUMIF(Quantitytable[[Ingredient ]],Inventorytable[[#This Row],[Ingriedients]],Quantitytable[Materials Used])</f>
        <v>0</v>
      </c>
      <c r="E22" s="3">
        <f>Inventorytable[[#This Row],[Total Available]]-Inventorytable[[#This Row],[Used]]</f>
        <v>0</v>
      </c>
      <c r="F22" s="14">
        <v>45642</v>
      </c>
      <c r="G22" s="13"/>
      <c r="H22" s="15">
        <v>45639</v>
      </c>
      <c r="I22" s="15" t="s">
        <v>529</v>
      </c>
      <c r="S22" s="7" t="s">
        <v>61</v>
      </c>
      <c r="U22" s="3" t="s">
        <v>421</v>
      </c>
    </row>
    <row r="23" spans="1:21" x14ac:dyDescent="0.25">
      <c r="A23" s="13">
        <v>53</v>
      </c>
      <c r="B23" s="13" t="s">
        <v>85</v>
      </c>
      <c r="C23" s="3">
        <f>SUMIF(Shoppingtable[Item Name],Inventorytable[[#This Row],[Ingriedients]],Shoppingtable[Quantity(g/ml)])</f>
        <v>0</v>
      </c>
      <c r="D23" s="3">
        <f>SUMIF(Quantitytable[[Ingredient ]],Inventorytable[[#This Row],[Ingriedients]],Quantitytable[Materials Used])</f>
        <v>0</v>
      </c>
      <c r="E23" s="3">
        <f>Inventorytable[[#This Row],[Total Available]]-Inventorytable[[#This Row],[Used]]</f>
        <v>0</v>
      </c>
      <c r="F23" s="14">
        <v>45642</v>
      </c>
      <c r="G23" s="13"/>
      <c r="H23" s="15">
        <v>45639</v>
      </c>
      <c r="I23" s="15" t="s">
        <v>529</v>
      </c>
      <c r="S23" s="7" t="s">
        <v>74</v>
      </c>
      <c r="U23" s="3" t="s">
        <v>33</v>
      </c>
    </row>
    <row r="24" spans="1:21" x14ac:dyDescent="0.25">
      <c r="A24" s="13">
        <v>55</v>
      </c>
      <c r="B24" s="13" t="s">
        <v>88</v>
      </c>
      <c r="C24" s="3">
        <f>SUMIF(Shoppingtable[Item Name],Inventorytable[[#This Row],[Ingriedients]],Shoppingtable[Quantity(g/ml)])</f>
        <v>0</v>
      </c>
      <c r="D24" s="3">
        <f>SUMIF(Quantitytable[[Ingredient ]],Inventorytable[[#This Row],[Ingriedients]],Quantitytable[Materials Used])</f>
        <v>0</v>
      </c>
      <c r="E24" s="3">
        <f>Inventorytable[[#This Row],[Total Available]]-Inventorytable[[#This Row],[Used]]</f>
        <v>0</v>
      </c>
      <c r="F24" s="14">
        <v>45642</v>
      </c>
      <c r="G24" s="13"/>
      <c r="H24" s="15">
        <v>45639</v>
      </c>
      <c r="I24" s="15" t="s">
        <v>529</v>
      </c>
      <c r="S24" s="7" t="s">
        <v>76</v>
      </c>
      <c r="U24" s="3" t="s">
        <v>36</v>
      </c>
    </row>
    <row r="25" spans="1:21" x14ac:dyDescent="0.25">
      <c r="A25" s="13">
        <v>56</v>
      </c>
      <c r="B25" s="13" t="s">
        <v>89</v>
      </c>
      <c r="C25" s="3">
        <f>SUMIF(Shoppingtable[Item Name],Inventorytable[[#This Row],[Ingriedients]],Shoppingtable[Quantity(g/ml)])</f>
        <v>1000</v>
      </c>
      <c r="D25" s="3">
        <f>SUMIF(Quantitytable[[Ingredient ]],Inventorytable[[#This Row],[Ingriedients]],Quantitytable[Materials Used])</f>
        <v>0</v>
      </c>
      <c r="E25" s="3">
        <f>Inventorytable[[#This Row],[Total Available]]-Inventorytable[[#This Row],[Used]]</f>
        <v>1000</v>
      </c>
      <c r="F25" s="14">
        <v>45642</v>
      </c>
      <c r="G25" s="13"/>
      <c r="H25" s="15">
        <v>45639</v>
      </c>
      <c r="I25" s="15" t="s">
        <v>529</v>
      </c>
      <c r="S25" s="7" t="s">
        <v>113</v>
      </c>
      <c r="U25" s="3" t="s">
        <v>419</v>
      </c>
    </row>
    <row r="26" spans="1:21" x14ac:dyDescent="0.25">
      <c r="A26" s="13">
        <v>54</v>
      </c>
      <c r="B26" s="13" t="s">
        <v>98</v>
      </c>
      <c r="C26" s="3">
        <f>SUMIF(Shoppingtable[Item Name],Inventorytable[[#This Row],[Ingriedients]],Shoppingtable[Quantity(g/ml)])</f>
        <v>1200</v>
      </c>
      <c r="D26" s="3">
        <f>SUMIF(Quantitytable[[Ingredient ]],Inventorytable[[#This Row],[Ingriedients]],Quantitytable[Materials Used])</f>
        <v>80</v>
      </c>
      <c r="E26" s="3">
        <f>Inventorytable[[#This Row],[Total Available]]-Inventorytable[[#This Row],[Used]]</f>
        <v>1120</v>
      </c>
      <c r="F26" s="14">
        <v>45630</v>
      </c>
      <c r="G26" s="13"/>
      <c r="H26" s="15">
        <v>45639</v>
      </c>
      <c r="I26" s="15" t="s">
        <v>529</v>
      </c>
      <c r="S26" s="7" t="s">
        <v>97</v>
      </c>
      <c r="U26" s="3" t="s">
        <v>481</v>
      </c>
    </row>
    <row r="27" spans="1:21" x14ac:dyDescent="0.25">
      <c r="A27" s="13">
        <v>70</v>
      </c>
      <c r="B27" s="13" t="s">
        <v>104</v>
      </c>
      <c r="C27" s="3">
        <f>SUMIF(Shoppingtable[Item Name],Inventorytable[[#This Row],[Ingriedients]],Shoppingtable[Quantity(g/ml)])</f>
        <v>3000</v>
      </c>
      <c r="D27" s="3">
        <f>SUMIF(Quantitytable[[Ingredient ]],Inventorytable[[#This Row],[Ingriedients]],Quantitytable[Materials Used])</f>
        <v>0</v>
      </c>
      <c r="E27" s="3">
        <f>Inventorytable[[#This Row],[Total Available]]-Inventorytable[[#This Row],[Used]]</f>
        <v>3000</v>
      </c>
      <c r="F27" s="14">
        <v>45642</v>
      </c>
      <c r="G27" s="13"/>
      <c r="H27" s="15">
        <v>45639</v>
      </c>
      <c r="I27" s="15" t="s">
        <v>529</v>
      </c>
      <c r="S27" s="7" t="s">
        <v>103</v>
      </c>
      <c r="U27" s="3" t="s">
        <v>41</v>
      </c>
    </row>
    <row r="28" spans="1:21" x14ac:dyDescent="0.25">
      <c r="A28" s="13">
        <v>58</v>
      </c>
      <c r="B28" s="13" t="s">
        <v>576</v>
      </c>
      <c r="C28" s="3">
        <f>SUMIF(Shoppingtable[Item Name],Inventorytable[[#This Row],[Ingriedients]],Shoppingtable[Quantity(g/ml)])</f>
        <v>600</v>
      </c>
      <c r="D28" s="3">
        <f>SUMIF(Quantitytable[[Ingredient ]],Inventorytable[[#This Row],[Ingriedients]],Quantitytable[Materials Used])</f>
        <v>50</v>
      </c>
      <c r="E28" s="3">
        <f>Inventorytable[[#This Row],[Total Available]]-Inventorytable[[#This Row],[Used]]</f>
        <v>550</v>
      </c>
      <c r="F28" s="14">
        <v>45630</v>
      </c>
      <c r="G28" s="13"/>
      <c r="H28" s="15">
        <v>45639</v>
      </c>
      <c r="I28" s="15" t="s">
        <v>529</v>
      </c>
      <c r="S28" s="7" t="s">
        <v>35</v>
      </c>
      <c r="U28" s="3" t="s">
        <v>490</v>
      </c>
    </row>
    <row r="29" spans="1:21" x14ac:dyDescent="0.25">
      <c r="A29" s="13">
        <v>74</v>
      </c>
      <c r="B29" s="13" t="s">
        <v>109</v>
      </c>
      <c r="C29" s="3">
        <f>SUMIF(Shoppingtable[Item Name],Inventorytable[[#This Row],[Ingriedients]],Shoppingtable[Quantity(g/ml)])</f>
        <v>0</v>
      </c>
      <c r="D29" s="3">
        <f>SUMIF(Quantitytable[[Ingredient ]],Inventorytable[[#This Row],[Ingriedients]],Quantitytable[Materials Used])</f>
        <v>0</v>
      </c>
      <c r="E29" s="3">
        <f>Inventorytable[[#This Row],[Total Available]]-Inventorytable[[#This Row],[Used]]</f>
        <v>0</v>
      </c>
      <c r="F29" s="14">
        <v>45642</v>
      </c>
      <c r="G29" s="13"/>
      <c r="H29" s="15">
        <v>45639</v>
      </c>
      <c r="I29" s="15" t="s">
        <v>529</v>
      </c>
      <c r="S29" s="7" t="s">
        <v>83</v>
      </c>
      <c r="U29" s="3" t="s">
        <v>42</v>
      </c>
    </row>
    <row r="30" spans="1:21" x14ac:dyDescent="0.25">
      <c r="A30" s="13">
        <v>60</v>
      </c>
      <c r="B30" s="13" t="s">
        <v>577</v>
      </c>
      <c r="C30" s="3">
        <f>SUMIF(Shoppingtable[Item Name],Inventorytable[[#This Row],[Ingriedients]],Shoppingtable[Quantity(g/ml)])</f>
        <v>520</v>
      </c>
      <c r="D30" s="3">
        <f>SUMIF(Quantitytable[[Ingredient ]],Inventorytable[[#This Row],[Ingriedients]],Quantitytable[Materials Used])</f>
        <v>50</v>
      </c>
      <c r="E30" s="3">
        <f>Inventorytable[[#This Row],[Total Available]]-Inventorytable[[#This Row],[Used]]</f>
        <v>470</v>
      </c>
      <c r="F30" s="14">
        <v>45657</v>
      </c>
      <c r="G30" s="13"/>
      <c r="H30" s="15">
        <v>45639</v>
      </c>
      <c r="I30" s="15" t="s">
        <v>529</v>
      </c>
      <c r="U30" s="3" t="s">
        <v>418</v>
      </c>
    </row>
    <row r="31" spans="1:21" x14ac:dyDescent="0.25">
      <c r="A31" s="13">
        <v>18</v>
      </c>
      <c r="B31" s="13" t="s">
        <v>419</v>
      </c>
      <c r="C31" s="3">
        <f>SUMIF(Shoppingtable[Item Name],Inventorytable[[#This Row],[Ingriedients]],Shoppingtable[Quantity(g/ml)])</f>
        <v>44</v>
      </c>
      <c r="D31" s="3">
        <f>SUMIF(Quantitytable[[Ingredient ]],Inventorytable[[#This Row],[Ingriedients]],Quantitytable[Materials Used])</f>
        <v>0</v>
      </c>
      <c r="E31" s="3">
        <f>Inventorytable[[#This Row],[Total Available]]-Inventorytable[[#This Row],[Used]]</f>
        <v>44</v>
      </c>
      <c r="F31" s="14">
        <v>45657</v>
      </c>
      <c r="G31" s="13"/>
      <c r="H31" s="15">
        <v>45639</v>
      </c>
      <c r="I31" s="15" t="s">
        <v>529</v>
      </c>
      <c r="U31" s="3" t="s">
        <v>44</v>
      </c>
    </row>
    <row r="32" spans="1:21" x14ac:dyDescent="0.25">
      <c r="A32" s="13">
        <v>23</v>
      </c>
      <c r="B32" s="13" t="s">
        <v>418</v>
      </c>
      <c r="C32" s="3">
        <f>SUMIF(Shoppingtable[Item Name],Inventorytable[[#This Row],[Ingriedients]],Shoppingtable[Quantity(g/ml)])</f>
        <v>20</v>
      </c>
      <c r="D32" s="3">
        <f>SUMIF(Quantitytable[[Ingredient ]],Inventorytable[[#This Row],[Ingriedients]],Quantitytable[Materials Used])</f>
        <v>0</v>
      </c>
      <c r="E32" s="3">
        <f>Inventorytable[[#This Row],[Total Available]]-Inventorytable[[#This Row],[Used]]</f>
        <v>20</v>
      </c>
      <c r="F32" s="14">
        <v>45657</v>
      </c>
      <c r="G32" s="13"/>
      <c r="H32" s="15">
        <v>45639</v>
      </c>
      <c r="I32" s="15" t="s">
        <v>529</v>
      </c>
      <c r="U32" s="3" t="s">
        <v>480</v>
      </c>
    </row>
    <row r="33" spans="1:21" x14ac:dyDescent="0.25">
      <c r="A33" s="13">
        <v>26</v>
      </c>
      <c r="B33" s="13" t="s">
        <v>45</v>
      </c>
      <c r="C33" s="3">
        <f>SUMIF(Shoppingtable[Item Name],Inventorytable[[#This Row],[Ingriedients]],Shoppingtable[Quantity(g/ml)])</f>
        <v>2</v>
      </c>
      <c r="D33" s="3">
        <f>SUMIF(Quantitytable[[Ingredient ]],Inventorytable[[#This Row],[Ingriedients]],Quantitytable[Materials Used])</f>
        <v>0</v>
      </c>
      <c r="E33" s="3">
        <f>Inventorytable[[#This Row],[Total Available]]-Inventorytable[[#This Row],[Used]]</f>
        <v>2</v>
      </c>
      <c r="F33" s="14">
        <v>45646</v>
      </c>
      <c r="G33" s="13"/>
      <c r="H33" s="15">
        <v>45639</v>
      </c>
      <c r="I33" s="15" t="s">
        <v>529</v>
      </c>
      <c r="U33" s="3" t="s">
        <v>45</v>
      </c>
    </row>
    <row r="34" spans="1:21" x14ac:dyDescent="0.25">
      <c r="A34" s="13">
        <v>2</v>
      </c>
      <c r="B34" s="13" t="s">
        <v>112</v>
      </c>
      <c r="C34" s="3">
        <f>SUMIF(Shoppingtable[Item Name],Inventorytable[[#This Row],[Ingriedients]],Shoppingtable[Quantity(g/ml)])</f>
        <v>0</v>
      </c>
      <c r="D34" s="3">
        <f>SUMIF(Quantitytable[[Ingredient ]],Inventorytable[[#This Row],[Ingriedients]],Quantitytable[Materials Used])</f>
        <v>0</v>
      </c>
      <c r="E34" s="3">
        <f>Inventorytable[[#This Row],[Total Available]]-Inventorytable[[#This Row],[Used]]</f>
        <v>0</v>
      </c>
      <c r="F34" s="14">
        <v>45657</v>
      </c>
      <c r="G34" s="13"/>
      <c r="H34" s="15">
        <v>45639</v>
      </c>
      <c r="I34" s="15" t="s">
        <v>530</v>
      </c>
      <c r="U34" s="3" t="s">
        <v>485</v>
      </c>
    </row>
    <row r="35" spans="1:21" x14ac:dyDescent="0.25">
      <c r="A35" s="3">
        <v>98</v>
      </c>
      <c r="B35" s="3" t="s">
        <v>533</v>
      </c>
      <c r="C35" s="3">
        <f>SUMIF(Shoppingtable[Item Name],Inventorytable[[#This Row],[Ingriedients]],Shoppingtable[Quantity(g/ml)])</f>
        <v>0</v>
      </c>
      <c r="D35" s="3">
        <f>SUMIF(Quantitytable[[Ingredient ]],Inventorytable[[#This Row],[Ingriedients]],Quantitytable[Materials Used])</f>
        <v>0</v>
      </c>
      <c r="E35" s="3">
        <f>Inventorytable[[#This Row],[Total Available]]-Inventorytable[[#This Row],[Used]]</f>
        <v>0</v>
      </c>
      <c r="F35" s="14">
        <v>45657</v>
      </c>
      <c r="G35" s="13"/>
      <c r="H35" s="15">
        <v>45639</v>
      </c>
      <c r="I35" s="15" t="s">
        <v>529</v>
      </c>
      <c r="U35" s="3" t="s">
        <v>477</v>
      </c>
    </row>
    <row r="36" spans="1:21" x14ac:dyDescent="0.25">
      <c r="A36" s="13">
        <v>4</v>
      </c>
      <c r="B36" s="13" t="s">
        <v>545</v>
      </c>
      <c r="C36" s="3">
        <f>SUMIF(Shoppingtable[Item Name],Inventorytable[[#This Row],[Ingriedients]],Shoppingtable[Quantity(g/ml)])</f>
        <v>0</v>
      </c>
      <c r="D36" s="3">
        <f>SUMIF(Quantitytable[[Ingredient ]],Inventorytable[[#This Row],[Ingriedients]],Quantitytable[Materials Used])</f>
        <v>0</v>
      </c>
      <c r="E36" s="3">
        <f>Inventorytable[[#This Row],[Total Available]]-Inventorytable[[#This Row],[Used]]</f>
        <v>0</v>
      </c>
      <c r="F36" s="14">
        <v>45657</v>
      </c>
      <c r="G36" s="13"/>
      <c r="H36" s="15">
        <v>45639</v>
      </c>
      <c r="I36" s="15" t="s">
        <v>530</v>
      </c>
      <c r="U36" s="3" t="s">
        <v>482</v>
      </c>
    </row>
    <row r="37" spans="1:21" x14ac:dyDescent="0.25">
      <c r="A37" s="13">
        <v>5</v>
      </c>
      <c r="B37" s="13" t="s">
        <v>496</v>
      </c>
      <c r="C37" s="3">
        <f>SUMIF(Shoppingtable[Item Name],Inventorytable[[#This Row],[Ingriedients]],Shoppingtable[Quantity(g/ml)])</f>
        <v>10000</v>
      </c>
      <c r="D37" s="3">
        <f>SUMIF(Quantitytable[[Ingredient ]],Inventorytable[[#This Row],[Ingriedients]],Quantitytable[Materials Used])</f>
        <v>0</v>
      </c>
      <c r="E37" s="3">
        <f>Inventorytable[[#This Row],[Total Available]]-Inventorytable[[#This Row],[Used]]</f>
        <v>10000</v>
      </c>
      <c r="F37" s="14">
        <v>45657</v>
      </c>
      <c r="G37" s="13"/>
      <c r="H37" s="15">
        <v>45639</v>
      </c>
      <c r="I37" s="15" t="s">
        <v>530</v>
      </c>
      <c r="U37" s="3" t="s">
        <v>487</v>
      </c>
    </row>
    <row r="38" spans="1:21" x14ac:dyDescent="0.25">
      <c r="A38" s="3">
        <v>95</v>
      </c>
      <c r="B38" s="3" t="s">
        <v>523</v>
      </c>
      <c r="C38" s="3">
        <f>SUMIF(Shoppingtable[Item Name],Inventorytable[[#This Row],[Ingriedients]],Shoppingtable[Quantity(g/ml)])</f>
        <v>174</v>
      </c>
      <c r="D38" s="3">
        <f>SUMIF(Quantitytable[[Ingredient ]],Inventorytable[[#This Row],[Ingriedients]],Quantitytable[Materials Used])</f>
        <v>0</v>
      </c>
      <c r="E38" s="3">
        <f>Inventorytable[[#This Row],[Total Available]]-Inventorytable[[#This Row],[Used]]</f>
        <v>174</v>
      </c>
      <c r="F38" s="14">
        <v>45652</v>
      </c>
      <c r="G38" s="13"/>
      <c r="H38" s="15">
        <v>45639</v>
      </c>
      <c r="I38" s="15" t="s">
        <v>530</v>
      </c>
      <c r="U38" s="3" t="s">
        <v>47</v>
      </c>
    </row>
    <row r="39" spans="1:21" x14ac:dyDescent="0.25">
      <c r="A39" s="13">
        <v>6</v>
      </c>
      <c r="B39" s="13" t="s">
        <v>145</v>
      </c>
      <c r="C39" s="3">
        <f>SUMIF(Shoppingtable[Item Name],Inventorytable[[#This Row],[Ingriedients]],Shoppingtable[Quantity(g/ml)])</f>
        <v>1</v>
      </c>
      <c r="D39" s="3">
        <f>SUMIF(Quantitytable[[Ingredient ]],Inventorytable[[#This Row],[Ingriedients]],Quantitytable[Materials Used])</f>
        <v>0</v>
      </c>
      <c r="E39" s="3">
        <f>Inventorytable[[#This Row],[Total Available]]-Inventorytable[[#This Row],[Used]]</f>
        <v>1</v>
      </c>
      <c r="F39" s="14">
        <v>45652</v>
      </c>
      <c r="G39" s="13"/>
      <c r="H39" s="15">
        <v>45639</v>
      </c>
      <c r="I39" s="15" t="s">
        <v>531</v>
      </c>
      <c r="U39" s="3" t="s">
        <v>48</v>
      </c>
    </row>
    <row r="40" spans="1:21" x14ac:dyDescent="0.25">
      <c r="A40" s="3">
        <v>86</v>
      </c>
      <c r="B40" s="3" t="s">
        <v>514</v>
      </c>
      <c r="C40" s="3">
        <f>SUMIF(Shoppingtable[Item Name],Inventorytable[[#This Row],[Ingriedients]],Shoppingtable[Quantity(g/ml)])</f>
        <v>20</v>
      </c>
      <c r="D40" s="3">
        <f>SUMIF(Quantitytable[[Ingredient ]],Inventorytable[[#This Row],[Ingriedients]],Quantitytable[Materials Used])</f>
        <v>0</v>
      </c>
      <c r="E40" s="3">
        <f>Inventorytable[[#This Row],[Total Available]]-Inventorytable[[#This Row],[Used]]</f>
        <v>20</v>
      </c>
      <c r="F40" s="14">
        <v>45657</v>
      </c>
      <c r="G40" s="13"/>
      <c r="H40" s="15">
        <v>45639</v>
      </c>
      <c r="I40" s="15" t="s">
        <v>530</v>
      </c>
      <c r="U40" s="3" t="s">
        <v>49</v>
      </c>
    </row>
    <row r="41" spans="1:21" x14ac:dyDescent="0.25">
      <c r="A41" s="3">
        <v>99</v>
      </c>
      <c r="B41" s="3" t="s">
        <v>534</v>
      </c>
      <c r="C41" s="3">
        <f>SUMIF(Shoppingtable[Item Name],Inventorytable[[#This Row],[Ingriedients]],Shoppingtable[Quantity(g/ml)])</f>
        <v>0</v>
      </c>
      <c r="D41" s="3">
        <f>SUMIF(Quantitytable[[Ingredient ]],Inventorytable[[#This Row],[Ingriedients]],Quantitytable[Materials Used])</f>
        <v>0</v>
      </c>
      <c r="E41" s="3">
        <f>Inventorytable[[#This Row],[Total Available]]-Inventorytable[[#This Row],[Used]]</f>
        <v>0</v>
      </c>
      <c r="F41" s="14">
        <v>45652</v>
      </c>
      <c r="G41" s="13"/>
      <c r="H41" s="15">
        <v>45639</v>
      </c>
      <c r="I41" s="15" t="s">
        <v>529</v>
      </c>
      <c r="U41" s="3" t="s">
        <v>474</v>
      </c>
    </row>
    <row r="42" spans="1:21" x14ac:dyDescent="0.25">
      <c r="A42" s="13">
        <v>9</v>
      </c>
      <c r="B42" s="13" t="s">
        <v>492</v>
      </c>
      <c r="C42" s="3">
        <f>SUMIF(Shoppingtable[Item Name],Inventorytable[[#This Row],[Ingriedients]],Shoppingtable[Quantity(g/ml)])</f>
        <v>16</v>
      </c>
      <c r="D42" s="3">
        <f>SUMIF(Quantitytable[[Ingredient ]],Inventorytable[[#This Row],[Ingriedients]],Quantitytable[Materials Used])</f>
        <v>0</v>
      </c>
      <c r="E42" s="3">
        <f>Inventorytable[[#This Row],[Total Available]]-Inventorytable[[#This Row],[Used]]</f>
        <v>16</v>
      </c>
      <c r="F42" s="14">
        <v>45657</v>
      </c>
      <c r="G42" s="13"/>
      <c r="H42" s="15">
        <v>45639</v>
      </c>
      <c r="I42" s="15" t="s">
        <v>530</v>
      </c>
      <c r="U42" s="3" t="s">
        <v>472</v>
      </c>
    </row>
    <row r="43" spans="1:21" x14ac:dyDescent="0.25">
      <c r="A43" s="3">
        <v>88</v>
      </c>
      <c r="B43" s="3" t="s">
        <v>516</v>
      </c>
      <c r="C43" s="3">
        <f>SUMIF(Shoppingtable[Item Name],Inventorytable[[#This Row],[Ingriedients]],Shoppingtable[Quantity(g/ml)])</f>
        <v>6</v>
      </c>
      <c r="D43" s="3">
        <f>SUMIF(Quantitytable[[Ingredient ]],Inventorytable[[#This Row],[Ingriedients]],Quantitytable[Materials Used])</f>
        <v>0</v>
      </c>
      <c r="E43" s="3">
        <f>Inventorytable[[#This Row],[Total Available]]-Inventorytable[[#This Row],[Used]]</f>
        <v>6</v>
      </c>
      <c r="F43" s="14">
        <v>45657</v>
      </c>
      <c r="G43" s="13"/>
      <c r="H43" s="15">
        <v>45639</v>
      </c>
      <c r="I43" s="15" t="s">
        <v>530</v>
      </c>
      <c r="U43" s="3" t="s">
        <v>146</v>
      </c>
    </row>
    <row r="44" spans="1:21" x14ac:dyDescent="0.25">
      <c r="A44" s="3">
        <v>102</v>
      </c>
      <c r="B44" s="3" t="s">
        <v>537</v>
      </c>
      <c r="C44" s="3">
        <f>SUMIF(Shoppingtable[Item Name],Inventorytable[[#This Row],[Ingriedients]],Shoppingtable[Quantity(g/ml)])</f>
        <v>0</v>
      </c>
      <c r="D44" s="3">
        <f>SUMIF(Quantitytable[[Ingredient ]],Inventorytable[[#This Row],[Ingriedients]],Quantitytable[Materials Used])</f>
        <v>0</v>
      </c>
      <c r="E44" s="3">
        <f>Inventorytable[[#This Row],[Total Available]]-Inventorytable[[#This Row],[Used]]</f>
        <v>0</v>
      </c>
      <c r="F44" s="14">
        <v>45652</v>
      </c>
      <c r="G44" s="13"/>
      <c r="H44" s="15">
        <v>45639</v>
      </c>
      <c r="I44" s="15" t="s">
        <v>529</v>
      </c>
      <c r="U44" s="3" t="s">
        <v>489</v>
      </c>
    </row>
    <row r="45" spans="1:21" x14ac:dyDescent="0.25">
      <c r="A45" s="13">
        <v>12</v>
      </c>
      <c r="B45" s="13" t="s">
        <v>488</v>
      </c>
      <c r="C45" s="3">
        <f>SUMIF(Shoppingtable[Item Name],Inventorytable[[#This Row],[Ingriedients]],Shoppingtable[Quantity(g/ml)])</f>
        <v>15</v>
      </c>
      <c r="D45" s="3">
        <f>SUMIF(Quantitytable[[Ingredient ]],Inventorytable[[#This Row],[Ingriedients]],Quantitytable[Materials Used])</f>
        <v>0</v>
      </c>
      <c r="E45" s="3">
        <f>Inventorytable[[#This Row],[Total Available]]-Inventorytable[[#This Row],[Used]]</f>
        <v>15</v>
      </c>
      <c r="F45" s="14">
        <v>45657</v>
      </c>
      <c r="G45" s="13"/>
      <c r="H45" s="15">
        <v>45639</v>
      </c>
      <c r="I45" s="15" t="s">
        <v>530</v>
      </c>
      <c r="U45" s="3" t="s">
        <v>497</v>
      </c>
    </row>
    <row r="46" spans="1:21" x14ac:dyDescent="0.25">
      <c r="A46" s="13">
        <v>13</v>
      </c>
      <c r="B46" s="13" t="s">
        <v>303</v>
      </c>
      <c r="C46" s="3">
        <f>SUMIF(Shoppingtable[Item Name],Inventorytable[[#This Row],[Ingriedients]],Shoppingtable[Quantity(g/ml)])</f>
        <v>50</v>
      </c>
      <c r="D46" s="3">
        <f>SUMIF(Quantitytable[[Ingredient ]],Inventorytable[[#This Row],[Ingriedients]],Quantitytable[Materials Used])</f>
        <v>0</v>
      </c>
      <c r="E46" s="3">
        <f>Inventorytable[[#This Row],[Total Available]]-Inventorytable[[#This Row],[Used]]</f>
        <v>50</v>
      </c>
      <c r="F46" s="14">
        <v>45657</v>
      </c>
      <c r="G46" s="13"/>
      <c r="H46" s="15">
        <v>45639</v>
      </c>
      <c r="I46" s="15" t="s">
        <v>530</v>
      </c>
      <c r="U46" s="3" t="s">
        <v>64</v>
      </c>
    </row>
    <row r="47" spans="1:21" x14ac:dyDescent="0.25">
      <c r="A47" s="13">
        <v>14</v>
      </c>
      <c r="B47" s="13" t="s">
        <v>420</v>
      </c>
      <c r="C47" s="3">
        <f>SUMIF(Shoppingtable[Item Name],Inventorytable[[#This Row],[Ingriedients]],Shoppingtable[Quantity(g/ml)])</f>
        <v>0</v>
      </c>
      <c r="D47" s="3">
        <f>SUMIF(Quantitytable[[Ingredient ]],Inventorytable[[#This Row],[Ingriedients]],Quantitytable[Materials Used])</f>
        <v>0</v>
      </c>
      <c r="E47" s="3">
        <f>Inventorytable[[#This Row],[Total Available]]-Inventorytable[[#This Row],[Used]]</f>
        <v>0</v>
      </c>
      <c r="F47" s="14">
        <v>45657</v>
      </c>
      <c r="G47" s="13"/>
      <c r="H47" s="15">
        <v>45639</v>
      </c>
      <c r="I47" s="15" t="s">
        <v>530</v>
      </c>
      <c r="U47" s="3" t="s">
        <v>65</v>
      </c>
    </row>
    <row r="48" spans="1:21" x14ac:dyDescent="0.25">
      <c r="A48" s="13">
        <v>15</v>
      </c>
      <c r="B48" s="13" t="s">
        <v>421</v>
      </c>
      <c r="C48" s="3">
        <f>SUMIF(Shoppingtable[Item Name],Inventorytable[[#This Row],[Ingriedients]],Shoppingtable[Quantity(g/ml)])</f>
        <v>4</v>
      </c>
      <c r="D48" s="3">
        <f>SUMIF(Quantitytable[[Ingredient ]],Inventorytable[[#This Row],[Ingriedients]],Quantitytable[Materials Used])</f>
        <v>0</v>
      </c>
      <c r="E48" s="3">
        <f>Inventorytable[[#This Row],[Total Available]]-Inventorytable[[#This Row],[Used]]</f>
        <v>4</v>
      </c>
      <c r="F48" s="14">
        <v>45657</v>
      </c>
      <c r="G48" s="13"/>
      <c r="H48" s="15">
        <v>45639</v>
      </c>
      <c r="I48" s="15" t="s">
        <v>530</v>
      </c>
      <c r="U48" s="3" t="s">
        <v>67</v>
      </c>
    </row>
    <row r="49" spans="1:21" x14ac:dyDescent="0.25">
      <c r="A49" s="13">
        <v>16</v>
      </c>
      <c r="B49" s="13" t="s">
        <v>33</v>
      </c>
      <c r="C49" s="3">
        <f>SUMIF(Shoppingtable[Item Name],Inventorytable[[#This Row],[Ingriedients]],Shoppingtable[Quantity(g/ml)])</f>
        <v>900</v>
      </c>
      <c r="D49" s="3">
        <f>SUMIF(Quantitytable[[Ingredient ]],Inventorytable[[#This Row],[Ingriedients]],Quantitytable[Materials Used])</f>
        <v>0</v>
      </c>
      <c r="E49" s="3">
        <f>Inventorytable[[#This Row],[Total Available]]-Inventorytable[[#This Row],[Used]]</f>
        <v>900</v>
      </c>
      <c r="F49" s="14">
        <v>45652</v>
      </c>
      <c r="G49" s="13"/>
      <c r="H49" s="15">
        <v>45639</v>
      </c>
      <c r="I49" s="15" t="s">
        <v>531</v>
      </c>
      <c r="U49" s="3" t="s">
        <v>478</v>
      </c>
    </row>
    <row r="50" spans="1:21" x14ac:dyDescent="0.25">
      <c r="A50" s="13">
        <v>17</v>
      </c>
      <c r="B50" s="13" t="s">
        <v>36</v>
      </c>
      <c r="C50" s="3">
        <f>SUMIF(Shoppingtable[Item Name],Inventorytable[[#This Row],[Ingriedients]],Shoppingtable[Quantity(g/ml)])</f>
        <v>2</v>
      </c>
      <c r="D50" s="3">
        <f>SUMIF(Quantitytable[[Ingredient ]],Inventorytable[[#This Row],[Ingriedients]],Quantitytable[Materials Used])</f>
        <v>0</v>
      </c>
      <c r="E50" s="3">
        <f>Inventorytable[[#This Row],[Total Available]]-Inventorytable[[#This Row],[Used]]</f>
        <v>2</v>
      </c>
      <c r="F50" s="14">
        <v>45657</v>
      </c>
      <c r="G50" s="13"/>
      <c r="H50" s="15">
        <v>45639</v>
      </c>
      <c r="I50" s="15" t="s">
        <v>530</v>
      </c>
      <c r="U50" s="3" t="s">
        <v>73</v>
      </c>
    </row>
    <row r="51" spans="1:21" x14ac:dyDescent="0.25">
      <c r="A51" s="3">
        <v>96</v>
      </c>
      <c r="B51" s="3" t="s">
        <v>524</v>
      </c>
      <c r="C51" s="3">
        <f>SUMIF(Shoppingtable[Item Name],Inventorytable[[#This Row],[Ingriedients]],Shoppingtable[Quantity(g/ml)])</f>
        <v>2</v>
      </c>
      <c r="D51" s="3">
        <f>SUMIF(Quantitytable[[Ingredient ]],Inventorytable[[#This Row],[Ingriedients]],Quantitytable[Materials Used])</f>
        <v>0</v>
      </c>
      <c r="E51" s="3">
        <f>Inventorytable[[#This Row],[Total Available]]-Inventorytable[[#This Row],[Used]]</f>
        <v>2</v>
      </c>
      <c r="F51" s="14">
        <v>45652</v>
      </c>
      <c r="G51" s="13"/>
      <c r="H51" s="15">
        <v>45639</v>
      </c>
      <c r="I51" s="15" t="s">
        <v>530</v>
      </c>
      <c r="U51" s="3" t="s">
        <v>75</v>
      </c>
    </row>
    <row r="52" spans="1:21" x14ac:dyDescent="0.25">
      <c r="A52" s="13">
        <v>19</v>
      </c>
      <c r="B52" s="13" t="s">
        <v>481</v>
      </c>
      <c r="C52" s="3">
        <f>SUMIF(Shoppingtable[Item Name],Inventorytable[[#This Row],[Ingriedients]],Shoppingtable[Quantity(g/ml)])</f>
        <v>200</v>
      </c>
      <c r="D52" s="3">
        <f>SUMIF(Quantitytable[[Ingredient ]],Inventorytable[[#This Row],[Ingriedients]],Quantitytable[Materials Used])</f>
        <v>0</v>
      </c>
      <c r="E52" s="3">
        <f>Inventorytable[[#This Row],[Total Available]]-Inventorytable[[#This Row],[Used]]</f>
        <v>200</v>
      </c>
      <c r="F52" s="14">
        <v>45652</v>
      </c>
      <c r="G52" s="13"/>
      <c r="H52" s="15">
        <v>45639</v>
      </c>
      <c r="I52" s="15" t="s">
        <v>531</v>
      </c>
      <c r="U52" s="3" t="s">
        <v>77</v>
      </c>
    </row>
    <row r="53" spans="1:21" x14ac:dyDescent="0.25">
      <c r="A53" s="13">
        <v>20</v>
      </c>
      <c r="B53" s="13" t="s">
        <v>41</v>
      </c>
      <c r="C53" s="3">
        <f>SUMIF(Shoppingtable[Item Name],Inventorytable[[#This Row],[Ingriedients]],Shoppingtable[Quantity(g/ml)])</f>
        <v>0</v>
      </c>
      <c r="D53" s="3">
        <f>SUMIF(Quantitytable[[Ingredient ]],Inventorytable[[#This Row],[Ingriedients]],Quantitytable[Materials Used])</f>
        <v>0</v>
      </c>
      <c r="E53" s="3">
        <f>Inventorytable[[#This Row],[Total Available]]-Inventorytable[[#This Row],[Used]]</f>
        <v>0</v>
      </c>
      <c r="F53" s="14">
        <v>45657</v>
      </c>
      <c r="G53" s="13"/>
      <c r="H53" s="15">
        <v>45639</v>
      </c>
      <c r="I53" s="15" t="s">
        <v>530</v>
      </c>
      <c r="U53" s="3" t="s">
        <v>78</v>
      </c>
    </row>
    <row r="54" spans="1:21" x14ac:dyDescent="0.25">
      <c r="A54" s="13">
        <v>21</v>
      </c>
      <c r="B54" s="13" t="s">
        <v>490</v>
      </c>
      <c r="C54" s="3">
        <f>SUMIF(Shoppingtable[Item Name],Inventorytable[[#This Row],[Ingriedients]],Shoppingtable[Quantity(g/ml)])</f>
        <v>0</v>
      </c>
      <c r="D54" s="3">
        <f>SUMIF(Quantitytable[[Ingredient ]],Inventorytable[[#This Row],[Ingriedients]],Quantitytable[Materials Used])</f>
        <v>0</v>
      </c>
      <c r="E54" s="3">
        <f>Inventorytable[[#This Row],[Total Available]]-Inventorytable[[#This Row],[Used]]</f>
        <v>0</v>
      </c>
      <c r="F54" s="14">
        <v>45657</v>
      </c>
      <c r="G54" s="13"/>
      <c r="H54" s="15">
        <v>45639</v>
      </c>
      <c r="I54" s="15" t="s">
        <v>530</v>
      </c>
      <c r="U54" s="3" t="s">
        <v>79</v>
      </c>
    </row>
    <row r="55" spans="1:21" x14ac:dyDescent="0.25">
      <c r="A55" s="13">
        <v>25</v>
      </c>
      <c r="B55" s="13" t="s">
        <v>480</v>
      </c>
      <c r="C55" s="3">
        <f>SUMIF(Shoppingtable[Item Name],Inventorytable[[#This Row],[Ingriedients]],Shoppingtable[Quantity(g/ml)])</f>
        <v>72</v>
      </c>
      <c r="D55" s="3">
        <f>SUMIF(Quantitytable[[Ingredient ]],Inventorytable[[#This Row],[Ingriedients]],Quantitytable[Materials Used])</f>
        <v>0</v>
      </c>
      <c r="E55" s="3">
        <f>Inventorytable[[#This Row],[Total Available]]-Inventorytable[[#This Row],[Used]]</f>
        <v>72</v>
      </c>
      <c r="F55" s="14">
        <v>45657</v>
      </c>
      <c r="G55" s="13"/>
      <c r="H55" s="15">
        <v>45639</v>
      </c>
      <c r="I55" s="15" t="s">
        <v>530</v>
      </c>
      <c r="U55" s="3" t="s">
        <v>80</v>
      </c>
    </row>
    <row r="56" spans="1:21" x14ac:dyDescent="0.25">
      <c r="A56" s="13">
        <v>27</v>
      </c>
      <c r="B56" s="13" t="s">
        <v>485</v>
      </c>
      <c r="C56" s="3">
        <f>SUMIF(Shoppingtable[Item Name],Inventorytable[[#This Row],[Ingriedients]],Shoppingtable[Quantity(g/ml)])</f>
        <v>15</v>
      </c>
      <c r="D56" s="3">
        <f>SUMIF(Quantitytable[[Ingredient ]],Inventorytable[[#This Row],[Ingriedients]],Quantitytable[Materials Used])</f>
        <v>0</v>
      </c>
      <c r="E56" s="3">
        <f>Inventorytable[[#This Row],[Total Available]]-Inventorytable[[#This Row],[Used]]</f>
        <v>15</v>
      </c>
      <c r="F56" s="14">
        <v>45657</v>
      </c>
      <c r="G56" s="13"/>
      <c r="H56" s="15">
        <v>45639</v>
      </c>
      <c r="I56" s="15" t="s">
        <v>530</v>
      </c>
      <c r="U56" s="3" t="s">
        <v>82</v>
      </c>
    </row>
    <row r="57" spans="1:21" x14ac:dyDescent="0.25">
      <c r="A57" s="13">
        <v>28</v>
      </c>
      <c r="B57" s="13" t="s">
        <v>477</v>
      </c>
      <c r="C57" s="3">
        <f>SUMIF(Shoppingtable[Item Name],Inventorytable[[#This Row],[Ingriedients]],Shoppingtable[Quantity(g/ml)])</f>
        <v>54</v>
      </c>
      <c r="D57" s="3">
        <f>SUMIF(Quantitytable[[Ingredient ]],Inventorytable[[#This Row],[Ingriedients]],Quantitytable[Materials Used])</f>
        <v>0</v>
      </c>
      <c r="E57" s="3">
        <f>Inventorytable[[#This Row],[Total Available]]-Inventorytable[[#This Row],[Used]]</f>
        <v>54</v>
      </c>
      <c r="F57" s="14">
        <v>45657</v>
      </c>
      <c r="G57" s="13"/>
      <c r="H57" s="15">
        <v>45639</v>
      </c>
      <c r="I57" s="15" t="s">
        <v>530</v>
      </c>
      <c r="U57" s="3" t="s">
        <v>84</v>
      </c>
    </row>
    <row r="58" spans="1:21" x14ac:dyDescent="0.25">
      <c r="A58" s="3">
        <v>100</v>
      </c>
      <c r="B58" s="3" t="s">
        <v>535</v>
      </c>
      <c r="C58" s="3">
        <f>SUMIF(Shoppingtable[Item Name],Inventorytable[[#This Row],[Ingriedients]],Shoppingtable[Quantity(g/ml)])</f>
        <v>0</v>
      </c>
      <c r="D58" s="3">
        <f>SUMIF(Quantitytable[[Ingredient ]],Inventorytable[[#This Row],[Ingriedients]],Quantitytable[Materials Used])</f>
        <v>0</v>
      </c>
      <c r="E58" s="3">
        <f>Inventorytable[[#This Row],[Total Available]]-Inventorytable[[#This Row],[Used]]</f>
        <v>0</v>
      </c>
      <c r="F58" s="14">
        <v>45652</v>
      </c>
      <c r="G58" s="13"/>
      <c r="H58" s="15">
        <v>45639</v>
      </c>
      <c r="I58" s="15" t="s">
        <v>529</v>
      </c>
      <c r="U58" s="3" t="s">
        <v>479</v>
      </c>
    </row>
    <row r="59" spans="1:21" x14ac:dyDescent="0.25">
      <c r="A59" s="13">
        <v>29</v>
      </c>
      <c r="B59" s="13" t="s">
        <v>482</v>
      </c>
      <c r="C59" s="3">
        <f>SUMIF(Shoppingtable[Item Name],Inventorytable[[#This Row],[Ingriedients]],Shoppingtable[Quantity(g/ml)])</f>
        <v>736</v>
      </c>
      <c r="D59" s="3">
        <f>SUMIF(Quantitytable[[Ingredient ]],Inventorytable[[#This Row],[Ingriedients]],Quantitytable[Materials Used])</f>
        <v>0</v>
      </c>
      <c r="E59" s="3">
        <f>Inventorytable[[#This Row],[Total Available]]-Inventorytable[[#This Row],[Used]]</f>
        <v>736</v>
      </c>
      <c r="F59" s="14">
        <v>45657</v>
      </c>
      <c r="G59" s="13"/>
      <c r="H59" s="15">
        <v>45639</v>
      </c>
      <c r="I59" s="15" t="s">
        <v>530</v>
      </c>
      <c r="U59" s="3" t="s">
        <v>491</v>
      </c>
    </row>
    <row r="60" spans="1:21" x14ac:dyDescent="0.25">
      <c r="A60" s="13">
        <v>30</v>
      </c>
      <c r="B60" s="13" t="s">
        <v>487</v>
      </c>
      <c r="C60" s="3">
        <f>SUMIF(Shoppingtable[Item Name],Inventorytable[[#This Row],[Ingriedients]],Shoppingtable[Quantity(g/ml)])</f>
        <v>130</v>
      </c>
      <c r="D60" s="3">
        <f>SUMIF(Quantitytable[[Ingredient ]],Inventorytable[[#This Row],[Ingriedients]],Quantitytable[Materials Used])</f>
        <v>0</v>
      </c>
      <c r="E60" s="3">
        <f>Inventorytable[[#This Row],[Total Available]]-Inventorytable[[#This Row],[Used]]</f>
        <v>130</v>
      </c>
      <c r="F60" s="14">
        <v>45652</v>
      </c>
      <c r="G60" s="13"/>
      <c r="H60" s="15">
        <v>45639</v>
      </c>
      <c r="I60" s="15" t="s">
        <v>531</v>
      </c>
      <c r="U60" s="3" t="s">
        <v>85</v>
      </c>
    </row>
    <row r="61" spans="1:21" x14ac:dyDescent="0.25">
      <c r="A61" s="3">
        <v>103</v>
      </c>
      <c r="B61" s="3" t="s">
        <v>538</v>
      </c>
      <c r="C61" s="3">
        <f>SUMIF(Shoppingtable[Item Name],Inventorytable[[#This Row],[Ingriedients]],Shoppingtable[Quantity(g/ml)])</f>
        <v>15</v>
      </c>
      <c r="D61" s="3">
        <f>SUMIF(Quantitytable[[Ingredient ]],Inventorytable[[#This Row],[Ingriedients]],Quantitytable[Materials Used])</f>
        <v>0</v>
      </c>
      <c r="E61" s="3">
        <f>Inventorytable[[#This Row],[Total Available]]-Inventorytable[[#This Row],[Used]]</f>
        <v>15</v>
      </c>
      <c r="F61" s="14">
        <v>45657</v>
      </c>
      <c r="G61" s="13"/>
      <c r="H61" s="15">
        <v>45639</v>
      </c>
      <c r="I61" s="15" t="s">
        <v>529</v>
      </c>
      <c r="U61" s="3" t="s">
        <v>87</v>
      </c>
    </row>
    <row r="62" spans="1:21" x14ac:dyDescent="0.25">
      <c r="A62" s="3">
        <v>92</v>
      </c>
      <c r="B62" s="3" t="s">
        <v>520</v>
      </c>
      <c r="C62" s="3">
        <f>SUMIF(Shoppingtable[Item Name],Inventorytable[[#This Row],[Ingriedients]],Shoppingtable[Quantity(g/ml)])</f>
        <v>0</v>
      </c>
      <c r="D62" s="3">
        <f>SUMIF(Quantitytable[[Ingredient ]],Inventorytable[[#This Row],[Ingriedients]],Quantitytable[Materials Used])</f>
        <v>0</v>
      </c>
      <c r="E62" s="3">
        <f>Inventorytable[[#This Row],[Total Available]]-Inventorytable[[#This Row],[Used]]</f>
        <v>0</v>
      </c>
      <c r="F62" s="14">
        <v>45652</v>
      </c>
      <c r="G62" s="13"/>
      <c r="H62" s="15">
        <v>45639</v>
      </c>
      <c r="I62" s="15" t="s">
        <v>531</v>
      </c>
      <c r="U62" s="3" t="s">
        <v>88</v>
      </c>
    </row>
    <row r="63" spans="1:21" x14ac:dyDescent="0.25">
      <c r="A63" s="13">
        <v>33</v>
      </c>
      <c r="B63" s="13" t="s">
        <v>49</v>
      </c>
      <c r="C63" s="3">
        <f>SUMIF(Shoppingtable[Item Name],Inventorytable[[#This Row],[Ingriedients]],Shoppingtable[Quantity(g/ml)])</f>
        <v>38</v>
      </c>
      <c r="D63" s="3">
        <f>SUMIF(Quantitytable[[Ingredient ]],Inventorytable[[#This Row],[Ingriedients]],Quantitytable[Materials Used])</f>
        <v>0</v>
      </c>
      <c r="E63" s="3">
        <f>Inventorytable[[#This Row],[Total Available]]-Inventorytable[[#This Row],[Used]]</f>
        <v>38</v>
      </c>
      <c r="F63" s="14">
        <v>45657</v>
      </c>
      <c r="G63" s="13"/>
      <c r="H63" s="15">
        <v>45639</v>
      </c>
      <c r="I63" s="15" t="s">
        <v>530</v>
      </c>
      <c r="U63" s="3" t="s">
        <v>89</v>
      </c>
    </row>
    <row r="64" spans="1:21" x14ac:dyDescent="0.25">
      <c r="A64" s="13">
        <v>34</v>
      </c>
      <c r="B64" s="13" t="s">
        <v>474</v>
      </c>
      <c r="C64" s="3">
        <f>SUMIF(Shoppingtable[Item Name],Inventorytable[[#This Row],[Ingriedients]],Shoppingtable[Quantity(g/ml)])</f>
        <v>110</v>
      </c>
      <c r="D64" s="3">
        <f>SUMIF(Quantitytable[[Ingredient ]],Inventorytable[[#This Row],[Ingriedients]],Quantitytable[Materials Used])</f>
        <v>0</v>
      </c>
      <c r="E64" s="3">
        <f>Inventorytable[[#This Row],[Total Available]]-Inventorytable[[#This Row],[Used]]</f>
        <v>110</v>
      </c>
      <c r="F64" s="14">
        <v>45657</v>
      </c>
      <c r="G64" s="13"/>
      <c r="H64" s="15">
        <v>45639</v>
      </c>
      <c r="I64" s="15" t="s">
        <v>530</v>
      </c>
      <c r="U64" s="3" t="s">
        <v>493</v>
      </c>
    </row>
    <row r="65" spans="1:21" x14ac:dyDescent="0.25">
      <c r="A65" s="13">
        <v>35</v>
      </c>
      <c r="B65" s="13" t="s">
        <v>472</v>
      </c>
      <c r="C65" s="3">
        <f>SUMIF(Shoppingtable[Item Name],Inventorytable[[#This Row],[Ingriedients]],Shoppingtable[Quantity(g/ml)])</f>
        <v>173</v>
      </c>
      <c r="D65" s="3">
        <f>SUMIF(Quantitytable[[Ingredient ]],Inventorytable[[#This Row],[Ingriedients]],Quantitytable[Materials Used])</f>
        <v>0</v>
      </c>
      <c r="E65" s="3">
        <f>Inventorytable[[#This Row],[Total Available]]-Inventorytable[[#This Row],[Used]]</f>
        <v>173</v>
      </c>
      <c r="F65" s="14">
        <v>45657</v>
      </c>
      <c r="G65" s="13"/>
      <c r="H65" s="15">
        <v>45639</v>
      </c>
      <c r="I65" s="15" t="s">
        <v>530</v>
      </c>
      <c r="U65" s="3" t="s">
        <v>405</v>
      </c>
    </row>
    <row r="66" spans="1:21" x14ac:dyDescent="0.25">
      <c r="A66" s="13">
        <v>36</v>
      </c>
      <c r="B66" s="13" t="s">
        <v>146</v>
      </c>
      <c r="C66" s="3">
        <f>SUMIF(Shoppingtable[Item Name],Inventorytable[[#This Row],[Ingriedients]],Shoppingtable[Quantity(g/ml)])</f>
        <v>1</v>
      </c>
      <c r="D66" s="3">
        <f>SUMIF(Quantitytable[[Ingredient ]],Inventorytable[[#This Row],[Ingriedients]],Quantitytable[Materials Used])</f>
        <v>0</v>
      </c>
      <c r="E66" s="3">
        <f>Inventorytable[[#This Row],[Total Available]]-Inventorytable[[#This Row],[Used]]</f>
        <v>1</v>
      </c>
      <c r="F66" s="14">
        <v>45652</v>
      </c>
      <c r="G66" s="13"/>
      <c r="H66" s="15">
        <v>45639</v>
      </c>
      <c r="I66" s="15" t="s">
        <v>531</v>
      </c>
      <c r="U66" s="3" t="s">
        <v>486</v>
      </c>
    </row>
    <row r="67" spans="1:21" x14ac:dyDescent="0.25">
      <c r="A67" s="13"/>
      <c r="B67" s="3" t="s">
        <v>625</v>
      </c>
      <c r="C67" s="3">
        <f>SUMIF(Shoppingtable[Item Name],Inventorytable[[#This Row],[Ingriedients]],Shoppingtable[Quantity(g/ml)])</f>
        <v>1250</v>
      </c>
      <c r="D67" s="3">
        <f>SUMIF(Quantitytable[[Ingredient ]],Inventorytable[[#This Row],[Ingriedients]],Quantitytable[Materials Used])</f>
        <v>0</v>
      </c>
      <c r="E67" s="3">
        <f>Inventorytable[[#This Row],[Total Available]]-Inventorytable[[#This Row],[Used]]</f>
        <v>1250</v>
      </c>
      <c r="F67" s="14"/>
      <c r="G67" s="13"/>
      <c r="H67" s="15"/>
      <c r="I67" s="15" t="s">
        <v>529</v>
      </c>
      <c r="U67" s="3" t="s">
        <v>93</v>
      </c>
    </row>
    <row r="68" spans="1:21" x14ac:dyDescent="0.25">
      <c r="A68" s="13">
        <v>37</v>
      </c>
      <c r="B68" s="13" t="s">
        <v>489</v>
      </c>
      <c r="C68" s="3">
        <f>SUMIF(Shoppingtable[Item Name],Inventorytable[[#This Row],[Ingriedients]],Shoppingtable[Quantity(g/ml)])</f>
        <v>25</v>
      </c>
      <c r="D68" s="3">
        <f>SUMIF(Quantitytable[[Ingredient ]],Inventorytable[[#This Row],[Ingriedients]],Quantitytable[Materials Used])</f>
        <v>0</v>
      </c>
      <c r="E68" s="3">
        <f>Inventorytable[[#This Row],[Total Available]]-Inventorytable[[#This Row],[Used]]</f>
        <v>25</v>
      </c>
      <c r="F68" s="14">
        <v>45657</v>
      </c>
      <c r="G68" s="13"/>
      <c r="H68" s="15">
        <v>45639</v>
      </c>
      <c r="I68" s="15" t="s">
        <v>530</v>
      </c>
      <c r="U68" s="3" t="s">
        <v>494</v>
      </c>
    </row>
    <row r="69" spans="1:21" x14ac:dyDescent="0.25">
      <c r="A69" s="3">
        <v>82</v>
      </c>
      <c r="B69" s="3" t="s">
        <v>510</v>
      </c>
      <c r="C69" s="3">
        <f>SUMIF(Shoppingtable[Item Name],Inventorytable[[#This Row],[Ingriedients]],Shoppingtable[Quantity(g/ml)])</f>
        <v>500</v>
      </c>
      <c r="D69" s="3">
        <f>SUMIF(Quantitytable[[Ingredient ]],Inventorytable[[#This Row],[Ingriedients]],Quantitytable[Materials Used])</f>
        <v>0</v>
      </c>
      <c r="E69" s="3">
        <f>Inventorytable[[#This Row],[Total Available]]-Inventorytable[[#This Row],[Used]]</f>
        <v>500</v>
      </c>
      <c r="F69" s="14">
        <v>45657</v>
      </c>
      <c r="G69" s="13"/>
      <c r="H69" s="15">
        <v>45639</v>
      </c>
      <c r="I69" s="15" t="s">
        <v>530</v>
      </c>
      <c r="U69" s="3" t="s">
        <v>96</v>
      </c>
    </row>
    <row r="70" spans="1:21" x14ac:dyDescent="0.25">
      <c r="A70" s="3">
        <v>94</v>
      </c>
      <c r="B70" s="3" t="s">
        <v>522</v>
      </c>
      <c r="C70" s="3">
        <f>SUMIF(Shoppingtable[Item Name],Inventorytable[[#This Row],[Ingriedients]],Shoppingtable[Quantity(g/ml)])</f>
        <v>185</v>
      </c>
      <c r="D70" s="3">
        <f>SUMIF(Quantitytable[[Ingredient ]],Inventorytable[[#This Row],[Ingriedients]],Quantitytable[Materials Used])</f>
        <v>0</v>
      </c>
      <c r="E70" s="3">
        <f>Inventorytable[[#This Row],[Total Available]]-Inventorytable[[#This Row],[Used]]</f>
        <v>185</v>
      </c>
      <c r="F70" s="14">
        <v>45652</v>
      </c>
      <c r="G70" s="13"/>
      <c r="H70" s="15">
        <v>45639</v>
      </c>
      <c r="I70" s="15" t="s">
        <v>530</v>
      </c>
      <c r="U70" s="3" t="s">
        <v>98</v>
      </c>
    </row>
    <row r="71" spans="1:21" x14ac:dyDescent="0.25">
      <c r="A71" s="3">
        <v>80</v>
      </c>
      <c r="B71" s="3" t="s">
        <v>507</v>
      </c>
      <c r="C71" s="3">
        <f>SUMIF(Shoppingtable[Item Name],Inventorytable[[#This Row],[Ingriedients]],Shoppingtable[Quantity(g/ml)])</f>
        <v>177</v>
      </c>
      <c r="D71" s="3">
        <f>SUMIF(Quantitytable[[Ingredient ]],Inventorytable[[#This Row],[Ingriedients]],Quantitytable[Materials Used])</f>
        <v>0</v>
      </c>
      <c r="E71" s="3">
        <f>Inventorytable[[#This Row],[Total Available]]-Inventorytable[[#This Row],[Used]]</f>
        <v>177</v>
      </c>
      <c r="F71" s="14">
        <v>45657</v>
      </c>
      <c r="G71" s="13"/>
      <c r="H71" s="15">
        <v>45639</v>
      </c>
      <c r="I71" s="15" t="s">
        <v>530</v>
      </c>
      <c r="U71" s="3" t="s">
        <v>99</v>
      </c>
    </row>
    <row r="72" spans="1:21" x14ac:dyDescent="0.25">
      <c r="A72" s="13">
        <v>38</v>
      </c>
      <c r="B72" s="13" t="s">
        <v>546</v>
      </c>
      <c r="C72" s="3">
        <f>SUMIF(Shoppingtable[Item Name],Inventorytable[[#This Row],[Ingriedients]],Shoppingtable[Quantity(g/ml)])</f>
        <v>3</v>
      </c>
      <c r="D72" s="3">
        <f>SUMIF(Quantitytable[[Ingredient ]],Inventorytable[[#This Row],[Ingriedients]],Quantitytable[Materials Used])</f>
        <v>0</v>
      </c>
      <c r="E72" s="3">
        <f>Inventorytable[[#This Row],[Total Available]]-Inventorytable[[#This Row],[Used]]</f>
        <v>3</v>
      </c>
      <c r="F72" s="14">
        <v>45657</v>
      </c>
      <c r="G72" s="13"/>
      <c r="H72" s="15">
        <v>45639</v>
      </c>
      <c r="I72" s="15" t="s">
        <v>530</v>
      </c>
      <c r="U72" s="3" t="s">
        <v>101</v>
      </c>
    </row>
    <row r="73" spans="1:21" x14ac:dyDescent="0.25">
      <c r="A73" s="3">
        <v>87</v>
      </c>
      <c r="B73" s="3" t="s">
        <v>515</v>
      </c>
      <c r="C73" s="3">
        <f>SUMIF(Shoppingtable[Item Name],Inventorytable[[#This Row],[Ingriedients]],Shoppingtable[Quantity(g/ml)])</f>
        <v>20</v>
      </c>
      <c r="D73" s="3">
        <f>SUMIF(Quantitytable[[Ingredient ]],Inventorytable[[#This Row],[Ingriedients]],Quantitytable[Materials Used])</f>
        <v>0</v>
      </c>
      <c r="E73" s="3">
        <f>Inventorytable[[#This Row],[Total Available]]-Inventorytable[[#This Row],[Used]]</f>
        <v>20</v>
      </c>
      <c r="F73" s="14">
        <v>45657</v>
      </c>
      <c r="G73" s="13"/>
      <c r="H73" s="15">
        <v>45639</v>
      </c>
      <c r="I73" s="15" t="s">
        <v>530</v>
      </c>
      <c r="U73" s="3" t="s">
        <v>484</v>
      </c>
    </row>
    <row r="74" spans="1:21" x14ac:dyDescent="0.25">
      <c r="A74" s="3">
        <v>76</v>
      </c>
      <c r="B74" s="3" t="s">
        <v>423</v>
      </c>
      <c r="C74" s="3">
        <f>SUMIF(Shoppingtable[Item Name],Inventorytable[[#This Row],[Ingriedients]],Shoppingtable[Quantity(g/ml)])</f>
        <v>2000</v>
      </c>
      <c r="D74" s="3">
        <f>SUMIF(Quantitytable[[Ingredient ]],Inventorytable[[#This Row],[Ingriedients]],Quantitytable[Materials Used])</f>
        <v>0</v>
      </c>
      <c r="E74" s="3">
        <f>Inventorytable[[#This Row],[Total Available]]-Inventorytable[[#This Row],[Used]]</f>
        <v>2000</v>
      </c>
      <c r="F74" s="14">
        <v>45657</v>
      </c>
      <c r="G74" s="13"/>
      <c r="H74" s="15">
        <v>45639</v>
      </c>
      <c r="I74" s="15" t="s">
        <v>530</v>
      </c>
      <c r="U74" s="3" t="s">
        <v>102</v>
      </c>
    </row>
    <row r="75" spans="1:21" x14ac:dyDescent="0.25">
      <c r="A75" s="3">
        <v>91</v>
      </c>
      <c r="B75" s="3" t="s">
        <v>519</v>
      </c>
      <c r="C75" s="3">
        <f>SUMIF(Shoppingtable[Item Name],Inventorytable[[#This Row],[Ingriedients]],Shoppingtable[Quantity(g/ml)])</f>
        <v>11</v>
      </c>
      <c r="D75" s="3">
        <f>SUMIF(Quantitytable[[Ingredient ]],Inventorytable[[#This Row],[Ingriedients]],Quantitytable[Materials Used])</f>
        <v>0</v>
      </c>
      <c r="E75" s="3">
        <f>Inventorytable[[#This Row],[Total Available]]-Inventorytable[[#This Row],[Used]]</f>
        <v>11</v>
      </c>
      <c r="F75" s="14">
        <v>45652</v>
      </c>
      <c r="G75" s="13"/>
      <c r="H75" s="15">
        <v>45639</v>
      </c>
      <c r="I75" s="15" t="s">
        <v>531</v>
      </c>
      <c r="U75" s="3" t="s">
        <v>102</v>
      </c>
    </row>
    <row r="76" spans="1:21" x14ac:dyDescent="0.25">
      <c r="A76" s="13">
        <v>39</v>
      </c>
      <c r="B76" s="13" t="s">
        <v>64</v>
      </c>
      <c r="C76" s="3">
        <f>SUMIF(Shoppingtable[Item Name],Inventorytable[[#This Row],[Ingriedients]],Shoppingtable[Quantity(g/ml)])</f>
        <v>1</v>
      </c>
      <c r="D76" s="3">
        <f>SUMIF(Quantitytable[[Ingredient ]],Inventorytable[[#This Row],[Ingriedients]],Quantitytable[Materials Used])</f>
        <v>0</v>
      </c>
      <c r="E76" s="3">
        <f>Inventorytable[[#This Row],[Total Available]]-Inventorytable[[#This Row],[Used]]</f>
        <v>1</v>
      </c>
      <c r="F76" s="14">
        <v>45657</v>
      </c>
      <c r="G76" s="13"/>
      <c r="H76" s="15">
        <v>45639</v>
      </c>
      <c r="I76" s="15" t="s">
        <v>530</v>
      </c>
      <c r="U76" s="3" t="s">
        <v>483</v>
      </c>
    </row>
    <row r="77" spans="1:21" x14ac:dyDescent="0.25">
      <c r="A77" s="13">
        <v>40</v>
      </c>
      <c r="B77" s="13" t="s">
        <v>65</v>
      </c>
      <c r="C77" s="3">
        <f>SUMIF(Shoppingtable[Item Name],Inventorytable[[#This Row],[Ingriedients]],Shoppingtable[Quantity(g/ml)])</f>
        <v>0</v>
      </c>
      <c r="D77" s="3">
        <f>SUMIF(Quantitytable[[Ingredient ]],Inventorytable[[#This Row],[Ingriedients]],Quantitytable[Materials Used])</f>
        <v>0</v>
      </c>
      <c r="E77" s="3">
        <f>Inventorytable[[#This Row],[Total Available]]-Inventorytable[[#This Row],[Used]]</f>
        <v>0</v>
      </c>
      <c r="F77" s="14">
        <v>45657</v>
      </c>
      <c r="G77" s="13"/>
      <c r="H77" s="15">
        <v>45639</v>
      </c>
      <c r="I77" s="15" t="s">
        <v>530</v>
      </c>
      <c r="U77" s="3" t="s">
        <v>104</v>
      </c>
    </row>
    <row r="78" spans="1:21" x14ac:dyDescent="0.25">
      <c r="A78" s="3">
        <v>85</v>
      </c>
      <c r="B78" s="3" t="s">
        <v>513</v>
      </c>
      <c r="C78" s="3">
        <f>SUMIF(Shoppingtable[Item Name],Inventorytable[[#This Row],[Ingriedients]],Shoppingtable[Quantity(g/ml)])</f>
        <v>200</v>
      </c>
      <c r="D78" s="3">
        <f>SUMIF(Quantitytable[[Ingredient ]],Inventorytable[[#This Row],[Ingriedients]],Quantitytable[Materials Used])</f>
        <v>0</v>
      </c>
      <c r="E78" s="3">
        <f>Inventorytable[[#This Row],[Total Available]]-Inventorytable[[#This Row],[Used]]</f>
        <v>200</v>
      </c>
      <c r="F78" s="14">
        <v>45657</v>
      </c>
      <c r="G78" s="13"/>
      <c r="H78" s="15">
        <v>45639</v>
      </c>
      <c r="I78" s="15" t="s">
        <v>530</v>
      </c>
      <c r="U78" s="3" t="s">
        <v>432</v>
      </c>
    </row>
    <row r="79" spans="1:21" x14ac:dyDescent="0.25">
      <c r="A79" s="3">
        <v>90</v>
      </c>
      <c r="B79" s="3" t="s">
        <v>518</v>
      </c>
      <c r="C79" s="3">
        <f>SUMIF(Shoppingtable[Item Name],Inventorytable[[#This Row],[Ingriedients]],Shoppingtable[Quantity(g/ml)])</f>
        <v>0</v>
      </c>
      <c r="D79" s="3">
        <f>SUMIF(Quantitytable[[Ingredient ]],Inventorytable[[#This Row],[Ingriedients]],Quantitytable[Materials Used])</f>
        <v>0</v>
      </c>
      <c r="E79" s="3">
        <f>Inventorytable[[#This Row],[Total Available]]-Inventorytable[[#This Row],[Used]]</f>
        <v>0</v>
      </c>
      <c r="F79" s="14">
        <v>45652</v>
      </c>
      <c r="G79" s="13"/>
      <c r="H79" s="15">
        <v>45639</v>
      </c>
      <c r="I79" s="15" t="s">
        <v>531</v>
      </c>
      <c r="U79" s="3" t="s">
        <v>476</v>
      </c>
    </row>
    <row r="80" spans="1:21" x14ac:dyDescent="0.25">
      <c r="A80" s="3">
        <v>101</v>
      </c>
      <c r="B80" s="3" t="s">
        <v>536</v>
      </c>
      <c r="C80" s="3">
        <f>SUMIF(Shoppingtable[Item Name],Inventorytable[[#This Row],[Ingriedients]],Shoppingtable[Quantity(g/ml)])</f>
        <v>0</v>
      </c>
      <c r="D80" s="3">
        <f>SUMIF(Quantitytable[[Ingredient ]],Inventorytable[[#This Row],[Ingriedients]],Quantitytable[Materials Used])</f>
        <v>0</v>
      </c>
      <c r="E80" s="3">
        <f>Inventorytable[[#This Row],[Total Available]]-Inventorytable[[#This Row],[Used]]</f>
        <v>0</v>
      </c>
      <c r="F80" s="14">
        <v>45652</v>
      </c>
      <c r="G80" s="13"/>
      <c r="H80" s="15">
        <v>45639</v>
      </c>
      <c r="I80" s="15" t="s">
        <v>529</v>
      </c>
      <c r="U80" s="3" t="s">
        <v>106</v>
      </c>
    </row>
    <row r="81" spans="1:21" x14ac:dyDescent="0.25">
      <c r="A81" s="13">
        <v>42</v>
      </c>
      <c r="B81" s="13" t="s">
        <v>478</v>
      </c>
      <c r="C81" s="3">
        <f>SUMIF(Shoppingtable[Item Name],Inventorytable[[#This Row],[Ingriedients]],Shoppingtable[Quantity(g/ml)])</f>
        <v>60</v>
      </c>
      <c r="D81" s="3">
        <f>SUMIF(Quantitytable[[Ingredient ]],Inventorytable[[#This Row],[Ingriedients]],Quantitytable[Materials Used])</f>
        <v>0</v>
      </c>
      <c r="E81" s="3">
        <f>Inventorytable[[#This Row],[Total Available]]-Inventorytable[[#This Row],[Used]]</f>
        <v>60</v>
      </c>
      <c r="F81" s="14">
        <v>45657</v>
      </c>
      <c r="G81" s="13"/>
      <c r="H81" s="15">
        <v>45639</v>
      </c>
      <c r="I81" s="15" t="s">
        <v>530</v>
      </c>
      <c r="U81" s="3" t="s">
        <v>109</v>
      </c>
    </row>
    <row r="82" spans="1:21" x14ac:dyDescent="0.25">
      <c r="A82" s="13">
        <v>44</v>
      </c>
      <c r="B82" s="13" t="s">
        <v>75</v>
      </c>
      <c r="C82" s="3">
        <f>SUMIF(Shoppingtable[Item Name],Inventorytable[[#This Row],[Ingriedients]],Shoppingtable[Quantity(g/ml)])</f>
        <v>1500</v>
      </c>
      <c r="D82" s="3">
        <f>SUMIF(Quantitytable[[Ingredient ]],Inventorytable[[#This Row],[Ingriedients]],Quantitytable[Materials Used])</f>
        <v>0</v>
      </c>
      <c r="E82" s="3">
        <f>Inventorytable[[#This Row],[Total Available]]-Inventorytable[[#This Row],[Used]]</f>
        <v>1500</v>
      </c>
      <c r="F82" s="14">
        <v>45652</v>
      </c>
      <c r="G82" s="13"/>
      <c r="H82" s="15">
        <v>45639</v>
      </c>
      <c r="I82" s="15" t="s">
        <v>531</v>
      </c>
      <c r="U82" s="3" t="s">
        <v>375</v>
      </c>
    </row>
    <row r="83" spans="1:21" x14ac:dyDescent="0.25">
      <c r="A83" s="13">
        <v>1</v>
      </c>
      <c r="B83" s="13" t="s">
        <v>506</v>
      </c>
      <c r="C83" s="3">
        <f>SUMIF(Shoppingtable[Item Name],Inventorytable[[#This Row],[Ingriedients]],Shoppingtable[Quantity(g/ml)])</f>
        <v>111</v>
      </c>
      <c r="D83" s="3">
        <f>SUMIF(Quantitytable[[Ingredient ]],Inventorytable[[#This Row],[Ingriedients]],Quantitytable[Materials Used])</f>
        <v>0</v>
      </c>
      <c r="E83" s="3">
        <f>Inventorytable[[#This Row],[Total Available]]-Inventorytable[[#This Row],[Used]]</f>
        <v>111</v>
      </c>
      <c r="F83" s="14">
        <v>45657</v>
      </c>
      <c r="G83" s="13"/>
      <c r="H83" s="15">
        <v>45639</v>
      </c>
      <c r="I83" s="15" t="s">
        <v>530</v>
      </c>
      <c r="U83" s="3"/>
    </row>
    <row r="84" spans="1:21" x14ac:dyDescent="0.25">
      <c r="A84" s="13"/>
      <c r="B84" s="13" t="s">
        <v>622</v>
      </c>
      <c r="C84" s="3">
        <f>SUMIF(Shoppingtable[Item Name],Inventorytable[[#This Row],[Ingriedients]],Shoppingtable[Quantity(g/ml)])</f>
        <v>14</v>
      </c>
      <c r="D84" s="3">
        <f>SUMIF(Quantitytable[[Ingredient ]],Inventorytable[[#This Row],[Ingriedients]],Quantitytable[Materials Used])</f>
        <v>0</v>
      </c>
      <c r="E84" s="3">
        <f>Inventorytable[[#This Row],[Total Available]]-Inventorytable[[#This Row],[Used]]</f>
        <v>14</v>
      </c>
      <c r="F84" s="14"/>
      <c r="G84" s="13"/>
      <c r="H84" s="15"/>
      <c r="I84" s="15"/>
      <c r="U84" s="3"/>
    </row>
    <row r="85" spans="1:21" x14ac:dyDescent="0.25">
      <c r="A85" s="13">
        <v>49</v>
      </c>
      <c r="B85" s="13" t="s">
        <v>82</v>
      </c>
      <c r="C85" s="3">
        <f>SUMIF(Shoppingtable[Item Name],Inventorytable[[#This Row],[Ingriedients]],Shoppingtable[Quantity(g/ml)])</f>
        <v>163</v>
      </c>
      <c r="D85" s="3">
        <f>SUMIF(Quantitytable[[Ingredient ]],Inventorytable[[#This Row],[Ingriedients]],Quantitytable[Materials Used])</f>
        <v>0</v>
      </c>
      <c r="E85" s="3">
        <f>Inventorytable[[#This Row],[Total Available]]-Inventorytable[[#This Row],[Used]]</f>
        <v>163</v>
      </c>
      <c r="F85" s="14">
        <v>45652</v>
      </c>
      <c r="G85" s="13"/>
      <c r="H85" s="15">
        <v>45639</v>
      </c>
      <c r="I85" s="15" t="s">
        <v>531</v>
      </c>
      <c r="U85" s="3"/>
    </row>
    <row r="86" spans="1:21" x14ac:dyDescent="0.25">
      <c r="A86" s="13">
        <v>50</v>
      </c>
      <c r="B86" s="13" t="s">
        <v>84</v>
      </c>
      <c r="C86" s="3">
        <f>SUMIF(Shoppingtable[Item Name],Inventorytable[[#This Row],[Ingriedients]],Shoppingtable[Quantity(g/ml)])</f>
        <v>100</v>
      </c>
      <c r="D86" s="3">
        <f>SUMIF(Quantitytable[[Ingredient ]],Inventorytable[[#This Row],[Ingriedients]],Quantitytable[Materials Used])</f>
        <v>0</v>
      </c>
      <c r="E86" s="3">
        <f>Inventorytable[[#This Row],[Total Available]]-Inventorytable[[#This Row],[Used]]</f>
        <v>100</v>
      </c>
      <c r="F86" s="14">
        <v>45657</v>
      </c>
      <c r="G86" s="13"/>
      <c r="H86" s="15">
        <v>45639</v>
      </c>
      <c r="I86" s="15" t="s">
        <v>530</v>
      </c>
      <c r="U86" s="3"/>
    </row>
    <row r="87" spans="1:21" x14ac:dyDescent="0.25">
      <c r="A87" s="13">
        <v>51</v>
      </c>
      <c r="B87" s="13" t="s">
        <v>479</v>
      </c>
      <c r="C87" s="3">
        <f>SUMIF(Shoppingtable[Item Name],Inventorytable[[#This Row],[Ingriedients]],Shoppingtable[Quantity(g/ml)])</f>
        <v>29</v>
      </c>
      <c r="D87" s="3">
        <f>SUMIF(Quantitytable[[Ingredient ]],Inventorytable[[#This Row],[Ingriedients]],Quantitytable[Materials Used])</f>
        <v>0</v>
      </c>
      <c r="E87" s="3">
        <f>Inventorytable[[#This Row],[Total Available]]-Inventorytable[[#This Row],[Used]]</f>
        <v>29</v>
      </c>
      <c r="F87" s="14">
        <v>45657</v>
      </c>
      <c r="G87" s="13"/>
      <c r="H87" s="15">
        <v>45639</v>
      </c>
      <c r="I87" s="15" t="s">
        <v>530</v>
      </c>
      <c r="U87" s="3"/>
    </row>
    <row r="88" spans="1:21" x14ac:dyDescent="0.25">
      <c r="A88" s="13">
        <v>52</v>
      </c>
      <c r="B88" s="13" t="s">
        <v>491</v>
      </c>
      <c r="C88" s="3">
        <f>SUMIF(Shoppingtable[Item Name],Inventorytable[[#This Row],[Ingriedients]],Shoppingtable[Quantity(g/ml)])</f>
        <v>16</v>
      </c>
      <c r="D88" s="3">
        <f>SUMIF(Quantitytable[[Ingredient ]],Inventorytable[[#This Row],[Ingriedients]],Quantitytable[Materials Used])</f>
        <v>0</v>
      </c>
      <c r="E88" s="3">
        <f>Inventorytable[[#This Row],[Total Available]]-Inventorytable[[#This Row],[Used]]</f>
        <v>16</v>
      </c>
      <c r="F88" s="14">
        <v>45657</v>
      </c>
      <c r="G88" s="13"/>
      <c r="H88" s="15">
        <v>45639</v>
      </c>
      <c r="I88" s="15" t="s">
        <v>530</v>
      </c>
      <c r="U88" s="3"/>
    </row>
    <row r="89" spans="1:21" x14ac:dyDescent="0.25">
      <c r="A89" s="3">
        <v>93</v>
      </c>
      <c r="B89" s="3" t="s">
        <v>521</v>
      </c>
      <c r="C89" s="3">
        <f>SUMIF(Shoppingtable[Item Name],Inventorytable[[#This Row],[Ingriedients]],Shoppingtable[Quantity(g/ml)])</f>
        <v>50</v>
      </c>
      <c r="D89" s="3">
        <f>SUMIF(Quantitytable[[Ingredient ]],Inventorytable[[#This Row],[Ingriedients]],Quantitytable[Materials Used])</f>
        <v>0</v>
      </c>
      <c r="E89" s="3">
        <f>Inventorytable[[#This Row],[Total Available]]-Inventorytable[[#This Row],[Used]]</f>
        <v>50</v>
      </c>
      <c r="F89" s="14">
        <v>45657</v>
      </c>
      <c r="G89" s="13"/>
      <c r="H89" s="15">
        <v>45639</v>
      </c>
      <c r="I89" s="15" t="s">
        <v>530</v>
      </c>
      <c r="U89" s="3"/>
    </row>
    <row r="90" spans="1:21" x14ac:dyDescent="0.25">
      <c r="A90" s="13">
        <v>57</v>
      </c>
      <c r="B90" s="13" t="s">
        <v>493</v>
      </c>
      <c r="C90" s="3">
        <f>SUMIF(Shoppingtable[Item Name],Inventorytable[[#This Row],[Ingriedients]],Shoppingtable[Quantity(g/ml)])</f>
        <v>50</v>
      </c>
      <c r="D90" s="3">
        <f>SUMIF(Quantitytable[[Ingredient ]],Inventorytable[[#This Row],[Ingriedients]],Quantitytable[Materials Used])</f>
        <v>0</v>
      </c>
      <c r="E90" s="3">
        <f>Inventorytable[[#This Row],[Total Available]]-Inventorytable[[#This Row],[Used]]</f>
        <v>50</v>
      </c>
      <c r="F90" s="14">
        <v>45657</v>
      </c>
      <c r="G90" s="13"/>
      <c r="H90" s="15">
        <v>45639</v>
      </c>
      <c r="I90" s="15" t="s">
        <v>530</v>
      </c>
      <c r="U90" s="3"/>
    </row>
    <row r="91" spans="1:21" x14ac:dyDescent="0.25">
      <c r="A91" s="3">
        <v>83</v>
      </c>
      <c r="B91" s="3" t="s">
        <v>511</v>
      </c>
      <c r="C91" s="3">
        <f>SUMIF(Shoppingtable[Item Name],Inventorytable[[#This Row],[Ingriedients]],Shoppingtable[Quantity(g/ml)])</f>
        <v>25000</v>
      </c>
      <c r="D91" s="3">
        <f>SUMIF(Quantitytable[[Ingredient ]],Inventorytable[[#This Row],[Ingriedients]],Quantitytable[Materials Used])</f>
        <v>0</v>
      </c>
      <c r="E91" s="3">
        <f>Inventorytable[[#This Row],[Total Available]]-Inventorytable[[#This Row],[Used]]</f>
        <v>25000</v>
      </c>
      <c r="F91" s="14">
        <v>45657</v>
      </c>
      <c r="G91" s="13"/>
      <c r="H91" s="15">
        <v>45639</v>
      </c>
      <c r="I91" s="15" t="s">
        <v>530</v>
      </c>
      <c r="U91" s="3"/>
    </row>
    <row r="92" spans="1:21" x14ac:dyDescent="0.25">
      <c r="A92" s="3">
        <v>84</v>
      </c>
      <c r="B92" s="3" t="s">
        <v>512</v>
      </c>
      <c r="C92" s="3">
        <f>SUMIF(Shoppingtable[Item Name],Inventorytable[[#This Row],[Ingriedients]],Shoppingtable[Quantity(g/ml)])</f>
        <v>35</v>
      </c>
      <c r="D92" s="3">
        <f>SUMIF(Quantitytable[[Ingredient ]],Inventorytable[[#This Row],[Ingriedients]],Quantitytable[Materials Used])</f>
        <v>0</v>
      </c>
      <c r="E92" s="3">
        <f>Inventorytable[[#This Row],[Total Available]]-Inventorytable[[#This Row],[Used]]</f>
        <v>35</v>
      </c>
      <c r="F92" s="14">
        <v>45657</v>
      </c>
      <c r="G92" s="13"/>
      <c r="H92" s="15">
        <v>45639</v>
      </c>
      <c r="I92" s="15" t="s">
        <v>530</v>
      </c>
      <c r="U92" s="3"/>
    </row>
    <row r="93" spans="1:21" x14ac:dyDescent="0.25">
      <c r="A93" s="13">
        <v>59</v>
      </c>
      <c r="B93" s="13" t="s">
        <v>486</v>
      </c>
      <c r="C93" s="3">
        <f>SUMIF(Shoppingtable[Item Name],Inventorytable[[#This Row],[Ingriedients]],Shoppingtable[Quantity(g/ml)])</f>
        <v>185</v>
      </c>
      <c r="D93" s="3">
        <f>SUMIF(Quantitytable[[Ingredient ]],Inventorytable[[#This Row],[Ingriedients]],Quantitytable[Materials Used])</f>
        <v>0</v>
      </c>
      <c r="E93" s="3">
        <f>Inventorytable[[#This Row],[Total Available]]-Inventorytable[[#This Row],[Used]]</f>
        <v>185</v>
      </c>
      <c r="F93" s="14">
        <v>45657</v>
      </c>
      <c r="G93" s="13"/>
      <c r="H93" s="15">
        <v>45639</v>
      </c>
      <c r="I93" s="15" t="s">
        <v>530</v>
      </c>
      <c r="U93" s="3"/>
    </row>
    <row r="94" spans="1:21" x14ac:dyDescent="0.25">
      <c r="A94" s="13">
        <v>61</v>
      </c>
      <c r="B94" s="13" t="s">
        <v>494</v>
      </c>
      <c r="C94" s="3">
        <f>SUMIF(Shoppingtable[Item Name],Inventorytable[[#This Row],[Ingriedients]],Shoppingtable[Quantity(g/ml)])</f>
        <v>50</v>
      </c>
      <c r="D94" s="3">
        <f>SUMIF(Quantitytable[[Ingredient ]],Inventorytable[[#This Row],[Ingriedients]],Quantitytable[Materials Used])</f>
        <v>0</v>
      </c>
      <c r="E94" s="3">
        <f>Inventorytable[[#This Row],[Total Available]]-Inventorytable[[#This Row],[Used]]</f>
        <v>50</v>
      </c>
      <c r="F94" s="14">
        <v>45657</v>
      </c>
      <c r="G94" s="13"/>
      <c r="H94" s="15">
        <v>45639</v>
      </c>
      <c r="I94" s="15" t="s">
        <v>530</v>
      </c>
      <c r="U94" s="3"/>
    </row>
    <row r="95" spans="1:21" x14ac:dyDescent="0.25">
      <c r="A95" s="13">
        <v>62</v>
      </c>
      <c r="B95" s="13" t="s">
        <v>96</v>
      </c>
      <c r="C95" s="3">
        <f>SUMIF(Shoppingtable[Item Name],Inventorytable[[#This Row],[Ingriedients]],Shoppingtable[Quantity(g/ml)])</f>
        <v>500</v>
      </c>
      <c r="D95" s="3">
        <f>SUMIF(Quantitytable[[Ingredient ]],Inventorytable[[#This Row],[Ingriedients]],Quantitytable[Materials Used])</f>
        <v>0</v>
      </c>
      <c r="E95" s="3">
        <f>Inventorytable[[#This Row],[Total Available]]-Inventorytable[[#This Row],[Used]]</f>
        <v>500</v>
      </c>
      <c r="F95" s="14">
        <v>45657</v>
      </c>
      <c r="G95" s="13"/>
      <c r="H95" s="15">
        <v>45639</v>
      </c>
      <c r="I95" s="15" t="s">
        <v>530</v>
      </c>
      <c r="U95" s="3"/>
    </row>
    <row r="96" spans="1:21" x14ac:dyDescent="0.25">
      <c r="A96" s="3">
        <v>77</v>
      </c>
      <c r="B96" s="3" t="s">
        <v>503</v>
      </c>
      <c r="C96" s="3">
        <f>SUMIF(Shoppingtable[Item Name],Inventorytable[[#This Row],[Ingriedients]],Shoppingtable[Quantity(g/ml)])</f>
        <v>140</v>
      </c>
      <c r="D96" s="3">
        <f>SUMIF(Quantitytable[[Ingredient ]],Inventorytable[[#This Row],[Ingriedients]],Quantitytable[Materials Used])</f>
        <v>0</v>
      </c>
      <c r="E96" s="3">
        <f>Inventorytable[[#This Row],[Total Available]]-Inventorytable[[#This Row],[Used]]</f>
        <v>140</v>
      </c>
      <c r="F96" s="14">
        <v>45657</v>
      </c>
      <c r="G96" s="13"/>
      <c r="H96" s="15">
        <v>45639</v>
      </c>
      <c r="I96" s="15" t="s">
        <v>530</v>
      </c>
      <c r="U96" s="3"/>
    </row>
    <row r="97" spans="1:21" x14ac:dyDescent="0.25">
      <c r="A97" s="13">
        <v>64</v>
      </c>
      <c r="B97" s="13" t="s">
        <v>99</v>
      </c>
      <c r="C97" s="3">
        <f>SUMIF(Shoppingtable[Item Name],Inventorytable[[#This Row],[Ingriedients]],Shoppingtable[Quantity(g/ml)])</f>
        <v>0</v>
      </c>
      <c r="D97" s="3">
        <f>SUMIF(Quantitytable[[Ingredient ]],Inventorytable[[#This Row],[Ingriedients]],Quantitytable[Materials Used])</f>
        <v>0</v>
      </c>
      <c r="E97" s="3">
        <f>Inventorytable[[#This Row],[Total Available]]-Inventorytable[[#This Row],[Used]]</f>
        <v>0</v>
      </c>
      <c r="F97" s="14">
        <v>45652</v>
      </c>
      <c r="G97" s="13"/>
      <c r="H97" s="15">
        <v>45639</v>
      </c>
      <c r="I97" s="15" t="s">
        <v>531</v>
      </c>
      <c r="U97" s="3"/>
    </row>
    <row r="98" spans="1:21" x14ac:dyDescent="0.25">
      <c r="A98" s="3">
        <v>78</v>
      </c>
      <c r="B98" s="3" t="s">
        <v>504</v>
      </c>
      <c r="C98" s="3">
        <f>SUMIF(Shoppingtable[Item Name],Inventorytable[[#This Row],[Ingriedients]],Shoppingtable[Quantity(g/ml)])</f>
        <v>50</v>
      </c>
      <c r="D98" s="3">
        <f>SUMIF(Quantitytable[[Ingredient ]],Inventorytable[[#This Row],[Ingriedients]],Quantitytable[Materials Used])</f>
        <v>0</v>
      </c>
      <c r="E98" s="3">
        <f>Inventorytable[[#This Row],[Total Available]]-Inventorytable[[#This Row],[Used]]</f>
        <v>50</v>
      </c>
      <c r="F98" s="14">
        <v>45657</v>
      </c>
      <c r="G98" s="13"/>
      <c r="H98" s="15">
        <v>45639</v>
      </c>
      <c r="I98" s="15" t="s">
        <v>530</v>
      </c>
    </row>
    <row r="99" spans="1:21" x14ac:dyDescent="0.25">
      <c r="A99" s="3">
        <v>81</v>
      </c>
      <c r="B99" s="3" t="s">
        <v>509</v>
      </c>
      <c r="C99" s="3">
        <f>SUMIF(Shoppingtable[Item Name],Inventorytable[[#This Row],[Ingriedients]],Shoppingtable[Quantity(g/ml)])</f>
        <v>6000</v>
      </c>
      <c r="D99" s="3">
        <f>SUMIF(Quantitytable[[Ingredient ]],Inventorytable[[#This Row],[Ingriedients]],Quantitytable[Materials Used])</f>
        <v>0</v>
      </c>
      <c r="E99" s="3">
        <f>Inventorytable[[#This Row],[Total Available]]-Inventorytable[[#This Row],[Used]]</f>
        <v>6000</v>
      </c>
      <c r="F99" s="14">
        <v>45657</v>
      </c>
      <c r="G99" s="13"/>
      <c r="H99" s="15">
        <v>45639</v>
      </c>
      <c r="I99" s="15" t="s">
        <v>530</v>
      </c>
    </row>
    <row r="100" spans="1:21" x14ac:dyDescent="0.25">
      <c r="A100" s="13">
        <v>65</v>
      </c>
      <c r="B100" s="13" t="s">
        <v>525</v>
      </c>
      <c r="C100" s="3">
        <f>SUMIF(Shoppingtable[Item Name],Inventorytable[[#This Row],[Ingriedients]],Shoppingtable[Quantity(g/ml)])</f>
        <v>200</v>
      </c>
      <c r="D100" s="3">
        <f>SUMIF(Quantitytable[[Ingredient ]],Inventorytable[[#This Row],[Ingriedients]],Quantitytable[Materials Used])</f>
        <v>0</v>
      </c>
      <c r="E100" s="3">
        <f>Inventorytable[[#This Row],[Total Available]]-Inventorytable[[#This Row],[Used]]</f>
        <v>200</v>
      </c>
      <c r="F100" s="14">
        <v>45652</v>
      </c>
      <c r="G100" s="13"/>
      <c r="H100" s="15">
        <v>45639</v>
      </c>
      <c r="I100" s="15" t="s">
        <v>531</v>
      </c>
    </row>
    <row r="101" spans="1:21" x14ac:dyDescent="0.25">
      <c r="A101" s="13">
        <v>66</v>
      </c>
      <c r="B101" s="13" t="s">
        <v>484</v>
      </c>
      <c r="C101" s="3">
        <f>SUMIF(Shoppingtable[Item Name],Inventorytable[[#This Row],[Ingriedients]],Shoppingtable[Quantity(g/ml)])</f>
        <v>14</v>
      </c>
      <c r="D101" s="3">
        <f>SUMIF(Quantitytable[[Ingredient ]],Inventorytable[[#This Row],[Ingriedients]],Quantitytable[Materials Used])</f>
        <v>0</v>
      </c>
      <c r="E101" s="3">
        <f>Inventorytable[[#This Row],[Total Available]]-Inventorytable[[#This Row],[Used]]</f>
        <v>14</v>
      </c>
      <c r="F101" s="14">
        <v>45657</v>
      </c>
      <c r="G101" s="13"/>
      <c r="H101" s="15">
        <v>45639</v>
      </c>
      <c r="I101" s="15" t="s">
        <v>530</v>
      </c>
    </row>
    <row r="102" spans="1:21" x14ac:dyDescent="0.25">
      <c r="A102" s="13">
        <v>67</v>
      </c>
      <c r="B102" s="13" t="s">
        <v>102</v>
      </c>
      <c r="C102" s="3">
        <f>SUMIF(Shoppingtable[Item Name],Inventorytable[[#This Row],[Ingriedients]],Shoppingtable[Quantity(g/ml)])</f>
        <v>460</v>
      </c>
      <c r="D102" s="3">
        <f>SUMIF(Quantitytable[[Ingredient ]],Inventorytable[[#This Row],[Ingriedients]],Quantitytable[Materials Used])</f>
        <v>0</v>
      </c>
      <c r="E102" s="3">
        <f>Inventorytable[[#This Row],[Total Available]]-Inventorytable[[#This Row],[Used]]</f>
        <v>460</v>
      </c>
      <c r="F102" s="14">
        <v>45652</v>
      </c>
      <c r="G102" s="13"/>
      <c r="H102" s="15">
        <v>45639</v>
      </c>
      <c r="I102" s="15" t="s">
        <v>531</v>
      </c>
    </row>
    <row r="103" spans="1:21" x14ac:dyDescent="0.25">
      <c r="A103" s="13">
        <v>69</v>
      </c>
      <c r="B103" s="13" t="s">
        <v>483</v>
      </c>
      <c r="C103" s="3">
        <f>SUMIF(Shoppingtable[Item Name],Inventorytable[[#This Row],[Ingriedients]],Shoppingtable[Quantity(g/ml)])</f>
        <v>20</v>
      </c>
      <c r="D103" s="3">
        <f>SUMIF(Quantitytable[[Ingredient ]],Inventorytable[[#This Row],[Ingriedients]],Quantitytable[Materials Used])</f>
        <v>0</v>
      </c>
      <c r="E103" s="3">
        <f>Inventorytable[[#This Row],[Total Available]]-Inventorytable[[#This Row],[Used]]</f>
        <v>20</v>
      </c>
      <c r="F103" s="14">
        <v>45657</v>
      </c>
      <c r="G103" s="13"/>
      <c r="H103" s="15">
        <v>45639</v>
      </c>
      <c r="I103" s="15" t="s">
        <v>530</v>
      </c>
    </row>
    <row r="104" spans="1:21" x14ac:dyDescent="0.25">
      <c r="A104" s="3">
        <v>89</v>
      </c>
      <c r="B104" s="3" t="s">
        <v>517</v>
      </c>
      <c r="C104" s="3">
        <f>SUMIF(Shoppingtable[Item Name],Inventorytable[[#This Row],[Ingriedients]],Shoppingtable[Quantity(g/ml)])</f>
        <v>102</v>
      </c>
      <c r="D104" s="3">
        <f>SUMIF(Quantitytable[[Ingredient ]],Inventorytable[[#This Row],[Ingriedients]],Quantitytable[Materials Used])</f>
        <v>0</v>
      </c>
      <c r="E104" s="3">
        <f>Inventorytable[[#This Row],[Total Available]]-Inventorytable[[#This Row],[Used]]</f>
        <v>102</v>
      </c>
      <c r="F104" s="14">
        <v>45652</v>
      </c>
      <c r="G104" s="13"/>
      <c r="H104" s="15">
        <v>45639</v>
      </c>
      <c r="I104" s="15" t="s">
        <v>531</v>
      </c>
    </row>
    <row r="105" spans="1:21" x14ac:dyDescent="0.25">
      <c r="A105" s="3">
        <v>79</v>
      </c>
      <c r="B105" s="3" t="s">
        <v>505</v>
      </c>
      <c r="C105" s="3">
        <f>SUMIF(Shoppingtable[Item Name],Inventorytable[[#This Row],[Ingriedients]],Shoppingtable[Quantity(g/ml)])</f>
        <v>490</v>
      </c>
      <c r="D105" s="3">
        <f>SUMIF(Quantitytable[[Ingredient ]],Inventorytable[[#This Row],[Ingriedients]],Quantitytable[Materials Used])</f>
        <v>0</v>
      </c>
      <c r="E105" s="3">
        <f>Inventorytable[[#This Row],[Total Available]]-Inventorytable[[#This Row],[Used]]</f>
        <v>490</v>
      </c>
      <c r="F105" s="14">
        <v>45657</v>
      </c>
      <c r="G105" s="13"/>
      <c r="H105" s="15">
        <v>45639</v>
      </c>
      <c r="I105" s="15" t="s">
        <v>530</v>
      </c>
    </row>
    <row r="106" spans="1:21" x14ac:dyDescent="0.25">
      <c r="A106" s="13">
        <v>71</v>
      </c>
      <c r="B106" s="13" t="s">
        <v>432</v>
      </c>
      <c r="C106" s="3">
        <f>SUMIF(Shoppingtable[Item Name],Inventorytable[[#This Row],[Ingriedients]],Shoppingtable[Quantity(g/ml)])</f>
        <v>2</v>
      </c>
      <c r="D106" s="3">
        <f>SUMIF(Quantitytable[[Ingredient ]],Inventorytable[[#This Row],[Ingriedients]],Quantitytable[Materials Used])</f>
        <v>0</v>
      </c>
      <c r="E106" s="3">
        <f>Inventorytable[[#This Row],[Total Available]]-Inventorytable[[#This Row],[Used]]</f>
        <v>2</v>
      </c>
      <c r="F106" s="14">
        <v>45657</v>
      </c>
      <c r="G106" s="13"/>
      <c r="H106" s="15">
        <v>45639</v>
      </c>
      <c r="I106" s="15" t="s">
        <v>530</v>
      </c>
    </row>
    <row r="107" spans="1:21" x14ac:dyDescent="0.25">
      <c r="A107" s="13">
        <v>73</v>
      </c>
      <c r="B107" s="13" t="s">
        <v>508</v>
      </c>
      <c r="C107" s="3">
        <f>SUMIF(Shoppingtable[Item Name],Inventorytable[[#This Row],[Ingriedients]],Shoppingtable[Quantity(g/ml)])</f>
        <v>450</v>
      </c>
      <c r="D107" s="3">
        <f>SUMIF(Quantitytable[[Ingredient ]],Inventorytable[[#This Row],[Ingriedients]],Quantitytable[Materials Used])</f>
        <v>0</v>
      </c>
      <c r="E107" s="3">
        <f>Inventorytable[[#This Row],[Total Available]]-Inventorytable[[#This Row],[Used]]</f>
        <v>450</v>
      </c>
      <c r="F107" s="14">
        <v>45657</v>
      </c>
      <c r="G107" s="13"/>
      <c r="H107" s="15">
        <v>45639</v>
      </c>
      <c r="I107" s="15" t="s">
        <v>530</v>
      </c>
    </row>
    <row r="108" spans="1:21" x14ac:dyDescent="0.25">
      <c r="A108" s="3">
        <v>104</v>
      </c>
      <c r="B108" s="3" t="s">
        <v>542</v>
      </c>
      <c r="C108" s="3">
        <f>SUMIF(Shoppingtable[Item Name],Inventorytable[[#This Row],[Ingriedients]],Shoppingtable[Quantity(g/ml)])</f>
        <v>500</v>
      </c>
      <c r="D108" s="3">
        <f>SUMIF(Quantitytable[[Ingredient ]],Inventorytable[[#This Row],[Ingriedients]],Quantitytable[Materials Used])</f>
        <v>0</v>
      </c>
      <c r="E108" s="3">
        <f>Inventorytable[[#This Row],[Total Available]]-Inventorytable[[#This Row],[Used]]</f>
        <v>500</v>
      </c>
      <c r="F108" s="14">
        <v>45652</v>
      </c>
      <c r="G108" s="13"/>
      <c r="H108" s="15">
        <v>45639</v>
      </c>
      <c r="I108" s="15" t="s">
        <v>530</v>
      </c>
    </row>
    <row r="109" spans="1:21" x14ac:dyDescent="0.25">
      <c r="A109" s="13">
        <v>75</v>
      </c>
      <c r="B109" s="13" t="s">
        <v>375</v>
      </c>
      <c r="C109" s="3">
        <f>SUMIF(Shoppingtable[Item Name],Inventorytable[[#This Row],[Ingriedients]],Shoppingtable[Quantity(g/ml)])</f>
        <v>2500</v>
      </c>
      <c r="D109" s="3">
        <f>SUMIF(Quantitytable[[Ingredient ]],Inventorytable[[#This Row],[Ingriedients]],Quantitytable[Materials Used])</f>
        <v>0</v>
      </c>
      <c r="E109" s="3">
        <f>Inventorytable[[#This Row],[Total Available]]-Inventorytable[[#This Row],[Used]]</f>
        <v>2500</v>
      </c>
      <c r="F109" s="14">
        <v>45652</v>
      </c>
      <c r="G109" s="13"/>
      <c r="H109" s="15">
        <v>45639</v>
      </c>
      <c r="I109" s="15" t="s">
        <v>531</v>
      </c>
    </row>
    <row r="110" spans="1:21" x14ac:dyDescent="0.25">
      <c r="A110" s="3">
        <v>97</v>
      </c>
      <c r="B110" s="3" t="s">
        <v>532</v>
      </c>
      <c r="C110" s="3">
        <f>SUMIF(Shoppingtable[Item Name],Inventorytable[[#This Row],[Ingriedients]],Shoppingtable[Quantity(g/ml)])</f>
        <v>0</v>
      </c>
      <c r="D110" s="3">
        <f>SUMIF(Quantitytable[[Ingredient ]],Inventorytable[[#This Row],[Ingriedients]],Quantitytable[Materials Used])</f>
        <v>0</v>
      </c>
      <c r="E110" s="3">
        <f>Inventorytable[[#This Row],[Total Available]]-Inventorytable[[#This Row],[Used]]</f>
        <v>0</v>
      </c>
      <c r="F110" s="14">
        <v>45652</v>
      </c>
      <c r="G110" s="13"/>
      <c r="H110" s="15">
        <v>45639</v>
      </c>
      <c r="I110" s="15" t="s">
        <v>529</v>
      </c>
    </row>
    <row r="111" spans="1:21" x14ac:dyDescent="0.25">
      <c r="A111" s="3">
        <v>105</v>
      </c>
      <c r="B111" s="3" t="s">
        <v>600</v>
      </c>
      <c r="C111" s="3">
        <f>SUMIF(Shoppingtable[Item Name],Inventorytable[[#This Row],[Ingriedients]],Shoppingtable[Quantity(g/ml)])</f>
        <v>1600</v>
      </c>
      <c r="D111" s="3">
        <f>SUMIF(Quantitytable[[Ingredient ]],Inventorytable[[#This Row],[Ingriedients]],Quantitytable[Materials Used])</f>
        <v>0</v>
      </c>
      <c r="E111" s="3">
        <f>Inventorytable[[#This Row],[Total Available]]-Inventorytable[[#This Row],[Used]]</f>
        <v>1600</v>
      </c>
      <c r="F111" s="14">
        <v>45652</v>
      </c>
      <c r="G111" s="13"/>
      <c r="H111" s="15"/>
      <c r="I111" s="15"/>
    </row>
    <row r="112" spans="1:21" x14ac:dyDescent="0.25">
      <c r="A112" s="3"/>
      <c r="B112" s="3" t="s">
        <v>84</v>
      </c>
      <c r="C112" s="3">
        <f>SUMIF(Shoppingtable[Item Name],Inventorytable[[#This Row],[Ingriedients]],Shoppingtable[Quantity(g/ml)])</f>
        <v>100</v>
      </c>
      <c r="D112" s="3">
        <f>SUMIF(Quantitytable[[Ingredient ]],Inventorytable[[#This Row],[Ingriedients]],Quantitytable[Materials Used])</f>
        <v>0</v>
      </c>
      <c r="E112" s="3">
        <f>Inventorytable[[#This Row],[Total Available]]-Inventorytable[[#This Row],[Used]]</f>
        <v>100</v>
      </c>
      <c r="F112" s="14"/>
      <c r="G112" s="13"/>
      <c r="H112" s="13"/>
      <c r="I112" s="13"/>
    </row>
    <row r="113" spans="1:9" x14ac:dyDescent="0.25">
      <c r="A113" s="3"/>
      <c r="B113" s="3"/>
      <c r="C113" s="3">
        <f>SUMIF(Shoppingtable[Item Name],Inventorytable[[#This Row],[Ingriedients]],Shoppingtable[Quantity(g/ml)])</f>
        <v>0</v>
      </c>
      <c r="D113" s="3">
        <f>SUMIF(Quantitytable[[Ingredient ]],Inventorytable[[#This Row],[Ingriedients]],Quantitytable[Materials Used])</f>
        <v>0</v>
      </c>
      <c r="E113" s="3">
        <f>Inventorytable[[#This Row],[Total Available]]-Inventorytable[[#This Row],[Used]]</f>
        <v>0</v>
      </c>
      <c r="F113" s="14"/>
      <c r="G113" s="13"/>
      <c r="H113" s="13"/>
      <c r="I113" s="13"/>
    </row>
  </sheetData>
  <phoneticPr fontId="4" type="noConversion"/>
  <conditionalFormatting sqref="F7:F113">
    <cfRule type="expression" dxfId="16" priority="1">
      <formula>TODAY() + 2 &lt;= $F7</formula>
    </cfRule>
  </conditionalFormatting>
  <dataValidations count="2">
    <dataValidation type="list" allowBlank="1" showInputMessage="1" showErrorMessage="1" sqref="G7:G1048576" xr:uid="{60AE5022-2E7F-4D79-84C5-99D10C3478AF}">
      <formula1>$S$8:$S$50</formula1>
    </dataValidation>
    <dataValidation type="list" allowBlank="1" showInputMessage="1" showErrorMessage="1" sqref="I7:I113" xr:uid="{89EA029E-D064-486B-9D12-7806B60460FB}">
      <formula1>"Short Life Span,Medium Life Span,Long Life Span"</formula1>
    </dataValidation>
  </dataValidations>
  <pageMargins left="0.7" right="0.7" top="0.75" bottom="0.75" header="0.3" footer="0.3"/>
  <pageSetup orientation="portrait"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13E5-36AB-4D83-AFC5-302DF8DDBF83}">
  <dimension ref="A1:X342"/>
  <sheetViews>
    <sheetView showGridLines="0" workbookViewId="0">
      <pane ySplit="6" topLeftCell="A7" activePane="bottomLeft" state="frozen"/>
      <selection pane="bottomLeft" activeCell="G87" sqref="G87"/>
    </sheetView>
  </sheetViews>
  <sheetFormatPr defaultRowHeight="15" zeroHeight="1" outlineLevelCol="1" x14ac:dyDescent="0.25"/>
  <cols>
    <col min="1" max="1" width="10" bestFit="1" customWidth="1"/>
    <col min="2" max="2" width="58.85546875" customWidth="1"/>
    <col min="3" max="3" width="20.140625" customWidth="1" outlineLevel="1"/>
    <col min="4" max="4" width="19.5703125" customWidth="1" outlineLevel="1"/>
    <col min="5" max="5" width="19" customWidth="1" outlineLevel="1"/>
    <col min="6" max="6" width="19.7109375" customWidth="1" outlineLevel="1"/>
    <col min="7" max="7" width="17.7109375" customWidth="1" outlineLevel="1"/>
    <col min="8" max="8" width="15.42578125" customWidth="1" outlineLevel="1"/>
    <col min="9" max="9" width="17.85546875" customWidth="1" outlineLevel="1"/>
    <col min="10" max="10" width="15.7109375" customWidth="1"/>
    <col min="11" max="11" width="20.140625" customWidth="1"/>
    <col min="12" max="12" width="18.5703125" customWidth="1"/>
    <col min="13" max="13" width="11.5703125" customWidth="1"/>
    <col min="14" max="14" width="20" customWidth="1"/>
    <col min="20" max="21" width="34" bestFit="1" customWidth="1"/>
    <col min="22" max="22" width="21" bestFit="1" customWidth="1"/>
    <col min="23" max="23" width="19.7109375" bestFit="1" customWidth="1"/>
    <col min="24" max="25" width="17.5703125" bestFit="1" customWidth="1"/>
  </cols>
  <sheetData>
    <row r="1" spans="1:24" s="2" customFormat="1" x14ac:dyDescent="0.25"/>
    <row r="2" spans="1:24" s="2" customFormat="1" x14ac:dyDescent="0.25"/>
    <row r="3" spans="1:24" s="2" customFormat="1" x14ac:dyDescent="0.25"/>
    <row r="4" spans="1:24" s="2" customFormat="1" x14ac:dyDescent="0.25"/>
    <row r="5" spans="1:24" x14ac:dyDescent="0.25"/>
    <row r="6" spans="1:24" x14ac:dyDescent="0.25">
      <c r="A6" s="3" t="s">
        <v>0</v>
      </c>
      <c r="B6" s="3" t="s">
        <v>115</v>
      </c>
      <c r="C6" s="3" t="s">
        <v>116</v>
      </c>
      <c r="D6" s="3" t="s">
        <v>117</v>
      </c>
      <c r="E6" s="3" t="s">
        <v>118</v>
      </c>
      <c r="F6" s="3" t="s">
        <v>562</v>
      </c>
      <c r="G6" s="3" t="s">
        <v>119</v>
      </c>
      <c r="H6" s="3" t="s">
        <v>450</v>
      </c>
      <c r="I6" s="3" t="s">
        <v>451</v>
      </c>
      <c r="J6" s="3" t="s">
        <v>549</v>
      </c>
      <c r="K6" s="3" t="s">
        <v>561</v>
      </c>
      <c r="L6" s="3" t="s">
        <v>434</v>
      </c>
      <c r="U6" s="10" t="s">
        <v>393</v>
      </c>
      <c r="V6" t="s">
        <v>457</v>
      </c>
      <c r="W6" t="s">
        <v>458</v>
      </c>
      <c r="X6" t="s">
        <v>466</v>
      </c>
    </row>
    <row r="7" spans="1:24" x14ac:dyDescent="0.25">
      <c r="A7" s="13">
        <v>1</v>
      </c>
      <c r="B7" s="13" t="s">
        <v>120</v>
      </c>
      <c r="C7" s="13" t="s">
        <v>121</v>
      </c>
      <c r="D7" s="13" t="s">
        <v>122</v>
      </c>
      <c r="E7" s="3">
        <f>SUMIF(Quantitytable[Dish],receipetable[[#This Row],[Recipe Name]],Quantitytable[Cost Per Dish Per Item])</f>
        <v>15.911758241758243</v>
      </c>
      <c r="F7" s="3">
        <v>3</v>
      </c>
      <c r="G7" s="3">
        <v>76</v>
      </c>
      <c r="H7" s="3">
        <f>receipetable[[#This Row],[Cost of Making]]+receipetable[[#This Row],[PKG Cst]]</f>
        <v>18.911758241758243</v>
      </c>
      <c r="I7" s="3">
        <v>62</v>
      </c>
      <c r="J7" s="3">
        <f>receipetable[[#This Row],[Our Prizing]]-receipetable[[#This Row],[Cost of Making]]-(receipetable[[#This Row],[Our Prizing]]*0.27)-receipetable[[#This Row],[Other Charges]]</f>
        <v>27.348241758241755</v>
      </c>
      <c r="K7" s="17">
        <f>(receipetable[[#This Row],[Our Prizing]]-receipetable[[#This Row],[Cost of Making]]-receipetable[[#This Row],[Other Charges]]-(receipetable[[#This Row],[Our Prizing]]*0.27))/receipetable[[#This Row],[Cost of Making]]</f>
        <v>1.7187441728765096</v>
      </c>
      <c r="L7" s="3">
        <v>2</v>
      </c>
      <c r="U7" s="9" t="s">
        <v>148</v>
      </c>
      <c r="V7">
        <v>2.75</v>
      </c>
      <c r="W7">
        <v>5.75</v>
      </c>
      <c r="X7">
        <v>30</v>
      </c>
    </row>
    <row r="8" spans="1:24" x14ac:dyDescent="0.25">
      <c r="A8" s="13">
        <v>2</v>
      </c>
      <c r="B8" s="13" t="s">
        <v>563</v>
      </c>
      <c r="C8" s="13" t="s">
        <v>124</v>
      </c>
      <c r="D8" s="13" t="s">
        <v>125</v>
      </c>
      <c r="E8" s="3">
        <f>SUMIF(Quantitytable[Dish],receipetable[[#This Row],[Recipe Name]],Quantitytable[Cost Per Dish Per Item])</f>
        <v>47.316102540972935</v>
      </c>
      <c r="F8" s="3">
        <v>5</v>
      </c>
      <c r="G8" s="3">
        <v>110</v>
      </c>
      <c r="H8" s="3">
        <f>receipetable[[#This Row],[Cost of Making]]+receipetable[[#This Row],[PKG Cst]]</f>
        <v>52.316102540972935</v>
      </c>
      <c r="I8" s="3">
        <v>120</v>
      </c>
      <c r="J8" s="3">
        <f>receipetable[[#This Row],[Our Prizing]]-receipetable[[#This Row],[Cost of Making]]-(receipetable[[#This Row],[Our Prizing]]*0.27)-receipetable[[#This Row],[Other Charges]]</f>
        <v>38.28389745902706</v>
      </c>
      <c r="K8" s="17">
        <f>(receipetable[[#This Row],[Our Prizing]]-receipetable[[#This Row],[Cost of Making]]-receipetable[[#This Row],[Other Charges]]-(receipetable[[#This Row],[Our Prizing]]*0.27))/receipetable[[#This Row],[Cost of Making]]</f>
        <v>0.80910927576664793</v>
      </c>
      <c r="L8" s="3">
        <v>2</v>
      </c>
      <c r="U8" s="9" t="s">
        <v>311</v>
      </c>
      <c r="V8">
        <v>7</v>
      </c>
      <c r="W8">
        <v>10</v>
      </c>
      <c r="X8">
        <v>22</v>
      </c>
    </row>
    <row r="9" spans="1:24" x14ac:dyDescent="0.25">
      <c r="A9" s="13">
        <v>3</v>
      </c>
      <c r="B9" s="13" t="s">
        <v>564</v>
      </c>
      <c r="C9" s="13" t="s">
        <v>121</v>
      </c>
      <c r="D9" s="13" t="s">
        <v>122</v>
      </c>
      <c r="E9" s="3">
        <f>SUMIF(Quantitytable[Dish],receipetable[[#This Row],[Recipe Name]],Quantitytable[Cost Per Dish Per Item])</f>
        <v>33.383516483516487</v>
      </c>
      <c r="F9" s="3">
        <v>3</v>
      </c>
      <c r="G9" s="3">
        <v>75</v>
      </c>
      <c r="H9" s="3">
        <f>receipetable[[#This Row],[Cost of Making]]+receipetable[[#This Row],[PKG Cst]]</f>
        <v>36.383516483516487</v>
      </c>
      <c r="I9" s="3">
        <v>125</v>
      </c>
      <c r="J9" s="3">
        <f>receipetable[[#This Row],[Our Prizing]]-receipetable[[#This Row],[Cost of Making]]-(receipetable[[#This Row],[Our Prizing]]*0.27)-receipetable[[#This Row],[Other Charges]]</f>
        <v>55.866483516483513</v>
      </c>
      <c r="K9" s="17">
        <f>(receipetable[[#This Row],[Our Prizing]]-receipetable[[#This Row],[Cost of Making]]-receipetable[[#This Row],[Other Charges]]-(receipetable[[#This Row],[Our Prizing]]*0.27))/receipetable[[#This Row],[Cost of Making]]</f>
        <v>1.6734750979294903</v>
      </c>
      <c r="L9" s="3">
        <v>2</v>
      </c>
      <c r="U9" s="9" t="s">
        <v>145</v>
      </c>
      <c r="V9">
        <v>16.899999999999999</v>
      </c>
      <c r="W9">
        <v>19.899999999999999</v>
      </c>
      <c r="X9">
        <v>65</v>
      </c>
    </row>
    <row r="10" spans="1:24" x14ac:dyDescent="0.25">
      <c r="A10" s="13">
        <v>4</v>
      </c>
      <c r="B10" s="13" t="s">
        <v>565</v>
      </c>
      <c r="C10" s="13" t="s">
        <v>129</v>
      </c>
      <c r="D10" s="13" t="s">
        <v>125</v>
      </c>
      <c r="E10" s="3">
        <f>SUMIF(Quantitytable[Dish],receipetable[[#This Row],[Recipe Name]],Quantitytable[Cost Per Dish Per Item])</f>
        <v>27.297516483516485</v>
      </c>
      <c r="F10" s="3">
        <v>5</v>
      </c>
      <c r="G10" s="3">
        <v>100</v>
      </c>
      <c r="H10" s="3">
        <f>receipetable[[#This Row],[Cost of Making]]+receipetable[[#This Row],[PKG Cst]]</f>
        <v>32.297516483516489</v>
      </c>
      <c r="I10" s="3">
        <v>96</v>
      </c>
      <c r="J10" s="3">
        <f>receipetable[[#This Row],[Our Prizing]]-receipetable[[#This Row],[Cost of Making]]-(receipetable[[#This Row],[Our Prizing]]*0.27)-receipetable[[#This Row],[Other Charges]]</f>
        <v>40.782483516483509</v>
      </c>
      <c r="K10" s="17">
        <f>(receipetable[[#This Row],[Our Prizing]]-receipetable[[#This Row],[Cost of Making]]-receipetable[[#This Row],[Other Charges]]-(receipetable[[#This Row],[Our Prizing]]*0.27))/receipetable[[#This Row],[Cost of Making]]</f>
        <v>1.4939997761741395</v>
      </c>
      <c r="L10" s="3">
        <v>2</v>
      </c>
      <c r="U10" s="9" t="s">
        <v>149</v>
      </c>
      <c r="V10">
        <v>9.0399999999999991</v>
      </c>
      <c r="W10">
        <v>12.04</v>
      </c>
      <c r="X10">
        <v>40</v>
      </c>
    </row>
    <row r="11" spans="1:24" x14ac:dyDescent="0.25">
      <c r="A11" s="13">
        <v>5</v>
      </c>
      <c r="B11" s="13" t="s">
        <v>548</v>
      </c>
      <c r="C11" s="13" t="s">
        <v>130</v>
      </c>
      <c r="D11" s="13" t="s">
        <v>122</v>
      </c>
      <c r="E11" s="3">
        <f>SUMIF(Quantitytable[Dish],receipetable[[#This Row],[Recipe Name]],Quantitytable[Cost Per Dish Per Item])</f>
        <v>12.991758241758243</v>
      </c>
      <c r="F11" s="3">
        <v>3</v>
      </c>
      <c r="G11" s="3">
        <v>45</v>
      </c>
      <c r="H11" s="3">
        <f>receipetable[[#This Row],[Cost of Making]]+receipetable[[#This Row],[PKG Cst]]</f>
        <v>15.991758241758243</v>
      </c>
      <c r="I11" s="3">
        <v>48</v>
      </c>
      <c r="J11" s="3">
        <f>receipetable[[#This Row],[Our Prizing]]-receipetable[[#This Row],[Cost of Making]]-(receipetable[[#This Row],[Our Prizing]]*0.27)-receipetable[[#This Row],[Other Charges]]</f>
        <v>20.048241758241758</v>
      </c>
      <c r="K11" s="17">
        <f>(receipetable[[#This Row],[Our Prizing]]-receipetable[[#This Row],[Cost of Making]]-receipetable[[#This Row],[Other Charges]]-(receipetable[[#This Row],[Our Prizing]]*0.27))/receipetable[[#This Row],[Cost of Making]]</f>
        <v>1.5431507718333686</v>
      </c>
      <c r="L11" s="3">
        <v>2</v>
      </c>
      <c r="U11" s="9" t="s">
        <v>253</v>
      </c>
      <c r="V11">
        <v>29.493560606060605</v>
      </c>
      <c r="W11">
        <v>34.493560606060605</v>
      </c>
      <c r="X11">
        <v>105</v>
      </c>
    </row>
    <row r="12" spans="1:24" x14ac:dyDescent="0.25">
      <c r="A12" s="13">
        <v>6</v>
      </c>
      <c r="B12" s="13" t="s">
        <v>131</v>
      </c>
      <c r="C12" s="13" t="s">
        <v>121</v>
      </c>
      <c r="D12" s="13" t="s">
        <v>122</v>
      </c>
      <c r="E12" s="3">
        <f>SUMIF(Quantitytable[Dish],receipetable[[#This Row],[Recipe Name]],Quantitytable[Cost Per Dish Per Item])</f>
        <v>15.601692224912563</v>
      </c>
      <c r="F12" s="3">
        <v>3</v>
      </c>
      <c r="G12" s="3">
        <v>75</v>
      </c>
      <c r="H12" s="3">
        <f>receipetable[[#This Row],[Cost of Making]]+receipetable[[#This Row],[PKG Cst]]</f>
        <v>18.601692224912561</v>
      </c>
      <c r="I12" s="3">
        <v>56</v>
      </c>
      <c r="J12" s="3">
        <f>receipetable[[#This Row],[Our Prizing]]-receipetable[[#This Row],[Cost of Making]]-(receipetable[[#This Row],[Our Prizing]]*0.27)-receipetable[[#This Row],[Other Charges]]</f>
        <v>23.278307775087438</v>
      </c>
      <c r="K12" s="17">
        <f>(receipetable[[#This Row],[Our Prizing]]-receipetable[[#This Row],[Cost of Making]]-receipetable[[#This Row],[Other Charges]]-(receipetable[[#This Row],[Our Prizing]]*0.27))/receipetable[[#This Row],[Cost of Making]]</f>
        <v>1.4920373661721746</v>
      </c>
      <c r="L12" s="3">
        <v>2</v>
      </c>
      <c r="U12" s="9" t="s">
        <v>135</v>
      </c>
      <c r="V12">
        <v>35.172313118448123</v>
      </c>
      <c r="W12">
        <v>38.172313118448123</v>
      </c>
      <c r="X12">
        <v>95</v>
      </c>
    </row>
    <row r="13" spans="1:24" x14ac:dyDescent="0.25">
      <c r="A13" s="13">
        <v>7</v>
      </c>
      <c r="B13" s="13" t="s">
        <v>132</v>
      </c>
      <c r="C13" s="13" t="s">
        <v>130</v>
      </c>
      <c r="D13" s="13" t="s">
        <v>122</v>
      </c>
      <c r="E13" s="3">
        <f>SUMIF(Quantitytable[Dish],receipetable[[#This Row],[Recipe Name]],Quantitytable[Cost Per Dish Per Item])</f>
        <v>21.354853479853478</v>
      </c>
      <c r="F13" s="3">
        <v>3</v>
      </c>
      <c r="G13" s="3">
        <v>110</v>
      </c>
      <c r="H13" s="3">
        <f>receipetable[[#This Row],[Cost of Making]]+receipetable[[#This Row],[PKG Cst]]</f>
        <v>24.354853479853478</v>
      </c>
      <c r="I13" s="3">
        <v>62</v>
      </c>
      <c r="J13" s="3">
        <f>receipetable[[#This Row],[Our Prizing]]-receipetable[[#This Row],[Cost of Making]]-(receipetable[[#This Row],[Our Prizing]]*0.27)-receipetable[[#This Row],[Other Charges]]</f>
        <v>21.905146520146523</v>
      </c>
      <c r="K13" s="17">
        <f>(receipetable[[#This Row],[Our Prizing]]-receipetable[[#This Row],[Cost of Making]]-receipetable[[#This Row],[Other Charges]]-(receipetable[[#This Row],[Our Prizing]]*0.27))/receipetable[[#This Row],[Cost of Making]]</f>
        <v>1.0257689916164585</v>
      </c>
      <c r="L13" s="3">
        <v>2</v>
      </c>
      <c r="U13" s="9" t="s">
        <v>144</v>
      </c>
      <c r="V13">
        <v>16.299999999999997</v>
      </c>
      <c r="W13">
        <v>19.299999999999997</v>
      </c>
      <c r="X13">
        <v>60</v>
      </c>
    </row>
    <row r="14" spans="1:24" x14ac:dyDescent="0.25">
      <c r="A14" s="13">
        <v>8</v>
      </c>
      <c r="B14" s="13" t="s">
        <v>133</v>
      </c>
      <c r="C14" s="13" t="s">
        <v>129</v>
      </c>
      <c r="D14" s="13" t="s">
        <v>125</v>
      </c>
      <c r="E14" s="3">
        <f>SUMIF(Quantitytable[Dish],receipetable[[#This Row],[Recipe Name]],Quantitytable[Cost Per Dish Per Item])</f>
        <v>28.581367643102439</v>
      </c>
      <c r="F14" s="3">
        <v>5</v>
      </c>
      <c r="G14" s="3">
        <v>90</v>
      </c>
      <c r="H14" s="3">
        <f>receipetable[[#This Row],[Cost of Making]]+receipetable[[#This Row],[PKG Cst]]</f>
        <v>33.581367643102439</v>
      </c>
      <c r="I14" s="3">
        <v>100</v>
      </c>
      <c r="J14" s="3">
        <f>receipetable[[#This Row],[Our Prizing]]-receipetable[[#This Row],[Cost of Making]]-(receipetable[[#This Row],[Our Prizing]]*0.27)-receipetable[[#This Row],[Other Charges]]</f>
        <v>42.418632356897561</v>
      </c>
      <c r="K14" s="17">
        <f>(receipetable[[#This Row],[Our Prizing]]-receipetable[[#This Row],[Cost of Making]]-receipetable[[#This Row],[Other Charges]]-(receipetable[[#This Row],[Our Prizing]]*0.27))/receipetable[[#This Row],[Cost of Making]]</f>
        <v>1.4841358498509247</v>
      </c>
      <c r="L14" s="3">
        <v>2</v>
      </c>
      <c r="U14" s="9" t="s">
        <v>158</v>
      </c>
      <c r="V14">
        <v>14.108182809360329</v>
      </c>
      <c r="W14">
        <v>17.108182809360329</v>
      </c>
      <c r="X14">
        <v>52</v>
      </c>
    </row>
    <row r="15" spans="1:24" x14ac:dyDescent="0.25">
      <c r="A15" s="13">
        <v>9</v>
      </c>
      <c r="B15" s="13" t="s">
        <v>134</v>
      </c>
      <c r="C15" s="13" t="s">
        <v>130</v>
      </c>
      <c r="D15" s="13" t="s">
        <v>122</v>
      </c>
      <c r="E15" s="3">
        <f>SUMIF(Quantitytable[Dish],receipetable[[#This Row],[Recipe Name]],Quantitytable[Cost Per Dish Per Item])</f>
        <v>27.313743535138425</v>
      </c>
      <c r="F15" s="3">
        <v>3</v>
      </c>
      <c r="G15" s="3">
        <v>15</v>
      </c>
      <c r="H15" s="3">
        <f>receipetable[[#This Row],[Cost of Making]]+receipetable[[#This Row],[PKG Cst]]</f>
        <v>30.313743535138425</v>
      </c>
      <c r="I15" s="3">
        <v>250</v>
      </c>
      <c r="J15" s="3">
        <f>receipetable[[#This Row],[Our Prizing]]-receipetable[[#This Row],[Cost of Making]]-(receipetable[[#This Row],[Our Prizing]]*0.27)-receipetable[[#This Row],[Other Charges]]</f>
        <v>153.18625646486157</v>
      </c>
      <c r="K15" s="17">
        <f>(receipetable[[#This Row],[Our Prizing]]-receipetable[[#This Row],[Cost of Making]]-receipetable[[#This Row],[Other Charges]]-(receipetable[[#This Row],[Our Prizing]]*0.27))/receipetable[[#This Row],[Cost of Making]]</f>
        <v>5.6083947726825292</v>
      </c>
      <c r="L15" s="3">
        <v>2</v>
      </c>
      <c r="U15" s="9" t="s">
        <v>120</v>
      </c>
      <c r="V15">
        <v>17.34032967032967</v>
      </c>
      <c r="W15">
        <v>20.34032967032967</v>
      </c>
      <c r="X15">
        <v>62</v>
      </c>
    </row>
    <row r="16" spans="1:24" x14ac:dyDescent="0.25">
      <c r="A16" s="13">
        <v>10</v>
      </c>
      <c r="B16" s="13" t="s">
        <v>135</v>
      </c>
      <c r="C16" s="13" t="s">
        <v>136</v>
      </c>
      <c r="D16" s="13" t="s">
        <v>122</v>
      </c>
      <c r="E16" s="3">
        <f>SUMIF(Quantitytable[Dish],receipetable[[#This Row],[Recipe Name]],Quantitytable[Cost Per Dish Per Item])</f>
        <v>38.879940237092192</v>
      </c>
      <c r="F16" s="3">
        <v>3</v>
      </c>
      <c r="G16" s="3">
        <v>15</v>
      </c>
      <c r="H16" s="3">
        <f>receipetable[[#This Row],[Cost of Making]]+receipetable[[#This Row],[PKG Cst]]</f>
        <v>41.879940237092192</v>
      </c>
      <c r="I16" s="3">
        <v>135</v>
      </c>
      <c r="J16" s="3">
        <f>receipetable[[#This Row],[Our Prizing]]-receipetable[[#This Row],[Cost of Making]]-(receipetable[[#This Row],[Our Prizing]]*0.27)-receipetable[[#This Row],[Other Charges]]</f>
        <v>57.670059762907798</v>
      </c>
      <c r="K16" s="17">
        <f>(receipetable[[#This Row],[Our Prizing]]-receipetable[[#This Row],[Cost of Making]]-receipetable[[#This Row],[Other Charges]]-(receipetable[[#This Row],[Our Prizing]]*0.27))/receipetable[[#This Row],[Cost of Making]]</f>
        <v>1.4832857100919481</v>
      </c>
      <c r="L16" s="3">
        <v>2</v>
      </c>
      <c r="U16" s="9" t="s">
        <v>238</v>
      </c>
      <c r="V16">
        <v>23.739285714285714</v>
      </c>
      <c r="W16">
        <v>28.739285714285714</v>
      </c>
      <c r="X16">
        <v>85</v>
      </c>
    </row>
    <row r="17" spans="1:24" x14ac:dyDescent="0.25">
      <c r="A17" s="13">
        <v>11</v>
      </c>
      <c r="B17" s="13" t="s">
        <v>137</v>
      </c>
      <c r="C17" s="13" t="s">
        <v>138</v>
      </c>
      <c r="D17" s="13" t="s">
        <v>125</v>
      </c>
      <c r="E17" s="3">
        <f>SUMIF(Quantitytable[Dish],receipetable[[#This Row],[Recipe Name]],Quantitytable[Cost Per Dish Per Item])</f>
        <v>62.371346455654873</v>
      </c>
      <c r="F17" s="3">
        <v>5</v>
      </c>
      <c r="G17" s="3">
        <v>20</v>
      </c>
      <c r="H17" s="3">
        <f>receipetable[[#This Row],[Cost of Making]]+receipetable[[#This Row],[PKG Cst]]</f>
        <v>67.371346455654873</v>
      </c>
      <c r="I17" s="3">
        <v>400</v>
      </c>
      <c r="J17" s="3">
        <f>receipetable[[#This Row],[Our Prizing]]-receipetable[[#This Row],[Cost of Making]]-(receipetable[[#This Row],[Our Prizing]]*0.27)-receipetable[[#This Row],[Other Charges]]</f>
        <v>227.62865354434513</v>
      </c>
      <c r="K17" s="17">
        <f>(receipetable[[#This Row],[Our Prizing]]-receipetable[[#This Row],[Cost of Making]]-receipetable[[#This Row],[Other Charges]]-(receipetable[[#This Row],[Our Prizing]]*0.27))/receipetable[[#This Row],[Cost of Making]]</f>
        <v>3.6495709404988688</v>
      </c>
      <c r="L17" s="3">
        <v>2</v>
      </c>
      <c r="U17" s="9" t="s">
        <v>126</v>
      </c>
      <c r="V17">
        <v>25.248901098901101</v>
      </c>
      <c r="W17">
        <v>28.248901098901101</v>
      </c>
      <c r="X17">
        <v>90</v>
      </c>
    </row>
    <row r="18" spans="1:24" x14ac:dyDescent="0.25">
      <c r="A18" s="13">
        <v>12</v>
      </c>
      <c r="B18" s="13" t="s">
        <v>139</v>
      </c>
      <c r="C18" s="13" t="s">
        <v>140</v>
      </c>
      <c r="D18" s="13" t="s">
        <v>125</v>
      </c>
      <c r="E18" s="3">
        <f>SUMIF(Quantitytable[Dish],receipetable[[#This Row],[Recipe Name]],Quantitytable[Cost Per Dish Per Item])</f>
        <v>18.492324561403507</v>
      </c>
      <c r="F18" s="3">
        <v>5</v>
      </c>
      <c r="G18" s="3">
        <v>20</v>
      </c>
      <c r="H18" s="3">
        <f>receipetable[[#This Row],[Cost of Making]]+receipetable[[#This Row],[PKG Cst]]</f>
        <v>23.492324561403507</v>
      </c>
      <c r="I18" s="3">
        <v>65</v>
      </c>
      <c r="J18" s="3">
        <f>receipetable[[#This Row],[Our Prizing]]-receipetable[[#This Row],[Cost of Making]]-(receipetable[[#This Row],[Our Prizing]]*0.27)-receipetable[[#This Row],[Other Charges]]</f>
        <v>26.957675438596493</v>
      </c>
      <c r="K18" s="17">
        <f>(receipetable[[#This Row],[Our Prizing]]-receipetable[[#This Row],[Cost of Making]]-receipetable[[#This Row],[Other Charges]]-(receipetable[[#This Row],[Our Prizing]]*0.27))/receipetable[[#This Row],[Cost of Making]]</f>
        <v>1.4577764601245184</v>
      </c>
      <c r="L18" s="3">
        <v>2</v>
      </c>
      <c r="U18" s="9" t="s">
        <v>254</v>
      </c>
      <c r="V18">
        <v>18.8</v>
      </c>
      <c r="W18">
        <v>23.8</v>
      </c>
      <c r="X18">
        <v>68</v>
      </c>
    </row>
    <row r="19" spans="1:24" x14ac:dyDescent="0.25">
      <c r="A19" s="13">
        <v>13</v>
      </c>
      <c r="B19" s="13" t="s">
        <v>141</v>
      </c>
      <c r="C19" s="13" t="s">
        <v>136</v>
      </c>
      <c r="D19" s="13" t="s">
        <v>122</v>
      </c>
      <c r="E19" s="3">
        <f>SUMIF(Quantitytable[Dish],receipetable[[#This Row],[Recipe Name]],Quantitytable[Cost Per Dish Per Item])</f>
        <v>10.54078947368421</v>
      </c>
      <c r="F19" s="3">
        <v>3</v>
      </c>
      <c r="G19" s="3">
        <v>50</v>
      </c>
      <c r="H19" s="3">
        <f>receipetable[[#This Row],[Cost of Making]]+receipetable[[#This Row],[PKG Cst]]</f>
        <v>13.54078947368421</v>
      </c>
      <c r="I19" s="3">
        <v>38</v>
      </c>
      <c r="J19" s="3">
        <f>receipetable[[#This Row],[Our Prizing]]-receipetable[[#This Row],[Cost of Making]]-(receipetable[[#This Row],[Our Prizing]]*0.27)-receipetable[[#This Row],[Other Charges]]</f>
        <v>15.199210526315788</v>
      </c>
      <c r="K19" s="17">
        <f>(receipetable[[#This Row],[Our Prizing]]-receipetable[[#This Row],[Cost of Making]]-receipetable[[#This Row],[Other Charges]]-(receipetable[[#This Row],[Our Prizing]]*0.27))/receipetable[[#This Row],[Cost of Making]]</f>
        <v>1.4419423292972162</v>
      </c>
      <c r="L19" s="3">
        <v>2</v>
      </c>
      <c r="U19" s="9" t="s">
        <v>141</v>
      </c>
      <c r="V19">
        <v>10.54078947368421</v>
      </c>
      <c r="W19">
        <v>13.54078947368421</v>
      </c>
      <c r="X19">
        <v>38</v>
      </c>
    </row>
    <row r="20" spans="1:24" x14ac:dyDescent="0.25">
      <c r="A20" s="13">
        <v>14</v>
      </c>
      <c r="B20" s="13" t="s">
        <v>586</v>
      </c>
      <c r="C20" s="13" t="s">
        <v>143</v>
      </c>
      <c r="D20" s="13" t="s">
        <v>122</v>
      </c>
      <c r="E20" s="3">
        <f>SUMIF(Quantitytable[Dish],receipetable[[#This Row],[Recipe Name]],Quantitytable[Cost Per Dish Per Item])</f>
        <v>10.75</v>
      </c>
      <c r="F20" s="3">
        <v>3</v>
      </c>
      <c r="G20" s="3">
        <v>35</v>
      </c>
      <c r="H20" s="3">
        <f>receipetable[[#This Row],[Cost of Making]]+receipetable[[#This Row],[PKG Cst]]</f>
        <v>13.75</v>
      </c>
      <c r="I20" s="3">
        <v>40</v>
      </c>
      <c r="J20" s="3">
        <f>receipetable[[#This Row],[Our Prizing]]-receipetable[[#This Row],[Cost of Making]]-(receipetable[[#This Row],[Our Prizing]]*0.27)-receipetable[[#This Row],[Other Charges]]</f>
        <v>16.45</v>
      </c>
      <c r="K20" s="17">
        <f>(receipetable[[#This Row],[Our Prizing]]-receipetable[[#This Row],[Cost of Making]]-receipetable[[#This Row],[Other Charges]]-(receipetable[[#This Row],[Our Prizing]]*0.27))/receipetable[[#This Row],[Cost of Making]]</f>
        <v>1.5302325581395348</v>
      </c>
      <c r="L20" s="3">
        <v>2</v>
      </c>
      <c r="U20" s="9" t="s">
        <v>146</v>
      </c>
      <c r="V20">
        <v>16.899999999999999</v>
      </c>
      <c r="W20">
        <v>19.899999999999999</v>
      </c>
      <c r="X20">
        <v>65</v>
      </c>
    </row>
    <row r="21" spans="1:24" x14ac:dyDescent="0.25">
      <c r="A21" s="13">
        <v>15</v>
      </c>
      <c r="B21" s="13" t="s">
        <v>144</v>
      </c>
      <c r="C21" s="13" t="s">
        <v>143</v>
      </c>
      <c r="D21" s="13" t="s">
        <v>122</v>
      </c>
      <c r="E21" s="3">
        <f>SUMIF(Quantitytable[Dish],receipetable[[#This Row],[Recipe Name]],Quantitytable[Cost Per Dish Per Item])</f>
        <v>16.299999999999997</v>
      </c>
      <c r="F21" s="3">
        <v>3</v>
      </c>
      <c r="G21" s="3">
        <v>45</v>
      </c>
      <c r="H21" s="3">
        <f>receipetable[[#This Row],[Cost of Making]]+receipetable[[#This Row],[PKG Cst]]</f>
        <v>19.299999999999997</v>
      </c>
      <c r="I21" s="3">
        <v>60</v>
      </c>
      <c r="J21" s="3">
        <f>receipetable[[#This Row],[Our Prizing]]-receipetable[[#This Row],[Cost of Making]]-(receipetable[[#This Row],[Our Prizing]]*0.27)-receipetable[[#This Row],[Other Charges]]</f>
        <v>25.5</v>
      </c>
      <c r="K21" s="17">
        <f>(receipetable[[#This Row],[Our Prizing]]-receipetable[[#This Row],[Cost of Making]]-receipetable[[#This Row],[Other Charges]]-(receipetable[[#This Row],[Our Prizing]]*0.27))/receipetable[[#This Row],[Cost of Making]]</f>
        <v>1.5644171779141107</v>
      </c>
      <c r="L21" s="3">
        <v>2</v>
      </c>
      <c r="U21" s="9" t="s">
        <v>133</v>
      </c>
      <c r="V21">
        <v>27.688230388200473</v>
      </c>
      <c r="W21">
        <v>32.688230388200473</v>
      </c>
      <c r="X21">
        <v>100</v>
      </c>
    </row>
    <row r="22" spans="1:24" x14ac:dyDescent="0.25">
      <c r="A22" s="13">
        <v>16</v>
      </c>
      <c r="B22" s="13" t="s">
        <v>145</v>
      </c>
      <c r="C22" s="13" t="s">
        <v>143</v>
      </c>
      <c r="D22" s="13" t="s">
        <v>122</v>
      </c>
      <c r="E22" s="3">
        <f>SUMIF(Quantitytable[Dish],receipetable[[#This Row],[Recipe Name]],Quantitytable[Cost Per Dish Per Item])</f>
        <v>16.899999999999999</v>
      </c>
      <c r="F22" s="3">
        <v>3</v>
      </c>
      <c r="G22" s="3">
        <v>50</v>
      </c>
      <c r="H22" s="3">
        <f>receipetable[[#This Row],[Cost of Making]]+receipetable[[#This Row],[PKG Cst]]</f>
        <v>19.899999999999999</v>
      </c>
      <c r="I22" s="3">
        <v>65</v>
      </c>
      <c r="J22" s="3">
        <f>receipetable[[#This Row],[Our Prizing]]-receipetable[[#This Row],[Cost of Making]]-(receipetable[[#This Row],[Our Prizing]]*0.27)-receipetable[[#This Row],[Other Charges]]</f>
        <v>28.55</v>
      </c>
      <c r="K22" s="17">
        <f>(receipetable[[#This Row],[Our Prizing]]-receipetable[[#This Row],[Cost of Making]]-receipetable[[#This Row],[Other Charges]]-(receipetable[[#This Row],[Our Prizing]]*0.27))/receipetable[[#This Row],[Cost of Making]]</f>
        <v>1.6893491124260356</v>
      </c>
      <c r="L22" s="3">
        <v>2</v>
      </c>
      <c r="U22" s="9" t="s">
        <v>169</v>
      </c>
      <c r="V22">
        <v>14.285714285714285</v>
      </c>
      <c r="W22">
        <v>17.285714285714285</v>
      </c>
      <c r="X22">
        <v>52</v>
      </c>
    </row>
    <row r="23" spans="1:24" x14ac:dyDescent="0.25">
      <c r="A23" s="13">
        <v>17</v>
      </c>
      <c r="B23" s="13" t="s">
        <v>146</v>
      </c>
      <c r="C23" s="13" t="s">
        <v>143</v>
      </c>
      <c r="D23" s="13" t="s">
        <v>122</v>
      </c>
      <c r="E23" s="3">
        <f>SUMIF(Quantitytable[Dish],receipetable[[#This Row],[Recipe Name]],Quantitytable[Cost Per Dish Per Item])</f>
        <v>16.899999999999999</v>
      </c>
      <c r="F23" s="3">
        <v>3</v>
      </c>
      <c r="G23" s="3">
        <v>50</v>
      </c>
      <c r="H23" s="3">
        <f>receipetable[[#This Row],[Cost of Making]]+receipetable[[#This Row],[PKG Cst]]</f>
        <v>19.899999999999999</v>
      </c>
      <c r="I23" s="3">
        <v>65</v>
      </c>
      <c r="J23" s="3">
        <f>receipetable[[#This Row],[Our Prizing]]-receipetable[[#This Row],[Cost of Making]]-(receipetable[[#This Row],[Our Prizing]]*0.27)-receipetable[[#This Row],[Other Charges]]</f>
        <v>28.55</v>
      </c>
      <c r="K23" s="17">
        <f>(receipetable[[#This Row],[Our Prizing]]-receipetable[[#This Row],[Cost of Making]]-receipetable[[#This Row],[Other Charges]]-(receipetable[[#This Row],[Our Prizing]]*0.27))/receipetable[[#This Row],[Cost of Making]]</f>
        <v>1.6893491124260356</v>
      </c>
      <c r="L23" s="3">
        <v>2</v>
      </c>
      <c r="U23" s="9" t="s">
        <v>154</v>
      </c>
      <c r="V23">
        <v>27.861407186262678</v>
      </c>
      <c r="W23">
        <v>32.861407186262682</v>
      </c>
      <c r="X23">
        <v>100</v>
      </c>
    </row>
    <row r="24" spans="1:24" x14ac:dyDescent="0.25">
      <c r="A24" s="13">
        <v>18</v>
      </c>
      <c r="B24" s="13" t="s">
        <v>148</v>
      </c>
      <c r="C24" s="13" t="s">
        <v>143</v>
      </c>
      <c r="D24" s="13" t="s">
        <v>122</v>
      </c>
      <c r="E24" s="3">
        <f>SUMIF(Quantitytable[Dish],receipetable[[#This Row],[Recipe Name]],Quantitytable[Cost Per Dish Per Item])</f>
        <v>2.75</v>
      </c>
      <c r="F24" s="3">
        <v>3</v>
      </c>
      <c r="G24" s="3">
        <v>30</v>
      </c>
      <c r="H24" s="3">
        <f>receipetable[[#This Row],[Cost of Making]]+receipetable[[#This Row],[PKG Cst]]</f>
        <v>5.75</v>
      </c>
      <c r="I24" s="3">
        <v>30</v>
      </c>
      <c r="J24" s="3">
        <f>receipetable[[#This Row],[Our Prizing]]-receipetable[[#This Row],[Cost of Making]]-(receipetable[[#This Row],[Our Prizing]]*0.27)-receipetable[[#This Row],[Other Charges]]</f>
        <v>17.149999999999999</v>
      </c>
      <c r="K24" s="17">
        <f>(receipetable[[#This Row],[Our Prizing]]-receipetable[[#This Row],[Cost of Making]]-receipetable[[#This Row],[Other Charges]]-(receipetable[[#This Row],[Our Prizing]]*0.27))/receipetable[[#This Row],[Cost of Making]]</f>
        <v>6.2363636363636354</v>
      </c>
      <c r="L24" s="3">
        <v>2</v>
      </c>
      <c r="U24" s="9" t="s">
        <v>139</v>
      </c>
      <c r="V24">
        <v>17.575657894736842</v>
      </c>
      <c r="W24">
        <v>22.575657894736842</v>
      </c>
      <c r="X24">
        <v>65</v>
      </c>
    </row>
    <row r="25" spans="1:24" x14ac:dyDescent="0.25">
      <c r="A25" s="13">
        <v>19</v>
      </c>
      <c r="B25" s="13" t="s">
        <v>149</v>
      </c>
      <c r="C25" s="13" t="s">
        <v>121</v>
      </c>
      <c r="D25" s="13" t="s">
        <v>122</v>
      </c>
      <c r="E25" s="3">
        <f>SUMIF(Quantitytable[Dish],receipetable[[#This Row],[Recipe Name]],Quantitytable[Cost Per Dish Per Item])</f>
        <v>9.0399999999999991</v>
      </c>
      <c r="F25" s="3">
        <v>3</v>
      </c>
      <c r="G25" s="3">
        <v>50</v>
      </c>
      <c r="H25" s="3">
        <f>receipetable[[#This Row],[Cost of Making]]+receipetable[[#This Row],[PKG Cst]]</f>
        <v>12.04</v>
      </c>
      <c r="I25" s="3">
        <v>40</v>
      </c>
      <c r="J25" s="3">
        <f>receipetable[[#This Row],[Our Prizing]]-receipetable[[#This Row],[Cost of Making]]-(receipetable[[#This Row],[Our Prizing]]*0.27)-receipetable[[#This Row],[Other Charges]]</f>
        <v>18.16</v>
      </c>
      <c r="K25" s="17">
        <f>(receipetable[[#This Row],[Our Prizing]]-receipetable[[#This Row],[Cost of Making]]-receipetable[[#This Row],[Other Charges]]-(receipetable[[#This Row],[Our Prizing]]*0.27))/receipetable[[#This Row],[Cost of Making]]</f>
        <v>2.0088495575221241</v>
      </c>
      <c r="L25" s="3">
        <v>2</v>
      </c>
      <c r="U25" s="9" t="s">
        <v>155</v>
      </c>
      <c r="V25">
        <v>19.85607256801719</v>
      </c>
      <c r="W25">
        <v>22.85607256801719</v>
      </c>
      <c r="X25">
        <v>70</v>
      </c>
    </row>
    <row r="26" spans="1:24" x14ac:dyDescent="0.25">
      <c r="A26" s="13">
        <v>20</v>
      </c>
      <c r="B26" s="13" t="s">
        <v>154</v>
      </c>
      <c r="C26" s="13" t="s">
        <v>121</v>
      </c>
      <c r="D26" s="13" t="s">
        <v>125</v>
      </c>
      <c r="E26" s="3">
        <f>SUMIF(Quantitytable[Dish],receipetable[[#This Row],[Recipe Name]],Quantitytable[Cost Per Dish Per Item])</f>
        <v>27.606407186262679</v>
      </c>
      <c r="F26" s="3">
        <v>5</v>
      </c>
      <c r="G26" s="3">
        <v>90</v>
      </c>
      <c r="H26" s="3">
        <f>receipetable[[#This Row],[Cost of Making]]+receipetable[[#This Row],[PKG Cst]]</f>
        <v>32.606407186262679</v>
      </c>
      <c r="I26" s="3">
        <v>100</v>
      </c>
      <c r="J26" s="3">
        <f>receipetable[[#This Row],[Our Prizing]]-receipetable[[#This Row],[Cost of Making]]-(receipetable[[#This Row],[Our Prizing]]*0.27)-receipetable[[#This Row],[Other Charges]]</f>
        <v>43.393592813737314</v>
      </c>
      <c r="K26" s="17">
        <f>(receipetable[[#This Row],[Our Prizing]]-receipetable[[#This Row],[Cost of Making]]-receipetable[[#This Row],[Other Charges]]-(receipetable[[#This Row],[Our Prizing]]*0.27))/receipetable[[#This Row],[Cost of Making]]</f>
        <v>1.5718667235818558</v>
      </c>
      <c r="L26" s="3">
        <v>2</v>
      </c>
      <c r="U26" s="9" t="s">
        <v>123</v>
      </c>
      <c r="V26">
        <v>32.169656372762056</v>
      </c>
      <c r="W26">
        <v>37.169656372762056</v>
      </c>
      <c r="X26">
        <v>115</v>
      </c>
    </row>
    <row r="27" spans="1:24" x14ac:dyDescent="0.25">
      <c r="A27" s="13">
        <v>21</v>
      </c>
      <c r="B27" s="13" t="s">
        <v>155</v>
      </c>
      <c r="C27" s="13" t="s">
        <v>130</v>
      </c>
      <c r="D27" s="13" t="s">
        <v>122</v>
      </c>
      <c r="E27" s="3">
        <f>SUMIF(Quantitytable[Dish],receipetable[[#This Row],[Recipe Name]],Quantitytable[Cost Per Dish Per Item])</f>
        <v>15.797483610961976</v>
      </c>
      <c r="F27" s="3">
        <v>3</v>
      </c>
      <c r="G27" s="3">
        <v>80</v>
      </c>
      <c r="H27" s="3">
        <f>receipetable[[#This Row],[Cost of Making]]+receipetable[[#This Row],[PKG Cst]]</f>
        <v>18.797483610961976</v>
      </c>
      <c r="I27" s="3">
        <v>56</v>
      </c>
      <c r="J27" s="3">
        <f>receipetable[[#This Row],[Our Prizing]]-receipetable[[#This Row],[Cost of Making]]-(receipetable[[#This Row],[Our Prizing]]*0.27)-receipetable[[#This Row],[Other Charges]]</f>
        <v>23.082516389038023</v>
      </c>
      <c r="K27" s="17">
        <f>(receipetable[[#This Row],[Our Prizing]]-receipetable[[#This Row],[Cost of Making]]-receipetable[[#This Row],[Other Charges]]-(receipetable[[#This Row],[Our Prizing]]*0.27))/receipetable[[#This Row],[Cost of Making]]</f>
        <v>1.4611514692771015</v>
      </c>
      <c r="L27" s="3">
        <v>2</v>
      </c>
      <c r="U27" s="9" t="s">
        <v>132</v>
      </c>
      <c r="V27">
        <v>17.267857142857142</v>
      </c>
      <c r="W27">
        <v>20.267857142857142</v>
      </c>
      <c r="X27">
        <v>62</v>
      </c>
    </row>
    <row r="28" spans="1:24" x14ac:dyDescent="0.25">
      <c r="A28" s="13">
        <v>22</v>
      </c>
      <c r="B28" s="13" t="s">
        <v>156</v>
      </c>
      <c r="C28" s="13" t="s">
        <v>121</v>
      </c>
      <c r="D28" s="13" t="s">
        <v>122</v>
      </c>
      <c r="E28" s="3">
        <f>SUMIF(Quantitytable[Dish],receipetable[[#This Row],[Recipe Name]],Quantitytable[Cost Per Dish Per Item])</f>
        <v>16.024073809080353</v>
      </c>
      <c r="F28" s="3">
        <v>3</v>
      </c>
      <c r="G28" s="3">
        <v>80</v>
      </c>
      <c r="H28" s="3">
        <f>receipetable[[#This Row],[Cost of Making]]+receipetable[[#This Row],[PKG Cst]]</f>
        <v>19.024073809080353</v>
      </c>
      <c r="I28" s="3">
        <v>60</v>
      </c>
      <c r="J28" s="3">
        <f>receipetable[[#This Row],[Our Prizing]]-receipetable[[#This Row],[Cost of Making]]-(receipetable[[#This Row],[Our Prizing]]*0.27)-receipetable[[#This Row],[Other Charges]]</f>
        <v>25.775926190919648</v>
      </c>
      <c r="K28" s="17">
        <f>(receipetable[[#This Row],[Our Prizing]]-receipetable[[#This Row],[Cost of Making]]-receipetable[[#This Row],[Other Charges]]-(receipetable[[#This Row],[Our Prizing]]*0.27))/receipetable[[#This Row],[Cost of Making]]</f>
        <v>1.6085751038111931</v>
      </c>
      <c r="L28" s="3">
        <v>2</v>
      </c>
      <c r="U28" s="9" t="s">
        <v>250</v>
      </c>
      <c r="V28">
        <v>12.344285714285714</v>
      </c>
      <c r="W28">
        <v>17.344285714285714</v>
      </c>
      <c r="X28">
        <v>50</v>
      </c>
    </row>
    <row r="29" spans="1:24" x14ac:dyDescent="0.25">
      <c r="A29" s="13">
        <v>23</v>
      </c>
      <c r="B29" s="13" t="s">
        <v>157</v>
      </c>
      <c r="C29" s="13" t="s">
        <v>130</v>
      </c>
      <c r="D29" s="13" t="s">
        <v>122</v>
      </c>
      <c r="E29" s="3">
        <f>SUMIF(Quantitytable[Dish],receipetable[[#This Row],[Recipe Name]],Quantitytable[Cost Per Dish Per Item])</f>
        <v>5.55</v>
      </c>
      <c r="F29" s="3">
        <v>3</v>
      </c>
      <c r="G29" s="3">
        <v>70</v>
      </c>
      <c r="H29" s="3">
        <f>receipetable[[#This Row],[Cost of Making]]+receipetable[[#This Row],[PKG Cst]]</f>
        <v>8.5500000000000007</v>
      </c>
      <c r="I29" s="3">
        <v>50</v>
      </c>
      <c r="J29" s="3">
        <f>receipetable[[#This Row],[Our Prizing]]-receipetable[[#This Row],[Cost of Making]]-(receipetable[[#This Row],[Our Prizing]]*0.27)-receipetable[[#This Row],[Other Charges]]</f>
        <v>28.950000000000003</v>
      </c>
      <c r="K29" s="17">
        <f>(receipetable[[#This Row],[Our Prizing]]-receipetable[[#This Row],[Cost of Making]]-receipetable[[#This Row],[Other Charges]]-(receipetable[[#This Row],[Our Prizing]]*0.27))/receipetable[[#This Row],[Cost of Making]]</f>
        <v>5.2162162162162167</v>
      </c>
      <c r="L29" s="3">
        <v>2</v>
      </c>
      <c r="U29" s="9" t="s">
        <v>214</v>
      </c>
      <c r="V29">
        <v>25.098901098901102</v>
      </c>
      <c r="W29">
        <v>28.098901098901102</v>
      </c>
      <c r="X29">
        <v>90</v>
      </c>
    </row>
    <row r="30" spans="1:24" x14ac:dyDescent="0.25">
      <c r="A30" s="13">
        <v>24</v>
      </c>
      <c r="B30" s="13" t="s">
        <v>158</v>
      </c>
      <c r="C30" s="13" t="s">
        <v>136</v>
      </c>
      <c r="D30" s="13" t="s">
        <v>122</v>
      </c>
      <c r="E30" s="3">
        <f>SUMIF(Quantitytable[Dish],receipetable[[#This Row],[Recipe Name]],Quantitytable[Cost Per Dish Per Item])</f>
        <v>17.808182809360328</v>
      </c>
      <c r="F30" s="3">
        <v>3</v>
      </c>
      <c r="G30" s="3">
        <v>80</v>
      </c>
      <c r="H30" s="3">
        <f>receipetable[[#This Row],[Cost of Making]]+receipetable[[#This Row],[PKG Cst]]</f>
        <v>20.808182809360328</v>
      </c>
      <c r="I30" s="3">
        <v>62</v>
      </c>
      <c r="J30" s="3">
        <f>receipetable[[#This Row],[Our Prizing]]-receipetable[[#This Row],[Cost of Making]]-(receipetable[[#This Row],[Our Prizing]]*0.27)-receipetable[[#This Row],[Other Charges]]</f>
        <v>25.451817190639666</v>
      </c>
      <c r="K30" s="17">
        <f>(receipetable[[#This Row],[Our Prizing]]-receipetable[[#This Row],[Cost of Making]]-receipetable[[#This Row],[Other Charges]]-(receipetable[[#This Row],[Our Prizing]]*0.27))/receipetable[[#This Row],[Cost of Making]]</f>
        <v>1.4292203456751182</v>
      </c>
      <c r="L30" s="3">
        <v>2</v>
      </c>
      <c r="U30" s="9" t="s">
        <v>186</v>
      </c>
      <c r="V30">
        <v>30.656043956043952</v>
      </c>
      <c r="W30">
        <v>35.656043956043952</v>
      </c>
      <c r="X30">
        <v>110</v>
      </c>
    </row>
    <row r="31" spans="1:24" x14ac:dyDescent="0.25">
      <c r="A31" s="13">
        <v>25</v>
      </c>
      <c r="B31" s="13" t="s">
        <v>582</v>
      </c>
      <c r="C31" s="13" t="s">
        <v>585</v>
      </c>
      <c r="D31" s="13" t="s">
        <v>122</v>
      </c>
      <c r="E31" s="3">
        <f>SUMIF(Quantitytable[Dish],receipetable[[#This Row],[Recipe Name]],Quantitytable[Cost Per Dish Per Item])</f>
        <v>5.9619999999999997</v>
      </c>
      <c r="F31" s="3">
        <v>10</v>
      </c>
      <c r="G31" s="3">
        <v>27</v>
      </c>
      <c r="H31" s="3">
        <f>receipetable[[#This Row],[Cost of Making]]+receipetable[[#This Row],[PKG Cst]]</f>
        <v>15.962</v>
      </c>
      <c r="I31" s="3">
        <v>22</v>
      </c>
      <c r="J31" s="3">
        <f>receipetable[[#This Row],[Our Prizing]]-receipetable[[#This Row],[Cost of Making]]-(receipetable[[#This Row],[Our Prizing]]*0.27)-receipetable[[#This Row],[Other Charges]]</f>
        <v>8.097999999999999</v>
      </c>
      <c r="K31" s="17">
        <f>(receipetable[[#This Row],[Our Prizing]]-receipetable[[#This Row],[Cost of Making]]-receipetable[[#This Row],[Other Charges]]-(receipetable[[#This Row],[Our Prizing]]*0.27))/receipetable[[#This Row],[Cost of Making]]</f>
        <v>1.3582690372358268</v>
      </c>
      <c r="L31" s="3">
        <v>2</v>
      </c>
      <c r="U31" s="9" t="s">
        <v>435</v>
      </c>
      <c r="V31">
        <v>25.398901098901099</v>
      </c>
      <c r="W31">
        <v>30.398901098901099</v>
      </c>
      <c r="X31">
        <v>90</v>
      </c>
    </row>
    <row r="32" spans="1:24" x14ac:dyDescent="0.25">
      <c r="A32" s="13">
        <v>26</v>
      </c>
      <c r="B32" s="13" t="s">
        <v>169</v>
      </c>
      <c r="C32" s="13" t="s">
        <v>130</v>
      </c>
      <c r="D32" s="13" t="s">
        <v>122</v>
      </c>
      <c r="E32" s="3">
        <f>SUMIF(Quantitytable[Dish],receipetable[[#This Row],[Recipe Name]],Quantitytable[Cost Per Dish Per Item])</f>
        <v>14.285714285714285</v>
      </c>
      <c r="F32" s="3">
        <v>3</v>
      </c>
      <c r="G32" s="3">
        <v>55</v>
      </c>
      <c r="H32" s="3">
        <f>receipetable[[#This Row],[Cost of Making]]+receipetable[[#This Row],[PKG Cst]]</f>
        <v>17.285714285714285</v>
      </c>
      <c r="I32" s="3">
        <v>52</v>
      </c>
      <c r="J32" s="3">
        <f>receipetable[[#This Row],[Our Prizing]]-receipetable[[#This Row],[Cost of Making]]-(receipetable[[#This Row],[Our Prizing]]*0.27)-receipetable[[#This Row],[Other Charges]]</f>
        <v>21.674285714285716</v>
      </c>
      <c r="K32" s="17">
        <f>(receipetable[[#This Row],[Our Prizing]]-receipetable[[#This Row],[Cost of Making]]-receipetable[[#This Row],[Other Charges]]-(receipetable[[#This Row],[Our Prizing]]*0.27))/receipetable[[#This Row],[Cost of Making]]</f>
        <v>1.5172000000000003</v>
      </c>
      <c r="L32" s="3">
        <v>2</v>
      </c>
      <c r="U32" s="9" t="s">
        <v>128</v>
      </c>
      <c r="V32">
        <v>17.162901098901099</v>
      </c>
      <c r="W32">
        <v>22.162901098901099</v>
      </c>
      <c r="X32">
        <v>62</v>
      </c>
    </row>
    <row r="33" spans="1:24" x14ac:dyDescent="0.25">
      <c r="A33" s="13">
        <v>27</v>
      </c>
      <c r="B33" s="13" t="s">
        <v>583</v>
      </c>
      <c r="C33" s="13" t="s">
        <v>130</v>
      </c>
      <c r="D33" s="13" t="s">
        <v>122</v>
      </c>
      <c r="E33" s="3">
        <f>SUMIF(Quantitytable[Dish],receipetable[[#This Row],[Recipe Name]],Quantitytable[Cost Per Dish Per Item])</f>
        <v>20.25</v>
      </c>
      <c r="F33" s="3">
        <v>5</v>
      </c>
      <c r="G33" s="3"/>
      <c r="H33" s="3">
        <f>receipetable[[#This Row],[Cost of Making]]+receipetable[[#This Row],[PKG Cst]]</f>
        <v>25.25</v>
      </c>
      <c r="I33" s="3">
        <v>70</v>
      </c>
      <c r="J33" s="3">
        <f>receipetable[[#This Row],[Our Prizing]]-receipetable[[#This Row],[Cost of Making]]-(receipetable[[#This Row],[Our Prizing]]*0.27)-receipetable[[#This Row],[Other Charges]]</f>
        <v>28.849999999999998</v>
      </c>
      <c r="K33" s="17">
        <f>(receipetable[[#This Row],[Our Prizing]]-receipetable[[#This Row],[Cost of Making]]-receipetable[[#This Row],[Other Charges]]-(receipetable[[#This Row],[Our Prizing]]*0.27))/receipetable[[#This Row],[Cost of Making]]</f>
        <v>1.4246913580246912</v>
      </c>
      <c r="L33" s="3">
        <v>2</v>
      </c>
      <c r="U33" s="9" t="s">
        <v>157</v>
      </c>
      <c r="V33">
        <v>5.55</v>
      </c>
      <c r="W33">
        <v>8.5500000000000007</v>
      </c>
      <c r="X33">
        <v>80</v>
      </c>
    </row>
    <row r="34" spans="1:24" x14ac:dyDescent="0.25">
      <c r="A34" s="13">
        <v>28</v>
      </c>
      <c r="B34" s="13" t="s">
        <v>584</v>
      </c>
      <c r="C34" s="13" t="s">
        <v>130</v>
      </c>
      <c r="D34" s="13" t="s">
        <v>122</v>
      </c>
      <c r="E34" s="3">
        <f>SUMIF(Quantitytable[Dish],receipetable[[#This Row],[Recipe Name]],Quantitytable[Cost Per Dish Per Item])</f>
        <v>29.75</v>
      </c>
      <c r="F34" s="3">
        <v>3</v>
      </c>
      <c r="G34" s="3"/>
      <c r="H34" s="3">
        <f>receipetable[[#This Row],[Cost of Making]]+receipetable[[#This Row],[PKG Cst]]</f>
        <v>32.75</v>
      </c>
      <c r="I34" s="3">
        <v>105</v>
      </c>
      <c r="J34" s="3">
        <f>receipetable[[#This Row],[Our Prizing]]-receipetable[[#This Row],[Cost of Making]]-(receipetable[[#This Row],[Our Prizing]]*0.27)-receipetable[[#This Row],[Other Charges]]</f>
        <v>44.9</v>
      </c>
      <c r="K34" s="17">
        <f>(receipetable[[#This Row],[Our Prizing]]-receipetable[[#This Row],[Cost of Making]]-receipetable[[#This Row],[Other Charges]]-(receipetable[[#This Row],[Our Prizing]]*0.27))/receipetable[[#This Row],[Cost of Making]]</f>
        <v>1.5092436974789916</v>
      </c>
      <c r="L34" s="3">
        <v>2</v>
      </c>
      <c r="U34" s="9" t="s">
        <v>131</v>
      </c>
      <c r="V34">
        <v>15.601692224912563</v>
      </c>
      <c r="W34">
        <v>18.601692224912561</v>
      </c>
      <c r="X34">
        <v>56</v>
      </c>
    </row>
    <row r="35" spans="1:24" x14ac:dyDescent="0.25">
      <c r="A35" s="13">
        <v>29</v>
      </c>
      <c r="B35" s="13" t="s">
        <v>186</v>
      </c>
      <c r="C35" s="13" t="s">
        <v>121</v>
      </c>
      <c r="D35" s="13" t="s">
        <v>125</v>
      </c>
      <c r="E35" s="3">
        <f>SUMIF(Quantitytable[Dish],receipetable[[#This Row],[Recipe Name]],Quantitytable[Cost Per Dish Per Item])</f>
        <v>32.606043956043955</v>
      </c>
      <c r="F35" s="3">
        <v>5</v>
      </c>
      <c r="G35" s="3">
        <v>120</v>
      </c>
      <c r="H35" s="3">
        <f>receipetable[[#This Row],[Cost of Making]]+receipetable[[#This Row],[PKG Cst]]</f>
        <v>37.606043956043955</v>
      </c>
      <c r="I35" s="3">
        <v>110</v>
      </c>
      <c r="J35" s="3">
        <f>receipetable[[#This Row],[Our Prizing]]-receipetable[[#This Row],[Cost of Making]]-(receipetable[[#This Row],[Our Prizing]]*0.27)-receipetable[[#This Row],[Other Charges]]</f>
        <v>45.693956043956049</v>
      </c>
      <c r="K35" s="17">
        <f>(receipetable[[#This Row],[Our Prizing]]-receipetable[[#This Row],[Cost of Making]]-receipetable[[#This Row],[Other Charges]]-(receipetable[[#This Row],[Our Prizing]]*0.27))/receipetable[[#This Row],[Cost of Making]]</f>
        <v>1.4013952782973562</v>
      </c>
      <c r="L35" s="3">
        <v>2</v>
      </c>
      <c r="U35" s="9" t="s">
        <v>137</v>
      </c>
      <c r="V35">
        <v>62.043846455654872</v>
      </c>
      <c r="W35">
        <v>67.043846455654872</v>
      </c>
      <c r="X35">
        <v>400</v>
      </c>
    </row>
    <row r="36" spans="1:24" x14ac:dyDescent="0.25">
      <c r="A36" s="13">
        <v>30</v>
      </c>
      <c r="B36" s="13" t="s">
        <v>214</v>
      </c>
      <c r="C36" s="13" t="s">
        <v>130</v>
      </c>
      <c r="D36" s="13" t="s">
        <v>122</v>
      </c>
      <c r="E36" s="3">
        <f>SUMIF(Quantitytable[Dish],receipetable[[#This Row],[Recipe Name]],Quantitytable[Cost Per Dish Per Item])</f>
        <v>24.248901098901101</v>
      </c>
      <c r="F36" s="3">
        <v>3</v>
      </c>
      <c r="G36" s="3">
        <v>60</v>
      </c>
      <c r="H36" s="3">
        <f>receipetable[[#This Row],[Cost of Making]]+receipetable[[#This Row],[PKG Cst]]</f>
        <v>27.248901098901101</v>
      </c>
      <c r="I36" s="3">
        <v>90</v>
      </c>
      <c r="J36" s="3">
        <f>receipetable[[#This Row],[Our Prizing]]-receipetable[[#This Row],[Cost of Making]]-(receipetable[[#This Row],[Our Prizing]]*0.27)-receipetable[[#This Row],[Other Charges]]</f>
        <v>39.451098901098902</v>
      </c>
      <c r="K36" s="17">
        <f>(receipetable[[#This Row],[Our Prizing]]-receipetable[[#This Row],[Cost of Making]]-receipetable[[#This Row],[Other Charges]]-(receipetable[[#This Row],[Our Prizing]]*0.27))/receipetable[[#This Row],[Cost of Making]]</f>
        <v>1.6269231640722361</v>
      </c>
      <c r="L36" s="3">
        <v>2</v>
      </c>
      <c r="U36" s="9" t="s">
        <v>134</v>
      </c>
      <c r="V36">
        <v>29.438743535138425</v>
      </c>
      <c r="W36">
        <v>32.438743535138428</v>
      </c>
      <c r="X36">
        <v>250</v>
      </c>
    </row>
    <row r="37" spans="1:24" x14ac:dyDescent="0.25">
      <c r="A37" s="13">
        <v>31</v>
      </c>
      <c r="B37" s="13" t="s">
        <v>215</v>
      </c>
      <c r="C37" s="13" t="s">
        <v>130</v>
      </c>
      <c r="D37" s="13" t="s">
        <v>122</v>
      </c>
      <c r="E37" s="3">
        <f>SUMIF(Quantitytable[Dish],receipetable[[#This Row],[Recipe Name]],Quantitytable[Cost Per Dish Per Item])</f>
        <v>15.634615384615385</v>
      </c>
      <c r="F37" s="3">
        <v>3</v>
      </c>
      <c r="G37" s="3">
        <v>60</v>
      </c>
      <c r="H37" s="3">
        <f>receipetable[[#This Row],[Cost of Making]]+receipetable[[#This Row],[PKG Cst]]</f>
        <v>18.634615384615387</v>
      </c>
      <c r="I37" s="3">
        <v>60</v>
      </c>
      <c r="J37" s="3">
        <f>receipetable[[#This Row],[Our Prizing]]-receipetable[[#This Row],[Cost of Making]]-(receipetable[[#This Row],[Our Prizing]]*0.27)-receipetable[[#This Row],[Other Charges]]</f>
        <v>26.16538461538461</v>
      </c>
      <c r="K37" s="17">
        <f>(receipetable[[#This Row],[Our Prizing]]-receipetable[[#This Row],[Cost of Making]]-receipetable[[#This Row],[Other Charges]]-(receipetable[[#This Row],[Our Prizing]]*0.27))/receipetable[[#This Row],[Cost of Making]]</f>
        <v>1.673554735547355</v>
      </c>
      <c r="L37" s="3">
        <v>2</v>
      </c>
      <c r="U37" s="9" t="s">
        <v>215</v>
      </c>
      <c r="V37">
        <v>15.634615384615385</v>
      </c>
      <c r="W37">
        <v>18.634615384615387</v>
      </c>
      <c r="X37">
        <v>60</v>
      </c>
    </row>
    <row r="38" spans="1:24" x14ac:dyDescent="0.25">
      <c r="A38" s="13">
        <v>32</v>
      </c>
      <c r="B38" s="13" t="s">
        <v>238</v>
      </c>
      <c r="C38" s="13" t="s">
        <v>121</v>
      </c>
      <c r="D38" s="13" t="s">
        <v>125</v>
      </c>
      <c r="E38" s="3">
        <f>SUMIF(Quantitytable[Dish],receipetable[[#This Row],[Recipe Name]],Quantitytable[Cost Per Dish Per Item])</f>
        <v>29.540567765567765</v>
      </c>
      <c r="F38" s="3">
        <v>5</v>
      </c>
      <c r="G38" s="3">
        <v>80</v>
      </c>
      <c r="H38" s="3">
        <f>receipetable[[#This Row],[Cost of Making]]+receipetable[[#This Row],[PKG Cst]]</f>
        <v>34.540567765567765</v>
      </c>
      <c r="I38" s="3">
        <v>85</v>
      </c>
      <c r="J38" s="3">
        <f>receipetable[[#This Row],[Our Prizing]]-receipetable[[#This Row],[Cost of Making]]-(receipetable[[#This Row],[Our Prizing]]*0.27)-receipetable[[#This Row],[Other Charges]]</f>
        <v>30.509432234432232</v>
      </c>
      <c r="K38" s="17">
        <f>(receipetable[[#This Row],[Our Prizing]]-receipetable[[#This Row],[Cost of Making]]-receipetable[[#This Row],[Other Charges]]-(receipetable[[#This Row],[Our Prizing]]*0.27))/receipetable[[#This Row],[Cost of Making]]</f>
        <v>1.0327977605763476</v>
      </c>
      <c r="L38" s="3">
        <v>2</v>
      </c>
      <c r="U38" s="9" t="s">
        <v>156</v>
      </c>
      <c r="V38">
        <v>17.842073809080354</v>
      </c>
      <c r="W38">
        <v>20.842073809080354</v>
      </c>
      <c r="X38">
        <v>65</v>
      </c>
    </row>
    <row r="39" spans="1:24" x14ac:dyDescent="0.25">
      <c r="A39" s="13">
        <v>33</v>
      </c>
      <c r="B39" s="13" t="s">
        <v>250</v>
      </c>
      <c r="C39" s="13" t="s">
        <v>130</v>
      </c>
      <c r="D39" s="13" t="s">
        <v>125</v>
      </c>
      <c r="E39" s="3">
        <f>SUMIF(Quantitytable[Dish],receipetable[[#This Row],[Recipe Name]],Quantitytable[Cost Per Dish Per Item])</f>
        <v>12.344285714285714</v>
      </c>
      <c r="F39" s="3">
        <v>5</v>
      </c>
      <c r="G39" s="3">
        <v>69</v>
      </c>
      <c r="H39" s="3">
        <f>receipetable[[#This Row],[Cost of Making]]+receipetable[[#This Row],[PKG Cst]]</f>
        <v>17.344285714285714</v>
      </c>
      <c r="I39" s="3">
        <v>50</v>
      </c>
      <c r="J39" s="3">
        <f>receipetable[[#This Row],[Our Prizing]]-receipetable[[#This Row],[Cost of Making]]-(receipetable[[#This Row],[Our Prizing]]*0.27)-receipetable[[#This Row],[Other Charges]]</f>
        <v>22.155714285714282</v>
      </c>
      <c r="K39" s="17">
        <f>(receipetable[[#This Row],[Our Prizing]]-receipetable[[#This Row],[Cost of Making]]-receipetable[[#This Row],[Other Charges]]-(receipetable[[#This Row],[Our Prizing]]*0.27))/receipetable[[#This Row],[Cost of Making]]</f>
        <v>1.7948154148825364</v>
      </c>
      <c r="L39" s="3">
        <v>2</v>
      </c>
      <c r="U39" s="9" t="s">
        <v>67</v>
      </c>
      <c r="V39">
        <v>8.1</v>
      </c>
      <c r="W39">
        <v>11.1</v>
      </c>
      <c r="X39">
        <v>32</v>
      </c>
    </row>
    <row r="40" spans="1:24" x14ac:dyDescent="0.25">
      <c r="A40" s="13">
        <v>34</v>
      </c>
      <c r="B40" s="13" t="s">
        <v>253</v>
      </c>
      <c r="C40" s="13" t="s">
        <v>129</v>
      </c>
      <c r="D40" s="13" t="s">
        <v>125</v>
      </c>
      <c r="E40" s="3">
        <f>SUMIF(Quantitytable[Dish],receipetable[[#This Row],[Recipe Name]],Quantitytable[Cost Per Dish Per Item])</f>
        <v>29.576893939393941</v>
      </c>
      <c r="F40" s="3">
        <v>5</v>
      </c>
      <c r="G40" s="3">
        <v>90</v>
      </c>
      <c r="H40" s="3">
        <f>receipetable[[#This Row],[Cost of Making]]+receipetable[[#This Row],[PKG Cst]]</f>
        <v>34.576893939393941</v>
      </c>
      <c r="I40" s="3">
        <v>105</v>
      </c>
      <c r="J40" s="3">
        <f>receipetable[[#This Row],[Our Prizing]]-receipetable[[#This Row],[Cost of Making]]-(receipetable[[#This Row],[Our Prizing]]*0.27)-receipetable[[#This Row],[Other Charges]]</f>
        <v>45.073106060606058</v>
      </c>
      <c r="K40" s="17">
        <f>(receipetable[[#This Row],[Our Prizing]]-receipetable[[#This Row],[Cost of Making]]-receipetable[[#This Row],[Other Charges]]-(receipetable[[#This Row],[Our Prizing]]*0.27))/receipetable[[#This Row],[Cost of Making]]</f>
        <v>1.5239296645876821</v>
      </c>
      <c r="L40" s="3">
        <v>2</v>
      </c>
      <c r="U40" s="9" t="s">
        <v>548</v>
      </c>
      <c r="V40">
        <v>12.991758241758243</v>
      </c>
      <c r="W40">
        <v>15.991758241758243</v>
      </c>
      <c r="X40">
        <v>48</v>
      </c>
    </row>
    <row r="41" spans="1:24" x14ac:dyDescent="0.25">
      <c r="A41" s="13">
        <v>35</v>
      </c>
      <c r="B41" s="13" t="s">
        <v>254</v>
      </c>
      <c r="C41" s="13" t="s">
        <v>129</v>
      </c>
      <c r="D41" s="13" t="s">
        <v>125</v>
      </c>
      <c r="E41" s="3">
        <f>SUMIF(Quantitytable[Dish],receipetable[[#This Row],[Recipe Name]],Quantitytable[Cost Per Dish Per Item])</f>
        <v>37.6</v>
      </c>
      <c r="F41" s="3">
        <v>5</v>
      </c>
      <c r="G41" s="3">
        <v>100</v>
      </c>
      <c r="H41" s="3">
        <f>receipetable[[#This Row],[Cost of Making]]+receipetable[[#This Row],[PKG Cst]]</f>
        <v>42.6</v>
      </c>
      <c r="I41" s="3">
        <v>68</v>
      </c>
      <c r="J41" s="3">
        <f>receipetable[[#This Row],[Our Prizing]]-receipetable[[#This Row],[Cost of Making]]-(receipetable[[#This Row],[Our Prizing]]*0.27)-receipetable[[#This Row],[Other Charges]]</f>
        <v>10.039999999999999</v>
      </c>
      <c r="K41" s="17">
        <f>(receipetable[[#This Row],[Our Prizing]]-receipetable[[#This Row],[Cost of Making]]-receipetable[[#This Row],[Other Charges]]-(receipetable[[#This Row],[Our Prizing]]*0.27))/receipetable[[#This Row],[Cost of Making]]</f>
        <v>0.26702127659574465</v>
      </c>
      <c r="L41" s="3">
        <v>2</v>
      </c>
      <c r="U41" s="9" t="s">
        <v>563</v>
      </c>
      <c r="V41">
        <v>63.027049535155214</v>
      </c>
      <c r="W41">
        <v>68.027049535155214</v>
      </c>
      <c r="X41">
        <v>220</v>
      </c>
    </row>
    <row r="42" spans="1:24" x14ac:dyDescent="0.25">
      <c r="A42" s="13">
        <v>36</v>
      </c>
      <c r="B42" s="13" t="s">
        <v>311</v>
      </c>
      <c r="C42" s="13" t="s">
        <v>136</v>
      </c>
      <c r="D42" s="13" t="s">
        <v>122</v>
      </c>
      <c r="E42" s="3">
        <f>SUMIF(Quantitytable[Dish],receipetable[[#This Row],[Recipe Name]],Quantitytable[Cost Per Dish Per Item])</f>
        <v>7</v>
      </c>
      <c r="F42" s="3">
        <v>3</v>
      </c>
      <c r="G42" s="3">
        <v>20</v>
      </c>
      <c r="H42" s="3">
        <f>receipetable[[#This Row],[Cost of Making]]+receipetable[[#This Row],[PKG Cst]]</f>
        <v>10</v>
      </c>
      <c r="I42" s="3">
        <v>22</v>
      </c>
      <c r="J42" s="3">
        <f>receipetable[[#This Row],[Our Prizing]]-receipetable[[#This Row],[Cost of Making]]-(receipetable[[#This Row],[Our Prizing]]*0.27)-receipetable[[#This Row],[Other Charges]]</f>
        <v>7.0599999999999987</v>
      </c>
      <c r="K42" s="17">
        <f>(receipetable[[#This Row],[Our Prizing]]-receipetable[[#This Row],[Cost of Making]]-receipetable[[#This Row],[Other Charges]]-(receipetable[[#This Row],[Our Prizing]]*0.27))/receipetable[[#This Row],[Cost of Making]]</f>
        <v>1.0085714285714285</v>
      </c>
      <c r="L42" s="3">
        <v>2</v>
      </c>
      <c r="U42" s="9" t="s">
        <v>564</v>
      </c>
      <c r="V42">
        <v>35.383516483516487</v>
      </c>
      <c r="W42">
        <v>38.383516483516487</v>
      </c>
      <c r="X42">
        <v>125</v>
      </c>
    </row>
    <row r="43" spans="1:24" x14ac:dyDescent="0.25">
      <c r="A43" s="13">
        <v>37</v>
      </c>
      <c r="B43" s="13" t="s">
        <v>435</v>
      </c>
      <c r="C43" s="13" t="s">
        <v>436</v>
      </c>
      <c r="D43" s="13" t="s">
        <v>125</v>
      </c>
      <c r="E43" s="3">
        <f>SUMIF(Quantitytable[Dish],receipetable[[#This Row],[Recipe Name]],Quantitytable[Cost Per Dish Per Item])</f>
        <v>24.548901098901101</v>
      </c>
      <c r="F43" s="3">
        <v>5</v>
      </c>
      <c r="G43" s="3">
        <v>100</v>
      </c>
      <c r="H43" s="3">
        <f>receipetable[[#This Row],[Cost of Making]]+receipetable[[#This Row],[PKG Cst]]</f>
        <v>29.548901098901101</v>
      </c>
      <c r="I43" s="3">
        <v>90</v>
      </c>
      <c r="J43" s="3">
        <f>receipetable[[#This Row],[Our Prizing]]-receipetable[[#This Row],[Cost of Making]]-(receipetable[[#This Row],[Our Prizing]]*0.27)-receipetable[[#This Row],[Other Charges]]</f>
        <v>39.151098901098905</v>
      </c>
      <c r="K43" s="17">
        <f>(receipetable[[#This Row],[Our Prizing]]-receipetable[[#This Row],[Cost of Making]]-receipetable[[#This Row],[Other Charges]]-(receipetable[[#This Row],[Our Prizing]]*0.27))/receipetable[[#This Row],[Cost of Making]]</f>
        <v>1.5948208330535598</v>
      </c>
      <c r="L43" s="3">
        <v>2</v>
      </c>
      <c r="U43" s="9" t="s">
        <v>565</v>
      </c>
      <c r="V43">
        <v>27.297516483516485</v>
      </c>
      <c r="W43">
        <v>32.297516483516489</v>
      </c>
      <c r="X43">
        <v>96</v>
      </c>
    </row>
    <row r="44" spans="1:24" x14ac:dyDescent="0.25">
      <c r="A44" s="13">
        <v>38</v>
      </c>
      <c r="B44" s="13" t="s">
        <v>67</v>
      </c>
      <c r="C44" s="13" t="s">
        <v>130</v>
      </c>
      <c r="D44" s="13" t="s">
        <v>122</v>
      </c>
      <c r="E44" s="3">
        <f>SUMIF(Quantitytable[Dish],receipetable[[#This Row],[Recipe Name]],Quantitytable[Cost Per Dish Per Item])</f>
        <v>8.1</v>
      </c>
      <c r="F44" s="3">
        <v>3</v>
      </c>
      <c r="G44" s="3">
        <v>100</v>
      </c>
      <c r="H44" s="3">
        <f>receipetable[[#This Row],[Cost of Making]]+receipetable[[#This Row],[PKG Cst]]</f>
        <v>11.1</v>
      </c>
      <c r="I44" s="3">
        <v>32</v>
      </c>
      <c r="J44" s="3">
        <f>receipetable[[#This Row],[Our Prizing]]-receipetable[[#This Row],[Cost of Making]]-(receipetable[[#This Row],[Our Prizing]]*0.27)-receipetable[[#This Row],[Other Charges]]</f>
        <v>13.259999999999998</v>
      </c>
      <c r="K44" s="17">
        <f>(receipetable[[#This Row],[Our Prizing]]-receipetable[[#This Row],[Cost of Making]]-receipetable[[#This Row],[Other Charges]]-(receipetable[[#This Row],[Our Prizing]]*0.27))/receipetable[[#This Row],[Cost of Making]]</f>
        <v>1.6370370370370368</v>
      </c>
      <c r="L44" s="3">
        <v>2</v>
      </c>
      <c r="U44" s="9" t="s">
        <v>581</v>
      </c>
      <c r="V44">
        <v>22.2</v>
      </c>
      <c r="W44">
        <v>25.2</v>
      </c>
      <c r="X44">
        <v>280</v>
      </c>
    </row>
    <row r="45" spans="1:24" x14ac:dyDescent="0.25">
      <c r="A45" s="13">
        <v>39</v>
      </c>
      <c r="B45" s="13" t="s">
        <v>581</v>
      </c>
      <c r="C45" s="13" t="s">
        <v>124</v>
      </c>
      <c r="D45" s="13" t="s">
        <v>125</v>
      </c>
      <c r="E45" s="3">
        <f>SUMIF(Quantitytable[Dish],receipetable[[#This Row],[Recipe Name]],Quantitytable[Cost Per Dish Per Item])</f>
        <v>44.4</v>
      </c>
      <c r="F45" s="3">
        <v>3</v>
      </c>
      <c r="G45" s="3">
        <v>300</v>
      </c>
      <c r="H45" s="3">
        <f>receipetable[[#This Row],[Cost of Making]]+receipetable[[#This Row],[PKG Cst]]</f>
        <v>47.4</v>
      </c>
      <c r="I45" s="3">
        <v>280</v>
      </c>
      <c r="J45" s="3">
        <f>receipetable[[#This Row],[Our Prizing]]-receipetable[[#This Row],[Cost of Making]]-(receipetable[[#This Row],[Our Prizing]]*0.27)-receipetable[[#This Row],[Other Charges]]</f>
        <v>158</v>
      </c>
      <c r="K45" s="17">
        <f>(receipetable[[#This Row],[Our Prizing]]-receipetable[[#This Row],[Cost of Making]]-receipetable[[#This Row],[Other Charges]]-(receipetable[[#This Row],[Our Prizing]]*0.27))/receipetable[[#This Row],[Cost of Making]]</f>
        <v>3.5585585585585586</v>
      </c>
      <c r="L45" s="3">
        <v>2</v>
      </c>
      <c r="U45" s="9" t="s">
        <v>582</v>
      </c>
      <c r="V45">
        <v>5.9619999999999997</v>
      </c>
      <c r="W45">
        <v>15.962</v>
      </c>
      <c r="X45">
        <v>22</v>
      </c>
    </row>
    <row r="46" spans="1:24" x14ac:dyDescent="0.25">
      <c r="A46" s="13">
        <v>40</v>
      </c>
      <c r="B46" s="13" t="s">
        <v>123</v>
      </c>
      <c r="C46" s="13" t="s">
        <v>124</v>
      </c>
      <c r="D46" s="13" t="s">
        <v>125</v>
      </c>
      <c r="E46" s="3">
        <f>SUMIF(Quantitytable[Dish],receipetable[[#This Row],[Recipe Name]],Quantitytable[Cost Per Dish Per Item])</f>
        <v>32.702793627664015</v>
      </c>
      <c r="F46" s="3">
        <v>5</v>
      </c>
      <c r="G46" s="3">
        <v>110</v>
      </c>
      <c r="H46" s="3">
        <f>receipetable[[#This Row],[Cost of Making]]+receipetable[[#This Row],[PKG Cst]]</f>
        <v>37.702793627664015</v>
      </c>
      <c r="I46" s="3">
        <v>115</v>
      </c>
      <c r="J46" s="3">
        <f>receipetable[[#This Row],[Our Prizing]]-receipetable[[#This Row],[Cost of Making]]-(receipetable[[#This Row],[Our Prizing]]*0.27)-receipetable[[#This Row],[Other Charges]]</f>
        <v>49.247206372335981</v>
      </c>
      <c r="K46" s="17">
        <f>(receipetable[[#This Row],[Our Prizing]]-receipetable[[#This Row],[Cost of Making]]-receipetable[[#This Row],[Other Charges]]-(receipetable[[#This Row],[Our Prizing]]*0.27))/receipetable[[#This Row],[Cost of Making]]</f>
        <v>1.5059021236239793</v>
      </c>
      <c r="L46" s="3">
        <v>2</v>
      </c>
      <c r="U46" s="9" t="s">
        <v>586</v>
      </c>
      <c r="V46">
        <v>10.75</v>
      </c>
      <c r="W46">
        <v>13.75</v>
      </c>
      <c r="X46">
        <v>40</v>
      </c>
    </row>
    <row r="47" spans="1:24" x14ac:dyDescent="0.25">
      <c r="A47" s="13">
        <v>41</v>
      </c>
      <c r="B47" s="13" t="s">
        <v>128</v>
      </c>
      <c r="C47" s="13" t="s">
        <v>129</v>
      </c>
      <c r="D47" s="13" t="s">
        <v>125</v>
      </c>
      <c r="E47" s="3">
        <f>SUMIF(Quantitytable[Dish],receipetable[[#This Row],[Recipe Name]],Quantitytable[Cost Per Dish Per Item])</f>
        <v>17.162901098901099</v>
      </c>
      <c r="F47" s="3">
        <v>5</v>
      </c>
      <c r="G47" s="3">
        <v>100</v>
      </c>
      <c r="H47" s="3">
        <f>receipetable[[#This Row],[Cost of Making]]+receipetable[[#This Row],[PKG Cst]]</f>
        <v>22.162901098901099</v>
      </c>
      <c r="I47" s="3">
        <v>62</v>
      </c>
      <c r="J47" s="3">
        <f>receipetable[[#This Row],[Our Prizing]]-receipetable[[#This Row],[Cost of Making]]-(receipetable[[#This Row],[Our Prizing]]*0.27)-receipetable[[#This Row],[Other Charges]]</f>
        <v>26.097098901098896</v>
      </c>
      <c r="K47" s="17">
        <f>(receipetable[[#This Row],[Our Prizing]]-receipetable[[#This Row],[Cost of Making]]-receipetable[[#This Row],[Other Charges]]-(receipetable[[#This Row],[Our Prizing]]*0.27))/receipetable[[#This Row],[Cost of Making]]</f>
        <v>1.5205528920031959</v>
      </c>
      <c r="L47" s="3">
        <v>2</v>
      </c>
      <c r="U47" s="9" t="s">
        <v>583</v>
      </c>
      <c r="V47">
        <v>20.25</v>
      </c>
      <c r="W47">
        <v>25.25</v>
      </c>
      <c r="X47">
        <v>70</v>
      </c>
    </row>
    <row r="48" spans="1:24" x14ac:dyDescent="0.25">
      <c r="A48" s="13">
        <v>42</v>
      </c>
      <c r="B48" s="13" t="s">
        <v>126</v>
      </c>
      <c r="C48" s="13" t="s">
        <v>121</v>
      </c>
      <c r="D48" s="13" t="s">
        <v>122</v>
      </c>
      <c r="E48" s="3">
        <f>SUMIF(Quantitytable[Dish],receipetable[[#This Row],[Recipe Name]],Quantitytable[Cost Per Dish Per Item])</f>
        <v>25.248901098901101</v>
      </c>
      <c r="F48" s="3">
        <v>3</v>
      </c>
      <c r="G48" s="3">
        <v>100</v>
      </c>
      <c r="H48" s="3">
        <f>receipetable[[#This Row],[Cost of Making]]+receipetable[[#This Row],[PKG Cst]]</f>
        <v>28.248901098901101</v>
      </c>
      <c r="I48" s="3">
        <v>90</v>
      </c>
      <c r="J48" s="3">
        <f>receipetable[[#This Row],[Our Prizing]]-receipetable[[#This Row],[Cost of Making]]-(receipetable[[#This Row],[Our Prizing]]*0.27)-receipetable[[#This Row],[Other Charges]]</f>
        <v>38.451098901098902</v>
      </c>
      <c r="K48" s="17">
        <f>(receipetable[[#This Row],[Our Prizing]]-receipetable[[#This Row],[Cost of Making]]-receipetable[[#This Row],[Other Charges]]-(receipetable[[#This Row],[Our Prizing]]*0.27))/receipetable[[#This Row],[Cost of Making]]</f>
        <v>1.5228820751637542</v>
      </c>
      <c r="L48" s="3">
        <v>2</v>
      </c>
      <c r="U48" s="9" t="s">
        <v>584</v>
      </c>
      <c r="V48">
        <v>29.75</v>
      </c>
      <c r="W48">
        <v>32.75</v>
      </c>
      <c r="X48">
        <v>105</v>
      </c>
    </row>
    <row r="49" spans="1:24" x14ac:dyDescent="0.25">
      <c r="A49" s="13">
        <v>43</v>
      </c>
      <c r="B49" s="13" t="s">
        <v>600</v>
      </c>
      <c r="C49" s="13" t="s">
        <v>124</v>
      </c>
      <c r="D49" s="13" t="s">
        <v>125</v>
      </c>
      <c r="E49" s="3">
        <f>SUMIF(Quantitytable[Dish],receipetable[[#This Row],[Recipe Name]],Quantitytable[Cost Per Dish Per Item])</f>
        <v>138.15106936416186</v>
      </c>
      <c r="F49" s="3">
        <v>4</v>
      </c>
      <c r="G49" s="3"/>
      <c r="H49" s="3">
        <f>receipetable[[#This Row],[Cost of Making]]+receipetable[[#This Row],[PKG Cst]]</f>
        <v>142.15106936416186</v>
      </c>
      <c r="I49" s="3">
        <v>750</v>
      </c>
      <c r="J49" s="3">
        <f>receipetable[[#This Row],[Our Prizing]]-receipetable[[#This Row],[Cost of Making]]-(receipetable[[#This Row],[Our Prizing]]*0.27)-receipetable[[#This Row],[Other Charges]]</f>
        <v>407.34893063583809</v>
      </c>
      <c r="K49" s="17">
        <f>(receipetable[[#This Row],[Our Prizing]]-receipetable[[#This Row],[Cost of Making]]-receipetable[[#This Row],[Other Charges]]-(receipetable[[#This Row],[Our Prizing]]*0.27))/receipetable[[#This Row],[Cost of Making]]</f>
        <v>2.9485760226877376</v>
      </c>
      <c r="L49" s="3">
        <v>2</v>
      </c>
      <c r="U49" s="9" t="s">
        <v>394</v>
      </c>
      <c r="V49">
        <v>892.52180345000136</v>
      </c>
      <c r="W49">
        <v>1055.5218034500012</v>
      </c>
      <c r="X49">
        <v>3792</v>
      </c>
    </row>
    <row r="50" spans="1:24" x14ac:dyDescent="0.25">
      <c r="A50" s="13">
        <v>45</v>
      </c>
      <c r="B50" s="13" t="s">
        <v>602</v>
      </c>
      <c r="C50" s="13" t="s">
        <v>587</v>
      </c>
      <c r="D50" s="13" t="s">
        <v>125</v>
      </c>
      <c r="E50" s="3">
        <f>SUMIF(Quantitytable[Dish],receipetable[[#This Row],[Recipe Name]],Quantitytable[Cost Per Dish Per Item])</f>
        <v>20.518214285714286</v>
      </c>
      <c r="F50" s="3">
        <v>4</v>
      </c>
      <c r="G50" s="3">
        <v>110</v>
      </c>
      <c r="H50" s="3">
        <f>receipetable[[#This Row],[Cost of Making]]+receipetable[[#This Row],[PKG Cst]]</f>
        <v>24.518214285714286</v>
      </c>
      <c r="I50" s="3">
        <v>73</v>
      </c>
      <c r="J50" s="3">
        <f>receipetable[[#This Row],[Our Prizing]]-receipetable[[#This Row],[Cost of Making]]-(receipetable[[#This Row],[Our Prizing]]*0.27)-receipetable[[#This Row],[Other Charges]]</f>
        <v>30.771785714285713</v>
      </c>
      <c r="K50" s="17">
        <f>(receipetable[[#This Row],[Our Prizing]]-receipetable[[#This Row],[Cost of Making]]-receipetable[[#This Row],[Other Charges]]-(receipetable[[#This Row],[Our Prizing]]*0.27))/receipetable[[#This Row],[Cost of Making]]</f>
        <v>1.4997302048702372</v>
      </c>
      <c r="L50" s="3">
        <v>2</v>
      </c>
    </row>
    <row r="51" spans="1:24" x14ac:dyDescent="0.25">
      <c r="A51" s="13">
        <v>46</v>
      </c>
      <c r="B51" s="13" t="s">
        <v>603</v>
      </c>
      <c r="C51" s="13" t="s">
        <v>588</v>
      </c>
      <c r="D51" s="13" t="s">
        <v>125</v>
      </c>
      <c r="E51" s="3">
        <f>SUMIF(Quantitytable[Dish],receipetable[[#This Row],[Recipe Name]],Quantitytable[Cost Per Dish Per Item])</f>
        <v>43.22155125892165</v>
      </c>
      <c r="F51" s="3">
        <v>4</v>
      </c>
      <c r="G51" s="3">
        <v>75</v>
      </c>
      <c r="H51" s="3">
        <f>receipetable[[#This Row],[Cost of Making]]+receipetable[[#This Row],[PKG Cst]]</f>
        <v>47.22155125892165</v>
      </c>
      <c r="I51" s="3">
        <v>152</v>
      </c>
      <c r="J51" s="3">
        <f>receipetable[[#This Row],[Our Prizing]]-receipetable[[#This Row],[Cost of Making]]-(receipetable[[#This Row],[Our Prizing]]*0.27)-receipetable[[#This Row],[Other Charges]]</f>
        <v>65.738448741078344</v>
      </c>
      <c r="K51" s="17">
        <f>(receipetable[[#This Row],[Our Prizing]]-receipetable[[#This Row],[Cost of Making]]-receipetable[[#This Row],[Other Charges]]-(receipetable[[#This Row],[Our Prizing]]*0.27))/receipetable[[#This Row],[Cost of Making]]</f>
        <v>1.5209645842479758</v>
      </c>
      <c r="L51" s="3">
        <v>2</v>
      </c>
    </row>
    <row r="52" spans="1:24" x14ac:dyDescent="0.25">
      <c r="A52" s="13">
        <v>47</v>
      </c>
      <c r="B52" s="13" t="s">
        <v>604</v>
      </c>
      <c r="C52" s="13" t="s">
        <v>589</v>
      </c>
      <c r="D52" s="13" t="s">
        <v>125</v>
      </c>
      <c r="E52" s="3">
        <f>SUMIF(Quantitytable[Dish],receipetable[[#This Row],[Recipe Name]],Quantitytable[Cost Per Dish Per Item])</f>
        <v>26.426785714285714</v>
      </c>
      <c r="F52" s="3">
        <v>4</v>
      </c>
      <c r="G52" s="3">
        <v>100</v>
      </c>
      <c r="H52" s="3">
        <f>receipetable[[#This Row],[Cost of Making]]+receipetable[[#This Row],[PKG Cst]]</f>
        <v>30.426785714285714</v>
      </c>
      <c r="I52" s="3">
        <v>94</v>
      </c>
      <c r="J52" s="3">
        <f>receipetable[[#This Row],[Our Prizing]]-receipetable[[#This Row],[Cost of Making]]-(receipetable[[#This Row],[Our Prizing]]*0.27)-receipetable[[#This Row],[Other Charges]]</f>
        <v>40.193214285714284</v>
      </c>
      <c r="K52" s="17">
        <f>(receipetable[[#This Row],[Our Prizing]]-receipetable[[#This Row],[Cost of Making]]-receipetable[[#This Row],[Other Charges]]-(receipetable[[#This Row],[Our Prizing]]*0.27))/receipetable[[#This Row],[Cost of Making]]</f>
        <v>1.5209270896682208</v>
      </c>
      <c r="L52" s="3">
        <v>2</v>
      </c>
    </row>
    <row r="53" spans="1:24" x14ac:dyDescent="0.25">
      <c r="A53" s="13">
        <v>48</v>
      </c>
      <c r="B53" s="13" t="s">
        <v>605</v>
      </c>
      <c r="C53" s="13" t="s">
        <v>140</v>
      </c>
      <c r="D53" s="13" t="s">
        <v>125</v>
      </c>
      <c r="E53" s="3">
        <f>SUMIF(Quantitytable[Dish],receipetable[[#This Row],[Recipe Name]],Quantitytable[Cost Per Dish Per Item])</f>
        <v>20.340785714285715</v>
      </c>
      <c r="F53" s="3">
        <v>4</v>
      </c>
      <c r="G53" s="3">
        <v>45</v>
      </c>
      <c r="H53" s="3">
        <f>receipetable[[#This Row],[Cost of Making]]+receipetable[[#This Row],[PKG Cst]]</f>
        <v>24.340785714285715</v>
      </c>
      <c r="I53" s="35">
        <v>75</v>
      </c>
      <c r="J53" s="3">
        <f>receipetable[[#This Row],[Our Prizing]]-receipetable[[#This Row],[Cost of Making]]-(receipetable[[#This Row],[Our Prizing]]*0.27)-receipetable[[#This Row],[Other Charges]]</f>
        <v>32.409214285714285</v>
      </c>
      <c r="K53" s="17">
        <f>(receipetable[[#This Row],[Our Prizing]]-receipetable[[#This Row],[Cost of Making]]-receipetable[[#This Row],[Other Charges]]-(receipetable[[#This Row],[Our Prizing]]*0.27))/receipetable[[#This Row],[Cost of Making]]</f>
        <v>1.5933118189703304</v>
      </c>
      <c r="L53" s="3">
        <v>2</v>
      </c>
    </row>
    <row r="54" spans="1:24" x14ac:dyDescent="0.25">
      <c r="A54" s="13">
        <v>49</v>
      </c>
      <c r="B54" s="13" t="s">
        <v>606</v>
      </c>
      <c r="C54" s="13" t="s">
        <v>590</v>
      </c>
      <c r="D54" s="13" t="s">
        <v>125</v>
      </c>
      <c r="E54" s="3">
        <f>SUMIF(Quantitytable[Dish],receipetable[[#This Row],[Recipe Name]],Quantitytable[Cost Per Dish Per Item])</f>
        <v>16.169642857142858</v>
      </c>
      <c r="F54" s="3">
        <v>4</v>
      </c>
      <c r="G54" s="3">
        <v>110</v>
      </c>
      <c r="H54" s="3">
        <f>receipetable[[#This Row],[Cost of Making]]+receipetable[[#This Row],[PKG Cst]]</f>
        <v>20.169642857142858</v>
      </c>
      <c r="I54" s="3">
        <v>190</v>
      </c>
      <c r="J54" s="3">
        <f>receipetable[[#This Row],[Our Prizing]]-receipetable[[#This Row],[Cost of Making]]-(receipetable[[#This Row],[Our Prizing]]*0.27)-receipetable[[#This Row],[Other Charges]]</f>
        <v>120.53035714285713</v>
      </c>
      <c r="K54" s="17">
        <f>(receipetable[[#This Row],[Our Prizing]]-receipetable[[#This Row],[Cost of Making]]-receipetable[[#This Row],[Other Charges]]-(receipetable[[#This Row],[Our Prizing]]*0.27))/receipetable[[#This Row],[Cost of Making]]</f>
        <v>7.454113749309772</v>
      </c>
      <c r="L54" s="3">
        <v>2</v>
      </c>
    </row>
    <row r="55" spans="1:24" x14ac:dyDescent="0.25">
      <c r="A55" s="13">
        <v>50</v>
      </c>
      <c r="B55" s="13" t="s">
        <v>607</v>
      </c>
      <c r="C55" s="13" t="s">
        <v>591</v>
      </c>
      <c r="D55" s="13" t="s">
        <v>125</v>
      </c>
      <c r="E55" s="3">
        <f>SUMIF(Quantitytable[Dish],receipetable[[#This Row],[Recipe Name]],Quantitytable[Cost Per Dish Per Item])</f>
        <v>15.026785714285714</v>
      </c>
      <c r="F55" s="3">
        <v>4</v>
      </c>
      <c r="G55" s="3">
        <v>50</v>
      </c>
      <c r="H55" s="3">
        <f>receipetable[[#This Row],[Cost of Making]]+receipetable[[#This Row],[PKG Cst]]</f>
        <v>19.026785714285715</v>
      </c>
      <c r="I55" s="3">
        <v>90</v>
      </c>
      <c r="J55" s="3">
        <f>receipetable[[#This Row],[Our Prizing]]-receipetable[[#This Row],[Cost of Making]]-(receipetable[[#This Row],[Our Prizing]]*0.27)-receipetable[[#This Row],[Other Charges]]</f>
        <v>48.673214285714295</v>
      </c>
      <c r="K55" s="17">
        <f>(receipetable[[#This Row],[Our Prizing]]-receipetable[[#This Row],[Cost of Making]]-receipetable[[#This Row],[Other Charges]]-(receipetable[[#This Row],[Our Prizing]]*0.27))/receipetable[[#This Row],[Cost of Making]]</f>
        <v>3.2390968508615576</v>
      </c>
      <c r="L55" s="3">
        <v>2</v>
      </c>
    </row>
    <row r="56" spans="1:24" x14ac:dyDescent="0.25">
      <c r="A56" s="13">
        <v>51</v>
      </c>
      <c r="B56" s="13" t="s">
        <v>608</v>
      </c>
      <c r="C56" s="13" t="s">
        <v>592</v>
      </c>
      <c r="D56" s="13" t="s">
        <v>125</v>
      </c>
      <c r="E56" s="3">
        <f>SUMIF(Quantitytable[Dish],receipetable[[#This Row],[Recipe Name]],Quantitytable[Cost Per Dish Per Item])</f>
        <v>22.352499999999999</v>
      </c>
      <c r="F56" s="3">
        <v>4</v>
      </c>
      <c r="G56" s="3">
        <v>90</v>
      </c>
      <c r="H56" s="3">
        <f>receipetable[[#This Row],[Cost of Making]]+receipetable[[#This Row],[PKG Cst]]</f>
        <v>26.352499999999999</v>
      </c>
      <c r="I56" s="3">
        <v>80</v>
      </c>
      <c r="J56" s="3">
        <f>receipetable[[#This Row],[Our Prizing]]-receipetable[[#This Row],[Cost of Making]]-(receipetable[[#This Row],[Our Prizing]]*0.27)-receipetable[[#This Row],[Other Charges]]</f>
        <v>34.047499999999999</v>
      </c>
      <c r="K56" s="17">
        <f>(receipetable[[#This Row],[Our Prizing]]-receipetable[[#This Row],[Cost of Making]]-receipetable[[#This Row],[Other Charges]]-(receipetable[[#This Row],[Our Prizing]]*0.27))/receipetable[[#This Row],[Cost of Making]]</f>
        <v>1.523207694888715</v>
      </c>
      <c r="L56" s="3">
        <v>2</v>
      </c>
    </row>
    <row r="57" spans="1:24" x14ac:dyDescent="0.25">
      <c r="A57" s="13">
        <v>52</v>
      </c>
      <c r="B57" s="13" t="s">
        <v>609</v>
      </c>
      <c r="C57" s="13" t="s">
        <v>593</v>
      </c>
      <c r="D57" s="13" t="s">
        <v>125</v>
      </c>
      <c r="E57" s="3">
        <f>SUMIF(Quantitytable[Dish],receipetable[[#This Row],[Recipe Name]],Quantitytable[Cost Per Dish Per Item])</f>
        <v>31.636855904211394</v>
      </c>
      <c r="F57" s="3">
        <v>4</v>
      </c>
      <c r="G57" s="3">
        <v>70</v>
      </c>
      <c r="H57" s="3">
        <f>receipetable[[#This Row],[Cost of Making]]+receipetable[[#This Row],[PKG Cst]]</f>
        <v>35.636855904211394</v>
      </c>
      <c r="I57" s="3">
        <v>70</v>
      </c>
      <c r="J57" s="3">
        <f>receipetable[[#This Row],[Our Prizing]]-receipetable[[#This Row],[Cost of Making]]-(receipetable[[#This Row],[Our Prizing]]*0.27)-receipetable[[#This Row],[Other Charges]]</f>
        <v>17.463144095788603</v>
      </c>
      <c r="K57" s="17">
        <f>(receipetable[[#This Row],[Our Prizing]]-receipetable[[#This Row],[Cost of Making]]-receipetable[[#This Row],[Other Charges]]-(receipetable[[#This Row],[Our Prizing]]*0.27))/receipetable[[#This Row],[Cost of Making]]</f>
        <v>0.55198734503399138</v>
      </c>
      <c r="L57" s="3">
        <v>2</v>
      </c>
    </row>
    <row r="58" spans="1:24" x14ac:dyDescent="0.25">
      <c r="A58" s="13">
        <v>53</v>
      </c>
      <c r="B58" s="13" t="s">
        <v>610</v>
      </c>
      <c r="C58" s="13" t="s">
        <v>594</v>
      </c>
      <c r="D58" s="13" t="s">
        <v>125</v>
      </c>
      <c r="E58" s="3">
        <f>SUMIF(Quantitytable[Dish],receipetable[[#This Row],[Recipe Name]],Quantitytable[Cost Per Dish Per Item])</f>
        <v>27.426785714285714</v>
      </c>
      <c r="F58" s="3">
        <v>4</v>
      </c>
      <c r="G58" s="3">
        <v>60</v>
      </c>
      <c r="H58" s="3">
        <f>receipetable[[#This Row],[Cost of Making]]+receipetable[[#This Row],[PKG Cst]]</f>
        <v>31.426785714285714</v>
      </c>
      <c r="I58" s="3">
        <v>102</v>
      </c>
      <c r="J58" s="3">
        <f>receipetable[[#This Row],[Our Prizing]]-receipetable[[#This Row],[Cost of Making]]-(receipetable[[#This Row],[Our Prizing]]*0.27)-receipetable[[#This Row],[Other Charges]]</f>
        <v>45.03321428571428</v>
      </c>
      <c r="K58" s="17">
        <f>(receipetable[[#This Row],[Our Prizing]]-receipetable[[#This Row],[Cost of Making]]-receipetable[[#This Row],[Other Charges]]-(receipetable[[#This Row],[Our Prizing]]*0.27))/receipetable[[#This Row],[Cost of Making]]</f>
        <v>1.6419428348199752</v>
      </c>
      <c r="L58" s="3">
        <v>2</v>
      </c>
    </row>
    <row r="59" spans="1:24" x14ac:dyDescent="0.25">
      <c r="A59" s="13">
        <v>54</v>
      </c>
      <c r="B59" s="13" t="s">
        <v>611</v>
      </c>
      <c r="C59" s="13" t="s">
        <v>595</v>
      </c>
      <c r="D59" s="13" t="s">
        <v>125</v>
      </c>
      <c r="E59" s="3">
        <f>SUMIF(Quantitytable[Dish],receipetable[[#This Row],[Recipe Name]],Quantitytable[Cost Per Dish Per Item])</f>
        <v>23.145833333333336</v>
      </c>
      <c r="F59" s="3">
        <v>4</v>
      </c>
      <c r="G59" s="3">
        <v>80</v>
      </c>
      <c r="H59" s="3">
        <f>receipetable[[#This Row],[Cost of Making]]+receipetable[[#This Row],[PKG Cst]]</f>
        <v>27.145833333333336</v>
      </c>
      <c r="I59" s="3">
        <v>125</v>
      </c>
      <c r="J59" s="3">
        <f>receipetable[[#This Row],[Our Prizing]]-receipetable[[#This Row],[Cost of Making]]-(receipetable[[#This Row],[Our Prizing]]*0.27)-receipetable[[#This Row],[Other Charges]]</f>
        <v>66.104166666666657</v>
      </c>
      <c r="K59" s="17">
        <f>(receipetable[[#This Row],[Our Prizing]]-receipetable[[#This Row],[Cost of Making]]-receipetable[[#This Row],[Other Charges]]-(receipetable[[#This Row],[Our Prizing]]*0.27))/receipetable[[#This Row],[Cost of Making]]</f>
        <v>2.8559855985598555</v>
      </c>
      <c r="L59" s="3">
        <v>2</v>
      </c>
    </row>
    <row r="60" spans="1:24" x14ac:dyDescent="0.25">
      <c r="A60" s="13">
        <v>55</v>
      </c>
      <c r="B60" s="13" t="s">
        <v>612</v>
      </c>
      <c r="C60" s="13" t="s">
        <v>596</v>
      </c>
      <c r="D60" s="13" t="s">
        <v>125</v>
      </c>
      <c r="E60" s="3">
        <f>SUMIF(Quantitytable[Dish],receipetable[[#This Row],[Recipe Name]],Quantitytable[Cost Per Dish Per Item])</f>
        <v>18.024999999999999</v>
      </c>
      <c r="F60" s="3">
        <v>4</v>
      </c>
      <c r="G60" s="3">
        <v>300</v>
      </c>
      <c r="H60" s="3">
        <f>receipetable[[#This Row],[Cost of Making]]+receipetable[[#This Row],[PKG Cst]]</f>
        <v>22.024999999999999</v>
      </c>
      <c r="I60" s="3">
        <v>182</v>
      </c>
      <c r="J60" s="3">
        <f>receipetable[[#This Row],[Our Prizing]]-receipetable[[#This Row],[Cost of Making]]-(receipetable[[#This Row],[Our Prizing]]*0.27)-receipetable[[#This Row],[Other Charges]]</f>
        <v>112.83499999999999</v>
      </c>
      <c r="K60" s="17">
        <f>(receipetable[[#This Row],[Our Prizing]]-receipetable[[#This Row],[Cost of Making]]-receipetable[[#This Row],[Other Charges]]-(receipetable[[#This Row],[Our Prizing]]*0.27))/receipetable[[#This Row],[Cost of Making]]</f>
        <v>6.2599167822468793</v>
      </c>
      <c r="L60" s="3">
        <v>2</v>
      </c>
    </row>
    <row r="61" spans="1:24" x14ac:dyDescent="0.25">
      <c r="A61" s="13">
        <v>56</v>
      </c>
      <c r="B61" s="13" t="s">
        <v>617</v>
      </c>
      <c r="C61" s="13" t="s">
        <v>597</v>
      </c>
      <c r="D61" s="13" t="s">
        <v>125</v>
      </c>
      <c r="E61" s="3">
        <f>SUMIF(Quantitytable[Dish],receipetable[[#This Row],[Recipe Name]],Quantitytable[Cost Per Dish Per Item])</f>
        <v>33.287500000000001</v>
      </c>
      <c r="F61" s="3">
        <v>4</v>
      </c>
      <c r="G61" s="3">
        <v>110</v>
      </c>
      <c r="H61" s="3">
        <f>receipetable[[#This Row],[Cost of Making]]+receipetable[[#This Row],[PKG Cst]]</f>
        <v>37.287500000000001</v>
      </c>
      <c r="I61" s="3">
        <v>125</v>
      </c>
      <c r="J61" s="3">
        <f>receipetable[[#This Row],[Our Prizing]]-receipetable[[#This Row],[Cost of Making]]-(receipetable[[#This Row],[Our Prizing]]*0.27)-receipetable[[#This Row],[Other Charges]]</f>
        <v>55.962500000000006</v>
      </c>
      <c r="K61" s="17">
        <f>(receipetable[[#This Row],[Our Prizing]]-receipetable[[#This Row],[Cost of Making]]-receipetable[[#This Row],[Other Charges]]-(receipetable[[#This Row],[Our Prizing]]*0.27))/receipetable[[#This Row],[Cost of Making]]</f>
        <v>1.6811866316184756</v>
      </c>
      <c r="L61" s="3">
        <v>2</v>
      </c>
    </row>
    <row r="62" spans="1:24" x14ac:dyDescent="0.25">
      <c r="A62" s="13">
        <v>57</v>
      </c>
      <c r="B62" s="13" t="s">
        <v>613</v>
      </c>
      <c r="C62" s="13" t="s">
        <v>160</v>
      </c>
      <c r="D62" s="13" t="s">
        <v>125</v>
      </c>
      <c r="E62" s="3">
        <f>SUMIF(Quantitytable[Dish],receipetable[[#This Row],[Recipe Name]],Quantitytable[Cost Per Dish Per Item])</f>
        <v>35.339011576381964</v>
      </c>
      <c r="F62" s="3">
        <v>4</v>
      </c>
      <c r="G62" s="3">
        <v>100</v>
      </c>
      <c r="H62" s="3">
        <f>receipetable[[#This Row],[Cost of Making]]+receipetable[[#This Row],[PKG Cst]]</f>
        <v>39.339011576381964</v>
      </c>
      <c r="I62" s="3"/>
      <c r="J62" s="3">
        <f>receipetable[[#This Row],[Our Prizing]]-receipetable[[#This Row],[Cost of Making]]-(receipetable[[#This Row],[Our Prizing]]*0.27)-receipetable[[#This Row],[Other Charges]]</f>
        <v>-37.339011576381964</v>
      </c>
      <c r="K62" s="17">
        <f>(receipetable[[#This Row],[Our Prizing]]-receipetable[[#This Row],[Cost of Making]]-receipetable[[#This Row],[Other Charges]]-(receipetable[[#This Row],[Our Prizing]]*0.27))/receipetable[[#This Row],[Cost of Making]]</f>
        <v>-1.0565946785375473</v>
      </c>
      <c r="L62" s="3">
        <v>2</v>
      </c>
    </row>
    <row r="63" spans="1:24" x14ac:dyDescent="0.25">
      <c r="A63" s="13">
        <v>58</v>
      </c>
      <c r="B63" s="13" t="s">
        <v>614</v>
      </c>
      <c r="C63" s="13" t="s">
        <v>598</v>
      </c>
      <c r="D63" s="13" t="s">
        <v>125</v>
      </c>
      <c r="E63" s="3">
        <f>SUMIF(Quantitytable[Dish],receipetable[[#This Row],[Recipe Name]],Quantitytable[Cost Per Dish Per Item])</f>
        <v>14.128285714285713</v>
      </c>
      <c r="F63" s="3">
        <v>4</v>
      </c>
      <c r="G63" s="3">
        <v>100</v>
      </c>
      <c r="H63" s="3">
        <f>receipetable[[#This Row],[Cost of Making]]+receipetable[[#This Row],[PKG Cst]]</f>
        <v>18.128285714285713</v>
      </c>
      <c r="I63" s="3"/>
      <c r="J63" s="3">
        <f>receipetable[[#This Row],[Our Prizing]]-receipetable[[#This Row],[Cost of Making]]-(receipetable[[#This Row],[Our Prizing]]*0.27)-receipetable[[#This Row],[Other Charges]]</f>
        <v>-16.128285714285713</v>
      </c>
      <c r="K63" s="17">
        <f>(receipetable[[#This Row],[Our Prizing]]-receipetable[[#This Row],[Cost of Making]]-receipetable[[#This Row],[Other Charges]]-(receipetable[[#This Row],[Our Prizing]]*0.27))/receipetable[[#This Row],[Cost of Making]]</f>
        <v>-1.1415599911019434</v>
      </c>
      <c r="L63" s="3">
        <v>2</v>
      </c>
    </row>
    <row r="64" spans="1:24" x14ac:dyDescent="0.25">
      <c r="A64" s="13">
        <v>59</v>
      </c>
      <c r="B64" s="13" t="s">
        <v>615</v>
      </c>
      <c r="C64" s="13" t="s">
        <v>599</v>
      </c>
      <c r="D64" s="13" t="s">
        <v>125</v>
      </c>
      <c r="E64" s="3">
        <f>SUMIF(Quantitytable[Dish],receipetable[[#This Row],[Recipe Name]],Quantitytable[Cost Per Dish Per Item])</f>
        <v>19.551785714285714</v>
      </c>
      <c r="F64" s="3">
        <v>4</v>
      </c>
      <c r="G64" s="3"/>
      <c r="H64" s="3">
        <f>receipetable[[#This Row],[Cost of Making]]+receipetable[[#This Row],[PKG Cst]]</f>
        <v>23.551785714285714</v>
      </c>
      <c r="I64" s="3"/>
      <c r="J64" s="3">
        <f>receipetable[[#This Row],[Our Prizing]]-receipetable[[#This Row],[Cost of Making]]-(receipetable[[#This Row],[Our Prizing]]*0.27)-receipetable[[#This Row],[Other Charges]]</f>
        <v>-21.551785714285714</v>
      </c>
      <c r="K64" s="17">
        <f>(receipetable[[#This Row],[Our Prizing]]-receipetable[[#This Row],[Cost of Making]]-receipetable[[#This Row],[Other Charges]]-(receipetable[[#This Row],[Our Prizing]]*0.27))/receipetable[[#This Row],[Cost of Making]]</f>
        <v>-1.1022924467987945</v>
      </c>
      <c r="L64" s="3">
        <v>2</v>
      </c>
    </row>
    <row r="65" spans="1:12" x14ac:dyDescent="0.25">
      <c r="A65" s="13">
        <v>60</v>
      </c>
      <c r="B65" s="21" t="s">
        <v>257</v>
      </c>
      <c r="C65" s="21" t="s">
        <v>121</v>
      </c>
      <c r="D65" s="21" t="s">
        <v>125</v>
      </c>
      <c r="E65" s="21">
        <f>SUMIF(Quantitytable[Dish],receipetable[[#This Row],[Recipe Name]],Quantitytable[Cost Per Dish Per Item])</f>
        <v>22.543706293706297</v>
      </c>
      <c r="F65" s="21">
        <v>5</v>
      </c>
      <c r="G65" s="21">
        <v>80</v>
      </c>
      <c r="H65" s="21">
        <f>receipetable[[#This Row],[Cost of Making]]+receipetable[[#This Row],[PKG Cst]]</f>
        <v>27.543706293706297</v>
      </c>
      <c r="I65" s="21"/>
      <c r="J65" s="21">
        <f>receipetable[[#This Row],[Our Prizing]]-receipetable[[#This Row],[Cost of Making]]-(receipetable[[#This Row],[Our Prizing]]*0.27)-receipetable[[#This Row],[Other Charges]]</f>
        <v>-24.543706293706297</v>
      </c>
      <c r="K65" s="17">
        <f>(receipetable[[#This Row],[Our Prizing]]-receipetable[[#This Row],[Cost of Making]]-receipetable[[#This Row],[Other Charges]]-(receipetable[[#This Row],[Our Prizing]]*0.27))/receipetable[[#This Row],[Cost of Making]]</f>
        <v>-1.088716556804963</v>
      </c>
      <c r="L65" s="25">
        <v>2</v>
      </c>
    </row>
    <row r="66" spans="1:12" x14ac:dyDescent="0.25">
      <c r="A66" s="13">
        <v>61</v>
      </c>
      <c r="B66" s="13" t="s">
        <v>308</v>
      </c>
      <c r="C66" s="21" t="s">
        <v>618</v>
      </c>
      <c r="D66" s="13" t="s">
        <v>122</v>
      </c>
      <c r="E66" s="3">
        <f>SUMIF(Quantitytable[Dish],receipetable[[#This Row],[Recipe Name]],Quantitytable[Cost Per Dish Per Item])</f>
        <v>16.8</v>
      </c>
      <c r="F66" s="3">
        <v>2</v>
      </c>
      <c r="G66" s="3">
        <v>80</v>
      </c>
      <c r="H66" s="3">
        <f>receipetable[[#This Row],[Cost of Making]]+receipetable[[#This Row],[PKG Cst]]</f>
        <v>18.8</v>
      </c>
      <c r="I66" s="3">
        <v>58</v>
      </c>
      <c r="J66" s="3">
        <f>receipetable[[#This Row],[Our Prizing]]-receipetable[[#This Row],[Cost of Making]]-(receipetable[[#This Row],[Our Prizing]]*0.27)-receipetable[[#This Row],[Other Charges]]</f>
        <v>23.540000000000003</v>
      </c>
      <c r="K66" s="17">
        <f>(receipetable[[#This Row],[Our Prizing]]-receipetable[[#This Row],[Cost of Making]]-receipetable[[#This Row],[Other Charges]]-(receipetable[[#This Row],[Our Prizing]]*0.27))/receipetable[[#This Row],[Cost of Making]]</f>
        <v>1.4011904761904763</v>
      </c>
      <c r="L66" s="25">
        <v>2</v>
      </c>
    </row>
    <row r="67" spans="1:12" x14ac:dyDescent="0.25">
      <c r="A67" s="13">
        <v>62</v>
      </c>
      <c r="B67" s="13" t="s">
        <v>624</v>
      </c>
      <c r="C67" s="13" t="s">
        <v>136</v>
      </c>
      <c r="D67" s="13" t="s">
        <v>122</v>
      </c>
      <c r="E67" s="3">
        <f>SUMIF(Quantitytable[Dish],receipetable[[#This Row],[Recipe Name]],Quantitytable[Cost Per Dish Per Item])</f>
        <v>29.677320396366639</v>
      </c>
      <c r="F67" s="3">
        <v>3</v>
      </c>
      <c r="G67" s="3">
        <v>120</v>
      </c>
      <c r="H67" s="3">
        <f>receipetable[[#This Row],[Cost of Making]]+receipetable[[#This Row],[PKG Cst]]</f>
        <v>32.677320396366639</v>
      </c>
      <c r="I67" s="3">
        <v>102</v>
      </c>
      <c r="J67" s="3">
        <f>receipetable[[#This Row],[Our Prizing]]-receipetable[[#This Row],[Cost of Making]]-(receipetable[[#This Row],[Our Prizing]]*0.27)-receipetable[[#This Row],[Other Charges]]</f>
        <v>42.782679603633355</v>
      </c>
      <c r="K67" s="17">
        <f>(receipetable[[#This Row],[Our Prizing]]-receipetable[[#This Row],[Cost of Making]]-receipetable[[#This Row],[Other Charges]]-(receipetable[[#This Row],[Our Prizing]]*0.27))/receipetable[[#This Row],[Cost of Making]]</f>
        <v>1.4415950979479666</v>
      </c>
      <c r="L67" s="25">
        <v>2</v>
      </c>
    </row>
    <row r="68" spans="1:12" x14ac:dyDescent="0.25">
      <c r="A68" s="13">
        <v>63</v>
      </c>
      <c r="B68" s="13" t="s">
        <v>623</v>
      </c>
      <c r="C68" s="13" t="s">
        <v>136</v>
      </c>
      <c r="D68" s="13" t="s">
        <v>122</v>
      </c>
      <c r="E68" s="3">
        <f>SUMIF(Quantitytable[Dish],receipetable[[#This Row],[Recipe Name]],Quantitytable[Cost Per Dish Per Item])</f>
        <v>27.024285714285718</v>
      </c>
      <c r="F68" s="3">
        <v>3</v>
      </c>
      <c r="G68" s="3">
        <v>100</v>
      </c>
      <c r="H68" s="3">
        <f>receipetable[[#This Row],[Cost of Making]]+receipetable[[#This Row],[PKG Cst]]</f>
        <v>30.024285714285718</v>
      </c>
      <c r="I68" s="3">
        <v>92</v>
      </c>
      <c r="J68" s="3">
        <f>receipetable[[#This Row],[Our Prizing]]-receipetable[[#This Row],[Cost of Making]]-(receipetable[[#This Row],[Our Prizing]]*0.27)-receipetable[[#This Row],[Other Charges]]</f>
        <v>38.135714285714272</v>
      </c>
      <c r="K68" s="17">
        <f>(receipetable[[#This Row],[Our Prizing]]-receipetable[[#This Row],[Cost of Making]]-receipetable[[#This Row],[Other Charges]]-(receipetable[[#This Row],[Our Prizing]]*0.27))/receipetable[[#This Row],[Cost of Making]]</f>
        <v>1.4111645609768984</v>
      </c>
      <c r="L68" s="25">
        <v>2</v>
      </c>
    </row>
    <row r="69" spans="1:12" x14ac:dyDescent="0.25">
      <c r="A69" s="13">
        <v>64</v>
      </c>
      <c r="B69" s="34" t="s">
        <v>163</v>
      </c>
      <c r="C69" s="34" t="s">
        <v>140</v>
      </c>
      <c r="D69" s="34" t="s">
        <v>125</v>
      </c>
      <c r="E69" s="35">
        <f>SUMIF(Quantitytable[Dish],receipetable[[#This Row],[Recipe Name]],Quantitytable[Cost Per Dish Per Item])</f>
        <v>276.56826384399909</v>
      </c>
      <c r="F69" s="35">
        <v>3</v>
      </c>
      <c r="G69" s="35">
        <v>170</v>
      </c>
      <c r="H69" s="35">
        <f>receipetable[[#This Row],[Cost of Making]]+receipetable[[#This Row],[PKG Cst]]</f>
        <v>279.56826384399909</v>
      </c>
      <c r="I69" s="35">
        <v>100</v>
      </c>
      <c r="J69" s="35">
        <f>receipetable[[#This Row],[Our Prizing]]-receipetable[[#This Row],[Cost of Making]]-(receipetable[[#This Row],[Our Prizing]]*0.27)-receipetable[[#This Row],[Other Charges]]</f>
        <v>-205.56826384399909</v>
      </c>
      <c r="K69" s="17">
        <f>(receipetable[[#This Row],[Our Prizing]]-receipetable[[#This Row],[Cost of Making]]-receipetable[[#This Row],[Other Charges]]-(receipetable[[#This Row],[Our Prizing]]*0.27))/receipetable[[#This Row],[Cost of Making]]</f>
        <v>-0.74328218641872734</v>
      </c>
      <c r="L69" s="36">
        <v>2</v>
      </c>
    </row>
    <row r="70" spans="1:12" x14ac:dyDescent="0.25">
      <c r="A70" s="13">
        <v>65</v>
      </c>
      <c r="B70" s="13" t="s">
        <v>626</v>
      </c>
      <c r="C70" s="34" t="s">
        <v>140</v>
      </c>
      <c r="D70" s="34" t="s">
        <v>125</v>
      </c>
      <c r="E70" s="3">
        <f>SUMIF(Quantitytable[Dish],receipetable[[#This Row],[Recipe Name]],Quantitytable[Cost Per Dish Per Item])</f>
        <v>55.199999999999996</v>
      </c>
      <c r="F70" s="3">
        <v>3</v>
      </c>
      <c r="G70" s="3">
        <v>120</v>
      </c>
      <c r="H70" s="3">
        <f>receipetable[[#This Row],[Cost of Making]]+receipetable[[#This Row],[PKG Cst]]</f>
        <v>58.199999999999996</v>
      </c>
      <c r="I70" s="3">
        <v>190</v>
      </c>
      <c r="J70" s="3">
        <f>receipetable[[#This Row],[Our Prizing]]-receipetable[[#This Row],[Cost of Making]]-(receipetable[[#This Row],[Our Prizing]]*0.27)-receipetable[[#This Row],[Other Charges]]</f>
        <v>81.5</v>
      </c>
      <c r="K70" s="17">
        <f>(receipetable[[#This Row],[Our Prizing]]-receipetable[[#This Row],[Cost of Making]]-receipetable[[#This Row],[Other Charges]]-(receipetable[[#This Row],[Our Prizing]]*0.27))/receipetable[[#This Row],[Cost of Making]]</f>
        <v>1.4764492753623188</v>
      </c>
      <c r="L70" s="3">
        <v>2</v>
      </c>
    </row>
    <row r="71" spans="1:12" x14ac:dyDescent="0.25">
      <c r="A71" s="13">
        <v>66</v>
      </c>
      <c r="B71" s="13" t="s">
        <v>627</v>
      </c>
      <c r="C71" s="13" t="s">
        <v>630</v>
      </c>
      <c r="D71" s="13" t="s">
        <v>122</v>
      </c>
      <c r="E71" s="3">
        <f>SUMIF(Quantitytable[Dish],receipetable[[#This Row],[Recipe Name]],Quantitytable[Cost Per Dish Per Item])</f>
        <v>46.947412587412586</v>
      </c>
      <c r="F71" s="3">
        <v>3</v>
      </c>
      <c r="G71" s="3">
        <v>100</v>
      </c>
      <c r="H71" s="3">
        <f>receipetable[[#This Row],[Cost of Making]]+receipetable[[#This Row],[PKG Cst]]</f>
        <v>49.947412587412586</v>
      </c>
      <c r="I71" s="3">
        <v>90</v>
      </c>
      <c r="J71" s="3">
        <f>receipetable[[#This Row],[Our Prizing]]-receipetable[[#This Row],[Cost of Making]]-(receipetable[[#This Row],[Our Prizing]]*0.27)-receipetable[[#This Row],[Other Charges]]</f>
        <v>16.752587412587413</v>
      </c>
      <c r="K71" s="17">
        <f>(receipetable[[#This Row],[Our Prizing]]-receipetable[[#This Row],[Cost of Making]]-receipetable[[#This Row],[Other Charges]]-(receipetable[[#This Row],[Our Prizing]]*0.27))/receipetable[[#This Row],[Cost of Making]]</f>
        <v>0.35683728855973357</v>
      </c>
      <c r="L71" s="3">
        <v>2</v>
      </c>
    </row>
    <row r="72" spans="1:12" x14ac:dyDescent="0.25">
      <c r="A72" s="13">
        <v>67</v>
      </c>
      <c r="B72" s="13" t="s">
        <v>628</v>
      </c>
      <c r="C72" s="13" t="s">
        <v>631</v>
      </c>
      <c r="D72" s="13" t="s">
        <v>122</v>
      </c>
      <c r="E72" s="3">
        <f>SUMIF(Quantitytable[Dish],receipetable[[#This Row],[Recipe Name]],Quantitytable[Cost Per Dish Per Item])</f>
        <v>44.198321678321676</v>
      </c>
      <c r="F72" s="3">
        <v>3</v>
      </c>
      <c r="G72" s="3">
        <v>100</v>
      </c>
      <c r="H72" s="3">
        <f>receipetable[[#This Row],[Cost of Making]]+receipetable[[#This Row],[PKG Cst]]</f>
        <v>47.198321678321676</v>
      </c>
      <c r="I72" s="3">
        <v>80</v>
      </c>
      <c r="J72" s="3">
        <f>receipetable[[#This Row],[Our Prizing]]-receipetable[[#This Row],[Cost of Making]]-(receipetable[[#This Row],[Our Prizing]]*0.27)-receipetable[[#This Row],[Other Charges]]</f>
        <v>12.201678321678322</v>
      </c>
      <c r="K72" s="17">
        <f>(receipetable[[#This Row],[Our Prizing]]-receipetable[[#This Row],[Cost of Making]]-receipetable[[#This Row],[Other Charges]]-(receipetable[[#This Row],[Our Prizing]]*0.27))/receipetable[[#This Row],[Cost of Making]]</f>
        <v>0.27606655317102191</v>
      </c>
      <c r="L72" s="3">
        <v>2</v>
      </c>
    </row>
    <row r="73" spans="1:12" x14ac:dyDescent="0.25">
      <c r="A73" s="13">
        <v>68</v>
      </c>
      <c r="B73" s="13" t="s">
        <v>629</v>
      </c>
      <c r="C73" s="13" t="s">
        <v>632</v>
      </c>
      <c r="D73" s="13" t="s">
        <v>122</v>
      </c>
      <c r="E73" s="3">
        <f>SUMIF(Quantitytable[Dish],receipetable[[#This Row],[Recipe Name]],Quantitytable[Cost Per Dish Per Item])</f>
        <v>38.489230769230772</v>
      </c>
      <c r="F73" s="3">
        <v>3</v>
      </c>
      <c r="G73" s="3">
        <v>100</v>
      </c>
      <c r="H73" s="3">
        <f>receipetable[[#This Row],[Cost of Making]]+receipetable[[#This Row],[PKG Cst]]</f>
        <v>41.489230769230772</v>
      </c>
      <c r="I73" s="3">
        <v>70</v>
      </c>
      <c r="J73" s="3">
        <f>receipetable[[#This Row],[Our Prizing]]-receipetable[[#This Row],[Cost of Making]]-(receipetable[[#This Row],[Our Prizing]]*0.27)-receipetable[[#This Row],[Other Charges]]</f>
        <v>10.610769230769225</v>
      </c>
      <c r="K73" s="17">
        <f>(receipetable[[#This Row],[Our Prizing]]-receipetable[[#This Row],[Cost of Making]]-receipetable[[#This Row],[Other Charges]]-(receipetable[[#This Row],[Our Prizing]]*0.27))/receipetable[[#This Row],[Cost of Making]]</f>
        <v>0.27568150931329427</v>
      </c>
      <c r="L73" s="3">
        <v>2</v>
      </c>
    </row>
    <row r="74" spans="1:12" x14ac:dyDescent="0.25">
      <c r="A74" s="13">
        <v>69</v>
      </c>
      <c r="B74" s="13" t="s">
        <v>633</v>
      </c>
      <c r="C74" s="13" t="s">
        <v>587</v>
      </c>
      <c r="D74" s="13" t="s">
        <v>125</v>
      </c>
      <c r="E74" s="3">
        <f>SUMIF(Quantitytable[Dish],receipetable[[#This Row],[Recipe Name]],Quantitytable[Cost Per Dish Per Item])</f>
        <v>29.108285714285714</v>
      </c>
      <c r="F74" s="3">
        <v>3</v>
      </c>
      <c r="G74" s="3"/>
      <c r="H74" s="3">
        <f>receipetable[[#This Row],[Cost of Making]]+receipetable[[#This Row],[PKG Cst]]</f>
        <v>32.108285714285714</v>
      </c>
      <c r="I74" s="3">
        <v>102</v>
      </c>
      <c r="J74" s="3">
        <f>receipetable[[#This Row],[Our Prizing]]-receipetable[[#This Row],[Cost of Making]]-(receipetable[[#This Row],[Our Prizing]]*0.27)-receipetable[[#This Row],[Other Charges]]</f>
        <v>43.35171428571428</v>
      </c>
      <c r="K74" s="17">
        <f>(receipetable[[#This Row],[Our Prizing]]-receipetable[[#This Row],[Cost of Making]]-receipetable[[#This Row],[Other Charges]]-(receipetable[[#This Row],[Our Prizing]]*0.27))/receipetable[[#This Row],[Cost of Making]]</f>
        <v>1.4893255724928589</v>
      </c>
      <c r="L74" s="3">
        <v>2</v>
      </c>
    </row>
    <row r="75" spans="1:12" x14ac:dyDescent="0.25">
      <c r="A75" s="13">
        <v>70</v>
      </c>
      <c r="B75" s="13" t="s">
        <v>634</v>
      </c>
      <c r="C75" s="13" t="s">
        <v>588</v>
      </c>
      <c r="D75" s="13" t="s">
        <v>125</v>
      </c>
      <c r="E75" s="3">
        <f>SUMIF(Quantitytable[Dish],receipetable[[#This Row],[Recipe Name]],Quantitytable[Cost Per Dish Per Item])</f>
        <v>35.194285714285712</v>
      </c>
      <c r="F75" s="3">
        <v>3</v>
      </c>
      <c r="G75" s="3"/>
      <c r="H75" s="3">
        <f>receipetable[[#This Row],[Cost of Making]]+receipetable[[#This Row],[PKG Cst]]</f>
        <v>38.194285714285712</v>
      </c>
      <c r="I75" s="3">
        <v>125</v>
      </c>
      <c r="J75" s="3">
        <f>receipetable[[#This Row],[Our Prizing]]-receipetable[[#This Row],[Cost of Making]]-(receipetable[[#This Row],[Our Prizing]]*0.27)-receipetable[[#This Row],[Other Charges]]</f>
        <v>54.055714285714288</v>
      </c>
      <c r="K75" s="17">
        <f>(receipetable[[#This Row],[Our Prizing]]-receipetable[[#This Row],[Cost of Making]]-receipetable[[#This Row],[Other Charges]]-(receipetable[[#This Row],[Our Prizing]]*0.27))/receipetable[[#This Row],[Cost of Making]]</f>
        <v>1.535923039454457</v>
      </c>
      <c r="L75" s="3">
        <v>2</v>
      </c>
    </row>
    <row r="76" spans="1:12" x14ac:dyDescent="0.25">
      <c r="A76" s="13">
        <v>71</v>
      </c>
      <c r="B76" s="13" t="s">
        <v>635</v>
      </c>
      <c r="C76" s="13" t="s">
        <v>589</v>
      </c>
      <c r="D76" s="13" t="s">
        <v>125</v>
      </c>
      <c r="E76" s="3">
        <f>SUMIF(Quantitytable[Dish],receipetable[[#This Row],[Recipe Name]],Quantitytable[Cost Per Dish Per Item])</f>
        <v>51.989051258921648</v>
      </c>
      <c r="F76" s="3">
        <v>3</v>
      </c>
      <c r="G76" s="3"/>
      <c r="H76" s="3">
        <f>receipetable[[#This Row],[Cost of Making]]+receipetable[[#This Row],[PKG Cst]]</f>
        <v>54.989051258921648</v>
      </c>
      <c r="I76" s="3">
        <v>182</v>
      </c>
      <c r="J76" s="3">
        <f>receipetable[[#This Row],[Our Prizing]]-receipetable[[#This Row],[Cost of Making]]-(receipetable[[#This Row],[Our Prizing]]*0.27)-receipetable[[#This Row],[Other Charges]]</f>
        <v>78.870948741078351</v>
      </c>
      <c r="K76" s="17">
        <f>(receipetable[[#This Row],[Our Prizing]]-receipetable[[#This Row],[Cost of Making]]-receipetable[[#This Row],[Other Charges]]-(receipetable[[#This Row],[Our Prizing]]*0.27))/receipetable[[#This Row],[Cost of Making]]</f>
        <v>1.517068437126819</v>
      </c>
      <c r="L76" s="3">
        <v>2</v>
      </c>
    </row>
    <row r="77" spans="1:12" x14ac:dyDescent="0.25">
      <c r="A77" s="13">
        <v>72</v>
      </c>
      <c r="B77" s="13" t="s">
        <v>636</v>
      </c>
      <c r="C77" s="13" t="s">
        <v>140</v>
      </c>
      <c r="D77" s="13" t="s">
        <v>125</v>
      </c>
      <c r="E77" s="3">
        <f>SUMIF(Quantitytable[Dish],receipetable[[#This Row],[Recipe Name]],Quantitytable[Cost Per Dish Per Item])</f>
        <v>34.489090909090905</v>
      </c>
      <c r="F77" s="3">
        <v>3</v>
      </c>
      <c r="G77" s="3"/>
      <c r="H77" s="3">
        <f>receipetable[[#This Row],[Cost of Making]]+receipetable[[#This Row],[PKG Cst]]</f>
        <v>37.489090909090905</v>
      </c>
      <c r="I77" s="3">
        <v>125</v>
      </c>
      <c r="J77" s="3">
        <f>receipetable[[#This Row],[Our Prizing]]-receipetable[[#This Row],[Cost of Making]]-(receipetable[[#This Row],[Our Prizing]]*0.27)-receipetable[[#This Row],[Other Charges]]</f>
        <v>54.760909090909095</v>
      </c>
      <c r="K77" s="17">
        <f>(receipetable[[#This Row],[Our Prizing]]-receipetable[[#This Row],[Cost of Making]]-receipetable[[#This Row],[Other Charges]]-(receipetable[[#This Row],[Our Prizing]]*0.27))/receipetable[[#This Row],[Cost of Making]]</f>
        <v>1.5877747904475727</v>
      </c>
      <c r="L77" s="3">
        <v>2</v>
      </c>
    </row>
    <row r="78" spans="1:12" x14ac:dyDescent="0.25">
      <c r="A78" s="13">
        <v>73</v>
      </c>
      <c r="B78" s="13" t="s">
        <v>637</v>
      </c>
      <c r="C78" s="13" t="s">
        <v>590</v>
      </c>
      <c r="D78" s="13" t="s">
        <v>125</v>
      </c>
      <c r="E78" s="3">
        <f>SUMIF(Quantitytable[Dish],receipetable[[#This Row],[Recipe Name]],Quantitytable[Cost Per Dish Per Item])</f>
        <v>33.78</v>
      </c>
      <c r="F78" s="3">
        <v>3</v>
      </c>
      <c r="G78" s="3"/>
      <c r="H78" s="3">
        <f>receipetable[[#This Row],[Cost of Making]]+receipetable[[#This Row],[PKG Cst]]</f>
        <v>36.78</v>
      </c>
      <c r="I78" s="3">
        <v>120</v>
      </c>
      <c r="J78" s="3">
        <f>receipetable[[#This Row],[Our Prizing]]-receipetable[[#This Row],[Cost of Making]]-(receipetable[[#This Row],[Our Prizing]]*0.27)-receipetable[[#This Row],[Other Charges]]</f>
        <v>51.819999999999993</v>
      </c>
      <c r="K78" s="17">
        <f>(receipetable[[#This Row],[Our Prizing]]-receipetable[[#This Row],[Cost of Making]]-receipetable[[#This Row],[Other Charges]]-(receipetable[[#This Row],[Our Prizing]]*0.27))/receipetable[[#This Row],[Cost of Making]]</f>
        <v>1.5340438129070453</v>
      </c>
      <c r="L78" s="3">
        <v>2</v>
      </c>
    </row>
    <row r="79" spans="1:12" x14ac:dyDescent="0.25">
      <c r="A79" s="13">
        <v>74</v>
      </c>
      <c r="B79" s="13" t="s">
        <v>638</v>
      </c>
      <c r="C79" s="13" t="s">
        <v>591</v>
      </c>
      <c r="D79" s="13" t="s">
        <v>125</v>
      </c>
      <c r="E79" s="3">
        <f>SUMIF(Quantitytable[Dish],receipetable[[#This Row],[Recipe Name]],Quantitytable[Cost Per Dish Per Item])</f>
        <v>31.119999999999997</v>
      </c>
      <c r="F79" s="3">
        <v>3</v>
      </c>
      <c r="G79" s="3"/>
      <c r="H79" s="3">
        <f>receipetable[[#This Row],[Cost of Making]]+receipetable[[#This Row],[PKG Cst]]</f>
        <v>34.119999999999997</v>
      </c>
      <c r="I79" s="3">
        <v>110</v>
      </c>
      <c r="J79" s="3">
        <f>receipetable[[#This Row],[Our Prizing]]-receipetable[[#This Row],[Cost of Making]]-(receipetable[[#This Row],[Our Prizing]]*0.27)-receipetable[[#This Row],[Other Charges]]</f>
        <v>47.179999999999993</v>
      </c>
      <c r="K79" s="17">
        <f>(receipetable[[#This Row],[Our Prizing]]-receipetable[[#This Row],[Cost of Making]]-receipetable[[#This Row],[Other Charges]]-(receipetable[[#This Row],[Our Prizing]]*0.27))/receipetable[[#This Row],[Cost of Making]]</f>
        <v>1.5160668380462723</v>
      </c>
      <c r="L79" s="3">
        <v>2</v>
      </c>
    </row>
    <row r="80" spans="1:12" x14ac:dyDescent="0.25">
      <c r="A80" s="13">
        <v>75</v>
      </c>
      <c r="B80" s="13" t="s">
        <v>639</v>
      </c>
      <c r="C80" s="13" t="s">
        <v>592</v>
      </c>
      <c r="D80" s="13" t="s">
        <v>125</v>
      </c>
      <c r="E80" s="3">
        <f>SUMIF(Quantitytable[Dish],receipetable[[#This Row],[Recipe Name]],Quantitytable[Cost Per Dish Per Item])</f>
        <v>29.285714285714285</v>
      </c>
      <c r="F80" s="3">
        <v>3</v>
      </c>
      <c r="G80" s="3"/>
      <c r="H80" s="3">
        <f>receipetable[[#This Row],[Cost of Making]]+receipetable[[#This Row],[PKG Cst]]</f>
        <v>32.285714285714285</v>
      </c>
      <c r="I80" s="3">
        <v>104</v>
      </c>
      <c r="J80" s="3">
        <f>receipetable[[#This Row],[Our Prizing]]-receipetable[[#This Row],[Cost of Making]]-(receipetable[[#This Row],[Our Prizing]]*0.27)-receipetable[[#This Row],[Other Charges]]</f>
        <v>44.634285714285724</v>
      </c>
      <c r="K80" s="17">
        <f>(receipetable[[#This Row],[Our Prizing]]-receipetable[[#This Row],[Cost of Making]]-receipetable[[#This Row],[Other Charges]]-(receipetable[[#This Row],[Our Prizing]]*0.27))/receipetable[[#This Row],[Cost of Making]]</f>
        <v>1.5240975609756102</v>
      </c>
      <c r="L80" s="3">
        <v>2</v>
      </c>
    </row>
    <row r="81" spans="1:12" x14ac:dyDescent="0.25">
      <c r="A81" s="13">
        <v>76</v>
      </c>
      <c r="B81" s="13" t="s">
        <v>640</v>
      </c>
      <c r="C81" s="13" t="s">
        <v>593</v>
      </c>
      <c r="D81" s="13" t="s">
        <v>125</v>
      </c>
      <c r="E81" s="3">
        <f>SUMIF(Quantitytable[Dish],receipetable[[#This Row],[Recipe Name]],Quantitytable[Cost Per Dish Per Item])</f>
        <v>44.104999999999997</v>
      </c>
      <c r="F81" s="3">
        <v>3</v>
      </c>
      <c r="G81" s="3"/>
      <c r="H81" s="3">
        <f>receipetable[[#This Row],[Cost of Making]]+receipetable[[#This Row],[PKG Cst]]</f>
        <v>47.104999999999997</v>
      </c>
      <c r="I81" s="3">
        <v>155</v>
      </c>
      <c r="J81" s="3">
        <f>receipetable[[#This Row],[Our Prizing]]-receipetable[[#This Row],[Cost of Making]]-(receipetable[[#This Row],[Our Prizing]]*0.27)-receipetable[[#This Row],[Other Charges]]</f>
        <v>67.045000000000016</v>
      </c>
      <c r="K81" s="17">
        <f>(receipetable[[#This Row],[Our Prizing]]-receipetable[[#This Row],[Cost of Making]]-receipetable[[#This Row],[Other Charges]]-(receipetable[[#This Row],[Our Prizing]]*0.27))/receipetable[[#This Row],[Cost of Making]]</f>
        <v>1.520122435098062</v>
      </c>
      <c r="L81" s="3">
        <v>2</v>
      </c>
    </row>
    <row r="82" spans="1:12" x14ac:dyDescent="0.25">
      <c r="A82" s="13">
        <v>77</v>
      </c>
      <c r="B82" s="13" t="s">
        <v>641</v>
      </c>
      <c r="C82" s="13" t="s">
        <v>594</v>
      </c>
      <c r="D82" s="13" t="s">
        <v>125</v>
      </c>
      <c r="E82" s="3">
        <f>SUMIF(Quantitytable[Dish],receipetable[[#This Row],[Recipe Name]],Quantitytable[Cost Per Dish Per Item])</f>
        <v>37.194285714285712</v>
      </c>
      <c r="F82" s="3">
        <v>3</v>
      </c>
      <c r="G82" s="3"/>
      <c r="H82" s="3">
        <f>receipetable[[#This Row],[Cost of Making]]+receipetable[[#This Row],[PKG Cst]]</f>
        <v>40.194285714285712</v>
      </c>
      <c r="I82" s="3">
        <v>130</v>
      </c>
      <c r="J82" s="3">
        <f>receipetable[[#This Row],[Our Prizing]]-receipetable[[#This Row],[Cost of Making]]-(receipetable[[#This Row],[Our Prizing]]*0.27)-receipetable[[#This Row],[Other Charges]]</f>
        <v>55.705714285714286</v>
      </c>
      <c r="K82" s="17">
        <f>(receipetable[[#This Row],[Our Prizing]]-receipetable[[#This Row],[Cost of Making]]-receipetable[[#This Row],[Other Charges]]-(receipetable[[#This Row],[Our Prizing]]*0.27))/receipetable[[#This Row],[Cost of Making]]</f>
        <v>1.4976954985404825</v>
      </c>
      <c r="L82" s="3">
        <v>2</v>
      </c>
    </row>
    <row r="83" spans="1:12" x14ac:dyDescent="0.25">
      <c r="A83" s="13">
        <v>78</v>
      </c>
      <c r="B83" s="13" t="s">
        <v>642</v>
      </c>
      <c r="C83" s="13" t="s">
        <v>595</v>
      </c>
      <c r="D83" s="13" t="s">
        <v>125</v>
      </c>
      <c r="E83" s="3">
        <f>SUMIF(Quantitytable[Dish],receipetable[[#This Row],[Recipe Name]],Quantitytable[Cost Per Dish Per Item])</f>
        <v>34.959999999999994</v>
      </c>
      <c r="F83" s="3">
        <v>3</v>
      </c>
      <c r="G83" s="3"/>
      <c r="H83" s="3">
        <f>receipetable[[#This Row],[Cost of Making]]+receipetable[[#This Row],[PKG Cst]]</f>
        <v>37.959999999999994</v>
      </c>
      <c r="I83" s="3">
        <v>122</v>
      </c>
      <c r="J83" s="3">
        <f>receipetable[[#This Row],[Our Prizing]]-receipetable[[#This Row],[Cost of Making]]-(receipetable[[#This Row],[Our Prizing]]*0.27)-receipetable[[#This Row],[Other Charges]]</f>
        <v>52.1</v>
      </c>
      <c r="K83" s="17">
        <f>(receipetable[[#This Row],[Our Prizing]]-receipetable[[#This Row],[Cost of Making]]-receipetable[[#This Row],[Other Charges]]-(receipetable[[#This Row],[Our Prizing]]*0.27))/receipetable[[#This Row],[Cost of Making]]</f>
        <v>1.4902745995423343</v>
      </c>
      <c r="L83" s="3">
        <v>2</v>
      </c>
    </row>
    <row r="84" spans="1:12" x14ac:dyDescent="0.25">
      <c r="A84" s="13">
        <v>79</v>
      </c>
      <c r="B84" s="13" t="s">
        <v>643</v>
      </c>
      <c r="C84" s="13" t="s">
        <v>596</v>
      </c>
      <c r="D84" s="13" t="s">
        <v>125</v>
      </c>
      <c r="E84" s="3">
        <f>SUMIF(Quantitytable[Dish],receipetable[[#This Row],[Recipe Name]],Quantitytable[Cost Per Dish Per Item])</f>
        <v>24.937142857142856</v>
      </c>
      <c r="F84" s="3">
        <v>3</v>
      </c>
      <c r="G84" s="3"/>
      <c r="H84" s="3">
        <f>receipetable[[#This Row],[Cost of Making]]+receipetable[[#This Row],[PKG Cst]]</f>
        <v>27.937142857142856</v>
      </c>
      <c r="I84" s="3">
        <v>88</v>
      </c>
      <c r="J84" s="3">
        <f>receipetable[[#This Row],[Our Prizing]]-receipetable[[#This Row],[Cost of Making]]-(receipetable[[#This Row],[Our Prizing]]*0.27)-receipetable[[#This Row],[Other Charges]]</f>
        <v>37.302857142857135</v>
      </c>
      <c r="K84" s="17">
        <f>(receipetable[[#This Row],[Our Prizing]]-receipetable[[#This Row],[Cost of Making]]-receipetable[[#This Row],[Other Charges]]-(receipetable[[#This Row],[Our Prizing]]*0.27))/receipetable[[#This Row],[Cost of Making]]</f>
        <v>1.4958753437213563</v>
      </c>
      <c r="L84" s="3">
        <v>2</v>
      </c>
    </row>
    <row r="85" spans="1:12" x14ac:dyDescent="0.25">
      <c r="A85" s="13">
        <v>80</v>
      </c>
      <c r="B85" s="13" t="s">
        <v>644</v>
      </c>
      <c r="C85" s="13" t="s">
        <v>597</v>
      </c>
      <c r="D85" s="13" t="s">
        <v>125</v>
      </c>
      <c r="E85" s="3">
        <f>SUMIF(Quantitytable[Dish],receipetable[[#This Row],[Recipe Name]],Quantitytable[Cost Per Dish Per Item])</f>
        <v>36.365714285714283</v>
      </c>
      <c r="F85" s="3">
        <v>3</v>
      </c>
      <c r="G85" s="3"/>
      <c r="H85" s="3">
        <f>receipetable[[#This Row],[Cost of Making]]+receipetable[[#This Row],[PKG Cst]]</f>
        <v>39.365714285714283</v>
      </c>
      <c r="I85" s="3">
        <v>125</v>
      </c>
      <c r="J85" s="3">
        <f>receipetable[[#This Row],[Our Prizing]]-receipetable[[#This Row],[Cost of Making]]-(receipetable[[#This Row],[Our Prizing]]*0.27)-receipetable[[#This Row],[Other Charges]]</f>
        <v>52.88428571428571</v>
      </c>
      <c r="K85" s="17">
        <f>(receipetable[[#This Row],[Our Prizing]]-receipetable[[#This Row],[Cost of Making]]-receipetable[[#This Row],[Other Charges]]-(receipetable[[#This Row],[Our Prizing]]*0.27))/receipetable[[#This Row],[Cost of Making]]</f>
        <v>1.4542347580138277</v>
      </c>
      <c r="L85" s="3">
        <v>2</v>
      </c>
    </row>
    <row r="86" spans="1:12" x14ac:dyDescent="0.25">
      <c r="A86" s="13">
        <v>81</v>
      </c>
      <c r="B86" s="13" t="s">
        <v>645</v>
      </c>
      <c r="C86" s="13" t="s">
        <v>160</v>
      </c>
      <c r="D86" s="13" t="s">
        <v>125</v>
      </c>
      <c r="E86" s="3">
        <f>SUMIF(Quantitytable[Dish],receipetable[[#This Row],[Recipe Name]],Quantitytable[Cost Per Dish Per Item])</f>
        <v>40.404355904211393</v>
      </c>
      <c r="F86" s="3">
        <v>3</v>
      </c>
      <c r="G86" s="3"/>
      <c r="H86" s="3">
        <f>receipetable[[#This Row],[Cost of Making]]+receipetable[[#This Row],[PKG Cst]]</f>
        <v>43.404355904211393</v>
      </c>
      <c r="I86" s="3">
        <v>142</v>
      </c>
      <c r="J86" s="3">
        <f>receipetable[[#This Row],[Our Prizing]]-receipetable[[#This Row],[Cost of Making]]-(receipetable[[#This Row],[Our Prizing]]*0.27)-receipetable[[#This Row],[Other Charges]]</f>
        <v>61.255644095788597</v>
      </c>
      <c r="K86" s="17">
        <f>(receipetable[[#This Row],[Our Prizing]]-receipetable[[#This Row],[Cost of Making]]-receipetable[[#This Row],[Other Charges]]-(receipetable[[#This Row],[Our Prizing]]*0.27))/receipetable[[#This Row],[Cost of Making]]</f>
        <v>1.5160653529785348</v>
      </c>
      <c r="L86" s="3">
        <v>2</v>
      </c>
    </row>
    <row r="87" spans="1:12" x14ac:dyDescent="0.25">
      <c r="A87" s="13">
        <v>82</v>
      </c>
      <c r="B87" s="13" t="s">
        <v>646</v>
      </c>
      <c r="C87" s="13" t="s">
        <v>598</v>
      </c>
      <c r="D87" s="13" t="s">
        <v>125</v>
      </c>
      <c r="E87" s="3">
        <f>SUMIF(Quantitytable[Dish],receipetable[[#This Row],[Recipe Name]],Quantitytable[Cost Per Dish Per Item])</f>
        <v>44.106511576381962</v>
      </c>
      <c r="F87" s="3">
        <v>3</v>
      </c>
      <c r="G87" s="3"/>
      <c r="H87" s="3">
        <f>receipetable[[#This Row],[Cost of Making]]+receipetable[[#This Row],[PKG Cst]]</f>
        <v>47.106511576381962</v>
      </c>
      <c r="I87" s="3">
        <v>155</v>
      </c>
      <c r="J87" s="3">
        <f>receipetable[[#This Row],[Our Prizing]]-receipetable[[#This Row],[Cost of Making]]-(receipetable[[#This Row],[Our Prizing]]*0.27)-receipetable[[#This Row],[Other Charges]]</f>
        <v>67.043488423618044</v>
      </c>
      <c r="K87" s="17">
        <f>(receipetable[[#This Row],[Our Prizing]]-receipetable[[#This Row],[Cost of Making]]-receipetable[[#This Row],[Other Charges]]-(receipetable[[#This Row],[Our Prizing]]*0.27))/receipetable[[#This Row],[Cost of Making]]</f>
        <v>1.5200360678607445</v>
      </c>
      <c r="L87" s="3">
        <v>2</v>
      </c>
    </row>
    <row r="88" spans="1:12" x14ac:dyDescent="0.25">
      <c r="A88" s="13">
        <v>83</v>
      </c>
      <c r="B88" s="13" t="s">
        <v>647</v>
      </c>
      <c r="C88" s="13" t="s">
        <v>599</v>
      </c>
      <c r="D88" s="13" t="s">
        <v>125</v>
      </c>
      <c r="E88" s="3">
        <f>SUMIF(Quantitytable[Dish],receipetable[[#This Row],[Recipe Name]],Quantitytable[Cost Per Dish Per Item])</f>
        <v>23.794285714285714</v>
      </c>
      <c r="F88" s="3">
        <v>3</v>
      </c>
      <c r="G88" s="3"/>
      <c r="H88" s="3">
        <f>receipetable[[#This Row],[Cost of Making]]+receipetable[[#This Row],[PKG Cst]]</f>
        <v>26.794285714285714</v>
      </c>
      <c r="I88" s="3">
        <v>85</v>
      </c>
      <c r="J88" s="3">
        <f>receipetable[[#This Row],[Our Prizing]]-receipetable[[#This Row],[Cost of Making]]-(receipetable[[#This Row],[Our Prizing]]*0.27)-receipetable[[#This Row],[Other Charges]]</f>
        <v>36.255714285714284</v>
      </c>
      <c r="K88" s="17">
        <f>(receipetable[[#This Row],[Our Prizing]]-receipetable[[#This Row],[Cost of Making]]-receipetable[[#This Row],[Other Charges]]-(receipetable[[#This Row],[Our Prizing]]*0.27))/receipetable[[#This Row],[Cost of Making]]</f>
        <v>1.5237151777137368</v>
      </c>
      <c r="L88" s="3">
        <v>2</v>
      </c>
    </row>
    <row r="89" spans="1:12" x14ac:dyDescent="0.25">
      <c r="A89" s="13">
        <v>84</v>
      </c>
      <c r="B89" s="13" t="s">
        <v>648</v>
      </c>
      <c r="C89" s="13" t="s">
        <v>587</v>
      </c>
      <c r="D89" s="21" t="s">
        <v>125</v>
      </c>
      <c r="E89" s="3">
        <f>SUMIF(Quantitytable[Dish],receipetable[[#This Row],[Recipe Name]],Quantitytable[Cost Per Dish Per Item])</f>
        <v>36.194285714285712</v>
      </c>
      <c r="F89" s="3">
        <v>3</v>
      </c>
      <c r="G89" s="3"/>
      <c r="H89" s="3">
        <f>receipetable[[#This Row],[Cost of Making]]+receipetable[[#This Row],[PKG Cst]]</f>
        <v>39.194285714285712</v>
      </c>
      <c r="I89" s="3">
        <v>128</v>
      </c>
      <c r="J89" s="3">
        <f>receipetable[[#This Row],[Our Prizing]]-receipetable[[#This Row],[Cost of Making]]-(receipetable[[#This Row],[Our Prizing]]*0.27)-receipetable[[#This Row],[Other Charges]]</f>
        <v>55.245714285714286</v>
      </c>
      <c r="K89" s="17">
        <f>(receipetable[[#This Row],[Our Prizing]]-receipetable[[#This Row],[Cost of Making]]-receipetable[[#This Row],[Other Charges]]-(receipetable[[#This Row],[Our Prizing]]*0.27))/receipetable[[#This Row],[Cost of Making]]</f>
        <v>1.5263656457215031</v>
      </c>
      <c r="L89" s="3">
        <v>2</v>
      </c>
    </row>
    <row r="90" spans="1:12" x14ac:dyDescent="0.25">
      <c r="A90" s="13">
        <v>85</v>
      </c>
      <c r="B90" s="13" t="s">
        <v>649</v>
      </c>
      <c r="C90" s="13" t="s">
        <v>588</v>
      </c>
      <c r="D90" s="13" t="s">
        <v>125</v>
      </c>
      <c r="E90" s="3">
        <f>SUMIF(Quantitytable[Dish],receipetable[[#This Row],[Recipe Name]],Quantitytable[Cost Per Dish Per Item])</f>
        <v>44.551428571428566</v>
      </c>
      <c r="F90" s="3">
        <v>3</v>
      </c>
      <c r="G90" s="3"/>
      <c r="H90" s="3">
        <f>receipetable[[#This Row],[Cost of Making]]+receipetable[[#This Row],[PKG Cst]]</f>
        <v>47.551428571428566</v>
      </c>
      <c r="I90" s="3">
        <v>155</v>
      </c>
      <c r="J90" s="3">
        <f>receipetable[[#This Row],[Our Prizing]]-receipetable[[#This Row],[Cost of Making]]-(receipetable[[#This Row],[Our Prizing]]*0.27)-receipetable[[#This Row],[Other Charges]]</f>
        <v>66.598571428571432</v>
      </c>
      <c r="K90" s="17">
        <f>(receipetable[[#This Row],[Our Prizing]]-receipetable[[#This Row],[Cost of Making]]-receipetable[[#This Row],[Other Charges]]-(receipetable[[#This Row],[Our Prizing]]*0.27))/receipetable[[#This Row],[Cost of Making]]</f>
        <v>1.494869492721093</v>
      </c>
      <c r="L90" s="3">
        <v>2</v>
      </c>
    </row>
    <row r="91" spans="1:12" x14ac:dyDescent="0.25">
      <c r="A91" s="13">
        <v>86</v>
      </c>
      <c r="B91" s="13" t="s">
        <v>650</v>
      </c>
      <c r="C91" s="13" t="s">
        <v>589</v>
      </c>
      <c r="D91" s="13" t="s">
        <v>125</v>
      </c>
      <c r="E91" s="3">
        <f>SUMIF(Quantitytable[Dish],receipetable[[#This Row],[Recipe Name]],Quantitytable[Cost Per Dish Per Item])</f>
        <v>36.494285714285716</v>
      </c>
      <c r="F91" s="3">
        <v>3</v>
      </c>
      <c r="G91" s="3"/>
      <c r="H91" s="3">
        <f>receipetable[[#This Row],[Cost of Making]]+receipetable[[#This Row],[PKG Cst]]</f>
        <v>39.494285714285716</v>
      </c>
      <c r="I91" s="3">
        <v>128</v>
      </c>
      <c r="J91" s="3">
        <f>receipetable[[#This Row],[Our Prizing]]-receipetable[[#This Row],[Cost of Making]]-(receipetable[[#This Row],[Our Prizing]]*0.27)-receipetable[[#This Row],[Other Charges]]</f>
        <v>54.945714285714274</v>
      </c>
      <c r="K91" s="17">
        <f>(receipetable[[#This Row],[Our Prizing]]-receipetable[[#This Row],[Cost of Making]]-receipetable[[#This Row],[Other Charges]]-(receipetable[[#This Row],[Our Prizing]]*0.27))/receipetable[[#This Row],[Cost of Making]]</f>
        <v>1.5055977452438734</v>
      </c>
      <c r="L91" s="3">
        <v>2</v>
      </c>
    </row>
    <row r="92" spans="1:12" x14ac:dyDescent="0.25">
      <c r="A92" s="13">
        <v>87</v>
      </c>
      <c r="B92" s="13" t="s">
        <v>651</v>
      </c>
      <c r="C92" s="13" t="s">
        <v>140</v>
      </c>
      <c r="D92" s="13" t="s">
        <v>125</v>
      </c>
      <c r="E92" s="3">
        <f>SUMIF(Quantitytable[Dish],receipetable[[#This Row],[Recipe Name]],Quantitytable[Cost Per Dish Per Item])</f>
        <v>34.765000000000001</v>
      </c>
      <c r="F92" s="3">
        <v>3</v>
      </c>
      <c r="G92" s="3"/>
      <c r="H92" s="3">
        <f>receipetable[[#This Row],[Cost of Making]]+receipetable[[#This Row],[PKG Cst]]</f>
        <v>37.765000000000001</v>
      </c>
      <c r="I92" s="3">
        <v>120</v>
      </c>
      <c r="J92" s="3">
        <f>receipetable[[#This Row],[Our Prizing]]-receipetable[[#This Row],[Cost of Making]]-(receipetable[[#This Row],[Our Prizing]]*0.27)-receipetable[[#This Row],[Other Charges]]</f>
        <v>50.834999999999994</v>
      </c>
      <c r="K92" s="17">
        <f>(receipetable[[#This Row],[Our Prizing]]-receipetable[[#This Row],[Cost of Making]]-receipetable[[#This Row],[Other Charges]]-(receipetable[[#This Row],[Our Prizing]]*0.27))/receipetable[[#This Row],[Cost of Making]]</f>
        <v>1.46224651229685</v>
      </c>
      <c r="L92" s="3">
        <v>2</v>
      </c>
    </row>
    <row r="93" spans="1:12" x14ac:dyDescent="0.25">
      <c r="A93" s="13">
        <v>88</v>
      </c>
      <c r="B93" s="13" t="s">
        <v>652</v>
      </c>
      <c r="C93" s="13" t="s">
        <v>590</v>
      </c>
      <c r="D93" s="13" t="s">
        <v>125</v>
      </c>
      <c r="E93" s="3">
        <f>SUMIF(Quantitytable[Dish],receipetable[[#This Row],[Recipe Name]],Quantitytable[Cost Per Dish Per Item])</f>
        <v>29.108285714285714</v>
      </c>
      <c r="F93" s="3">
        <v>3</v>
      </c>
      <c r="G93" s="3"/>
      <c r="H93" s="3">
        <f>receipetable[[#This Row],[Cost of Making]]+receipetable[[#This Row],[PKG Cst]]</f>
        <v>32.108285714285714</v>
      </c>
      <c r="I93" s="3">
        <v>104</v>
      </c>
      <c r="J93" s="3">
        <f>receipetable[[#This Row],[Our Prizing]]-receipetable[[#This Row],[Cost of Making]]-(receipetable[[#This Row],[Our Prizing]]*0.27)-receipetable[[#This Row],[Other Charges]]</f>
        <v>44.811714285714288</v>
      </c>
      <c r="K93" s="17">
        <f>(receipetable[[#This Row],[Our Prizing]]-receipetable[[#This Row],[Cost of Making]]-receipetable[[#This Row],[Other Charges]]-(receipetable[[#This Row],[Our Prizing]]*0.27))/receipetable[[#This Row],[Cost of Making]]</f>
        <v>1.5394831123195165</v>
      </c>
      <c r="L93" s="3">
        <v>2</v>
      </c>
    </row>
    <row r="94" spans="1:12" x14ac:dyDescent="0.25">
      <c r="A94" s="13">
        <v>89</v>
      </c>
      <c r="B94" s="13" t="s">
        <v>653</v>
      </c>
      <c r="C94" s="13" t="s">
        <v>591</v>
      </c>
      <c r="D94" s="13" t="s">
        <v>125</v>
      </c>
      <c r="E94" s="3">
        <f>SUMIF(Quantitytable[Dish],receipetable[[#This Row],[Recipe Name]],Quantitytable[Cost Per Dish Per Item])</f>
        <v>45.251428571428569</v>
      </c>
      <c r="F94" s="3">
        <v>3</v>
      </c>
      <c r="G94" s="3"/>
      <c r="H94" s="3">
        <f>receipetable[[#This Row],[Cost of Making]]+receipetable[[#This Row],[PKG Cst]]</f>
        <v>48.251428571428569</v>
      </c>
      <c r="I94" s="3">
        <v>160</v>
      </c>
      <c r="J94" s="3">
        <f>receipetable[[#This Row],[Our Prizing]]-receipetable[[#This Row],[Cost of Making]]-(receipetable[[#This Row],[Our Prizing]]*0.27)-receipetable[[#This Row],[Other Charges]]</f>
        <v>69.548571428571435</v>
      </c>
      <c r="K94" s="17">
        <f>(receipetable[[#This Row],[Our Prizing]]-receipetable[[#This Row],[Cost of Making]]-receipetable[[#This Row],[Other Charges]]-(receipetable[[#This Row],[Our Prizing]]*0.27))/receipetable[[#This Row],[Cost of Making]]</f>
        <v>1.5369364818790254</v>
      </c>
      <c r="L94" s="3">
        <v>2</v>
      </c>
    </row>
    <row r="95" spans="1:12" x14ac:dyDescent="0.25">
      <c r="A95" s="13">
        <v>90</v>
      </c>
      <c r="B95" s="13" t="s">
        <v>654</v>
      </c>
      <c r="C95" s="13" t="s">
        <v>592</v>
      </c>
      <c r="D95" s="13" t="s">
        <v>125</v>
      </c>
      <c r="E95" s="3">
        <f>SUMIF(Quantitytable[Dish],receipetable[[#This Row],[Recipe Name]],Quantitytable[Cost Per Dish Per Item])</f>
        <v>39.986547619047613</v>
      </c>
      <c r="F95" s="3">
        <v>3</v>
      </c>
      <c r="G95" s="3"/>
      <c r="H95" s="3">
        <f>receipetable[[#This Row],[Cost of Making]]+receipetable[[#This Row],[PKG Cst]]</f>
        <v>42.986547619047613</v>
      </c>
      <c r="I95" s="3">
        <v>140</v>
      </c>
      <c r="J95" s="3">
        <f>receipetable[[#This Row],[Our Prizing]]-receipetable[[#This Row],[Cost of Making]]-(receipetable[[#This Row],[Our Prizing]]*0.27)-receipetable[[#This Row],[Other Charges]]</f>
        <v>60.213452380952383</v>
      </c>
      <c r="K95" s="17">
        <f>(receipetable[[#This Row],[Our Prizing]]-receipetable[[#This Row],[Cost of Making]]-receipetable[[#This Row],[Other Charges]]-(receipetable[[#This Row],[Our Prizing]]*0.27))/receipetable[[#This Row],[Cost of Making]]</f>
        <v>1.5058427387782203</v>
      </c>
      <c r="L95" s="3">
        <v>2</v>
      </c>
    </row>
    <row r="96" spans="1:12" x14ac:dyDescent="0.25">
      <c r="A96" s="13">
        <v>91</v>
      </c>
      <c r="B96" s="13" t="s">
        <v>655</v>
      </c>
      <c r="C96" s="13" t="s">
        <v>593</v>
      </c>
      <c r="D96" s="13" t="s">
        <v>125</v>
      </c>
      <c r="E96" s="3">
        <f>SUMIF(Quantitytable[Dish],receipetable[[#This Row],[Recipe Name]],Quantitytable[Cost Per Dish Per Item])</f>
        <v>31.913333333333334</v>
      </c>
      <c r="F96" s="3">
        <v>3</v>
      </c>
      <c r="G96" s="3"/>
      <c r="H96" s="3">
        <f>receipetable[[#This Row],[Cost of Making]]+receipetable[[#This Row],[PKG Cst]]</f>
        <v>34.913333333333334</v>
      </c>
      <c r="I96" s="3">
        <v>114</v>
      </c>
      <c r="J96" s="3">
        <f>receipetable[[#This Row],[Our Prizing]]-receipetable[[#This Row],[Cost of Making]]-(receipetable[[#This Row],[Our Prizing]]*0.27)-receipetable[[#This Row],[Other Charges]]</f>
        <v>49.306666666666672</v>
      </c>
      <c r="K96" s="17">
        <f>(receipetable[[#This Row],[Our Prizing]]-receipetable[[#This Row],[Cost of Making]]-receipetable[[#This Row],[Other Charges]]-(receipetable[[#This Row],[Our Prizing]]*0.27))/receipetable[[#This Row],[Cost of Making]]</f>
        <v>1.5450177564236476</v>
      </c>
      <c r="L96" s="3">
        <v>2</v>
      </c>
    </row>
    <row r="97" spans="1:12" x14ac:dyDescent="0.25">
      <c r="A97" s="13">
        <v>92</v>
      </c>
      <c r="B97" s="13" t="s">
        <v>679</v>
      </c>
      <c r="C97" s="13" t="s">
        <v>138</v>
      </c>
      <c r="D97" s="13" t="s">
        <v>125</v>
      </c>
      <c r="E97" s="3">
        <f>SUMIF(Quantitytable[Dish],receipetable[[#This Row],[Recipe Name]],Quantitytable[Cost Per Dish Per Item])</f>
        <v>66.3</v>
      </c>
      <c r="F97" s="3">
        <v>3</v>
      </c>
      <c r="G97" s="3"/>
      <c r="H97" s="3">
        <f>receipetable[[#This Row],[Cost of Making]]+receipetable[[#This Row],[PKG Cst]]</f>
        <v>69.3</v>
      </c>
      <c r="I97" s="3">
        <v>230</v>
      </c>
      <c r="J97" s="3">
        <f>receipetable[[#This Row],[Our Prizing]]-receipetable[[#This Row],[Cost of Making]]-(receipetable[[#This Row],[Our Prizing]]*0.27)-receipetable[[#This Row],[Other Charges]]</f>
        <v>99.6</v>
      </c>
      <c r="K97" s="17">
        <f>(receipetable[[#This Row],[Our Prizing]]-receipetable[[#This Row],[Cost of Making]]-receipetable[[#This Row],[Other Charges]]-(receipetable[[#This Row],[Our Prizing]]*0.27))/receipetable[[#This Row],[Cost of Making]]</f>
        <v>1.502262443438914</v>
      </c>
      <c r="L97" s="3">
        <v>2</v>
      </c>
    </row>
    <row r="98" spans="1:12" x14ac:dyDescent="0.25">
      <c r="A98" s="13">
        <v>93</v>
      </c>
      <c r="B98" s="13" t="s">
        <v>257</v>
      </c>
      <c r="C98" s="13" t="s">
        <v>680</v>
      </c>
      <c r="D98" s="13" t="s">
        <v>125</v>
      </c>
      <c r="E98" s="3">
        <f>SUMIF(Quantitytable[Dish],receipetable[[#This Row],[Recipe Name]],Quantitytable[Cost Per Dish Per Item])</f>
        <v>22.543706293706297</v>
      </c>
      <c r="F98" s="3">
        <v>3</v>
      </c>
      <c r="G98" s="3"/>
      <c r="H98" s="3">
        <f>receipetable[[#This Row],[Cost of Making]]+receipetable[[#This Row],[PKG Cst]]</f>
        <v>25.543706293706297</v>
      </c>
      <c r="I98" s="3">
        <v>80</v>
      </c>
      <c r="J98" s="3">
        <f>receipetable[[#This Row],[Our Prizing]]-receipetable[[#This Row],[Cost of Making]]-(receipetable[[#This Row],[Our Prizing]]*0.27)-receipetable[[#This Row],[Other Charges]]</f>
        <v>33.856293706293705</v>
      </c>
      <c r="K98" s="17">
        <f>(receipetable[[#This Row],[Our Prizing]]-receipetable[[#This Row],[Cost of Making]]-receipetable[[#This Row],[Other Charges]]-(receipetable[[#This Row],[Our Prizing]]*0.27))/receipetable[[#This Row],[Cost of Making]]</f>
        <v>1.5018069018999609</v>
      </c>
      <c r="L98" s="3">
        <v>2</v>
      </c>
    </row>
    <row r="99" spans="1:12" x14ac:dyDescent="0.25"/>
    <row r="100" spans="1:12" x14ac:dyDescent="0.25"/>
    <row r="101" spans="1:12" x14ac:dyDescent="0.25"/>
    <row r="102" spans="1:12" x14ac:dyDescent="0.25"/>
    <row r="103" spans="1:12" x14ac:dyDescent="0.25"/>
    <row r="104" spans="1:12" x14ac:dyDescent="0.25"/>
    <row r="105" spans="1:12" x14ac:dyDescent="0.25"/>
    <row r="106" spans="1:12" x14ac:dyDescent="0.25"/>
    <row r="107" spans="1:12" x14ac:dyDescent="0.25"/>
    <row r="108" spans="1:12" x14ac:dyDescent="0.25"/>
    <row r="109" spans="1:12" x14ac:dyDescent="0.25"/>
    <row r="110" spans="1:12" x14ac:dyDescent="0.25"/>
    <row r="111" spans="1:12" x14ac:dyDescent="0.25"/>
    <row r="112" spans="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342" x14ac:dyDescent="0.25"/>
  </sheetData>
  <phoneticPr fontId="4" type="noConversion"/>
  <conditionalFormatting sqref="B44 B7:B41">
    <cfRule type="duplicateValues" dxfId="15" priority="5"/>
  </conditionalFormatting>
  <conditionalFormatting sqref="B50:B60">
    <cfRule type="duplicateValues" dxfId="14" priority="7"/>
  </conditionalFormatting>
  <conditionalFormatting sqref="B65">
    <cfRule type="duplicateValues" dxfId="13" priority="2"/>
    <cfRule type="duplicateValues" dxfId="12" priority="3"/>
  </conditionalFormatting>
  <conditionalFormatting sqref="B69">
    <cfRule type="duplicateValues" dxfId="11" priority="1"/>
  </conditionalFormatting>
  <dataValidations count="1">
    <dataValidation type="list" allowBlank="1" showInputMessage="1" showErrorMessage="1" sqref="D7:D98" xr:uid="{8865A333-AE59-4FEA-8B94-33062F01817D}">
      <formula1>"Easy,Medium,Hard"</formula1>
    </dataValidation>
  </dataValidation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416E-5CFF-43E4-9348-5D3D790BFEB6}">
  <dimension ref="B1:M187"/>
  <sheetViews>
    <sheetView topLeftCell="A65" workbookViewId="0">
      <selection activeCell="C56" sqref="C56"/>
    </sheetView>
  </sheetViews>
  <sheetFormatPr defaultRowHeight="15" x14ac:dyDescent="0.25"/>
  <cols>
    <col min="2" max="2" width="9.140625" customWidth="1"/>
    <col min="3" max="3" width="39" customWidth="1"/>
    <col min="4" max="4" width="9.140625" customWidth="1"/>
  </cols>
  <sheetData>
    <row r="1" spans="2:13" x14ac:dyDescent="0.25">
      <c r="B1" s="27">
        <v>1</v>
      </c>
      <c r="C1" s="20" t="s">
        <v>127</v>
      </c>
      <c r="D1" s="20" t="s">
        <v>121</v>
      </c>
      <c r="E1" s="20" t="s">
        <v>125</v>
      </c>
      <c r="F1" s="20">
        <f>SUMIF(Quantitytable[Dish],receipetable[[#This Row],[Recipe Name]],Quantitytable[Cost Per Dish Per Item])</f>
        <v>0</v>
      </c>
      <c r="G1" s="20">
        <v>5</v>
      </c>
      <c r="H1" s="20">
        <v>120</v>
      </c>
      <c r="I1" s="20" t="e">
        <f>receipetable[[#This Row],[Cost of Making]]+receipetable[[#This Row],[PKG Cst]]</f>
        <v>#VALUE!</v>
      </c>
      <c r="J1" s="20"/>
      <c r="K1" s="20" t="e">
        <f>receipetable[[#This Row],[Our Prizing]]-receipetable[[#This Row],[Cost of Making]]-(receipetable[[#This Row],[Our Prizing]]*0.27)-receipetable[[#This Row],[Other Charges]]</f>
        <v>#VALUE!</v>
      </c>
      <c r="L1" s="22" t="e">
        <f>(receipetable[[#This Row],[Our Prizing]]-receipetable[[#This Row],[Cost of Making]]-receipetable[[#This Row],[Other Charges]]-(receipetable[[#This Row],[Our Prizing]]*0.27))/receipetable[[#This Row],[Cost of Making]]</f>
        <v>#VALUE!</v>
      </c>
      <c r="M1" s="23">
        <v>2</v>
      </c>
    </row>
    <row r="2" spans="2:13" x14ac:dyDescent="0.25">
      <c r="B2" s="26">
        <v>2</v>
      </c>
      <c r="C2" s="21" t="s">
        <v>147</v>
      </c>
      <c r="D2" s="21" t="s">
        <v>143</v>
      </c>
      <c r="E2" s="21" t="s">
        <v>122</v>
      </c>
      <c r="F2" s="21">
        <f>SUMIF(Quantitytable[Dish],receipetable[[#This Row],[Recipe Name]],Quantitytable[Cost Per Dish Per Item])</f>
        <v>0</v>
      </c>
      <c r="G2" s="21">
        <v>3</v>
      </c>
      <c r="H2" s="21">
        <v>40</v>
      </c>
      <c r="I2" s="21" t="e">
        <f>receipetable[[#This Row],[Cost of Making]]+receipetable[[#This Row],[PKG Cst]]</f>
        <v>#VALUE!</v>
      </c>
      <c r="J2" s="21">
        <v>30</v>
      </c>
      <c r="K2" s="21" t="e">
        <f>receipetable[[#This Row],[Our Prizing]]-receipetable[[#This Row],[Cost of Making]]-(receipetable[[#This Row],[Our Prizing]]*0.27)-receipetable[[#This Row],[Other Charges]]</f>
        <v>#VALUE!</v>
      </c>
      <c r="L2" s="24" t="e">
        <f>(receipetable[[#This Row],[Our Prizing]]-receipetable[[#This Row],[Cost of Making]]-receipetable[[#This Row],[Other Charges]]-(receipetable[[#This Row],[Our Prizing]]*0.27))/receipetable[[#This Row],[Cost of Making]]</f>
        <v>#VALUE!</v>
      </c>
      <c r="M2" s="25">
        <v>2</v>
      </c>
    </row>
    <row r="3" spans="2:13" x14ac:dyDescent="0.25">
      <c r="B3" s="27">
        <v>3</v>
      </c>
      <c r="C3" s="20" t="s">
        <v>81</v>
      </c>
      <c r="D3" s="20" t="s">
        <v>124</v>
      </c>
      <c r="E3" s="20" t="s">
        <v>125</v>
      </c>
      <c r="F3" s="20">
        <f>SUMIF(Quantitytable[Dish],receipetable[[#This Row],[Recipe Name]],Quantitytable[Cost Per Dish Per Item])</f>
        <v>0</v>
      </c>
      <c r="G3" s="20">
        <v>5</v>
      </c>
      <c r="H3" s="20">
        <v>30</v>
      </c>
      <c r="I3" s="20" t="e">
        <f>receipetable[[#This Row],[Cost of Making]]+receipetable[[#This Row],[PKG Cst]]</f>
        <v>#VALUE!</v>
      </c>
      <c r="J3" s="20">
        <v>80</v>
      </c>
      <c r="K3" s="20" t="e">
        <f>receipetable[[#This Row],[Our Prizing]]-receipetable[[#This Row],[Cost of Making]]-(receipetable[[#This Row],[Our Prizing]]*0.27)-receipetable[[#This Row],[Other Charges]]</f>
        <v>#VALUE!</v>
      </c>
      <c r="L3" s="22" t="e">
        <f>(receipetable[[#This Row],[Our Prizing]]-receipetable[[#This Row],[Cost of Making]]-receipetable[[#This Row],[Other Charges]]-(receipetable[[#This Row],[Our Prizing]]*0.27))/receipetable[[#This Row],[Cost of Making]]</f>
        <v>#VALUE!</v>
      </c>
      <c r="M3" s="23">
        <v>2</v>
      </c>
    </row>
    <row r="4" spans="2:13" x14ac:dyDescent="0.25">
      <c r="B4" s="27">
        <v>4</v>
      </c>
      <c r="C4" s="21" t="s">
        <v>150</v>
      </c>
      <c r="D4" s="21" t="s">
        <v>138</v>
      </c>
      <c r="E4" s="21" t="s">
        <v>151</v>
      </c>
      <c r="F4" s="21">
        <f>SUMIF(Quantitytable[Dish],receipetable[[#This Row],[Recipe Name]],Quantitytable[Cost Per Dish Per Item])</f>
        <v>0</v>
      </c>
      <c r="G4" s="21">
        <v>7</v>
      </c>
      <c r="H4" s="21">
        <v>120</v>
      </c>
      <c r="I4" s="21" t="e">
        <f>receipetable[[#This Row],[Cost of Making]]+receipetable[[#This Row],[PKG Cst]]</f>
        <v>#VALUE!</v>
      </c>
      <c r="J4" s="21">
        <v>80</v>
      </c>
      <c r="K4" s="21" t="e">
        <f>receipetable[[#This Row],[Our Prizing]]-receipetable[[#This Row],[Cost of Making]]-(receipetable[[#This Row],[Our Prizing]]*0.27)-receipetable[[#This Row],[Other Charges]]</f>
        <v>#VALUE!</v>
      </c>
      <c r="L4" s="24" t="e">
        <f>(receipetable[[#This Row],[Our Prizing]]-receipetable[[#This Row],[Cost of Making]]-receipetable[[#This Row],[Other Charges]]-(receipetable[[#This Row],[Our Prizing]]*0.27))/receipetable[[#This Row],[Cost of Making]]</f>
        <v>#VALUE!</v>
      </c>
      <c r="M4" s="25">
        <v>2</v>
      </c>
    </row>
    <row r="5" spans="2:13" x14ac:dyDescent="0.25">
      <c r="B5" s="26">
        <v>5</v>
      </c>
      <c r="C5" s="20" t="s">
        <v>152</v>
      </c>
      <c r="D5" s="20" t="s">
        <v>138</v>
      </c>
      <c r="E5" s="20" t="s">
        <v>151</v>
      </c>
      <c r="F5" s="20">
        <f>SUMIF(Quantitytable[Dish],receipetable[[#This Row],[Recipe Name]],Quantitytable[Cost Per Dish Per Item])</f>
        <v>0</v>
      </c>
      <c r="G5" s="20">
        <v>7</v>
      </c>
      <c r="H5" s="20">
        <v>135</v>
      </c>
      <c r="I5" s="20" t="e">
        <f>receipetable[[#This Row],[Cost of Making]]+receipetable[[#This Row],[PKG Cst]]</f>
        <v>#VALUE!</v>
      </c>
      <c r="J5" s="20">
        <v>80</v>
      </c>
      <c r="K5" s="20" t="e">
        <f>receipetable[[#This Row],[Our Prizing]]-receipetable[[#This Row],[Cost of Making]]-(receipetable[[#This Row],[Our Prizing]]*0.27)-receipetable[[#This Row],[Other Charges]]</f>
        <v>#VALUE!</v>
      </c>
      <c r="L5" s="22" t="e">
        <f>(receipetable[[#This Row],[Our Prizing]]-receipetable[[#This Row],[Cost of Making]]-receipetable[[#This Row],[Other Charges]]-(receipetable[[#This Row],[Our Prizing]]*0.27))/receipetable[[#This Row],[Cost of Making]]</f>
        <v>#VALUE!</v>
      </c>
      <c r="M5" s="23">
        <v>2</v>
      </c>
    </row>
    <row r="6" spans="2:13" x14ac:dyDescent="0.25">
      <c r="B6" s="27">
        <v>6</v>
      </c>
      <c r="C6" s="21" t="s">
        <v>153</v>
      </c>
      <c r="D6" s="21" t="s">
        <v>124</v>
      </c>
      <c r="E6" s="21" t="s">
        <v>125</v>
      </c>
      <c r="F6" s="21">
        <f>SUMIF(Quantitytable[Dish],receipetable[[#This Row],[Recipe Name]],Quantitytable[Cost Per Dish Per Item])</f>
        <v>0</v>
      </c>
      <c r="G6" s="21">
        <v>5</v>
      </c>
      <c r="H6" s="21">
        <v>135</v>
      </c>
      <c r="I6" s="21" t="e">
        <f>receipetable[[#This Row],[Cost of Making]]+receipetable[[#This Row],[PKG Cst]]</f>
        <v>#VALUE!</v>
      </c>
      <c r="J6" s="21">
        <v>55</v>
      </c>
      <c r="K6" s="21" t="e">
        <f>receipetable[[#This Row],[Our Prizing]]-receipetable[[#This Row],[Cost of Making]]-(receipetable[[#This Row],[Our Prizing]]*0.27)-receipetable[[#This Row],[Other Charges]]</f>
        <v>#VALUE!</v>
      </c>
      <c r="L6" s="24" t="e">
        <f>(receipetable[[#This Row],[Our Prizing]]-receipetable[[#This Row],[Cost of Making]]-receipetable[[#This Row],[Other Charges]]-(receipetable[[#This Row],[Our Prizing]]*0.27))/receipetable[[#This Row],[Cost of Making]]</f>
        <v>#VALUE!</v>
      </c>
      <c r="M6" s="25">
        <v>2</v>
      </c>
    </row>
    <row r="7" spans="2:13" x14ac:dyDescent="0.25">
      <c r="B7" s="27">
        <v>7</v>
      </c>
      <c r="C7" s="20" t="s">
        <v>159</v>
      </c>
      <c r="D7" s="20" t="s">
        <v>160</v>
      </c>
      <c r="E7" s="20" t="s">
        <v>151</v>
      </c>
      <c r="F7" s="20">
        <f>SUMIF(Quantitytable[Dish],receipetable[[#This Row],[Recipe Name]],Quantitytable[Cost Per Dish Per Item])</f>
        <v>15.911758241758243</v>
      </c>
      <c r="G7" s="20">
        <v>7</v>
      </c>
      <c r="H7" s="20">
        <v>120</v>
      </c>
      <c r="I7" s="20">
        <f>receipetable[[#This Row],[Cost of Making]]+receipetable[[#This Row],[PKG Cst]]</f>
        <v>18.911758241758243</v>
      </c>
      <c r="J7" s="20">
        <v>100</v>
      </c>
      <c r="K7" s="20">
        <f>receipetable[[#This Row],[Our Prizing]]-receipetable[[#This Row],[Cost of Making]]-(receipetable[[#This Row],[Our Prizing]]*0.27)-receipetable[[#This Row],[Other Charges]]</f>
        <v>27.348241758241755</v>
      </c>
      <c r="L7" s="22">
        <f>(receipetable[[#This Row],[Our Prizing]]-receipetable[[#This Row],[Cost of Making]]-receipetable[[#This Row],[Other Charges]]-(receipetable[[#This Row],[Our Prizing]]*0.27))/receipetable[[#This Row],[Cost of Making]]</f>
        <v>1.7187441728765096</v>
      </c>
      <c r="M7" s="23">
        <v>2</v>
      </c>
    </row>
    <row r="8" spans="2:13" x14ac:dyDescent="0.25">
      <c r="B8" s="26">
        <v>8</v>
      </c>
      <c r="C8" s="21" t="s">
        <v>28</v>
      </c>
      <c r="D8" s="21" t="s">
        <v>124</v>
      </c>
      <c r="E8" s="21" t="s">
        <v>125</v>
      </c>
      <c r="F8" s="21">
        <f>SUMIF(Quantitytable[Dish],receipetable[[#This Row],[Recipe Name]],Quantitytable[Cost Per Dish Per Item])</f>
        <v>47.316102540972935</v>
      </c>
      <c r="G8" s="21">
        <v>5</v>
      </c>
      <c r="H8" s="21">
        <v>115</v>
      </c>
      <c r="I8" s="21">
        <f>receipetable[[#This Row],[Cost of Making]]+receipetable[[#This Row],[PKG Cst]]</f>
        <v>52.316102540972935</v>
      </c>
      <c r="J8" s="21">
        <v>20</v>
      </c>
      <c r="K8" s="21">
        <f>receipetable[[#This Row],[Our Prizing]]-receipetable[[#This Row],[Cost of Making]]-(receipetable[[#This Row],[Our Prizing]]*0.27)-receipetable[[#This Row],[Other Charges]]</f>
        <v>38.28389745902706</v>
      </c>
      <c r="L8" s="24">
        <f>(receipetable[[#This Row],[Our Prizing]]-receipetable[[#This Row],[Cost of Making]]-receipetable[[#This Row],[Other Charges]]-(receipetable[[#This Row],[Our Prizing]]*0.27))/receipetable[[#This Row],[Cost of Making]]</f>
        <v>0.80910927576664793</v>
      </c>
      <c r="M8" s="25">
        <v>2</v>
      </c>
    </row>
    <row r="9" spans="2:13" x14ac:dyDescent="0.25">
      <c r="B9" s="27">
        <v>9</v>
      </c>
      <c r="C9" s="20" t="s">
        <v>161</v>
      </c>
      <c r="D9" s="20" t="s">
        <v>124</v>
      </c>
      <c r="E9" s="20" t="s">
        <v>125</v>
      </c>
      <c r="F9" s="20">
        <f>SUMIF(Quantitytable[Dish],receipetable[[#This Row],[Recipe Name]],Quantitytable[Cost Per Dish Per Item])</f>
        <v>33.383516483516487</v>
      </c>
      <c r="G9" s="20">
        <v>5</v>
      </c>
      <c r="H9" s="20">
        <v>150</v>
      </c>
      <c r="I9" s="20">
        <f>receipetable[[#This Row],[Cost of Making]]+receipetable[[#This Row],[PKG Cst]]</f>
        <v>36.383516483516487</v>
      </c>
      <c r="J9" s="20">
        <v>100</v>
      </c>
      <c r="K9" s="20">
        <f>receipetable[[#This Row],[Our Prizing]]-receipetable[[#This Row],[Cost of Making]]-(receipetable[[#This Row],[Our Prizing]]*0.27)-receipetable[[#This Row],[Other Charges]]</f>
        <v>55.866483516483513</v>
      </c>
      <c r="L9" s="22">
        <f>(receipetable[[#This Row],[Our Prizing]]-receipetable[[#This Row],[Cost of Making]]-receipetable[[#This Row],[Other Charges]]-(receipetable[[#This Row],[Our Prizing]]*0.27))/receipetable[[#This Row],[Cost of Making]]</f>
        <v>1.6734750979294903</v>
      </c>
      <c r="M9" s="23">
        <v>2</v>
      </c>
    </row>
    <row r="10" spans="2:13" x14ac:dyDescent="0.25">
      <c r="B10" s="27">
        <v>10</v>
      </c>
      <c r="C10" s="21" t="s">
        <v>162</v>
      </c>
      <c r="D10" s="21" t="s">
        <v>124</v>
      </c>
      <c r="E10" s="21" t="s">
        <v>125</v>
      </c>
      <c r="F10" s="21">
        <f>SUMIF(Quantitytable[Dish],receipetable[[#This Row],[Recipe Name]],Quantitytable[Cost Per Dish Per Item])</f>
        <v>27.297516483516485</v>
      </c>
      <c r="G10" s="21">
        <v>5</v>
      </c>
      <c r="H10" s="21">
        <v>150</v>
      </c>
      <c r="I10" s="21">
        <f>receipetable[[#This Row],[Cost of Making]]+receipetable[[#This Row],[PKG Cst]]</f>
        <v>32.297516483516489</v>
      </c>
      <c r="J10" s="21">
        <v>100</v>
      </c>
      <c r="K10" s="21">
        <f>receipetable[[#This Row],[Our Prizing]]-receipetable[[#This Row],[Cost of Making]]-(receipetable[[#This Row],[Our Prizing]]*0.27)-receipetable[[#This Row],[Other Charges]]</f>
        <v>40.782483516483509</v>
      </c>
      <c r="L10" s="24">
        <f>(receipetable[[#This Row],[Our Prizing]]-receipetable[[#This Row],[Cost of Making]]-receipetable[[#This Row],[Other Charges]]-(receipetable[[#This Row],[Our Prizing]]*0.27))/receipetable[[#This Row],[Cost of Making]]</f>
        <v>1.4939997761741395</v>
      </c>
      <c r="M10" s="25">
        <v>2</v>
      </c>
    </row>
    <row r="11" spans="2:13" x14ac:dyDescent="0.25">
      <c r="B11" s="26">
        <v>11</v>
      </c>
    </row>
    <row r="12" spans="2:13" x14ac:dyDescent="0.25">
      <c r="B12" s="27">
        <v>12</v>
      </c>
      <c r="C12" s="21" t="s">
        <v>164</v>
      </c>
      <c r="D12" s="21" t="s">
        <v>160</v>
      </c>
      <c r="E12" s="21" t="s">
        <v>151</v>
      </c>
      <c r="F12" s="21">
        <f>SUMIF(Quantitytable[Dish],receipetable[[#This Row],[Recipe Name]],Quantitytable[Cost Per Dish Per Item])</f>
        <v>15.601692224912563</v>
      </c>
      <c r="G12" s="21">
        <v>7</v>
      </c>
      <c r="H12" s="21">
        <v>250</v>
      </c>
      <c r="I12" s="21">
        <f>receipetable[[#This Row],[Cost of Making]]+receipetable[[#This Row],[PKG Cst]]</f>
        <v>18.601692224912561</v>
      </c>
      <c r="J12" s="21"/>
      <c r="K12" s="21">
        <f>receipetable[[#This Row],[Our Prizing]]-receipetable[[#This Row],[Cost of Making]]-(receipetable[[#This Row],[Our Prizing]]*0.27)-receipetable[[#This Row],[Other Charges]]</f>
        <v>23.278307775087438</v>
      </c>
      <c r="L12" s="24">
        <f>(receipetable[[#This Row],[Our Prizing]]-receipetable[[#This Row],[Cost of Making]]-receipetable[[#This Row],[Other Charges]]-(receipetable[[#This Row],[Our Prizing]]*0.27))/receipetable[[#This Row],[Cost of Making]]</f>
        <v>1.4920373661721746</v>
      </c>
      <c r="M12" s="25">
        <v>2</v>
      </c>
    </row>
    <row r="13" spans="2:13" x14ac:dyDescent="0.25">
      <c r="B13" s="27">
        <v>13</v>
      </c>
      <c r="C13" s="20" t="s">
        <v>165</v>
      </c>
      <c r="D13" s="20" t="s">
        <v>124</v>
      </c>
      <c r="E13" s="20" t="s">
        <v>125</v>
      </c>
      <c r="F13" s="20">
        <f>SUMIF(Quantitytable[Dish],receipetable[[#This Row],[Recipe Name]],Quantitytable[Cost Per Dish Per Item])</f>
        <v>21.354853479853478</v>
      </c>
      <c r="G13" s="20">
        <v>5</v>
      </c>
      <c r="H13" s="20">
        <v>160</v>
      </c>
      <c r="I13" s="20">
        <f>receipetable[[#This Row],[Cost of Making]]+receipetable[[#This Row],[PKG Cst]]</f>
        <v>24.354853479853478</v>
      </c>
      <c r="J13" s="20"/>
      <c r="K13" s="20">
        <f>receipetable[[#This Row],[Our Prizing]]-receipetable[[#This Row],[Cost of Making]]-(receipetable[[#This Row],[Our Prizing]]*0.27)-receipetable[[#This Row],[Other Charges]]</f>
        <v>21.905146520146523</v>
      </c>
      <c r="L13" s="22">
        <f>(receipetable[[#This Row],[Our Prizing]]-receipetable[[#This Row],[Cost of Making]]-receipetable[[#This Row],[Other Charges]]-(receipetable[[#This Row],[Our Prizing]]*0.27))/receipetable[[#This Row],[Cost of Making]]</f>
        <v>1.0257689916164585</v>
      </c>
      <c r="M13" s="23">
        <v>2</v>
      </c>
    </row>
    <row r="14" spans="2:13" x14ac:dyDescent="0.25">
      <c r="B14" s="26">
        <v>14</v>
      </c>
      <c r="C14" s="21" t="s">
        <v>166</v>
      </c>
      <c r="D14" s="21" t="s">
        <v>140</v>
      </c>
      <c r="E14" s="21" t="s">
        <v>125</v>
      </c>
      <c r="F14" s="21">
        <f>SUMIF(Quantitytable[Dish],receipetable[[#This Row],[Recipe Name]],Quantitytable[Cost Per Dish Per Item])</f>
        <v>28.581367643102439</v>
      </c>
      <c r="G14" s="21">
        <v>5</v>
      </c>
      <c r="H14" s="21">
        <v>200</v>
      </c>
      <c r="I14" s="21">
        <f>receipetable[[#This Row],[Cost of Making]]+receipetable[[#This Row],[PKG Cst]]</f>
        <v>33.581367643102439</v>
      </c>
      <c r="J14" s="21"/>
      <c r="K14" s="21">
        <f>receipetable[[#This Row],[Our Prizing]]-receipetable[[#This Row],[Cost of Making]]-(receipetable[[#This Row],[Our Prizing]]*0.27)-receipetable[[#This Row],[Other Charges]]</f>
        <v>42.418632356897561</v>
      </c>
      <c r="L14" s="24">
        <f>(receipetable[[#This Row],[Our Prizing]]-receipetable[[#This Row],[Cost of Making]]-receipetable[[#This Row],[Other Charges]]-(receipetable[[#This Row],[Our Prizing]]*0.27))/receipetable[[#This Row],[Cost of Making]]</f>
        <v>1.4841358498509247</v>
      </c>
      <c r="M14" s="25">
        <v>2</v>
      </c>
    </row>
    <row r="15" spans="2:13" x14ac:dyDescent="0.25">
      <c r="B15" s="27">
        <v>15</v>
      </c>
      <c r="C15" s="20" t="s">
        <v>167</v>
      </c>
      <c r="D15" s="20" t="s">
        <v>124</v>
      </c>
      <c r="E15" s="20" t="s">
        <v>125</v>
      </c>
      <c r="F15" s="20">
        <f>SUMIF(Quantitytable[Dish],receipetable[[#This Row],[Recipe Name]],Quantitytable[Cost Per Dish Per Item])</f>
        <v>27.313743535138425</v>
      </c>
      <c r="G15" s="20">
        <v>5</v>
      </c>
      <c r="H15" s="20">
        <v>150</v>
      </c>
      <c r="I15" s="20">
        <f>receipetable[[#This Row],[Cost of Making]]+receipetable[[#This Row],[PKG Cst]]</f>
        <v>30.313743535138425</v>
      </c>
      <c r="J15" s="20"/>
      <c r="K15" s="20">
        <f>receipetable[[#This Row],[Our Prizing]]-receipetable[[#This Row],[Cost of Making]]-(receipetable[[#This Row],[Our Prizing]]*0.27)-receipetable[[#This Row],[Other Charges]]</f>
        <v>153.18625646486157</v>
      </c>
      <c r="L15" s="22">
        <f>(receipetable[[#This Row],[Our Prizing]]-receipetable[[#This Row],[Cost of Making]]-receipetable[[#This Row],[Other Charges]]-(receipetable[[#This Row],[Our Prizing]]*0.27))/receipetable[[#This Row],[Cost of Making]]</f>
        <v>5.6083947726825292</v>
      </c>
      <c r="M15" s="23">
        <v>2</v>
      </c>
    </row>
    <row r="16" spans="2:13" x14ac:dyDescent="0.25">
      <c r="B16" s="27">
        <v>16</v>
      </c>
      <c r="C16" s="21" t="s">
        <v>168</v>
      </c>
      <c r="D16" s="21" t="s">
        <v>130</v>
      </c>
      <c r="E16" s="21" t="s">
        <v>122</v>
      </c>
      <c r="F16" s="21">
        <f>SUMIF(Quantitytable[Dish],receipetable[[#This Row],[Recipe Name]],Quantitytable[Cost Per Dish Per Item])</f>
        <v>38.879940237092192</v>
      </c>
      <c r="G16" s="21">
        <v>3</v>
      </c>
      <c r="H16" s="21">
        <v>110</v>
      </c>
      <c r="I16" s="21">
        <f>receipetable[[#This Row],[Cost of Making]]+receipetable[[#This Row],[PKG Cst]]</f>
        <v>41.879940237092192</v>
      </c>
      <c r="J16" s="21"/>
      <c r="K16" s="21">
        <f>receipetable[[#This Row],[Our Prizing]]-receipetable[[#This Row],[Cost of Making]]-(receipetable[[#This Row],[Our Prizing]]*0.27)-receipetable[[#This Row],[Other Charges]]</f>
        <v>57.670059762907798</v>
      </c>
      <c r="L16" s="24">
        <f>(receipetable[[#This Row],[Our Prizing]]-receipetable[[#This Row],[Cost of Making]]-receipetable[[#This Row],[Other Charges]]-(receipetable[[#This Row],[Our Prizing]]*0.27))/receipetable[[#This Row],[Cost of Making]]</f>
        <v>1.4832857100919481</v>
      </c>
      <c r="M16" s="25">
        <v>2</v>
      </c>
    </row>
    <row r="17" spans="2:13" x14ac:dyDescent="0.25">
      <c r="B17" s="26">
        <v>17</v>
      </c>
      <c r="C17" s="20" t="s">
        <v>170</v>
      </c>
      <c r="D17" s="20" t="s">
        <v>136</v>
      </c>
      <c r="E17" s="20" t="s">
        <v>122</v>
      </c>
      <c r="F17" s="20">
        <f>SUMIF(Quantitytable[Dish],receipetable[[#This Row],[Recipe Name]],Quantitytable[Cost Per Dish Per Item])</f>
        <v>62.371346455654873</v>
      </c>
      <c r="G17" s="20">
        <v>3</v>
      </c>
      <c r="H17" s="20">
        <v>56</v>
      </c>
      <c r="I17" s="20">
        <f>receipetable[[#This Row],[Cost of Making]]+receipetable[[#This Row],[PKG Cst]]</f>
        <v>67.371346455654873</v>
      </c>
      <c r="J17" s="20"/>
      <c r="K17" s="20">
        <f>receipetable[[#This Row],[Our Prizing]]-receipetable[[#This Row],[Cost of Making]]-(receipetable[[#This Row],[Our Prizing]]*0.27)-receipetable[[#This Row],[Other Charges]]</f>
        <v>227.62865354434513</v>
      </c>
      <c r="L17" s="22">
        <f>(receipetable[[#This Row],[Our Prizing]]-receipetable[[#This Row],[Cost of Making]]-receipetable[[#This Row],[Other Charges]]-(receipetable[[#This Row],[Our Prizing]]*0.27))/receipetable[[#This Row],[Cost of Making]]</f>
        <v>3.6495709404988688</v>
      </c>
      <c r="M17" s="23">
        <v>2</v>
      </c>
    </row>
    <row r="18" spans="2:13" x14ac:dyDescent="0.25">
      <c r="B18" s="27">
        <v>18</v>
      </c>
      <c r="C18" s="21" t="s">
        <v>171</v>
      </c>
      <c r="D18" s="21" t="s">
        <v>130</v>
      </c>
      <c r="E18" s="21" t="s">
        <v>122</v>
      </c>
      <c r="F18" s="21">
        <f>SUMIF(Quantitytable[Dish],receipetable[[#This Row],[Recipe Name]],Quantitytable[Cost Per Dish Per Item])</f>
        <v>18.492324561403507</v>
      </c>
      <c r="G18" s="21">
        <v>3</v>
      </c>
      <c r="H18" s="21">
        <v>75</v>
      </c>
      <c r="I18" s="21">
        <f>receipetable[[#This Row],[Cost of Making]]+receipetable[[#This Row],[PKG Cst]]</f>
        <v>23.492324561403507</v>
      </c>
      <c r="J18" s="21"/>
      <c r="K18" s="21">
        <f>receipetable[[#This Row],[Our Prizing]]-receipetable[[#This Row],[Cost of Making]]-(receipetable[[#This Row],[Our Prizing]]*0.27)-receipetable[[#This Row],[Other Charges]]</f>
        <v>26.957675438596493</v>
      </c>
      <c r="L18" s="24">
        <f>(receipetable[[#This Row],[Our Prizing]]-receipetable[[#This Row],[Cost of Making]]-receipetable[[#This Row],[Other Charges]]-(receipetable[[#This Row],[Our Prizing]]*0.27))/receipetable[[#This Row],[Cost of Making]]</f>
        <v>1.4577764601245184</v>
      </c>
      <c r="M18" s="25">
        <v>2</v>
      </c>
    </row>
    <row r="19" spans="2:13" x14ac:dyDescent="0.25">
      <c r="B19" s="27">
        <v>19</v>
      </c>
      <c r="C19" s="20" t="s">
        <v>172</v>
      </c>
      <c r="D19" s="20" t="s">
        <v>136</v>
      </c>
      <c r="E19" s="20" t="s">
        <v>122</v>
      </c>
      <c r="F19" s="20">
        <f>SUMIF(Quantitytable[Dish],receipetable[[#This Row],[Recipe Name]],Quantitytable[Cost Per Dish Per Item])</f>
        <v>10.54078947368421</v>
      </c>
      <c r="G19" s="20">
        <v>3</v>
      </c>
      <c r="H19" s="20">
        <v>60</v>
      </c>
      <c r="I19" s="20">
        <f>receipetable[[#This Row],[Cost of Making]]+receipetable[[#This Row],[PKG Cst]]</f>
        <v>13.54078947368421</v>
      </c>
      <c r="J19" s="20"/>
      <c r="K19" s="20">
        <f>receipetable[[#This Row],[Our Prizing]]-receipetable[[#This Row],[Cost of Making]]-(receipetable[[#This Row],[Our Prizing]]*0.27)-receipetable[[#This Row],[Other Charges]]</f>
        <v>15.199210526315788</v>
      </c>
      <c r="L19" s="22">
        <f>(receipetable[[#This Row],[Our Prizing]]-receipetable[[#This Row],[Cost of Making]]-receipetable[[#This Row],[Other Charges]]-(receipetable[[#This Row],[Our Prizing]]*0.27))/receipetable[[#This Row],[Cost of Making]]</f>
        <v>1.4419423292972162</v>
      </c>
      <c r="M19" s="23">
        <v>2</v>
      </c>
    </row>
    <row r="20" spans="2:13" x14ac:dyDescent="0.25">
      <c r="B20" s="26">
        <v>20</v>
      </c>
      <c r="C20" s="21" t="s">
        <v>173</v>
      </c>
      <c r="D20" s="21" t="s">
        <v>174</v>
      </c>
      <c r="E20" s="21" t="s">
        <v>122</v>
      </c>
      <c r="F20" s="21">
        <f>SUMIF(Quantitytable[Dish],receipetable[[#This Row],[Recipe Name]],Quantitytable[Cost Per Dish Per Item])</f>
        <v>10.75</v>
      </c>
      <c r="G20" s="21">
        <v>3</v>
      </c>
      <c r="H20" s="21">
        <v>50</v>
      </c>
      <c r="I20" s="21">
        <f>receipetable[[#This Row],[Cost of Making]]+receipetable[[#This Row],[PKG Cst]]</f>
        <v>13.75</v>
      </c>
      <c r="J20" s="21"/>
      <c r="K20" s="21">
        <f>receipetable[[#This Row],[Our Prizing]]-receipetable[[#This Row],[Cost of Making]]-(receipetable[[#This Row],[Our Prizing]]*0.27)-receipetable[[#This Row],[Other Charges]]</f>
        <v>16.45</v>
      </c>
      <c r="L20" s="24">
        <f>(receipetable[[#This Row],[Our Prizing]]-receipetable[[#This Row],[Cost of Making]]-receipetable[[#This Row],[Other Charges]]-(receipetable[[#This Row],[Our Prizing]]*0.27))/receipetable[[#This Row],[Cost of Making]]</f>
        <v>1.5302325581395348</v>
      </c>
      <c r="M20" s="25">
        <v>2</v>
      </c>
    </row>
    <row r="21" spans="2:13" x14ac:dyDescent="0.25">
      <c r="B21" s="27">
        <v>21</v>
      </c>
      <c r="C21" s="20" t="s">
        <v>175</v>
      </c>
      <c r="D21" s="20" t="s">
        <v>121</v>
      </c>
      <c r="E21" s="20" t="s">
        <v>122</v>
      </c>
      <c r="F21" s="20">
        <f>SUMIF(Quantitytable[Dish],receipetable[[#This Row],[Recipe Name]],Quantitytable[Cost Per Dish Per Item])</f>
        <v>16.299999999999997</v>
      </c>
      <c r="G21" s="20">
        <v>3</v>
      </c>
      <c r="H21" s="20">
        <v>50</v>
      </c>
      <c r="I21" s="20">
        <f>receipetable[[#This Row],[Cost of Making]]+receipetable[[#This Row],[PKG Cst]]</f>
        <v>19.299999999999997</v>
      </c>
      <c r="J21" s="20"/>
      <c r="K21" s="20">
        <f>receipetable[[#This Row],[Our Prizing]]-receipetable[[#This Row],[Cost of Making]]-(receipetable[[#This Row],[Our Prizing]]*0.27)-receipetable[[#This Row],[Other Charges]]</f>
        <v>25.5</v>
      </c>
      <c r="L21" s="22">
        <f>(receipetable[[#This Row],[Our Prizing]]-receipetable[[#This Row],[Cost of Making]]-receipetable[[#This Row],[Other Charges]]-(receipetable[[#This Row],[Our Prizing]]*0.27))/receipetable[[#This Row],[Cost of Making]]</f>
        <v>1.5644171779141107</v>
      </c>
      <c r="M21" s="23">
        <v>2</v>
      </c>
    </row>
    <row r="22" spans="2:13" x14ac:dyDescent="0.25">
      <c r="B22" s="27">
        <v>22</v>
      </c>
      <c r="C22" s="21" t="s">
        <v>176</v>
      </c>
      <c r="D22" s="21" t="s">
        <v>124</v>
      </c>
      <c r="E22" s="21" t="s">
        <v>125</v>
      </c>
      <c r="F22" s="21">
        <f>SUMIF(Quantitytable[Dish],receipetable[[#This Row],[Recipe Name]],Quantitytable[Cost Per Dish Per Item])</f>
        <v>16.899999999999999</v>
      </c>
      <c r="G22" s="21">
        <v>5</v>
      </c>
      <c r="H22" s="21">
        <v>60</v>
      </c>
      <c r="I22" s="21">
        <f>receipetable[[#This Row],[Cost of Making]]+receipetable[[#This Row],[PKG Cst]]</f>
        <v>19.899999999999999</v>
      </c>
      <c r="J22" s="21"/>
      <c r="K22" s="21">
        <f>receipetable[[#This Row],[Our Prizing]]-receipetable[[#This Row],[Cost of Making]]-(receipetable[[#This Row],[Our Prizing]]*0.27)-receipetable[[#This Row],[Other Charges]]</f>
        <v>28.55</v>
      </c>
      <c r="L22" s="24">
        <f>(receipetable[[#This Row],[Our Prizing]]-receipetable[[#This Row],[Cost of Making]]-receipetable[[#This Row],[Other Charges]]-(receipetable[[#This Row],[Our Prizing]]*0.27))/receipetable[[#This Row],[Cost of Making]]</f>
        <v>1.6893491124260356</v>
      </c>
      <c r="M22" s="25">
        <v>2</v>
      </c>
    </row>
    <row r="23" spans="2:13" x14ac:dyDescent="0.25">
      <c r="B23" s="26">
        <v>23</v>
      </c>
      <c r="C23" s="20" t="s">
        <v>177</v>
      </c>
      <c r="D23" s="20" t="s">
        <v>124</v>
      </c>
      <c r="E23" s="20" t="s">
        <v>125</v>
      </c>
      <c r="F23" s="20">
        <f>SUMIF(Quantitytable[Dish],receipetable[[#This Row],[Recipe Name]],Quantitytable[Cost Per Dish Per Item])</f>
        <v>16.899999999999999</v>
      </c>
      <c r="G23" s="20">
        <v>5</v>
      </c>
      <c r="H23" s="20">
        <v>135</v>
      </c>
      <c r="I23" s="20">
        <f>receipetable[[#This Row],[Cost of Making]]+receipetable[[#This Row],[PKG Cst]]</f>
        <v>19.899999999999999</v>
      </c>
      <c r="J23" s="20"/>
      <c r="K23" s="20">
        <f>receipetable[[#This Row],[Our Prizing]]-receipetable[[#This Row],[Cost of Making]]-(receipetable[[#This Row],[Our Prizing]]*0.27)-receipetable[[#This Row],[Other Charges]]</f>
        <v>28.55</v>
      </c>
      <c r="L23" s="22">
        <f>(receipetable[[#This Row],[Our Prizing]]-receipetable[[#This Row],[Cost of Making]]-receipetable[[#This Row],[Other Charges]]-(receipetable[[#This Row],[Our Prizing]]*0.27))/receipetable[[#This Row],[Cost of Making]]</f>
        <v>1.6893491124260356</v>
      </c>
      <c r="M23" s="23">
        <v>2</v>
      </c>
    </row>
    <row r="24" spans="2:13" x14ac:dyDescent="0.25">
      <c r="B24" s="27">
        <v>24</v>
      </c>
      <c r="C24" s="21" t="s">
        <v>178</v>
      </c>
      <c r="D24" s="21" t="s">
        <v>124</v>
      </c>
      <c r="E24" s="21" t="s">
        <v>125</v>
      </c>
      <c r="F24" s="21">
        <f>SUMIF(Quantitytable[Dish],receipetable[[#This Row],[Recipe Name]],Quantitytable[Cost Per Dish Per Item])</f>
        <v>2.75</v>
      </c>
      <c r="G24" s="21">
        <v>5</v>
      </c>
      <c r="H24" s="21">
        <v>150</v>
      </c>
      <c r="I24" s="21">
        <f>receipetable[[#This Row],[Cost of Making]]+receipetable[[#This Row],[PKG Cst]]</f>
        <v>5.75</v>
      </c>
      <c r="J24" s="21"/>
      <c r="K24" s="21">
        <f>receipetable[[#This Row],[Our Prizing]]-receipetable[[#This Row],[Cost of Making]]-(receipetable[[#This Row],[Our Prizing]]*0.27)-receipetable[[#This Row],[Other Charges]]</f>
        <v>17.149999999999999</v>
      </c>
      <c r="L24" s="24">
        <f>(receipetable[[#This Row],[Our Prizing]]-receipetable[[#This Row],[Cost of Making]]-receipetable[[#This Row],[Other Charges]]-(receipetable[[#This Row],[Our Prizing]]*0.27))/receipetable[[#This Row],[Cost of Making]]</f>
        <v>6.2363636363636354</v>
      </c>
      <c r="M24" s="25">
        <v>2</v>
      </c>
    </row>
    <row r="25" spans="2:13" x14ac:dyDescent="0.25">
      <c r="B25" s="27">
        <v>25</v>
      </c>
      <c r="C25" s="20" t="s">
        <v>180</v>
      </c>
      <c r="D25" s="20" t="s">
        <v>129</v>
      </c>
      <c r="E25" s="20" t="s">
        <v>125</v>
      </c>
      <c r="F25" s="20">
        <f>SUMIF(Quantitytable[Dish],receipetable[[#This Row],[Recipe Name]],Quantitytable[Cost Per Dish Per Item])</f>
        <v>9.0399999999999991</v>
      </c>
      <c r="G25" s="20">
        <v>5</v>
      </c>
      <c r="H25" s="20">
        <v>225</v>
      </c>
      <c r="I25" s="20">
        <f>receipetable[[#This Row],[Cost of Making]]+receipetable[[#This Row],[PKG Cst]]</f>
        <v>12.04</v>
      </c>
      <c r="J25" s="20"/>
      <c r="K25" s="20">
        <f>receipetable[[#This Row],[Our Prizing]]-receipetable[[#This Row],[Cost of Making]]-(receipetable[[#This Row],[Our Prizing]]*0.27)-receipetable[[#This Row],[Other Charges]]</f>
        <v>18.16</v>
      </c>
      <c r="L25" s="22">
        <f>(receipetable[[#This Row],[Our Prizing]]-receipetable[[#This Row],[Cost of Making]]-receipetable[[#This Row],[Other Charges]]-(receipetable[[#This Row],[Our Prizing]]*0.27))/receipetable[[#This Row],[Cost of Making]]</f>
        <v>2.0088495575221241</v>
      </c>
      <c r="M25" s="23">
        <v>2</v>
      </c>
    </row>
    <row r="26" spans="2:13" x14ac:dyDescent="0.25">
      <c r="B26" s="26">
        <v>26</v>
      </c>
      <c r="C26" s="21" t="s">
        <v>181</v>
      </c>
      <c r="D26" s="21" t="s">
        <v>140</v>
      </c>
      <c r="E26" s="21" t="s">
        <v>125</v>
      </c>
      <c r="F26" s="21">
        <f>SUMIF(Quantitytable[Dish],receipetable[[#This Row],[Recipe Name]],Quantitytable[Cost Per Dish Per Item])</f>
        <v>27.606407186262679</v>
      </c>
      <c r="G26" s="21">
        <v>5</v>
      </c>
      <c r="H26" s="21">
        <v>150</v>
      </c>
      <c r="I26" s="21">
        <f>receipetable[[#This Row],[Cost of Making]]+receipetable[[#This Row],[PKG Cst]]</f>
        <v>32.606407186262679</v>
      </c>
      <c r="J26" s="21"/>
      <c r="K26" s="21">
        <f>receipetable[[#This Row],[Our Prizing]]-receipetable[[#This Row],[Cost of Making]]-(receipetable[[#This Row],[Our Prizing]]*0.27)-receipetable[[#This Row],[Other Charges]]</f>
        <v>43.393592813737314</v>
      </c>
      <c r="L26" s="24">
        <f>(receipetable[[#This Row],[Our Prizing]]-receipetable[[#This Row],[Cost of Making]]-receipetable[[#This Row],[Other Charges]]-(receipetable[[#This Row],[Our Prizing]]*0.27))/receipetable[[#This Row],[Cost of Making]]</f>
        <v>1.5718667235818558</v>
      </c>
      <c r="M26" s="25">
        <v>2</v>
      </c>
    </row>
    <row r="27" spans="2:13" x14ac:dyDescent="0.25">
      <c r="B27" s="27">
        <v>27</v>
      </c>
      <c r="C27" s="20" t="s">
        <v>182</v>
      </c>
      <c r="D27" s="20" t="s">
        <v>129</v>
      </c>
      <c r="E27" s="20" t="s">
        <v>125</v>
      </c>
      <c r="F27" s="20">
        <f>SUMIF(Quantitytable[Dish],receipetable[[#This Row],[Recipe Name]],Quantitytable[Cost Per Dish Per Item])</f>
        <v>15.797483610961976</v>
      </c>
      <c r="G27" s="20">
        <v>5</v>
      </c>
      <c r="H27" s="20">
        <v>135</v>
      </c>
      <c r="I27" s="20">
        <f>receipetable[[#This Row],[Cost of Making]]+receipetable[[#This Row],[PKG Cst]]</f>
        <v>18.797483610961976</v>
      </c>
      <c r="J27" s="20"/>
      <c r="K27" s="20">
        <f>receipetable[[#This Row],[Our Prizing]]-receipetable[[#This Row],[Cost of Making]]-(receipetable[[#This Row],[Our Prizing]]*0.27)-receipetable[[#This Row],[Other Charges]]</f>
        <v>23.082516389038023</v>
      </c>
      <c r="L27" s="22">
        <f>(receipetable[[#This Row],[Our Prizing]]-receipetable[[#This Row],[Cost of Making]]-receipetable[[#This Row],[Other Charges]]-(receipetable[[#This Row],[Our Prizing]]*0.27))/receipetable[[#This Row],[Cost of Making]]</f>
        <v>1.4611514692771015</v>
      </c>
      <c r="M27" s="23">
        <v>2</v>
      </c>
    </row>
    <row r="28" spans="2:13" x14ac:dyDescent="0.25">
      <c r="B28" s="27">
        <v>28</v>
      </c>
      <c r="C28" s="21" t="s">
        <v>183</v>
      </c>
      <c r="D28" s="21" t="s">
        <v>124</v>
      </c>
      <c r="E28" s="21" t="s">
        <v>125</v>
      </c>
      <c r="F28" s="21">
        <f>SUMIF(Quantitytable[Dish],receipetable[[#This Row],[Recipe Name]],Quantitytable[Cost Per Dish Per Item])</f>
        <v>16.024073809080353</v>
      </c>
      <c r="G28" s="21">
        <v>5</v>
      </c>
      <c r="H28" s="21">
        <v>150</v>
      </c>
      <c r="I28" s="21">
        <f>receipetable[[#This Row],[Cost of Making]]+receipetable[[#This Row],[PKG Cst]]</f>
        <v>19.024073809080353</v>
      </c>
      <c r="J28" s="21"/>
      <c r="K28" s="21">
        <f>receipetable[[#This Row],[Our Prizing]]-receipetable[[#This Row],[Cost of Making]]-(receipetable[[#This Row],[Our Prizing]]*0.27)-receipetable[[#This Row],[Other Charges]]</f>
        <v>25.775926190919648</v>
      </c>
      <c r="L28" s="24">
        <f>(receipetable[[#This Row],[Our Prizing]]-receipetable[[#This Row],[Cost of Making]]-receipetable[[#This Row],[Other Charges]]-(receipetable[[#This Row],[Our Prizing]]*0.27))/receipetable[[#This Row],[Cost of Making]]</f>
        <v>1.6085751038111931</v>
      </c>
      <c r="M28" s="25">
        <v>2</v>
      </c>
    </row>
    <row r="29" spans="2:13" x14ac:dyDescent="0.25">
      <c r="B29" s="26">
        <v>29</v>
      </c>
      <c r="C29" s="20" t="s">
        <v>184</v>
      </c>
      <c r="D29" s="20" t="s">
        <v>124</v>
      </c>
      <c r="E29" s="20" t="s">
        <v>125</v>
      </c>
      <c r="F29" s="20">
        <f>SUMIF(Quantitytable[Dish],receipetable[[#This Row],[Recipe Name]],Quantitytable[Cost Per Dish Per Item])</f>
        <v>5.55</v>
      </c>
      <c r="G29" s="20">
        <v>5</v>
      </c>
      <c r="H29" s="20">
        <v>150</v>
      </c>
      <c r="I29" s="20">
        <f>receipetable[[#This Row],[Cost of Making]]+receipetable[[#This Row],[PKG Cst]]</f>
        <v>8.5500000000000007</v>
      </c>
      <c r="J29" s="20"/>
      <c r="K29" s="20">
        <f>receipetable[[#This Row],[Our Prizing]]-receipetable[[#This Row],[Cost of Making]]-(receipetable[[#This Row],[Our Prizing]]*0.27)-receipetable[[#This Row],[Other Charges]]</f>
        <v>28.950000000000003</v>
      </c>
      <c r="L29" s="22">
        <f>(receipetable[[#This Row],[Our Prizing]]-receipetable[[#This Row],[Cost of Making]]-receipetable[[#This Row],[Other Charges]]-(receipetable[[#This Row],[Our Prizing]]*0.27))/receipetable[[#This Row],[Cost of Making]]</f>
        <v>5.2162162162162167</v>
      </c>
      <c r="M29" s="23">
        <v>2</v>
      </c>
    </row>
    <row r="30" spans="2:13" x14ac:dyDescent="0.25">
      <c r="B30" s="27">
        <v>30</v>
      </c>
      <c r="C30" s="21" t="s">
        <v>187</v>
      </c>
      <c r="D30" s="21" t="s">
        <v>188</v>
      </c>
      <c r="E30" s="21" t="s">
        <v>125</v>
      </c>
      <c r="F30" s="21">
        <f>SUMIF(Quantitytable[Dish],receipetable[[#This Row],[Recipe Name]],Quantitytable[Cost Per Dish Per Item])</f>
        <v>17.808182809360328</v>
      </c>
      <c r="G30" s="21">
        <v>5</v>
      </c>
      <c r="H30" s="21">
        <v>120</v>
      </c>
      <c r="I30" s="21">
        <f>receipetable[[#This Row],[Cost of Making]]+receipetable[[#This Row],[PKG Cst]]</f>
        <v>20.808182809360328</v>
      </c>
      <c r="J30" s="21"/>
      <c r="K30" s="21">
        <f>receipetable[[#This Row],[Our Prizing]]-receipetable[[#This Row],[Cost of Making]]-(receipetable[[#This Row],[Our Prizing]]*0.27)-receipetable[[#This Row],[Other Charges]]</f>
        <v>25.451817190639666</v>
      </c>
      <c r="L30" s="24">
        <f>(receipetable[[#This Row],[Our Prizing]]-receipetable[[#This Row],[Cost of Making]]-receipetable[[#This Row],[Other Charges]]-(receipetable[[#This Row],[Our Prizing]]*0.27))/receipetable[[#This Row],[Cost of Making]]</f>
        <v>1.4292203456751182</v>
      </c>
      <c r="M30" s="25">
        <v>2</v>
      </c>
    </row>
    <row r="31" spans="2:13" x14ac:dyDescent="0.25">
      <c r="B31" s="27">
        <v>31</v>
      </c>
      <c r="C31" s="20" t="s">
        <v>179</v>
      </c>
      <c r="D31" s="20" t="s">
        <v>129</v>
      </c>
      <c r="E31" s="20" t="s">
        <v>125</v>
      </c>
      <c r="F31" s="20">
        <f>SUMIF(Quantitytable[Dish],receipetable[[#This Row],[Recipe Name]],Quantitytable[Cost Per Dish Per Item])</f>
        <v>5.9619999999999997</v>
      </c>
      <c r="G31" s="20">
        <v>5</v>
      </c>
      <c r="H31" s="20">
        <v>150</v>
      </c>
      <c r="I31" s="20">
        <f>receipetable[[#This Row],[Cost of Making]]+receipetable[[#This Row],[PKG Cst]]</f>
        <v>15.962</v>
      </c>
      <c r="J31" s="20"/>
      <c r="K31" s="20">
        <f>receipetable[[#This Row],[Our Prizing]]-receipetable[[#This Row],[Cost of Making]]-(receipetable[[#This Row],[Our Prizing]]*0.27)-receipetable[[#This Row],[Other Charges]]</f>
        <v>8.097999999999999</v>
      </c>
      <c r="L31" s="22">
        <f>(receipetable[[#This Row],[Our Prizing]]-receipetable[[#This Row],[Cost of Making]]-receipetable[[#This Row],[Other Charges]]-(receipetable[[#This Row],[Our Prizing]]*0.27))/receipetable[[#This Row],[Cost of Making]]</f>
        <v>1.3582690372358268</v>
      </c>
      <c r="M31" s="23">
        <v>2</v>
      </c>
    </row>
    <row r="32" spans="2:13" x14ac:dyDescent="0.25">
      <c r="B32" s="26">
        <v>32</v>
      </c>
      <c r="C32" s="21" t="s">
        <v>189</v>
      </c>
      <c r="D32" s="21" t="s">
        <v>190</v>
      </c>
      <c r="E32" s="21" t="s">
        <v>125</v>
      </c>
      <c r="F32" s="21">
        <f>SUMIF(Quantitytable[Dish],receipetable[[#This Row],[Recipe Name]],Quantitytable[Cost Per Dish Per Item])</f>
        <v>14.285714285714285</v>
      </c>
      <c r="G32" s="21">
        <v>5</v>
      </c>
      <c r="H32" s="21">
        <v>120</v>
      </c>
      <c r="I32" s="21">
        <f>receipetable[[#This Row],[Cost of Making]]+receipetable[[#This Row],[PKG Cst]]</f>
        <v>17.285714285714285</v>
      </c>
      <c r="J32" s="21"/>
      <c r="K32" s="21">
        <f>receipetable[[#This Row],[Our Prizing]]-receipetable[[#This Row],[Cost of Making]]-(receipetable[[#This Row],[Our Prizing]]*0.27)-receipetable[[#This Row],[Other Charges]]</f>
        <v>21.674285714285716</v>
      </c>
      <c r="L32" s="24">
        <f>(receipetable[[#This Row],[Our Prizing]]-receipetable[[#This Row],[Cost of Making]]-receipetable[[#This Row],[Other Charges]]-(receipetable[[#This Row],[Our Prizing]]*0.27))/receipetable[[#This Row],[Cost of Making]]</f>
        <v>1.5172000000000003</v>
      </c>
      <c r="M32" s="25">
        <v>2</v>
      </c>
    </row>
    <row r="33" spans="2:13" x14ac:dyDescent="0.25">
      <c r="B33" s="27">
        <v>33</v>
      </c>
      <c r="C33" s="20" t="s">
        <v>191</v>
      </c>
      <c r="D33" s="20" t="s">
        <v>121</v>
      </c>
      <c r="E33" s="20" t="s">
        <v>122</v>
      </c>
      <c r="F33" s="20">
        <f>SUMIF(Quantitytable[Dish],receipetable[[#This Row],[Recipe Name]],Quantitytable[Cost Per Dish Per Item])</f>
        <v>20.25</v>
      </c>
      <c r="G33" s="20">
        <v>3</v>
      </c>
      <c r="H33" s="20">
        <v>115</v>
      </c>
      <c r="I33" s="20">
        <f>receipetable[[#This Row],[Cost of Making]]+receipetable[[#This Row],[PKG Cst]]</f>
        <v>25.25</v>
      </c>
      <c r="J33" s="20"/>
      <c r="K33" s="20">
        <f>receipetable[[#This Row],[Our Prizing]]-receipetable[[#This Row],[Cost of Making]]-(receipetable[[#This Row],[Our Prizing]]*0.27)-receipetable[[#This Row],[Other Charges]]</f>
        <v>28.849999999999998</v>
      </c>
      <c r="L33" s="22">
        <f>(receipetable[[#This Row],[Our Prizing]]-receipetable[[#This Row],[Cost of Making]]-receipetable[[#This Row],[Other Charges]]-(receipetable[[#This Row],[Our Prizing]]*0.27))/receipetable[[#This Row],[Cost of Making]]</f>
        <v>1.4246913580246912</v>
      </c>
      <c r="M33" s="23">
        <v>2</v>
      </c>
    </row>
    <row r="34" spans="2:13" x14ac:dyDescent="0.25">
      <c r="B34" s="27">
        <v>34</v>
      </c>
      <c r="C34" s="21" t="s">
        <v>192</v>
      </c>
      <c r="D34" s="21" t="s">
        <v>129</v>
      </c>
      <c r="E34" s="21" t="s">
        <v>125</v>
      </c>
      <c r="F34" s="21">
        <f>SUMIF(Quantitytable[Dish],receipetable[[#This Row],[Recipe Name]],Quantitytable[Cost Per Dish Per Item])</f>
        <v>29.75</v>
      </c>
      <c r="G34" s="21">
        <v>5</v>
      </c>
      <c r="H34" s="21">
        <v>120</v>
      </c>
      <c r="I34" s="21">
        <f>receipetable[[#This Row],[Cost of Making]]+receipetable[[#This Row],[PKG Cst]]</f>
        <v>32.75</v>
      </c>
      <c r="J34" s="21"/>
      <c r="K34" s="21">
        <f>receipetable[[#This Row],[Our Prizing]]-receipetable[[#This Row],[Cost of Making]]-(receipetable[[#This Row],[Our Prizing]]*0.27)-receipetable[[#This Row],[Other Charges]]</f>
        <v>44.9</v>
      </c>
      <c r="L34" s="24">
        <f>(receipetable[[#This Row],[Our Prizing]]-receipetable[[#This Row],[Cost of Making]]-receipetable[[#This Row],[Other Charges]]-(receipetable[[#This Row],[Our Prizing]]*0.27))/receipetable[[#This Row],[Cost of Making]]</f>
        <v>1.5092436974789916</v>
      </c>
      <c r="M34" s="25">
        <v>2</v>
      </c>
    </row>
    <row r="35" spans="2:13" x14ac:dyDescent="0.25">
      <c r="B35" s="26">
        <v>35</v>
      </c>
      <c r="C35" s="20" t="s">
        <v>193</v>
      </c>
      <c r="D35" s="20" t="s">
        <v>121</v>
      </c>
      <c r="E35" s="20" t="s">
        <v>122</v>
      </c>
      <c r="F35" s="20">
        <f>SUMIF(Quantitytable[Dish],receipetable[[#This Row],[Recipe Name]],Quantitytable[Cost Per Dish Per Item])</f>
        <v>32.606043956043955</v>
      </c>
      <c r="G35" s="20">
        <v>3</v>
      </c>
      <c r="H35" s="20">
        <v>115</v>
      </c>
      <c r="I35" s="20">
        <f>receipetable[[#This Row],[Cost of Making]]+receipetable[[#This Row],[PKG Cst]]</f>
        <v>37.606043956043955</v>
      </c>
      <c r="J35" s="20"/>
      <c r="K35" s="20">
        <f>receipetable[[#This Row],[Our Prizing]]-receipetable[[#This Row],[Cost of Making]]-(receipetable[[#This Row],[Our Prizing]]*0.27)-receipetable[[#This Row],[Other Charges]]</f>
        <v>45.693956043956049</v>
      </c>
      <c r="L35" s="22">
        <f>(receipetable[[#This Row],[Our Prizing]]-receipetable[[#This Row],[Cost of Making]]-receipetable[[#This Row],[Other Charges]]-(receipetable[[#This Row],[Our Prizing]]*0.27))/receipetable[[#This Row],[Cost of Making]]</f>
        <v>1.4013952782973562</v>
      </c>
      <c r="M35" s="23">
        <v>2</v>
      </c>
    </row>
    <row r="36" spans="2:13" x14ac:dyDescent="0.25">
      <c r="B36" s="27">
        <v>36</v>
      </c>
      <c r="C36" s="21" t="s">
        <v>194</v>
      </c>
      <c r="D36" s="21" t="s">
        <v>121</v>
      </c>
      <c r="E36" s="21" t="s">
        <v>122</v>
      </c>
      <c r="F36" s="21">
        <f>SUMIF(Quantitytable[Dish],receipetable[[#This Row],[Recipe Name]],Quantitytable[Cost Per Dish Per Item])</f>
        <v>24.248901098901101</v>
      </c>
      <c r="G36" s="21">
        <v>3</v>
      </c>
      <c r="H36" s="21">
        <v>112</v>
      </c>
      <c r="I36" s="21">
        <f>receipetable[[#This Row],[Cost of Making]]+receipetable[[#This Row],[PKG Cst]]</f>
        <v>27.248901098901101</v>
      </c>
      <c r="J36" s="21"/>
      <c r="K36" s="21">
        <f>receipetable[[#This Row],[Our Prizing]]-receipetable[[#This Row],[Cost of Making]]-(receipetable[[#This Row],[Our Prizing]]*0.27)-receipetable[[#This Row],[Other Charges]]</f>
        <v>39.451098901098902</v>
      </c>
      <c r="L36" s="24">
        <f>(receipetable[[#This Row],[Our Prizing]]-receipetable[[#This Row],[Cost of Making]]-receipetable[[#This Row],[Other Charges]]-(receipetable[[#This Row],[Our Prizing]]*0.27))/receipetable[[#This Row],[Cost of Making]]</f>
        <v>1.6269231640722361</v>
      </c>
      <c r="M36" s="25">
        <v>2</v>
      </c>
    </row>
    <row r="37" spans="2:13" x14ac:dyDescent="0.25">
      <c r="B37" s="27">
        <v>37</v>
      </c>
      <c r="C37" s="20" t="s">
        <v>195</v>
      </c>
      <c r="D37" s="20" t="s">
        <v>130</v>
      </c>
      <c r="E37" s="20" t="s">
        <v>122</v>
      </c>
      <c r="F37" s="20">
        <f>SUMIF(Quantitytable[Dish],receipetable[[#This Row],[Recipe Name]],Quantitytable[Cost Per Dish Per Item])</f>
        <v>15.634615384615385</v>
      </c>
      <c r="G37" s="20">
        <v>3</v>
      </c>
      <c r="H37" s="20">
        <v>120</v>
      </c>
      <c r="I37" s="20">
        <f>receipetable[[#This Row],[Cost of Making]]+receipetable[[#This Row],[PKG Cst]]</f>
        <v>18.634615384615387</v>
      </c>
      <c r="J37" s="20"/>
      <c r="K37" s="20">
        <f>receipetable[[#This Row],[Our Prizing]]-receipetable[[#This Row],[Cost of Making]]-(receipetable[[#This Row],[Our Prizing]]*0.27)-receipetable[[#This Row],[Other Charges]]</f>
        <v>26.16538461538461</v>
      </c>
      <c r="L37" s="22">
        <f>(receipetable[[#This Row],[Our Prizing]]-receipetable[[#This Row],[Cost of Making]]-receipetable[[#This Row],[Other Charges]]-(receipetable[[#This Row],[Our Prizing]]*0.27))/receipetable[[#This Row],[Cost of Making]]</f>
        <v>1.673554735547355</v>
      </c>
      <c r="M37" s="23">
        <v>2</v>
      </c>
    </row>
    <row r="38" spans="2:13" x14ac:dyDescent="0.25">
      <c r="B38" s="26">
        <v>38</v>
      </c>
      <c r="C38" s="21" t="s">
        <v>196</v>
      </c>
      <c r="D38" s="21" t="s">
        <v>124</v>
      </c>
      <c r="E38" s="21" t="s">
        <v>125</v>
      </c>
      <c r="F38" s="21">
        <f>SUMIF(Quantitytable[Dish],receipetable[[#This Row],[Recipe Name]],Quantitytable[Cost Per Dish Per Item])</f>
        <v>29.540567765567765</v>
      </c>
      <c r="G38" s="21">
        <v>5</v>
      </c>
      <c r="H38" s="21">
        <v>140</v>
      </c>
      <c r="I38" s="21">
        <f>receipetable[[#This Row],[Cost of Making]]+receipetable[[#This Row],[PKG Cst]]</f>
        <v>34.540567765567765</v>
      </c>
      <c r="J38" s="21"/>
      <c r="K38" s="21">
        <f>receipetable[[#This Row],[Our Prizing]]-receipetable[[#This Row],[Cost of Making]]-(receipetable[[#This Row],[Our Prizing]]*0.27)-receipetable[[#This Row],[Other Charges]]</f>
        <v>30.509432234432232</v>
      </c>
      <c r="L38" s="24">
        <f>(receipetable[[#This Row],[Our Prizing]]-receipetable[[#This Row],[Cost of Making]]-receipetable[[#This Row],[Other Charges]]-(receipetable[[#This Row],[Our Prizing]]*0.27))/receipetable[[#This Row],[Cost of Making]]</f>
        <v>1.0327977605763476</v>
      </c>
      <c r="M38" s="25">
        <v>2</v>
      </c>
    </row>
    <row r="39" spans="2:13" x14ac:dyDescent="0.25">
      <c r="B39" s="27">
        <v>39</v>
      </c>
      <c r="C39" s="20" t="s">
        <v>197</v>
      </c>
      <c r="D39" s="20" t="s">
        <v>121</v>
      </c>
      <c r="E39" s="20" t="s">
        <v>122</v>
      </c>
      <c r="F39" s="20">
        <f>SUMIF(Quantitytable[Dish],receipetable[[#This Row],[Recipe Name]],Quantitytable[Cost Per Dish Per Item])</f>
        <v>12.344285714285714</v>
      </c>
      <c r="G39" s="20">
        <v>3</v>
      </c>
      <c r="H39" s="20">
        <v>135</v>
      </c>
      <c r="I39" s="20">
        <f>receipetable[[#This Row],[Cost of Making]]+receipetable[[#This Row],[PKG Cst]]</f>
        <v>17.344285714285714</v>
      </c>
      <c r="J39" s="20"/>
      <c r="K39" s="20">
        <f>receipetable[[#This Row],[Our Prizing]]-receipetable[[#This Row],[Cost of Making]]-(receipetable[[#This Row],[Our Prizing]]*0.27)-receipetable[[#This Row],[Other Charges]]</f>
        <v>22.155714285714282</v>
      </c>
      <c r="L39" s="22">
        <f>(receipetable[[#This Row],[Our Prizing]]-receipetable[[#This Row],[Cost of Making]]-receipetable[[#This Row],[Other Charges]]-(receipetable[[#This Row],[Our Prizing]]*0.27))/receipetable[[#This Row],[Cost of Making]]</f>
        <v>1.7948154148825364</v>
      </c>
      <c r="M39" s="23">
        <v>2</v>
      </c>
    </row>
    <row r="40" spans="2:13" x14ac:dyDescent="0.25">
      <c r="B40" s="27">
        <v>40</v>
      </c>
      <c r="C40" s="21" t="s">
        <v>198</v>
      </c>
      <c r="D40" s="21" t="s">
        <v>124</v>
      </c>
      <c r="E40" s="21" t="s">
        <v>125</v>
      </c>
      <c r="F40" s="21">
        <f>SUMIF(Quantitytable[Dish],receipetable[[#This Row],[Recipe Name]],Quantitytable[Cost Per Dish Per Item])</f>
        <v>29.576893939393941</v>
      </c>
      <c r="G40" s="21">
        <v>5</v>
      </c>
      <c r="H40" s="21">
        <v>230</v>
      </c>
      <c r="I40" s="21">
        <f>receipetable[[#This Row],[Cost of Making]]+receipetable[[#This Row],[PKG Cst]]</f>
        <v>34.576893939393941</v>
      </c>
      <c r="J40" s="21"/>
      <c r="K40" s="21">
        <f>receipetable[[#This Row],[Our Prizing]]-receipetable[[#This Row],[Cost of Making]]-(receipetable[[#This Row],[Our Prizing]]*0.27)-receipetable[[#This Row],[Other Charges]]</f>
        <v>45.073106060606058</v>
      </c>
      <c r="L40" s="24">
        <f>(receipetable[[#This Row],[Our Prizing]]-receipetable[[#This Row],[Cost of Making]]-receipetable[[#This Row],[Other Charges]]-(receipetable[[#This Row],[Our Prizing]]*0.27))/receipetable[[#This Row],[Cost of Making]]</f>
        <v>1.5239296645876821</v>
      </c>
      <c r="M40" s="25">
        <v>2</v>
      </c>
    </row>
    <row r="41" spans="2:13" x14ac:dyDescent="0.25">
      <c r="B41" s="26">
        <v>41</v>
      </c>
      <c r="C41" s="20" t="s">
        <v>199</v>
      </c>
      <c r="D41" s="20" t="s">
        <v>129</v>
      </c>
      <c r="E41" s="20" t="s">
        <v>125</v>
      </c>
      <c r="F41" s="20">
        <f>SUMIF(Quantitytable[Dish],receipetable[[#This Row],[Recipe Name]],Quantitytable[Cost Per Dish Per Item])</f>
        <v>37.6</v>
      </c>
      <c r="G41" s="20">
        <v>5</v>
      </c>
      <c r="H41" s="20">
        <v>225</v>
      </c>
      <c r="I41" s="20">
        <f>receipetable[[#This Row],[Cost of Making]]+receipetable[[#This Row],[PKG Cst]]</f>
        <v>42.6</v>
      </c>
      <c r="J41" s="20"/>
      <c r="K41" s="20">
        <f>receipetable[[#This Row],[Our Prizing]]-receipetable[[#This Row],[Cost of Making]]-(receipetable[[#This Row],[Our Prizing]]*0.27)-receipetable[[#This Row],[Other Charges]]</f>
        <v>10.039999999999999</v>
      </c>
      <c r="L41" s="22">
        <f>(receipetable[[#This Row],[Our Prizing]]-receipetable[[#This Row],[Cost of Making]]-receipetable[[#This Row],[Other Charges]]-(receipetable[[#This Row],[Our Prizing]]*0.27))/receipetable[[#This Row],[Cost of Making]]</f>
        <v>0.26702127659574465</v>
      </c>
      <c r="M41" s="23">
        <v>2</v>
      </c>
    </row>
    <row r="42" spans="2:13" x14ac:dyDescent="0.25">
      <c r="B42" s="27">
        <v>42</v>
      </c>
      <c r="C42" s="21" t="s">
        <v>200</v>
      </c>
      <c r="D42" s="21" t="s">
        <v>129</v>
      </c>
      <c r="E42" s="21" t="s">
        <v>125</v>
      </c>
      <c r="F42" s="21">
        <f>SUMIF(Quantitytable[Dish],receipetable[[#This Row],[Recipe Name]],Quantitytable[Cost Per Dish Per Item])</f>
        <v>7</v>
      </c>
      <c r="G42" s="21">
        <v>5</v>
      </c>
      <c r="H42" s="21">
        <v>188</v>
      </c>
      <c r="I42" s="21">
        <f>receipetable[[#This Row],[Cost of Making]]+receipetable[[#This Row],[PKG Cst]]</f>
        <v>10</v>
      </c>
      <c r="J42" s="21"/>
      <c r="K42" s="21">
        <f>receipetable[[#This Row],[Our Prizing]]-receipetable[[#This Row],[Cost of Making]]-(receipetable[[#This Row],[Our Prizing]]*0.27)-receipetable[[#This Row],[Other Charges]]</f>
        <v>7.0599999999999987</v>
      </c>
      <c r="L42" s="24">
        <f>(receipetable[[#This Row],[Our Prizing]]-receipetable[[#This Row],[Cost of Making]]-receipetable[[#This Row],[Other Charges]]-(receipetable[[#This Row],[Our Prizing]]*0.27))/receipetable[[#This Row],[Cost of Making]]</f>
        <v>1.0085714285714285</v>
      </c>
      <c r="M42" s="25">
        <v>2</v>
      </c>
    </row>
    <row r="43" spans="2:13" x14ac:dyDescent="0.25">
      <c r="B43" s="27">
        <v>43</v>
      </c>
      <c r="C43" s="20" t="s">
        <v>201</v>
      </c>
      <c r="D43" s="20" t="s">
        <v>124</v>
      </c>
      <c r="E43" s="20" t="s">
        <v>125</v>
      </c>
      <c r="F43" s="20">
        <f>SUMIF(Quantitytable[Dish],receipetable[[#This Row],[Recipe Name]],Quantitytable[Cost Per Dish Per Item])</f>
        <v>24.548901098901101</v>
      </c>
      <c r="G43" s="20">
        <v>5</v>
      </c>
      <c r="H43" s="20">
        <v>160</v>
      </c>
      <c r="I43" s="20">
        <f>receipetable[[#This Row],[Cost of Making]]+receipetable[[#This Row],[PKG Cst]]</f>
        <v>29.548901098901101</v>
      </c>
      <c r="J43" s="20"/>
      <c r="K43" s="20">
        <f>receipetable[[#This Row],[Our Prizing]]-receipetable[[#This Row],[Cost of Making]]-(receipetable[[#This Row],[Our Prizing]]*0.27)-receipetable[[#This Row],[Other Charges]]</f>
        <v>39.151098901098905</v>
      </c>
      <c r="L43" s="22">
        <f>(receipetable[[#This Row],[Our Prizing]]-receipetable[[#This Row],[Cost of Making]]-receipetable[[#This Row],[Other Charges]]-(receipetable[[#This Row],[Our Prizing]]*0.27))/receipetable[[#This Row],[Cost of Making]]</f>
        <v>1.5948208330535598</v>
      </c>
      <c r="M43" s="23">
        <v>2</v>
      </c>
    </row>
    <row r="44" spans="2:13" x14ac:dyDescent="0.25">
      <c r="B44" s="26">
        <v>44</v>
      </c>
      <c r="C44" s="21" t="s">
        <v>202</v>
      </c>
      <c r="D44" s="21" t="s">
        <v>129</v>
      </c>
      <c r="E44" s="21" t="s">
        <v>125</v>
      </c>
      <c r="F44" s="21">
        <f>SUMIF(Quantitytable[Dish],receipetable[[#This Row],[Recipe Name]],Quantitytable[Cost Per Dish Per Item])</f>
        <v>8.1</v>
      </c>
      <c r="G44" s="21">
        <v>5</v>
      </c>
      <c r="H44" s="21">
        <v>150</v>
      </c>
      <c r="I44" s="21">
        <f>receipetable[[#This Row],[Cost of Making]]+receipetable[[#This Row],[PKG Cst]]</f>
        <v>11.1</v>
      </c>
      <c r="J44" s="21"/>
      <c r="K44" s="21">
        <f>receipetable[[#This Row],[Our Prizing]]-receipetable[[#This Row],[Cost of Making]]-(receipetable[[#This Row],[Our Prizing]]*0.27)-receipetable[[#This Row],[Other Charges]]</f>
        <v>13.259999999999998</v>
      </c>
      <c r="L44" s="24">
        <f>(receipetable[[#This Row],[Our Prizing]]-receipetable[[#This Row],[Cost of Making]]-receipetable[[#This Row],[Other Charges]]-(receipetable[[#This Row],[Our Prizing]]*0.27))/receipetable[[#This Row],[Cost of Making]]</f>
        <v>1.6370370370370368</v>
      </c>
      <c r="M44" s="25">
        <v>2</v>
      </c>
    </row>
    <row r="45" spans="2:13" x14ac:dyDescent="0.25">
      <c r="B45" s="27">
        <v>45</v>
      </c>
      <c r="C45" s="20" t="s">
        <v>203</v>
      </c>
      <c r="D45" s="20" t="s">
        <v>129</v>
      </c>
      <c r="E45" s="20" t="s">
        <v>125</v>
      </c>
      <c r="F45" s="20">
        <f>SUMIF(Quantitytable[Dish],receipetable[[#This Row],[Recipe Name]],Quantitytable[Cost Per Dish Per Item])</f>
        <v>44.4</v>
      </c>
      <c r="G45" s="20">
        <v>5</v>
      </c>
      <c r="H45" s="20">
        <v>150</v>
      </c>
      <c r="I45" s="20">
        <f>receipetable[[#This Row],[Cost of Making]]+receipetable[[#This Row],[PKG Cst]]</f>
        <v>47.4</v>
      </c>
      <c r="J45" s="20"/>
      <c r="K45" s="20">
        <f>receipetable[[#This Row],[Our Prizing]]-receipetable[[#This Row],[Cost of Making]]-(receipetable[[#This Row],[Our Prizing]]*0.27)-receipetable[[#This Row],[Other Charges]]</f>
        <v>158</v>
      </c>
      <c r="L45" s="22">
        <f>(receipetable[[#This Row],[Our Prizing]]-receipetable[[#This Row],[Cost of Making]]-receipetable[[#This Row],[Other Charges]]-(receipetable[[#This Row],[Our Prizing]]*0.27))/receipetable[[#This Row],[Cost of Making]]</f>
        <v>3.5585585585585586</v>
      </c>
      <c r="M45" s="23">
        <v>2</v>
      </c>
    </row>
    <row r="46" spans="2:13" x14ac:dyDescent="0.25">
      <c r="B46" s="27">
        <v>46</v>
      </c>
      <c r="C46" s="21" t="s">
        <v>204</v>
      </c>
      <c r="D46" s="21" t="s">
        <v>124</v>
      </c>
      <c r="E46" s="21" t="s">
        <v>125</v>
      </c>
      <c r="F46" s="21">
        <f>SUMIF(Quantitytable[Dish],receipetable[[#This Row],[Recipe Name]],Quantitytable[Cost Per Dish Per Item])</f>
        <v>32.702793627664015</v>
      </c>
      <c r="G46" s="21">
        <v>5</v>
      </c>
      <c r="H46" s="21">
        <v>150</v>
      </c>
      <c r="I46" s="21">
        <f>receipetable[[#This Row],[Cost of Making]]+receipetable[[#This Row],[PKG Cst]]</f>
        <v>37.702793627664015</v>
      </c>
      <c r="J46" s="21"/>
      <c r="K46" s="21">
        <f>receipetable[[#This Row],[Our Prizing]]-receipetable[[#This Row],[Cost of Making]]-(receipetable[[#This Row],[Our Prizing]]*0.27)-receipetable[[#This Row],[Other Charges]]</f>
        <v>49.247206372335981</v>
      </c>
      <c r="L46" s="24">
        <f>(receipetable[[#This Row],[Our Prizing]]-receipetable[[#This Row],[Cost of Making]]-receipetable[[#This Row],[Other Charges]]-(receipetable[[#This Row],[Our Prizing]]*0.27))/receipetable[[#This Row],[Cost of Making]]</f>
        <v>1.5059021236239793</v>
      </c>
      <c r="M46" s="25">
        <v>2</v>
      </c>
    </row>
    <row r="47" spans="2:13" x14ac:dyDescent="0.25">
      <c r="B47" s="26">
        <v>47</v>
      </c>
      <c r="C47" s="20" t="s">
        <v>205</v>
      </c>
      <c r="D47" s="20" t="s">
        <v>138</v>
      </c>
      <c r="E47" s="20" t="s">
        <v>151</v>
      </c>
      <c r="F47" s="20">
        <f>SUMIF(Quantitytable[Dish],receipetable[[#This Row],[Recipe Name]],Quantitytable[Cost Per Dish Per Item])</f>
        <v>17.162901098901099</v>
      </c>
      <c r="G47" s="20">
        <v>7</v>
      </c>
      <c r="H47" s="20">
        <v>195</v>
      </c>
      <c r="I47" s="20">
        <f>receipetable[[#This Row],[Cost of Making]]+receipetable[[#This Row],[PKG Cst]]</f>
        <v>22.162901098901099</v>
      </c>
      <c r="J47" s="20"/>
      <c r="K47" s="20">
        <f>receipetable[[#This Row],[Our Prizing]]-receipetable[[#This Row],[Cost of Making]]-(receipetable[[#This Row],[Our Prizing]]*0.27)-receipetable[[#This Row],[Other Charges]]</f>
        <v>26.097098901098896</v>
      </c>
      <c r="L47" s="22">
        <f>(receipetable[[#This Row],[Our Prizing]]-receipetable[[#This Row],[Cost of Making]]-receipetable[[#This Row],[Other Charges]]-(receipetable[[#This Row],[Our Prizing]]*0.27))/receipetable[[#This Row],[Cost of Making]]</f>
        <v>1.5205528920031959</v>
      </c>
      <c r="M47" s="23">
        <v>2</v>
      </c>
    </row>
    <row r="48" spans="2:13" x14ac:dyDescent="0.25">
      <c r="B48" s="27">
        <v>48</v>
      </c>
      <c r="C48" s="21" t="s">
        <v>206</v>
      </c>
      <c r="D48" s="21" t="s">
        <v>124</v>
      </c>
      <c r="E48" s="21" t="s">
        <v>125</v>
      </c>
      <c r="F48" s="21">
        <f>SUMIF(Quantitytable[Dish],receipetable[[#This Row],[Recipe Name]],Quantitytable[Cost Per Dish Per Item])</f>
        <v>25.248901098901101</v>
      </c>
      <c r="G48" s="21">
        <v>5</v>
      </c>
      <c r="H48" s="21">
        <v>180</v>
      </c>
      <c r="I48" s="21">
        <f>receipetable[[#This Row],[Cost of Making]]+receipetable[[#This Row],[PKG Cst]]</f>
        <v>28.248901098901101</v>
      </c>
      <c r="J48" s="21"/>
      <c r="K48" s="21">
        <f>receipetable[[#This Row],[Our Prizing]]-receipetable[[#This Row],[Cost of Making]]-(receipetable[[#This Row],[Our Prizing]]*0.27)-receipetable[[#This Row],[Other Charges]]</f>
        <v>38.451098901098902</v>
      </c>
      <c r="L48" s="24">
        <f>(receipetable[[#This Row],[Our Prizing]]-receipetable[[#This Row],[Cost of Making]]-receipetable[[#This Row],[Other Charges]]-(receipetable[[#This Row],[Our Prizing]]*0.27))/receipetable[[#This Row],[Cost of Making]]</f>
        <v>1.5228820751637542</v>
      </c>
      <c r="M48" s="25">
        <v>2</v>
      </c>
    </row>
    <row r="49" spans="2:13" x14ac:dyDescent="0.25">
      <c r="B49" s="27">
        <v>49</v>
      </c>
      <c r="C49" s="20" t="s">
        <v>207</v>
      </c>
      <c r="D49" s="20" t="s">
        <v>140</v>
      </c>
      <c r="E49" s="20" t="s">
        <v>125</v>
      </c>
      <c r="F49" s="20">
        <f>SUMIF(Quantitytable[Dish],receipetable[[#This Row],[Recipe Name]],Quantitytable[Cost Per Dish Per Item])</f>
        <v>138.15106936416186</v>
      </c>
      <c r="G49" s="20">
        <v>5</v>
      </c>
      <c r="H49" s="20">
        <v>170</v>
      </c>
      <c r="I49" s="20">
        <f>receipetable[[#This Row],[Cost of Making]]+receipetable[[#This Row],[PKG Cst]]</f>
        <v>142.15106936416186</v>
      </c>
      <c r="J49" s="20"/>
      <c r="K49" s="20">
        <f>receipetable[[#This Row],[Our Prizing]]-receipetable[[#This Row],[Cost of Making]]-(receipetable[[#This Row],[Our Prizing]]*0.27)-receipetable[[#This Row],[Other Charges]]</f>
        <v>407.34893063583809</v>
      </c>
      <c r="L49" s="22">
        <f>(receipetable[[#This Row],[Our Prizing]]-receipetable[[#This Row],[Cost of Making]]-receipetable[[#This Row],[Other Charges]]-(receipetable[[#This Row],[Our Prizing]]*0.27))/receipetable[[#This Row],[Cost of Making]]</f>
        <v>2.9485760226877376</v>
      </c>
      <c r="M49" s="23">
        <v>2</v>
      </c>
    </row>
    <row r="50" spans="2:13" x14ac:dyDescent="0.25">
      <c r="B50" s="26">
        <v>50</v>
      </c>
      <c r="C50" s="21" t="s">
        <v>208</v>
      </c>
      <c r="D50" s="21" t="s">
        <v>124</v>
      </c>
      <c r="E50" s="21" t="s">
        <v>125</v>
      </c>
      <c r="F50" s="21">
        <f>SUMIF(Quantitytable[Dish],receipetable[[#This Row],[Recipe Name]],Quantitytable[Cost Per Dish Per Item])</f>
        <v>20.518214285714286</v>
      </c>
      <c r="G50" s="21">
        <v>5</v>
      </c>
      <c r="H50" s="21">
        <v>170</v>
      </c>
      <c r="I50" s="21">
        <f>receipetable[[#This Row],[Cost of Making]]+receipetable[[#This Row],[PKG Cst]]</f>
        <v>24.518214285714286</v>
      </c>
      <c r="J50" s="21"/>
      <c r="K50" s="21">
        <f>receipetable[[#This Row],[Our Prizing]]-receipetable[[#This Row],[Cost of Making]]-(receipetable[[#This Row],[Our Prizing]]*0.27)-receipetable[[#This Row],[Other Charges]]</f>
        <v>30.771785714285713</v>
      </c>
      <c r="L50" s="24">
        <f>(receipetable[[#This Row],[Our Prizing]]-receipetable[[#This Row],[Cost of Making]]-receipetable[[#This Row],[Other Charges]]-(receipetable[[#This Row],[Our Prizing]]*0.27))/receipetable[[#This Row],[Cost of Making]]</f>
        <v>1.4997302048702372</v>
      </c>
      <c r="M50" s="25">
        <v>2</v>
      </c>
    </row>
    <row r="51" spans="2:13" x14ac:dyDescent="0.25">
      <c r="B51" s="27">
        <v>51</v>
      </c>
      <c r="C51" s="20" t="s">
        <v>209</v>
      </c>
      <c r="D51" s="20" t="s">
        <v>124</v>
      </c>
      <c r="E51" s="20" t="s">
        <v>125</v>
      </c>
      <c r="F51" s="20">
        <f>SUMIF(Quantitytable[Dish],receipetable[[#This Row],[Recipe Name]],Quantitytable[Cost Per Dish Per Item])</f>
        <v>43.22155125892165</v>
      </c>
      <c r="G51" s="20">
        <v>5</v>
      </c>
      <c r="H51" s="20">
        <v>150</v>
      </c>
      <c r="I51" s="20">
        <f>receipetable[[#This Row],[Cost of Making]]+receipetable[[#This Row],[PKG Cst]]</f>
        <v>47.22155125892165</v>
      </c>
      <c r="J51" s="20"/>
      <c r="K51" s="20">
        <f>receipetable[[#This Row],[Our Prizing]]-receipetable[[#This Row],[Cost of Making]]-(receipetable[[#This Row],[Our Prizing]]*0.27)-receipetable[[#This Row],[Other Charges]]</f>
        <v>65.738448741078344</v>
      </c>
      <c r="L51" s="22">
        <f>(receipetable[[#This Row],[Our Prizing]]-receipetable[[#This Row],[Cost of Making]]-receipetable[[#This Row],[Other Charges]]-(receipetable[[#This Row],[Our Prizing]]*0.27))/receipetable[[#This Row],[Cost of Making]]</f>
        <v>1.5209645842479758</v>
      </c>
      <c r="M51" s="23">
        <v>2</v>
      </c>
    </row>
    <row r="52" spans="2:13" x14ac:dyDescent="0.25">
      <c r="B52" s="27">
        <v>52</v>
      </c>
      <c r="C52" s="21" t="s">
        <v>210</v>
      </c>
      <c r="D52" s="21" t="s">
        <v>124</v>
      </c>
      <c r="E52" s="21" t="s">
        <v>125</v>
      </c>
      <c r="F52" s="21">
        <f>SUMIF(Quantitytable[Dish],receipetable[[#This Row],[Recipe Name]],Quantitytable[Cost Per Dish Per Item])</f>
        <v>26.426785714285714</v>
      </c>
      <c r="G52" s="21">
        <v>5</v>
      </c>
      <c r="H52" s="21">
        <v>150</v>
      </c>
      <c r="I52" s="21">
        <f>receipetable[[#This Row],[Cost of Making]]+receipetable[[#This Row],[PKG Cst]]</f>
        <v>30.426785714285714</v>
      </c>
      <c r="J52" s="21"/>
      <c r="K52" s="21">
        <f>receipetable[[#This Row],[Our Prizing]]-receipetable[[#This Row],[Cost of Making]]-(receipetable[[#This Row],[Our Prizing]]*0.27)-receipetable[[#This Row],[Other Charges]]</f>
        <v>40.193214285714284</v>
      </c>
      <c r="L52" s="24">
        <f>(receipetable[[#This Row],[Our Prizing]]-receipetable[[#This Row],[Cost of Making]]-receipetable[[#This Row],[Other Charges]]-(receipetable[[#This Row],[Our Prizing]]*0.27))/receipetable[[#This Row],[Cost of Making]]</f>
        <v>1.5209270896682208</v>
      </c>
      <c r="M52" s="25">
        <v>2</v>
      </c>
    </row>
    <row r="53" spans="2:13" x14ac:dyDescent="0.25">
      <c r="B53" s="26">
        <v>53</v>
      </c>
      <c r="C53" s="20" t="s">
        <v>211</v>
      </c>
      <c r="D53" s="20" t="s">
        <v>129</v>
      </c>
      <c r="E53" s="20" t="s">
        <v>125</v>
      </c>
      <c r="F53" s="20">
        <f>SUMIF(Quantitytable[Dish],receipetable[[#This Row],[Recipe Name]],Quantitytable[Cost Per Dish Per Item])</f>
        <v>20.340785714285715</v>
      </c>
      <c r="G53" s="20">
        <v>5</v>
      </c>
      <c r="H53" s="20">
        <v>225</v>
      </c>
      <c r="I53" s="20">
        <f>receipetable[[#This Row],[Cost of Making]]+receipetable[[#This Row],[PKG Cst]]</f>
        <v>24.340785714285715</v>
      </c>
      <c r="J53" s="20"/>
      <c r="K53" s="20">
        <f>receipetable[[#This Row],[Our Prizing]]-receipetable[[#This Row],[Cost of Making]]-(receipetable[[#This Row],[Our Prizing]]*0.27)-receipetable[[#This Row],[Other Charges]]</f>
        <v>32.409214285714285</v>
      </c>
      <c r="L53" s="22">
        <f>(receipetable[[#This Row],[Our Prizing]]-receipetable[[#This Row],[Cost of Making]]-receipetable[[#This Row],[Other Charges]]-(receipetable[[#This Row],[Our Prizing]]*0.27))/receipetable[[#This Row],[Cost of Making]]</f>
        <v>1.5933118189703304</v>
      </c>
      <c r="M53" s="23">
        <v>2</v>
      </c>
    </row>
    <row r="54" spans="2:13" x14ac:dyDescent="0.25">
      <c r="B54" s="27">
        <v>54</v>
      </c>
      <c r="C54" s="21" t="s">
        <v>212</v>
      </c>
      <c r="D54" s="21" t="s">
        <v>129</v>
      </c>
      <c r="E54" s="21" t="s">
        <v>125</v>
      </c>
      <c r="F54" s="21">
        <f>SUMIF(Quantitytable[Dish],receipetable[[#This Row],[Recipe Name]],Quantitytable[Cost Per Dish Per Item])</f>
        <v>16.169642857142858</v>
      </c>
      <c r="G54" s="21">
        <v>5</v>
      </c>
      <c r="H54" s="21">
        <v>225</v>
      </c>
      <c r="I54" s="21">
        <f>receipetable[[#This Row],[Cost of Making]]+receipetable[[#This Row],[PKG Cst]]</f>
        <v>20.169642857142858</v>
      </c>
      <c r="J54" s="21"/>
      <c r="K54" s="21">
        <f>receipetable[[#This Row],[Our Prizing]]-receipetable[[#This Row],[Cost of Making]]-(receipetable[[#This Row],[Our Prizing]]*0.27)-receipetable[[#This Row],[Other Charges]]</f>
        <v>120.53035714285713</v>
      </c>
      <c r="L54" s="24">
        <f>(receipetable[[#This Row],[Our Prizing]]-receipetable[[#This Row],[Cost of Making]]-receipetable[[#This Row],[Other Charges]]-(receipetable[[#This Row],[Our Prizing]]*0.27))/receipetable[[#This Row],[Cost of Making]]</f>
        <v>7.454113749309772</v>
      </c>
      <c r="M54" s="25">
        <v>2</v>
      </c>
    </row>
    <row r="55" spans="2:13" x14ac:dyDescent="0.25">
      <c r="B55" s="27">
        <v>55</v>
      </c>
      <c r="C55" s="20" t="s">
        <v>213</v>
      </c>
      <c r="D55" s="20" t="s">
        <v>129</v>
      </c>
      <c r="E55" s="20" t="s">
        <v>125</v>
      </c>
      <c r="F55" s="20">
        <f>SUMIF(Quantitytable[Dish],receipetable[[#This Row],[Recipe Name]],Quantitytable[Cost Per Dish Per Item])</f>
        <v>15.026785714285714</v>
      </c>
      <c r="G55" s="20">
        <v>5</v>
      </c>
      <c r="H55" s="20">
        <v>90</v>
      </c>
      <c r="I55" s="20">
        <f>receipetable[[#This Row],[Cost of Making]]+receipetable[[#This Row],[PKG Cst]]</f>
        <v>19.026785714285715</v>
      </c>
      <c r="J55" s="20"/>
      <c r="K55" s="20">
        <f>receipetable[[#This Row],[Our Prizing]]-receipetable[[#This Row],[Cost of Making]]-(receipetable[[#This Row],[Our Prizing]]*0.27)-receipetable[[#This Row],[Other Charges]]</f>
        <v>48.673214285714295</v>
      </c>
      <c r="L55" s="22">
        <f>(receipetable[[#This Row],[Our Prizing]]-receipetable[[#This Row],[Cost of Making]]-receipetable[[#This Row],[Other Charges]]-(receipetable[[#This Row],[Our Prizing]]*0.27))/receipetable[[#This Row],[Cost of Making]]</f>
        <v>3.2390968508615576</v>
      </c>
      <c r="M55" s="23">
        <v>2</v>
      </c>
    </row>
    <row r="56" spans="2:13" x14ac:dyDescent="0.25">
      <c r="B56" s="26">
        <v>56</v>
      </c>
      <c r="C56" s="21" t="s">
        <v>216</v>
      </c>
      <c r="D56" s="21" t="s">
        <v>121</v>
      </c>
      <c r="E56" s="21" t="s">
        <v>122</v>
      </c>
      <c r="F56" s="21">
        <f>SUMIF(Quantitytable[Dish],receipetable[[#This Row],[Recipe Name]],Quantitytable[Cost Per Dish Per Item])</f>
        <v>22.352499999999999</v>
      </c>
      <c r="G56" s="21">
        <v>3</v>
      </c>
      <c r="H56" s="21">
        <v>75</v>
      </c>
      <c r="I56" s="21">
        <f>receipetable[[#This Row],[Cost of Making]]+receipetable[[#This Row],[PKG Cst]]</f>
        <v>26.352499999999999</v>
      </c>
      <c r="J56" s="21"/>
      <c r="K56" s="21">
        <f>receipetable[[#This Row],[Our Prizing]]-receipetable[[#This Row],[Cost of Making]]-(receipetable[[#This Row],[Our Prizing]]*0.27)-receipetable[[#This Row],[Other Charges]]</f>
        <v>34.047499999999999</v>
      </c>
      <c r="L56" s="24">
        <f>(receipetable[[#This Row],[Our Prizing]]-receipetable[[#This Row],[Cost of Making]]-receipetable[[#This Row],[Other Charges]]-(receipetable[[#This Row],[Our Prizing]]*0.27))/receipetable[[#This Row],[Cost of Making]]</f>
        <v>1.523207694888715</v>
      </c>
      <c r="M56" s="25">
        <v>2</v>
      </c>
    </row>
    <row r="57" spans="2:13" x14ac:dyDescent="0.25">
      <c r="B57" s="27">
        <v>57</v>
      </c>
      <c r="C57" s="20" t="s">
        <v>217</v>
      </c>
      <c r="D57" s="20" t="s">
        <v>160</v>
      </c>
      <c r="E57" s="20" t="s">
        <v>151</v>
      </c>
      <c r="F57" s="20">
        <f>SUMIF(Quantitytable[Dish],receipetable[[#This Row],[Recipe Name]],Quantitytable[Cost Per Dish Per Item])</f>
        <v>31.636855904211394</v>
      </c>
      <c r="G57" s="20">
        <v>7</v>
      </c>
      <c r="H57" s="20">
        <v>150</v>
      </c>
      <c r="I57" s="20">
        <f>receipetable[[#This Row],[Cost of Making]]+receipetable[[#This Row],[PKG Cst]]</f>
        <v>35.636855904211394</v>
      </c>
      <c r="J57" s="20"/>
      <c r="K57" s="20">
        <f>receipetable[[#This Row],[Our Prizing]]-receipetable[[#This Row],[Cost of Making]]-(receipetable[[#This Row],[Our Prizing]]*0.27)-receipetable[[#This Row],[Other Charges]]</f>
        <v>17.463144095788603</v>
      </c>
      <c r="L57" s="22">
        <f>(receipetable[[#This Row],[Our Prizing]]-receipetable[[#This Row],[Cost of Making]]-receipetable[[#This Row],[Other Charges]]-(receipetable[[#This Row],[Our Prizing]]*0.27))/receipetable[[#This Row],[Cost of Making]]</f>
        <v>0.55198734503399138</v>
      </c>
      <c r="M57" s="23">
        <v>2</v>
      </c>
    </row>
    <row r="58" spans="2:13" x14ac:dyDescent="0.25">
      <c r="B58" s="27">
        <v>58</v>
      </c>
      <c r="C58" s="21" t="s">
        <v>218</v>
      </c>
      <c r="D58" s="21" t="s">
        <v>160</v>
      </c>
      <c r="E58" s="21" t="s">
        <v>151</v>
      </c>
      <c r="F58" s="21">
        <f>SUMIF(Quantitytable[Dish],receipetable[[#This Row],[Recipe Name]],Quantitytable[Cost Per Dish Per Item])</f>
        <v>27.426785714285714</v>
      </c>
      <c r="G58" s="21">
        <v>7</v>
      </c>
      <c r="H58" s="21">
        <v>190</v>
      </c>
      <c r="I58" s="21">
        <f>receipetable[[#This Row],[Cost of Making]]+receipetable[[#This Row],[PKG Cst]]</f>
        <v>31.426785714285714</v>
      </c>
      <c r="J58" s="21"/>
      <c r="K58" s="21">
        <f>receipetable[[#This Row],[Our Prizing]]-receipetable[[#This Row],[Cost of Making]]-(receipetable[[#This Row],[Our Prizing]]*0.27)-receipetable[[#This Row],[Other Charges]]</f>
        <v>45.03321428571428</v>
      </c>
      <c r="L58" s="24">
        <f>(receipetable[[#This Row],[Our Prizing]]-receipetable[[#This Row],[Cost of Making]]-receipetable[[#This Row],[Other Charges]]-(receipetable[[#This Row],[Our Prizing]]*0.27))/receipetable[[#This Row],[Cost of Making]]</f>
        <v>1.6419428348199752</v>
      </c>
      <c r="M58" s="25">
        <v>2</v>
      </c>
    </row>
    <row r="59" spans="2:13" x14ac:dyDescent="0.25">
      <c r="B59" s="26">
        <v>59</v>
      </c>
      <c r="C59" s="20" t="s">
        <v>219</v>
      </c>
      <c r="D59" s="20" t="s">
        <v>220</v>
      </c>
      <c r="E59" s="20" t="s">
        <v>151</v>
      </c>
      <c r="F59" s="20">
        <f>SUMIF(Quantitytable[Dish],receipetable[[#This Row],[Recipe Name]],Quantitytable[Cost Per Dish Per Item])</f>
        <v>23.145833333333336</v>
      </c>
      <c r="G59" s="20">
        <v>7</v>
      </c>
      <c r="H59" s="20">
        <v>154</v>
      </c>
      <c r="I59" s="20">
        <f>receipetable[[#This Row],[Cost of Making]]+receipetable[[#This Row],[PKG Cst]]</f>
        <v>27.145833333333336</v>
      </c>
      <c r="J59" s="20"/>
      <c r="K59" s="20">
        <f>receipetable[[#This Row],[Our Prizing]]-receipetable[[#This Row],[Cost of Making]]-(receipetable[[#This Row],[Our Prizing]]*0.27)-receipetable[[#This Row],[Other Charges]]</f>
        <v>66.104166666666657</v>
      </c>
      <c r="L59" s="22">
        <f>(receipetable[[#This Row],[Our Prizing]]-receipetable[[#This Row],[Cost of Making]]-receipetable[[#This Row],[Other Charges]]-(receipetable[[#This Row],[Our Prizing]]*0.27))/receipetable[[#This Row],[Cost of Making]]</f>
        <v>2.8559855985598555</v>
      </c>
      <c r="M59" s="23">
        <v>2</v>
      </c>
    </row>
    <row r="60" spans="2:13" x14ac:dyDescent="0.25">
      <c r="B60" s="27">
        <v>60</v>
      </c>
      <c r="C60" s="21" t="s">
        <v>221</v>
      </c>
      <c r="D60" s="21" t="s">
        <v>160</v>
      </c>
      <c r="E60" s="21" t="s">
        <v>151</v>
      </c>
      <c r="F60" s="21">
        <f>SUMIF(Quantitytable[Dish],receipetable[[#This Row],[Recipe Name]],Quantitytable[Cost Per Dish Per Item])</f>
        <v>18.024999999999999</v>
      </c>
      <c r="G60" s="21">
        <v>7</v>
      </c>
      <c r="H60" s="21">
        <v>135</v>
      </c>
      <c r="I60" s="21">
        <f>receipetable[[#This Row],[Cost of Making]]+receipetable[[#This Row],[PKG Cst]]</f>
        <v>22.024999999999999</v>
      </c>
      <c r="J60" s="21"/>
      <c r="K60" s="21">
        <f>receipetable[[#This Row],[Our Prizing]]-receipetable[[#This Row],[Cost of Making]]-(receipetable[[#This Row],[Our Prizing]]*0.27)-receipetable[[#This Row],[Other Charges]]</f>
        <v>112.83499999999999</v>
      </c>
      <c r="L60" s="24">
        <f>(receipetable[[#This Row],[Our Prizing]]-receipetable[[#This Row],[Cost of Making]]-receipetable[[#This Row],[Other Charges]]-(receipetable[[#This Row],[Our Prizing]]*0.27))/receipetable[[#This Row],[Cost of Making]]</f>
        <v>6.2599167822468793</v>
      </c>
      <c r="M60" s="25">
        <v>2</v>
      </c>
    </row>
    <row r="61" spans="2:13" x14ac:dyDescent="0.25">
      <c r="B61" s="27">
        <v>61</v>
      </c>
      <c r="C61" s="20" t="s">
        <v>222</v>
      </c>
      <c r="D61" s="20" t="s">
        <v>124</v>
      </c>
      <c r="E61" s="20" t="s">
        <v>125</v>
      </c>
      <c r="F61" s="20">
        <f>SUMIF(Quantitytable[Dish],receipetable[[#This Row],[Recipe Name]],Quantitytable[Cost Per Dish Per Item])</f>
        <v>33.287500000000001</v>
      </c>
      <c r="G61" s="20">
        <v>5</v>
      </c>
      <c r="H61" s="20">
        <v>105</v>
      </c>
      <c r="I61" s="20">
        <f>receipetable[[#This Row],[Cost of Making]]+receipetable[[#This Row],[PKG Cst]]</f>
        <v>37.287500000000001</v>
      </c>
      <c r="J61" s="20"/>
      <c r="K61" s="20">
        <f>receipetable[[#This Row],[Our Prizing]]-receipetable[[#This Row],[Cost of Making]]-(receipetable[[#This Row],[Our Prizing]]*0.27)-receipetable[[#This Row],[Other Charges]]</f>
        <v>55.962500000000006</v>
      </c>
      <c r="L61" s="22">
        <f>(receipetable[[#This Row],[Our Prizing]]-receipetable[[#This Row],[Cost of Making]]-receipetable[[#This Row],[Other Charges]]-(receipetable[[#This Row],[Our Prizing]]*0.27))/receipetable[[#This Row],[Cost of Making]]</f>
        <v>1.6811866316184756</v>
      </c>
      <c r="M61" s="23">
        <v>2</v>
      </c>
    </row>
    <row r="62" spans="2:13" x14ac:dyDescent="0.25">
      <c r="B62" s="26">
        <v>62</v>
      </c>
      <c r="C62" s="21" t="s">
        <v>223</v>
      </c>
      <c r="D62" s="21" t="s">
        <v>160</v>
      </c>
      <c r="E62" s="21" t="s">
        <v>151</v>
      </c>
      <c r="F62" s="21">
        <f>SUMIF(Quantitytable[Dish],receipetable[[#This Row],[Recipe Name]],Quantitytable[Cost Per Dish Per Item])</f>
        <v>35.339011576381964</v>
      </c>
      <c r="G62" s="21">
        <v>7</v>
      </c>
      <c r="H62" s="21">
        <v>240</v>
      </c>
      <c r="I62" s="21">
        <f>receipetable[[#This Row],[Cost of Making]]+receipetable[[#This Row],[PKG Cst]]</f>
        <v>39.339011576381964</v>
      </c>
      <c r="J62" s="21"/>
      <c r="K62" s="21">
        <f>receipetable[[#This Row],[Our Prizing]]-receipetable[[#This Row],[Cost of Making]]-(receipetable[[#This Row],[Our Prizing]]*0.27)-receipetable[[#This Row],[Other Charges]]</f>
        <v>-37.339011576381964</v>
      </c>
      <c r="L62" s="24">
        <f>(receipetable[[#This Row],[Our Prizing]]-receipetable[[#This Row],[Cost of Making]]-receipetable[[#This Row],[Other Charges]]-(receipetable[[#This Row],[Our Prizing]]*0.27))/receipetable[[#This Row],[Cost of Making]]</f>
        <v>-1.0565946785375473</v>
      </c>
      <c r="M62" s="25">
        <v>2</v>
      </c>
    </row>
    <row r="63" spans="2:13" x14ac:dyDescent="0.25">
      <c r="B63" s="27">
        <v>63</v>
      </c>
      <c r="C63" s="20" t="s">
        <v>224</v>
      </c>
      <c r="D63" s="20" t="s">
        <v>140</v>
      </c>
      <c r="E63" s="20" t="s">
        <v>125</v>
      </c>
      <c r="F63" s="20">
        <f>SUMIF(Quantitytable[Dish],receipetable[[#This Row],[Recipe Name]],Quantitytable[Cost Per Dish Per Item])</f>
        <v>14.128285714285713</v>
      </c>
      <c r="G63" s="20">
        <v>5</v>
      </c>
      <c r="H63" s="20">
        <v>90</v>
      </c>
      <c r="I63" s="20">
        <f>receipetable[[#This Row],[Cost of Making]]+receipetable[[#This Row],[PKG Cst]]</f>
        <v>18.128285714285713</v>
      </c>
      <c r="J63" s="20"/>
      <c r="K63" s="20">
        <f>receipetable[[#This Row],[Our Prizing]]-receipetable[[#This Row],[Cost of Making]]-(receipetable[[#This Row],[Our Prizing]]*0.27)-receipetable[[#This Row],[Other Charges]]</f>
        <v>-16.128285714285713</v>
      </c>
      <c r="L63" s="22">
        <f>(receipetable[[#This Row],[Our Prizing]]-receipetable[[#This Row],[Cost of Making]]-receipetable[[#This Row],[Other Charges]]-(receipetable[[#This Row],[Our Prizing]]*0.27))/receipetable[[#This Row],[Cost of Making]]</f>
        <v>-1.1415599911019434</v>
      </c>
      <c r="M63" s="23">
        <v>2</v>
      </c>
    </row>
    <row r="64" spans="2:13" x14ac:dyDescent="0.25">
      <c r="B64" s="27">
        <v>64</v>
      </c>
      <c r="C64" s="21" t="s">
        <v>225</v>
      </c>
      <c r="D64" s="21" t="s">
        <v>160</v>
      </c>
      <c r="E64" s="21" t="s">
        <v>151</v>
      </c>
      <c r="F64" s="21">
        <f>SUMIF(Quantitytable[Dish],receipetable[[#This Row],[Recipe Name]],Quantitytable[Cost Per Dish Per Item])</f>
        <v>19.551785714285714</v>
      </c>
      <c r="G64" s="21">
        <v>7</v>
      </c>
      <c r="H64" s="21">
        <v>240</v>
      </c>
      <c r="I64" s="21">
        <f>receipetable[[#This Row],[Cost of Making]]+receipetable[[#This Row],[PKG Cst]]</f>
        <v>23.551785714285714</v>
      </c>
      <c r="J64" s="21"/>
      <c r="K64" s="21">
        <f>receipetable[[#This Row],[Our Prizing]]-receipetable[[#This Row],[Cost of Making]]-(receipetable[[#This Row],[Our Prizing]]*0.27)-receipetable[[#This Row],[Other Charges]]</f>
        <v>-21.551785714285714</v>
      </c>
      <c r="L64" s="24">
        <f>(receipetable[[#This Row],[Our Prizing]]-receipetable[[#This Row],[Cost of Making]]-receipetable[[#This Row],[Other Charges]]-(receipetable[[#This Row],[Our Prizing]]*0.27))/receipetable[[#This Row],[Cost of Making]]</f>
        <v>-1.1022924467987945</v>
      </c>
      <c r="M64" s="25">
        <v>2</v>
      </c>
    </row>
    <row r="65" spans="2:13" x14ac:dyDescent="0.25">
      <c r="B65" s="26">
        <v>65</v>
      </c>
      <c r="C65" s="20" t="s">
        <v>226</v>
      </c>
      <c r="D65" s="20" t="s">
        <v>138</v>
      </c>
      <c r="E65" s="20" t="s">
        <v>125</v>
      </c>
      <c r="F65" s="20">
        <f>SUMIF(Quantitytable[Dish],receipetable[[#This Row],[Recipe Name]],Quantitytable[Cost Per Dish Per Item])</f>
        <v>22.543706293706297</v>
      </c>
      <c r="G65" s="20">
        <v>5</v>
      </c>
      <c r="H65" s="20">
        <v>150</v>
      </c>
      <c r="I65" s="20">
        <f>receipetable[[#This Row],[Cost of Making]]+receipetable[[#This Row],[PKG Cst]]</f>
        <v>27.543706293706297</v>
      </c>
      <c r="J65" s="20"/>
      <c r="K65" s="20">
        <f>receipetable[[#This Row],[Our Prizing]]-receipetable[[#This Row],[Cost of Making]]-(receipetable[[#This Row],[Our Prizing]]*0.27)-receipetable[[#This Row],[Other Charges]]</f>
        <v>-24.543706293706297</v>
      </c>
      <c r="L65" s="22">
        <f>(receipetable[[#This Row],[Our Prizing]]-receipetable[[#This Row],[Cost of Making]]-receipetable[[#This Row],[Other Charges]]-(receipetable[[#This Row],[Our Prizing]]*0.27))/receipetable[[#This Row],[Cost of Making]]</f>
        <v>-1.088716556804963</v>
      </c>
      <c r="M65" s="23">
        <v>2</v>
      </c>
    </row>
    <row r="66" spans="2:13" x14ac:dyDescent="0.25">
      <c r="B66" s="27">
        <v>66</v>
      </c>
      <c r="C66" s="21" t="s">
        <v>227</v>
      </c>
      <c r="D66" s="21" t="s">
        <v>124</v>
      </c>
      <c r="E66" s="21" t="s">
        <v>125</v>
      </c>
      <c r="F66" s="21">
        <f>SUMIF(Quantitytable[Dish],receipetable[[#This Row],[Recipe Name]],Quantitytable[Cost Per Dish Per Item])</f>
        <v>16.8</v>
      </c>
      <c r="G66" s="21">
        <v>5</v>
      </c>
      <c r="H66" s="21">
        <v>150</v>
      </c>
      <c r="I66" s="21">
        <f>receipetable[[#This Row],[Cost of Making]]+receipetable[[#This Row],[PKG Cst]]</f>
        <v>18.8</v>
      </c>
      <c r="J66" s="21"/>
      <c r="K66" s="21">
        <f>receipetable[[#This Row],[Our Prizing]]-receipetable[[#This Row],[Cost of Making]]-(receipetable[[#This Row],[Our Prizing]]*0.27)-receipetable[[#This Row],[Other Charges]]</f>
        <v>23.540000000000003</v>
      </c>
      <c r="L66" s="24">
        <f>(receipetable[[#This Row],[Our Prizing]]-receipetable[[#This Row],[Cost of Making]]-receipetable[[#This Row],[Other Charges]]-(receipetable[[#This Row],[Our Prizing]]*0.27))/receipetable[[#This Row],[Cost of Making]]</f>
        <v>1.4011904761904763</v>
      </c>
      <c r="M66" s="25">
        <v>2</v>
      </c>
    </row>
    <row r="67" spans="2:13" x14ac:dyDescent="0.25">
      <c r="B67" s="27">
        <v>67</v>
      </c>
      <c r="C67" s="20" t="s">
        <v>228</v>
      </c>
      <c r="D67" s="20" t="s">
        <v>124</v>
      </c>
      <c r="E67" s="20" t="s">
        <v>125</v>
      </c>
      <c r="F67" s="20">
        <f>SUMIF(Quantitytable[Dish],receipetable[[#This Row],[Recipe Name]],Quantitytable[Cost Per Dish Per Item])</f>
        <v>29.677320396366639</v>
      </c>
      <c r="G67" s="20">
        <v>5</v>
      </c>
      <c r="H67" s="20">
        <v>150</v>
      </c>
      <c r="I67" s="20">
        <f>receipetable[[#This Row],[Cost of Making]]+receipetable[[#This Row],[PKG Cst]]</f>
        <v>32.677320396366639</v>
      </c>
      <c r="J67" s="20"/>
      <c r="K67" s="20">
        <f>receipetable[[#This Row],[Our Prizing]]-receipetable[[#This Row],[Cost of Making]]-(receipetable[[#This Row],[Our Prizing]]*0.27)-receipetable[[#This Row],[Other Charges]]</f>
        <v>42.782679603633355</v>
      </c>
      <c r="L67" s="22">
        <f>(receipetable[[#This Row],[Our Prizing]]-receipetable[[#This Row],[Cost of Making]]-receipetable[[#This Row],[Other Charges]]-(receipetable[[#This Row],[Our Prizing]]*0.27))/receipetable[[#This Row],[Cost of Making]]</f>
        <v>1.4415950979479666</v>
      </c>
      <c r="M67" s="23">
        <v>2</v>
      </c>
    </row>
    <row r="68" spans="2:13" x14ac:dyDescent="0.25">
      <c r="B68" s="26">
        <v>68</v>
      </c>
      <c r="C68" s="21" t="s">
        <v>229</v>
      </c>
      <c r="D68" s="21" t="s">
        <v>140</v>
      </c>
      <c r="E68" s="21" t="s">
        <v>125</v>
      </c>
      <c r="F68" s="21">
        <f>SUMIF(Quantitytable[Dish],receipetable[[#This Row],[Recipe Name]],Quantitytable[Cost Per Dish Per Item])</f>
        <v>27.024285714285718</v>
      </c>
      <c r="G68" s="21">
        <v>5</v>
      </c>
      <c r="H68" s="21">
        <v>120</v>
      </c>
      <c r="I68" s="21">
        <f>receipetable[[#This Row],[Cost of Making]]+receipetable[[#This Row],[PKG Cst]]</f>
        <v>30.024285714285718</v>
      </c>
      <c r="J68" s="21"/>
      <c r="K68" s="21">
        <f>receipetable[[#This Row],[Our Prizing]]-receipetable[[#This Row],[Cost of Making]]-(receipetable[[#This Row],[Our Prizing]]*0.27)-receipetable[[#This Row],[Other Charges]]</f>
        <v>38.135714285714272</v>
      </c>
      <c r="L68" s="24">
        <f>(receipetable[[#This Row],[Our Prizing]]-receipetable[[#This Row],[Cost of Making]]-receipetable[[#This Row],[Other Charges]]-(receipetable[[#This Row],[Our Prizing]]*0.27))/receipetable[[#This Row],[Cost of Making]]</f>
        <v>1.4111645609768984</v>
      </c>
      <c r="M68" s="25">
        <v>2</v>
      </c>
    </row>
    <row r="69" spans="2:13" x14ac:dyDescent="0.25">
      <c r="B69" s="27">
        <v>69</v>
      </c>
      <c r="C69" s="20" t="s">
        <v>230</v>
      </c>
      <c r="D69" s="20" t="s">
        <v>129</v>
      </c>
      <c r="E69" s="20" t="s">
        <v>125</v>
      </c>
      <c r="F69" s="20">
        <f>SUMIF(Quantitytable[Dish],receipetable[[#This Row],[Recipe Name]],Quantitytable[Cost Per Dish Per Item])</f>
        <v>276.56826384399909</v>
      </c>
      <c r="G69" s="20">
        <v>5</v>
      </c>
      <c r="H69" s="20">
        <v>225</v>
      </c>
      <c r="I69" s="20">
        <f>receipetable[[#This Row],[Cost of Making]]+receipetable[[#This Row],[PKG Cst]]</f>
        <v>279.56826384399909</v>
      </c>
      <c r="J69" s="20"/>
      <c r="K69" s="20">
        <f>receipetable[[#This Row],[Our Prizing]]-receipetable[[#This Row],[Cost of Making]]-(receipetable[[#This Row],[Our Prizing]]*0.27)-receipetable[[#This Row],[Other Charges]]</f>
        <v>-205.56826384399909</v>
      </c>
      <c r="L69" s="22">
        <f>(receipetable[[#This Row],[Our Prizing]]-receipetable[[#This Row],[Cost of Making]]-receipetable[[#This Row],[Other Charges]]-(receipetable[[#This Row],[Our Prizing]]*0.27))/receipetable[[#This Row],[Cost of Making]]</f>
        <v>-0.74328218641872734</v>
      </c>
      <c r="M69" s="23">
        <v>2</v>
      </c>
    </row>
    <row r="70" spans="2:13" x14ac:dyDescent="0.25">
      <c r="B70" s="27">
        <v>70</v>
      </c>
      <c r="C70" s="21" t="s">
        <v>231</v>
      </c>
      <c r="D70" s="21" t="s">
        <v>129</v>
      </c>
      <c r="E70" s="21" t="s">
        <v>125</v>
      </c>
      <c r="F70" s="21">
        <f>SUMIF(Quantitytable[Dish],receipetable[[#This Row],[Recipe Name]],Quantitytable[Cost Per Dish Per Item])</f>
        <v>55.199999999999996</v>
      </c>
      <c r="G70" s="21">
        <v>5</v>
      </c>
      <c r="H70" s="21">
        <v>180</v>
      </c>
      <c r="I70" s="21">
        <f>receipetable[[#This Row],[Cost of Making]]+receipetable[[#This Row],[PKG Cst]]</f>
        <v>58.199999999999996</v>
      </c>
      <c r="J70" s="21"/>
      <c r="K70" s="21">
        <f>receipetable[[#This Row],[Our Prizing]]-receipetable[[#This Row],[Cost of Making]]-(receipetable[[#This Row],[Our Prizing]]*0.27)-receipetable[[#This Row],[Other Charges]]</f>
        <v>81.5</v>
      </c>
      <c r="L70" s="24">
        <f>(receipetable[[#This Row],[Our Prizing]]-receipetable[[#This Row],[Cost of Making]]-receipetable[[#This Row],[Other Charges]]-(receipetable[[#This Row],[Our Prizing]]*0.27))/receipetable[[#This Row],[Cost of Making]]</f>
        <v>1.4764492753623188</v>
      </c>
      <c r="M70" s="25">
        <v>2</v>
      </c>
    </row>
    <row r="71" spans="2:13" x14ac:dyDescent="0.25">
      <c r="B71" s="26">
        <v>71</v>
      </c>
      <c r="C71" s="20" t="s">
        <v>232</v>
      </c>
      <c r="D71" s="20" t="s">
        <v>121</v>
      </c>
      <c r="E71" s="20" t="s">
        <v>125</v>
      </c>
      <c r="F71" s="20">
        <f>SUMIF(Quantitytable[Dish],receipetable[[#This Row],[Recipe Name]],Quantitytable[Cost Per Dish Per Item])</f>
        <v>46.947412587412586</v>
      </c>
      <c r="G71" s="20">
        <v>5</v>
      </c>
      <c r="H71" s="20">
        <v>150</v>
      </c>
      <c r="I71" s="20">
        <f>receipetable[[#This Row],[Cost of Making]]+receipetable[[#This Row],[PKG Cst]]</f>
        <v>49.947412587412586</v>
      </c>
      <c r="J71" s="20"/>
      <c r="K71" s="20">
        <f>receipetable[[#This Row],[Our Prizing]]-receipetable[[#This Row],[Cost of Making]]-(receipetable[[#This Row],[Our Prizing]]*0.27)-receipetable[[#This Row],[Other Charges]]</f>
        <v>16.752587412587413</v>
      </c>
      <c r="L71" s="22">
        <f>(receipetable[[#This Row],[Our Prizing]]-receipetable[[#This Row],[Cost of Making]]-receipetable[[#This Row],[Other Charges]]-(receipetable[[#This Row],[Our Prizing]]*0.27))/receipetable[[#This Row],[Cost of Making]]</f>
        <v>0.35683728855973357</v>
      </c>
      <c r="M71" s="23">
        <v>2</v>
      </c>
    </row>
    <row r="72" spans="2:13" x14ac:dyDescent="0.25">
      <c r="B72" s="27">
        <v>72</v>
      </c>
      <c r="C72" s="21" t="s">
        <v>233</v>
      </c>
      <c r="D72" s="21" t="s">
        <v>129</v>
      </c>
      <c r="E72" s="21" t="s">
        <v>125</v>
      </c>
      <c r="F72" s="21">
        <f>SUMIF(Quantitytable[Dish],receipetable[[#This Row],[Recipe Name]],Quantitytable[Cost Per Dish Per Item])</f>
        <v>44.198321678321676</v>
      </c>
      <c r="G72" s="21">
        <v>5</v>
      </c>
      <c r="H72" s="21">
        <v>225</v>
      </c>
      <c r="I72" s="21">
        <f>receipetable[[#This Row],[Cost of Making]]+receipetable[[#This Row],[PKG Cst]]</f>
        <v>47.198321678321676</v>
      </c>
      <c r="J72" s="21"/>
      <c r="K72" s="21">
        <f>receipetable[[#This Row],[Our Prizing]]-receipetable[[#This Row],[Cost of Making]]-(receipetable[[#This Row],[Our Prizing]]*0.27)-receipetable[[#This Row],[Other Charges]]</f>
        <v>12.201678321678322</v>
      </c>
      <c r="L72" s="24">
        <f>(receipetable[[#This Row],[Our Prizing]]-receipetable[[#This Row],[Cost of Making]]-receipetable[[#This Row],[Other Charges]]-(receipetable[[#This Row],[Our Prizing]]*0.27))/receipetable[[#This Row],[Cost of Making]]</f>
        <v>0.27606655317102191</v>
      </c>
      <c r="M72" s="25">
        <v>2</v>
      </c>
    </row>
    <row r="73" spans="2:13" x14ac:dyDescent="0.25">
      <c r="B73" s="27">
        <v>73</v>
      </c>
      <c r="C73" s="20" t="s">
        <v>234</v>
      </c>
      <c r="D73" s="20" t="s">
        <v>136</v>
      </c>
      <c r="E73" s="20" t="s">
        <v>122</v>
      </c>
      <c r="F73" s="20">
        <f>SUMIF(Quantitytable[Dish],receipetable[[#This Row],[Recipe Name]],Quantitytable[Cost Per Dish Per Item])</f>
        <v>38.489230769230772</v>
      </c>
      <c r="G73" s="20">
        <v>3</v>
      </c>
      <c r="H73" s="20">
        <v>105</v>
      </c>
      <c r="I73" s="20">
        <f>receipetable[[#This Row],[Cost of Making]]+receipetable[[#This Row],[PKG Cst]]</f>
        <v>41.489230769230772</v>
      </c>
      <c r="J73" s="20"/>
      <c r="K73" s="20">
        <f>receipetable[[#This Row],[Our Prizing]]-receipetable[[#This Row],[Cost of Making]]-(receipetable[[#This Row],[Our Prizing]]*0.27)-receipetable[[#This Row],[Other Charges]]</f>
        <v>10.610769230769225</v>
      </c>
      <c r="L73" s="22">
        <f>(receipetable[[#This Row],[Our Prizing]]-receipetable[[#This Row],[Cost of Making]]-receipetable[[#This Row],[Other Charges]]-(receipetable[[#This Row],[Our Prizing]]*0.27))/receipetable[[#This Row],[Cost of Making]]</f>
        <v>0.27568150931329427</v>
      </c>
      <c r="M73" s="23">
        <v>2</v>
      </c>
    </row>
    <row r="74" spans="2:13" x14ac:dyDescent="0.25">
      <c r="B74" s="26">
        <v>74</v>
      </c>
      <c r="C74" s="21" t="s">
        <v>235</v>
      </c>
      <c r="D74" s="21" t="s">
        <v>121</v>
      </c>
      <c r="E74" s="21" t="s">
        <v>125</v>
      </c>
      <c r="F74" s="21">
        <f>SUMIF(Quantitytable[Dish],receipetable[[#This Row],[Recipe Name]],Quantitytable[Cost Per Dish Per Item])</f>
        <v>29.108285714285714</v>
      </c>
      <c r="G74" s="21">
        <v>5</v>
      </c>
      <c r="H74" s="21">
        <v>105</v>
      </c>
      <c r="I74" s="21">
        <f>receipetable[[#This Row],[Cost of Making]]+receipetable[[#This Row],[PKG Cst]]</f>
        <v>32.108285714285714</v>
      </c>
      <c r="J74" s="21"/>
      <c r="K74" s="21">
        <f>receipetable[[#This Row],[Our Prizing]]-receipetable[[#This Row],[Cost of Making]]-(receipetable[[#This Row],[Our Prizing]]*0.27)-receipetable[[#This Row],[Other Charges]]</f>
        <v>43.35171428571428</v>
      </c>
      <c r="L74" s="24">
        <f>(receipetable[[#This Row],[Our Prizing]]-receipetable[[#This Row],[Cost of Making]]-receipetable[[#This Row],[Other Charges]]-(receipetable[[#This Row],[Our Prizing]]*0.27))/receipetable[[#This Row],[Cost of Making]]</f>
        <v>1.4893255724928589</v>
      </c>
      <c r="M74" s="25">
        <v>2</v>
      </c>
    </row>
    <row r="75" spans="2:13" x14ac:dyDescent="0.25">
      <c r="B75" s="27">
        <v>75</v>
      </c>
      <c r="C75" s="20" t="s">
        <v>236</v>
      </c>
      <c r="D75" s="20" t="s">
        <v>129</v>
      </c>
      <c r="E75" s="20" t="s">
        <v>125</v>
      </c>
      <c r="F75" s="20">
        <f>SUMIF(Quantitytable[Dish],receipetable[[#This Row],[Recipe Name]],Quantitytable[Cost Per Dish Per Item])</f>
        <v>35.194285714285712</v>
      </c>
      <c r="G75" s="20">
        <v>5</v>
      </c>
      <c r="H75" s="20">
        <v>115</v>
      </c>
      <c r="I75" s="20">
        <f>receipetable[[#This Row],[Cost of Making]]+receipetable[[#This Row],[PKG Cst]]</f>
        <v>38.194285714285712</v>
      </c>
      <c r="J75" s="20"/>
      <c r="K75" s="20">
        <f>receipetable[[#This Row],[Our Prizing]]-receipetable[[#This Row],[Cost of Making]]-(receipetable[[#This Row],[Our Prizing]]*0.27)-receipetable[[#This Row],[Other Charges]]</f>
        <v>54.055714285714288</v>
      </c>
      <c r="L75" s="22">
        <f>(receipetable[[#This Row],[Our Prizing]]-receipetable[[#This Row],[Cost of Making]]-receipetable[[#This Row],[Other Charges]]-(receipetable[[#This Row],[Our Prizing]]*0.27))/receipetable[[#This Row],[Cost of Making]]</f>
        <v>1.535923039454457</v>
      </c>
      <c r="M75" s="23">
        <v>2</v>
      </c>
    </row>
    <row r="76" spans="2:13" x14ac:dyDescent="0.25">
      <c r="B76" s="27">
        <v>76</v>
      </c>
      <c r="C76" s="21" t="s">
        <v>237</v>
      </c>
      <c r="D76" s="21" t="s">
        <v>129</v>
      </c>
      <c r="E76" s="21" t="s">
        <v>125</v>
      </c>
      <c r="F76" s="21">
        <f>SUMIF(Quantitytable[Dish],receipetable[[#This Row],[Recipe Name]],Quantitytable[Cost Per Dish Per Item])</f>
        <v>51.989051258921648</v>
      </c>
      <c r="G76" s="21">
        <v>5</v>
      </c>
      <c r="H76" s="21">
        <v>115</v>
      </c>
      <c r="I76" s="21">
        <f>receipetable[[#This Row],[Cost of Making]]+receipetable[[#This Row],[PKG Cst]]</f>
        <v>54.989051258921648</v>
      </c>
      <c r="J76" s="21"/>
      <c r="K76" s="21">
        <f>receipetable[[#This Row],[Our Prizing]]-receipetable[[#This Row],[Cost of Making]]-(receipetable[[#This Row],[Our Prizing]]*0.27)-receipetable[[#This Row],[Other Charges]]</f>
        <v>78.870948741078351</v>
      </c>
      <c r="L76" s="24">
        <f>(receipetable[[#This Row],[Our Prizing]]-receipetable[[#This Row],[Cost of Making]]-receipetable[[#This Row],[Other Charges]]-(receipetable[[#This Row],[Our Prizing]]*0.27))/receipetable[[#This Row],[Cost of Making]]</f>
        <v>1.517068437126819</v>
      </c>
      <c r="M76" s="25">
        <v>2</v>
      </c>
    </row>
    <row r="77" spans="2:13" x14ac:dyDescent="0.25">
      <c r="B77" s="26">
        <v>77</v>
      </c>
      <c r="C77" s="20" t="s">
        <v>239</v>
      </c>
      <c r="D77" s="20" t="s">
        <v>129</v>
      </c>
      <c r="E77" s="20" t="s">
        <v>125</v>
      </c>
      <c r="F77" s="20">
        <f>SUMIF(Quantitytable[Dish],receipetable[[#This Row],[Recipe Name]],Quantitytable[Cost Per Dish Per Item])</f>
        <v>34.489090909090905</v>
      </c>
      <c r="G77" s="20">
        <v>5</v>
      </c>
      <c r="H77" s="20">
        <v>130</v>
      </c>
      <c r="I77" s="20">
        <f>receipetable[[#This Row],[Cost of Making]]+receipetable[[#This Row],[PKG Cst]]</f>
        <v>37.489090909090905</v>
      </c>
      <c r="J77" s="20"/>
      <c r="K77" s="20">
        <f>receipetable[[#This Row],[Our Prizing]]-receipetable[[#This Row],[Cost of Making]]-(receipetable[[#This Row],[Our Prizing]]*0.27)-receipetable[[#This Row],[Other Charges]]</f>
        <v>54.760909090909095</v>
      </c>
      <c r="L77" s="22">
        <f>(receipetable[[#This Row],[Our Prizing]]-receipetable[[#This Row],[Cost of Making]]-receipetable[[#This Row],[Other Charges]]-(receipetable[[#This Row],[Our Prizing]]*0.27))/receipetable[[#This Row],[Cost of Making]]</f>
        <v>1.5877747904475727</v>
      </c>
      <c r="M77" s="23">
        <v>2</v>
      </c>
    </row>
    <row r="78" spans="2:13" x14ac:dyDescent="0.25">
      <c r="B78" s="27">
        <v>78</v>
      </c>
      <c r="C78" s="21" t="s">
        <v>240</v>
      </c>
      <c r="D78" s="21" t="s">
        <v>136</v>
      </c>
      <c r="E78" s="21" t="s">
        <v>122</v>
      </c>
      <c r="F78" s="21">
        <f>SUMIF(Quantitytable[Dish],receipetable[[#This Row],[Recipe Name]],Quantitytable[Cost Per Dish Per Item])</f>
        <v>33.78</v>
      </c>
      <c r="G78" s="21">
        <v>3</v>
      </c>
      <c r="H78" s="21">
        <v>125</v>
      </c>
      <c r="I78" s="21">
        <f>receipetable[[#This Row],[Cost of Making]]+receipetable[[#This Row],[PKG Cst]]</f>
        <v>36.78</v>
      </c>
      <c r="J78" s="21"/>
      <c r="K78" s="21">
        <f>receipetable[[#This Row],[Our Prizing]]-receipetable[[#This Row],[Cost of Making]]-(receipetable[[#This Row],[Our Prizing]]*0.27)-receipetable[[#This Row],[Other Charges]]</f>
        <v>51.819999999999993</v>
      </c>
      <c r="L78" s="24">
        <f>(receipetable[[#This Row],[Our Prizing]]-receipetable[[#This Row],[Cost of Making]]-receipetable[[#This Row],[Other Charges]]-(receipetable[[#This Row],[Our Prizing]]*0.27))/receipetable[[#This Row],[Cost of Making]]</f>
        <v>1.5340438129070453</v>
      </c>
      <c r="M78" s="25">
        <v>2</v>
      </c>
    </row>
    <row r="79" spans="2:13" x14ac:dyDescent="0.25">
      <c r="B79" s="27">
        <v>79</v>
      </c>
      <c r="C79" s="20" t="s">
        <v>241</v>
      </c>
      <c r="D79" s="20" t="s">
        <v>130</v>
      </c>
      <c r="E79" s="20" t="s">
        <v>125</v>
      </c>
      <c r="F79" s="20">
        <f>SUMIF(Quantitytable[Dish],receipetable[[#This Row],[Recipe Name]],Quantitytable[Cost Per Dish Per Item])</f>
        <v>31.119999999999997</v>
      </c>
      <c r="G79" s="20">
        <v>5</v>
      </c>
      <c r="H79" s="20">
        <v>55</v>
      </c>
      <c r="I79" s="20">
        <f>receipetable[[#This Row],[Cost of Making]]+receipetable[[#This Row],[PKG Cst]]</f>
        <v>34.119999999999997</v>
      </c>
      <c r="J79" s="20"/>
      <c r="K79" s="20">
        <f>receipetable[[#This Row],[Our Prizing]]-receipetable[[#This Row],[Cost of Making]]-(receipetable[[#This Row],[Our Prizing]]*0.27)-receipetable[[#This Row],[Other Charges]]</f>
        <v>47.179999999999993</v>
      </c>
      <c r="L79" s="22">
        <f>(receipetable[[#This Row],[Our Prizing]]-receipetable[[#This Row],[Cost of Making]]-receipetable[[#This Row],[Other Charges]]-(receipetable[[#This Row],[Our Prizing]]*0.27))/receipetable[[#This Row],[Cost of Making]]</f>
        <v>1.5160668380462723</v>
      </c>
      <c r="M79" s="23">
        <v>2</v>
      </c>
    </row>
    <row r="80" spans="2:13" x14ac:dyDescent="0.25">
      <c r="B80" s="26">
        <v>80</v>
      </c>
      <c r="C80" s="21" t="s">
        <v>242</v>
      </c>
      <c r="D80" s="21" t="s">
        <v>136</v>
      </c>
      <c r="E80" s="21" t="s">
        <v>122</v>
      </c>
      <c r="F80" s="21">
        <f>SUMIF(Quantitytable[Dish],receipetable[[#This Row],[Recipe Name]],Quantitytable[Cost Per Dish Per Item])</f>
        <v>29.285714285714285</v>
      </c>
      <c r="G80" s="21">
        <v>3</v>
      </c>
      <c r="H80" s="21">
        <v>100</v>
      </c>
      <c r="I80" s="21">
        <f>receipetable[[#This Row],[Cost of Making]]+receipetable[[#This Row],[PKG Cst]]</f>
        <v>32.285714285714285</v>
      </c>
      <c r="J80" s="21"/>
      <c r="K80" s="21">
        <f>receipetable[[#This Row],[Our Prizing]]-receipetable[[#This Row],[Cost of Making]]-(receipetable[[#This Row],[Our Prizing]]*0.27)-receipetable[[#This Row],[Other Charges]]</f>
        <v>44.634285714285724</v>
      </c>
      <c r="L80" s="24">
        <f>(receipetable[[#This Row],[Our Prizing]]-receipetable[[#This Row],[Cost of Making]]-receipetable[[#This Row],[Other Charges]]-(receipetable[[#This Row],[Our Prizing]]*0.27))/receipetable[[#This Row],[Cost of Making]]</f>
        <v>1.5240975609756102</v>
      </c>
      <c r="M80" s="25">
        <v>2</v>
      </c>
    </row>
    <row r="81" spans="2:13" x14ac:dyDescent="0.25">
      <c r="B81" s="27">
        <v>81</v>
      </c>
      <c r="C81" s="20" t="s">
        <v>243</v>
      </c>
      <c r="D81" s="20" t="s">
        <v>136</v>
      </c>
      <c r="E81" s="20" t="s">
        <v>122</v>
      </c>
      <c r="F81" s="20">
        <f>SUMIF(Quantitytable[Dish],receipetable[[#This Row],[Recipe Name]],Quantitytable[Cost Per Dish Per Item])</f>
        <v>44.104999999999997</v>
      </c>
      <c r="G81" s="20">
        <v>3</v>
      </c>
      <c r="H81" s="20">
        <v>55</v>
      </c>
      <c r="I81" s="20">
        <f>receipetable[[#This Row],[Cost of Making]]+receipetable[[#This Row],[PKG Cst]]</f>
        <v>47.104999999999997</v>
      </c>
      <c r="J81" s="20"/>
      <c r="K81" s="20">
        <f>receipetable[[#This Row],[Our Prizing]]-receipetable[[#This Row],[Cost of Making]]-(receipetable[[#This Row],[Our Prizing]]*0.27)-receipetable[[#This Row],[Other Charges]]</f>
        <v>67.045000000000016</v>
      </c>
      <c r="L81" s="22">
        <f>(receipetable[[#This Row],[Our Prizing]]-receipetable[[#This Row],[Cost of Making]]-receipetable[[#This Row],[Other Charges]]-(receipetable[[#This Row],[Our Prizing]]*0.27))/receipetable[[#This Row],[Cost of Making]]</f>
        <v>1.520122435098062</v>
      </c>
      <c r="M81" s="23">
        <v>2</v>
      </c>
    </row>
    <row r="82" spans="2:13" x14ac:dyDescent="0.25">
      <c r="B82" s="27">
        <v>82</v>
      </c>
      <c r="C82" s="21" t="s">
        <v>244</v>
      </c>
      <c r="D82" s="21" t="s">
        <v>143</v>
      </c>
      <c r="E82" s="21" t="s">
        <v>122</v>
      </c>
      <c r="F82" s="21">
        <f>SUMIF(Quantitytable[Dish],receipetable[[#This Row],[Recipe Name]],Quantitytable[Cost Per Dish Per Item])</f>
        <v>37.194285714285712</v>
      </c>
      <c r="G82" s="21">
        <v>3</v>
      </c>
      <c r="H82" s="21">
        <v>42</v>
      </c>
      <c r="I82" s="21">
        <f>receipetable[[#This Row],[Cost of Making]]+receipetable[[#This Row],[PKG Cst]]</f>
        <v>40.194285714285712</v>
      </c>
      <c r="J82" s="21"/>
      <c r="K82" s="21">
        <f>receipetable[[#This Row],[Our Prizing]]-receipetable[[#This Row],[Cost of Making]]-(receipetable[[#This Row],[Our Prizing]]*0.27)-receipetable[[#This Row],[Other Charges]]</f>
        <v>55.705714285714286</v>
      </c>
      <c r="L82" s="24">
        <f>(receipetable[[#This Row],[Our Prizing]]-receipetable[[#This Row],[Cost of Making]]-receipetable[[#This Row],[Other Charges]]-(receipetable[[#This Row],[Our Prizing]]*0.27))/receipetable[[#This Row],[Cost of Making]]</f>
        <v>1.4976954985404825</v>
      </c>
      <c r="M82" s="25">
        <v>2</v>
      </c>
    </row>
    <row r="83" spans="2:13" x14ac:dyDescent="0.25">
      <c r="B83" s="26">
        <v>83</v>
      </c>
      <c r="C83" s="20" t="s">
        <v>245</v>
      </c>
      <c r="D83" s="20" t="s">
        <v>143</v>
      </c>
      <c r="E83" s="20" t="s">
        <v>122</v>
      </c>
      <c r="F83" s="20">
        <f>SUMIF(Quantitytable[Dish],receipetable[[#This Row],[Recipe Name]],Quantitytable[Cost Per Dish Per Item])</f>
        <v>34.959999999999994</v>
      </c>
      <c r="G83" s="20">
        <v>3</v>
      </c>
      <c r="H83" s="20">
        <v>60</v>
      </c>
      <c r="I83" s="20">
        <f>receipetable[[#This Row],[Cost of Making]]+receipetable[[#This Row],[PKG Cst]]</f>
        <v>37.959999999999994</v>
      </c>
      <c r="J83" s="20"/>
      <c r="K83" s="20">
        <f>receipetable[[#This Row],[Our Prizing]]-receipetable[[#This Row],[Cost of Making]]-(receipetable[[#This Row],[Our Prizing]]*0.27)-receipetable[[#This Row],[Other Charges]]</f>
        <v>52.1</v>
      </c>
      <c r="L83" s="22">
        <f>(receipetable[[#This Row],[Our Prizing]]-receipetable[[#This Row],[Cost of Making]]-receipetable[[#This Row],[Other Charges]]-(receipetable[[#This Row],[Our Prizing]]*0.27))/receipetable[[#This Row],[Cost of Making]]</f>
        <v>1.4902745995423343</v>
      </c>
      <c r="M83" s="23">
        <v>2</v>
      </c>
    </row>
    <row r="84" spans="2:13" x14ac:dyDescent="0.25">
      <c r="B84" s="27">
        <v>84</v>
      </c>
      <c r="C84" s="21" t="s">
        <v>246</v>
      </c>
      <c r="D84" s="21" t="s">
        <v>130</v>
      </c>
      <c r="E84" s="21" t="s">
        <v>122</v>
      </c>
      <c r="F84" s="21">
        <f>SUMIF(Quantitytable[Dish],receipetable[[#This Row],[Recipe Name]],Quantitytable[Cost Per Dish Per Item])</f>
        <v>24.937142857142856</v>
      </c>
      <c r="G84" s="21">
        <v>3</v>
      </c>
      <c r="H84" s="21">
        <v>98</v>
      </c>
      <c r="I84" s="21">
        <f>receipetable[[#This Row],[Cost of Making]]+receipetable[[#This Row],[PKG Cst]]</f>
        <v>27.937142857142856</v>
      </c>
      <c r="J84" s="21"/>
      <c r="K84" s="21">
        <f>receipetable[[#This Row],[Our Prizing]]-receipetable[[#This Row],[Cost of Making]]-(receipetable[[#This Row],[Our Prizing]]*0.27)-receipetable[[#This Row],[Other Charges]]</f>
        <v>37.302857142857135</v>
      </c>
      <c r="L84" s="24">
        <f>(receipetable[[#This Row],[Our Prizing]]-receipetable[[#This Row],[Cost of Making]]-receipetable[[#This Row],[Other Charges]]-(receipetable[[#This Row],[Our Prizing]]*0.27))/receipetable[[#This Row],[Cost of Making]]</f>
        <v>1.4958753437213563</v>
      </c>
      <c r="M84" s="25">
        <v>2</v>
      </c>
    </row>
    <row r="85" spans="2:13" x14ac:dyDescent="0.25">
      <c r="B85" s="27">
        <v>85</v>
      </c>
      <c r="C85" s="20" t="s">
        <v>247</v>
      </c>
      <c r="D85" s="20" t="s">
        <v>130</v>
      </c>
      <c r="E85" s="20" t="s">
        <v>122</v>
      </c>
      <c r="F85" s="20">
        <f>SUMIF(Quantitytable[Dish],receipetable[[#This Row],[Recipe Name]],Quantitytable[Cost Per Dish Per Item])</f>
        <v>36.365714285714283</v>
      </c>
      <c r="G85" s="20">
        <v>3</v>
      </c>
      <c r="H85" s="20">
        <v>130</v>
      </c>
      <c r="I85" s="20">
        <f>receipetable[[#This Row],[Cost of Making]]+receipetable[[#This Row],[PKG Cst]]</f>
        <v>39.365714285714283</v>
      </c>
      <c r="J85" s="20"/>
      <c r="K85" s="20">
        <f>receipetable[[#This Row],[Our Prizing]]-receipetable[[#This Row],[Cost of Making]]-(receipetable[[#This Row],[Our Prizing]]*0.27)-receipetable[[#This Row],[Other Charges]]</f>
        <v>52.88428571428571</v>
      </c>
      <c r="L85" s="22">
        <f>(receipetable[[#This Row],[Our Prizing]]-receipetable[[#This Row],[Cost of Making]]-receipetable[[#This Row],[Other Charges]]-(receipetable[[#This Row],[Our Prizing]]*0.27))/receipetable[[#This Row],[Cost of Making]]</f>
        <v>1.4542347580138277</v>
      </c>
      <c r="M85" s="23">
        <v>2</v>
      </c>
    </row>
    <row r="86" spans="2:13" x14ac:dyDescent="0.25">
      <c r="B86" s="26">
        <v>86</v>
      </c>
      <c r="C86" s="21" t="s">
        <v>248</v>
      </c>
      <c r="D86" s="21" t="s">
        <v>130</v>
      </c>
      <c r="E86" s="21" t="s">
        <v>122</v>
      </c>
      <c r="F86" s="21">
        <f>SUMIF(Quantitytable[Dish],receipetable[[#This Row],[Recipe Name]],Quantitytable[Cost Per Dish Per Item])</f>
        <v>40.404355904211393</v>
      </c>
      <c r="G86" s="21">
        <v>3</v>
      </c>
      <c r="H86" s="21">
        <v>98</v>
      </c>
      <c r="I86" s="21">
        <f>receipetable[[#This Row],[Cost of Making]]+receipetable[[#This Row],[PKG Cst]]</f>
        <v>43.404355904211393</v>
      </c>
      <c r="J86" s="21"/>
      <c r="K86" s="21">
        <f>receipetable[[#This Row],[Our Prizing]]-receipetable[[#This Row],[Cost of Making]]-(receipetable[[#This Row],[Our Prizing]]*0.27)-receipetable[[#This Row],[Other Charges]]</f>
        <v>61.255644095788597</v>
      </c>
      <c r="L86" s="24">
        <f>(receipetable[[#This Row],[Our Prizing]]-receipetable[[#This Row],[Cost of Making]]-receipetable[[#This Row],[Other Charges]]-(receipetable[[#This Row],[Our Prizing]]*0.27))/receipetable[[#This Row],[Cost of Making]]</f>
        <v>1.5160653529785348</v>
      </c>
      <c r="M86" s="25">
        <v>2</v>
      </c>
    </row>
    <row r="87" spans="2:13" x14ac:dyDescent="0.25">
      <c r="B87" s="27">
        <v>87</v>
      </c>
      <c r="C87" s="20" t="s">
        <v>249</v>
      </c>
      <c r="D87" s="20" t="s">
        <v>136</v>
      </c>
      <c r="E87" s="20" t="s">
        <v>122</v>
      </c>
      <c r="F87" s="20">
        <f>SUMIF(Quantitytable[Dish],receipetable[[#This Row],[Recipe Name]],Quantitytable[Cost Per Dish Per Item])</f>
        <v>44.106511576381962</v>
      </c>
      <c r="G87" s="20">
        <v>3</v>
      </c>
      <c r="H87" s="20">
        <v>55</v>
      </c>
      <c r="I87" s="20">
        <f>receipetable[[#This Row],[Cost of Making]]+receipetable[[#This Row],[PKG Cst]]</f>
        <v>47.106511576381962</v>
      </c>
      <c r="J87" s="20"/>
      <c r="K87" s="20">
        <f>receipetable[[#This Row],[Our Prizing]]-receipetable[[#This Row],[Cost of Making]]-(receipetable[[#This Row],[Our Prizing]]*0.27)-receipetable[[#This Row],[Other Charges]]</f>
        <v>67.043488423618044</v>
      </c>
      <c r="L87" s="22">
        <f>(receipetable[[#This Row],[Our Prizing]]-receipetable[[#This Row],[Cost of Making]]-receipetable[[#This Row],[Other Charges]]-(receipetable[[#This Row],[Our Prizing]]*0.27))/receipetable[[#This Row],[Cost of Making]]</f>
        <v>1.5200360678607445</v>
      </c>
      <c r="M87" s="23">
        <v>2</v>
      </c>
    </row>
    <row r="88" spans="2:13" x14ac:dyDescent="0.25">
      <c r="B88" s="27">
        <v>88</v>
      </c>
      <c r="C88" s="21" t="s">
        <v>251</v>
      </c>
      <c r="D88" s="21" t="s">
        <v>121</v>
      </c>
      <c r="E88" s="21" t="s">
        <v>125</v>
      </c>
      <c r="F88" s="21">
        <f>SUMIF(Quantitytable[Dish],receipetable[[#This Row],[Recipe Name]],Quantitytable[Cost Per Dish Per Item])</f>
        <v>23.794285714285714</v>
      </c>
      <c r="G88" s="21">
        <v>5</v>
      </c>
      <c r="H88" s="21">
        <v>100</v>
      </c>
      <c r="I88" s="21">
        <f>receipetable[[#This Row],[Cost of Making]]+receipetable[[#This Row],[PKG Cst]]</f>
        <v>26.794285714285714</v>
      </c>
      <c r="J88" s="21"/>
      <c r="K88" s="21">
        <f>receipetable[[#This Row],[Our Prizing]]-receipetable[[#This Row],[Cost of Making]]-(receipetable[[#This Row],[Our Prizing]]*0.27)-receipetable[[#This Row],[Other Charges]]</f>
        <v>36.255714285714284</v>
      </c>
      <c r="L88" s="24">
        <f>(receipetable[[#This Row],[Our Prizing]]-receipetable[[#This Row],[Cost of Making]]-receipetable[[#This Row],[Other Charges]]-(receipetable[[#This Row],[Our Prizing]]*0.27))/receipetable[[#This Row],[Cost of Making]]</f>
        <v>1.5237151777137368</v>
      </c>
      <c r="M88" s="25">
        <v>2</v>
      </c>
    </row>
    <row r="89" spans="2:13" x14ac:dyDescent="0.25">
      <c r="B89" s="26">
        <v>89</v>
      </c>
      <c r="C89" s="20" t="s">
        <v>252</v>
      </c>
      <c r="D89" s="20" t="s">
        <v>121</v>
      </c>
      <c r="E89" s="20" t="s">
        <v>125</v>
      </c>
      <c r="F89" s="20">
        <f>SUMIF(Quantitytable[Dish],receipetable[[#This Row],[Recipe Name]],Quantitytable[Cost Per Dish Per Item])</f>
        <v>36.194285714285712</v>
      </c>
      <c r="G89" s="20">
        <v>5</v>
      </c>
      <c r="H89" s="20">
        <v>130</v>
      </c>
      <c r="I89" s="20">
        <f>receipetable[[#This Row],[Cost of Making]]+receipetable[[#This Row],[PKG Cst]]</f>
        <v>39.194285714285712</v>
      </c>
      <c r="J89" s="20"/>
      <c r="K89" s="20">
        <f>receipetable[[#This Row],[Our Prizing]]-receipetable[[#This Row],[Cost of Making]]-(receipetable[[#This Row],[Our Prizing]]*0.27)-receipetable[[#This Row],[Other Charges]]</f>
        <v>55.245714285714286</v>
      </c>
      <c r="L89" s="22">
        <f>(receipetable[[#This Row],[Our Prizing]]-receipetable[[#This Row],[Cost of Making]]-receipetable[[#This Row],[Other Charges]]-(receipetable[[#This Row],[Our Prizing]]*0.27))/receipetable[[#This Row],[Cost of Making]]</f>
        <v>1.5263656457215031</v>
      </c>
      <c r="M89" s="23">
        <v>2</v>
      </c>
    </row>
    <row r="90" spans="2:13" x14ac:dyDescent="0.25">
      <c r="B90" s="27">
        <v>90</v>
      </c>
      <c r="C90" s="21" t="s">
        <v>255</v>
      </c>
      <c r="D90" s="21" t="s">
        <v>121</v>
      </c>
      <c r="E90" s="21" t="s">
        <v>125</v>
      </c>
      <c r="F90" s="21">
        <f>SUMIF(Quantitytable[Dish],receipetable[[#This Row],[Recipe Name]],Quantitytable[Cost Per Dish Per Item])</f>
        <v>44.551428571428566</v>
      </c>
      <c r="G90" s="21">
        <v>5</v>
      </c>
      <c r="H90" s="21">
        <v>130</v>
      </c>
      <c r="I90" s="21">
        <f>receipetable[[#This Row],[Cost of Making]]+receipetable[[#This Row],[PKG Cst]]</f>
        <v>47.551428571428566</v>
      </c>
      <c r="J90" s="21"/>
      <c r="K90" s="21">
        <f>receipetable[[#This Row],[Our Prizing]]-receipetable[[#This Row],[Cost of Making]]-(receipetable[[#This Row],[Our Prizing]]*0.27)-receipetable[[#This Row],[Other Charges]]</f>
        <v>66.598571428571432</v>
      </c>
      <c r="L90" s="24">
        <f>(receipetable[[#This Row],[Our Prizing]]-receipetable[[#This Row],[Cost of Making]]-receipetable[[#This Row],[Other Charges]]-(receipetable[[#This Row],[Our Prizing]]*0.27))/receipetable[[#This Row],[Cost of Making]]</f>
        <v>1.494869492721093</v>
      </c>
      <c r="M90" s="25">
        <v>2</v>
      </c>
    </row>
    <row r="91" spans="2:13" x14ac:dyDescent="0.25">
      <c r="B91" s="27">
        <v>91</v>
      </c>
      <c r="C91" s="20" t="s">
        <v>256</v>
      </c>
      <c r="D91" s="20" t="s">
        <v>130</v>
      </c>
      <c r="E91" s="20" t="s">
        <v>125</v>
      </c>
      <c r="F91" s="20">
        <f>SUMIF(Quantitytable[Dish],receipetable[[#This Row],[Recipe Name]],Quantitytable[Cost Per Dish Per Item])</f>
        <v>36.494285714285716</v>
      </c>
      <c r="G91" s="20">
        <v>5</v>
      </c>
      <c r="H91" s="20">
        <v>80</v>
      </c>
      <c r="I91" s="20">
        <f>receipetable[[#This Row],[Cost of Making]]+receipetable[[#This Row],[PKG Cst]]</f>
        <v>39.494285714285716</v>
      </c>
      <c r="J91" s="20"/>
      <c r="K91" s="20">
        <f>receipetable[[#This Row],[Our Prizing]]-receipetable[[#This Row],[Cost of Making]]-(receipetable[[#This Row],[Our Prizing]]*0.27)-receipetable[[#This Row],[Other Charges]]</f>
        <v>54.945714285714274</v>
      </c>
      <c r="L91" s="22">
        <f>(receipetable[[#This Row],[Our Prizing]]-receipetable[[#This Row],[Cost of Making]]-receipetable[[#This Row],[Other Charges]]-(receipetable[[#This Row],[Our Prizing]]*0.27))/receipetable[[#This Row],[Cost of Making]]</f>
        <v>1.5055977452438734</v>
      </c>
      <c r="M91" s="23">
        <v>2</v>
      </c>
    </row>
    <row r="92" spans="2:13" x14ac:dyDescent="0.25">
      <c r="B92" s="26">
        <v>92</v>
      </c>
    </row>
    <row r="93" spans="2:13" x14ac:dyDescent="0.25">
      <c r="B93" s="27">
        <v>93</v>
      </c>
      <c r="C93" s="20" t="s">
        <v>258</v>
      </c>
      <c r="D93" s="20" t="s">
        <v>124</v>
      </c>
      <c r="E93" s="20" t="s">
        <v>151</v>
      </c>
      <c r="F93" s="20">
        <f>SUMIF(Quantitytable[Dish],receipetable[[#This Row],[Recipe Name]],Quantitytable[Cost Per Dish Per Item])</f>
        <v>29.108285714285714</v>
      </c>
      <c r="G93" s="20">
        <v>7</v>
      </c>
      <c r="H93" s="20">
        <v>180</v>
      </c>
      <c r="I93" s="20">
        <f>receipetable[[#This Row],[Cost of Making]]+receipetable[[#This Row],[PKG Cst]]</f>
        <v>32.108285714285714</v>
      </c>
      <c r="J93" s="20"/>
      <c r="K93" s="20">
        <f>receipetable[[#This Row],[Our Prizing]]-receipetable[[#This Row],[Cost of Making]]-(receipetable[[#This Row],[Our Prizing]]*0.27)-receipetable[[#This Row],[Other Charges]]</f>
        <v>44.811714285714288</v>
      </c>
      <c r="L93" s="22">
        <f>(receipetable[[#This Row],[Our Prizing]]-receipetable[[#This Row],[Cost of Making]]-receipetable[[#This Row],[Other Charges]]-(receipetable[[#This Row],[Our Prizing]]*0.27))/receipetable[[#This Row],[Cost of Making]]</f>
        <v>1.5394831123195165</v>
      </c>
      <c r="M93" s="23">
        <v>2</v>
      </c>
    </row>
    <row r="94" spans="2:13" x14ac:dyDescent="0.25">
      <c r="B94" s="27">
        <v>94</v>
      </c>
      <c r="C94" s="21" t="s">
        <v>259</v>
      </c>
      <c r="D94" s="21" t="s">
        <v>138</v>
      </c>
      <c r="E94" s="21" t="s">
        <v>151</v>
      </c>
      <c r="F94" s="21">
        <f>SUMIF(Quantitytable[Dish],receipetable[[#This Row],[Recipe Name]],Quantitytable[Cost Per Dish Per Item])</f>
        <v>45.251428571428569</v>
      </c>
      <c r="G94" s="21">
        <v>7</v>
      </c>
      <c r="H94" s="21">
        <v>200</v>
      </c>
      <c r="I94" s="21">
        <f>receipetable[[#This Row],[Cost of Making]]+receipetable[[#This Row],[PKG Cst]]</f>
        <v>48.251428571428569</v>
      </c>
      <c r="J94" s="21"/>
      <c r="K94" s="21">
        <f>receipetable[[#This Row],[Our Prizing]]-receipetable[[#This Row],[Cost of Making]]-(receipetable[[#This Row],[Our Prizing]]*0.27)-receipetable[[#This Row],[Other Charges]]</f>
        <v>69.548571428571435</v>
      </c>
      <c r="L94" s="24">
        <f>(receipetable[[#This Row],[Our Prizing]]-receipetable[[#This Row],[Cost of Making]]-receipetable[[#This Row],[Other Charges]]-(receipetable[[#This Row],[Our Prizing]]*0.27))/receipetable[[#This Row],[Cost of Making]]</f>
        <v>1.5369364818790254</v>
      </c>
      <c r="M94" s="25">
        <v>2</v>
      </c>
    </row>
    <row r="95" spans="2:13" x14ac:dyDescent="0.25">
      <c r="B95" s="26">
        <v>95</v>
      </c>
      <c r="C95" s="20" t="s">
        <v>260</v>
      </c>
      <c r="D95" s="20" t="s">
        <v>121</v>
      </c>
      <c r="E95" s="20" t="s">
        <v>122</v>
      </c>
      <c r="F95" s="20">
        <f>SUMIF(Quantitytable[Dish],receipetable[[#This Row],[Recipe Name]],Quantitytable[Cost Per Dish Per Item])</f>
        <v>39.986547619047613</v>
      </c>
      <c r="G95" s="20">
        <v>3</v>
      </c>
      <c r="H95" s="20">
        <v>120</v>
      </c>
      <c r="I95" s="20">
        <f>receipetable[[#This Row],[Cost of Making]]+receipetable[[#This Row],[PKG Cst]]</f>
        <v>42.986547619047613</v>
      </c>
      <c r="J95" s="20"/>
      <c r="K95" s="20">
        <f>receipetable[[#This Row],[Our Prizing]]-receipetable[[#This Row],[Cost of Making]]-(receipetable[[#This Row],[Our Prizing]]*0.27)-receipetable[[#This Row],[Other Charges]]</f>
        <v>60.213452380952383</v>
      </c>
      <c r="L95" s="22">
        <f>(receipetable[[#This Row],[Our Prizing]]-receipetable[[#This Row],[Cost of Making]]-receipetable[[#This Row],[Other Charges]]-(receipetable[[#This Row],[Our Prizing]]*0.27))/receipetable[[#This Row],[Cost of Making]]</f>
        <v>1.5058427387782203</v>
      </c>
      <c r="M95" s="23">
        <v>2</v>
      </c>
    </row>
    <row r="96" spans="2:13" x14ac:dyDescent="0.25">
      <c r="B96" s="27">
        <v>96</v>
      </c>
      <c r="C96" s="21" t="s">
        <v>261</v>
      </c>
      <c r="D96" s="21" t="s">
        <v>121</v>
      </c>
      <c r="E96" s="21" t="s">
        <v>125</v>
      </c>
      <c r="F96" s="21">
        <f>SUMIF(Quantitytable[Dish],receipetable[[#This Row],[Recipe Name]],Quantitytable[Cost Per Dish Per Item])</f>
        <v>31.913333333333334</v>
      </c>
      <c r="G96" s="21">
        <v>5</v>
      </c>
      <c r="H96" s="21">
        <v>150</v>
      </c>
      <c r="I96" s="21">
        <f>receipetable[[#This Row],[Cost of Making]]+receipetable[[#This Row],[PKG Cst]]</f>
        <v>34.913333333333334</v>
      </c>
      <c r="J96" s="21"/>
      <c r="K96" s="21">
        <f>receipetable[[#This Row],[Our Prizing]]-receipetable[[#This Row],[Cost of Making]]-(receipetable[[#This Row],[Our Prizing]]*0.27)-receipetable[[#This Row],[Other Charges]]</f>
        <v>49.306666666666672</v>
      </c>
      <c r="L96" s="24">
        <f>(receipetable[[#This Row],[Our Prizing]]-receipetable[[#This Row],[Cost of Making]]-receipetable[[#This Row],[Other Charges]]-(receipetable[[#This Row],[Our Prizing]]*0.27))/receipetable[[#This Row],[Cost of Making]]</f>
        <v>1.5450177564236476</v>
      </c>
      <c r="M96" s="25">
        <v>2</v>
      </c>
    </row>
    <row r="97" spans="2:13" x14ac:dyDescent="0.25">
      <c r="B97" s="27">
        <v>97</v>
      </c>
      <c r="C97" s="20" t="s">
        <v>262</v>
      </c>
      <c r="D97" s="20" t="s">
        <v>129</v>
      </c>
      <c r="E97" s="20" t="s">
        <v>125</v>
      </c>
      <c r="F97" s="20">
        <f>SUMIF(Quantitytable[Dish],receipetable[[#This Row],[Recipe Name]],Quantitytable[Cost Per Dish Per Item])</f>
        <v>66.3</v>
      </c>
      <c r="G97" s="20">
        <v>5</v>
      </c>
      <c r="H97" s="20">
        <v>150</v>
      </c>
      <c r="I97" s="20">
        <f>receipetable[[#This Row],[Cost of Making]]+receipetable[[#This Row],[PKG Cst]]</f>
        <v>69.3</v>
      </c>
      <c r="J97" s="20"/>
      <c r="K97" s="20">
        <f>receipetable[[#This Row],[Our Prizing]]-receipetable[[#This Row],[Cost of Making]]-(receipetable[[#This Row],[Our Prizing]]*0.27)-receipetable[[#This Row],[Other Charges]]</f>
        <v>99.6</v>
      </c>
      <c r="L97" s="22">
        <f>(receipetable[[#This Row],[Our Prizing]]-receipetable[[#This Row],[Cost of Making]]-receipetable[[#This Row],[Other Charges]]-(receipetable[[#This Row],[Our Prizing]]*0.27))/receipetable[[#This Row],[Cost of Making]]</f>
        <v>1.502262443438914</v>
      </c>
      <c r="M97" s="23">
        <v>2</v>
      </c>
    </row>
    <row r="98" spans="2:13" x14ac:dyDescent="0.25">
      <c r="B98" s="26">
        <v>98</v>
      </c>
      <c r="C98" s="21"/>
      <c r="D98" s="21"/>
      <c r="E98" s="21"/>
      <c r="F98" s="21">
        <f>SUMIF(Quantitytable[Dish],receipetable[[#This Row],[Recipe Name]],Quantitytable[Cost Per Dish Per Item])</f>
        <v>22.543706293706297</v>
      </c>
      <c r="G98" s="21">
        <v>5</v>
      </c>
      <c r="H98" s="21"/>
      <c r="I98" s="21">
        <f>receipetable[[#This Row],[Cost of Making]]+receipetable[[#This Row],[PKG Cst]]</f>
        <v>25.543706293706297</v>
      </c>
      <c r="J98" s="21"/>
      <c r="K98" s="21">
        <f>receipetable[[#This Row],[Our Prizing]]-receipetable[[#This Row],[Cost of Making]]-(receipetable[[#This Row],[Our Prizing]]*0.27)-receipetable[[#This Row],[Other Charges]]</f>
        <v>33.856293706293705</v>
      </c>
      <c r="L98" s="24">
        <f>(receipetable[[#This Row],[Our Prizing]]-receipetable[[#This Row],[Cost of Making]]-receipetable[[#This Row],[Other Charges]]-(receipetable[[#This Row],[Our Prizing]]*0.27))/receipetable[[#This Row],[Cost of Making]]</f>
        <v>1.5018069018999609</v>
      </c>
      <c r="M98" s="25">
        <v>2</v>
      </c>
    </row>
    <row r="99" spans="2:13" x14ac:dyDescent="0.25">
      <c r="B99" s="27">
        <v>99</v>
      </c>
      <c r="C99" s="20" t="s">
        <v>263</v>
      </c>
      <c r="D99" s="20" t="s">
        <v>121</v>
      </c>
      <c r="E99" s="20" t="s">
        <v>125</v>
      </c>
      <c r="F99" s="20">
        <f>SUMIF(Quantitytable[Dish],receipetable[[#This Row],[Recipe Name]],Quantitytable[Cost Per Dish Per Item])</f>
        <v>0</v>
      </c>
      <c r="G99" s="20">
        <v>5</v>
      </c>
      <c r="H99" s="20">
        <v>180</v>
      </c>
      <c r="I99" s="20" t="e">
        <f>receipetable[[#This Row],[Cost of Making]]+receipetable[[#This Row],[PKG Cst]]</f>
        <v>#VALUE!</v>
      </c>
      <c r="J99" s="20"/>
      <c r="K99" s="20" t="e">
        <f>receipetable[[#This Row],[Our Prizing]]-receipetable[[#This Row],[Cost of Making]]-(receipetable[[#This Row],[Our Prizing]]*0.27)-receipetable[[#This Row],[Other Charges]]</f>
        <v>#VALUE!</v>
      </c>
      <c r="L99" s="22" t="e">
        <f>(receipetable[[#This Row],[Our Prizing]]-receipetable[[#This Row],[Cost of Making]]-receipetable[[#This Row],[Other Charges]]-(receipetable[[#This Row],[Our Prizing]]*0.27))/receipetable[[#This Row],[Cost of Making]]</f>
        <v>#VALUE!</v>
      </c>
      <c r="M99" s="23">
        <v>2</v>
      </c>
    </row>
    <row r="100" spans="2:13" x14ac:dyDescent="0.25">
      <c r="B100" s="27">
        <v>100</v>
      </c>
      <c r="C100" s="21" t="s">
        <v>264</v>
      </c>
      <c r="D100" s="21" t="s">
        <v>129</v>
      </c>
      <c r="E100" s="21" t="s">
        <v>125</v>
      </c>
      <c r="F100" s="21">
        <f>SUMIF(Quantitytable[Dish],receipetable[[#This Row],[Recipe Name]],Quantitytable[Cost Per Dish Per Item])</f>
        <v>0</v>
      </c>
      <c r="G100" s="21">
        <v>5</v>
      </c>
      <c r="H100" s="21">
        <v>180</v>
      </c>
      <c r="I100" s="21" t="e">
        <f>receipetable[[#This Row],[Cost of Making]]+receipetable[[#This Row],[PKG Cst]]</f>
        <v>#VALUE!</v>
      </c>
      <c r="J100" s="21"/>
      <c r="K100" s="21" t="e">
        <f>receipetable[[#This Row],[Our Prizing]]-receipetable[[#This Row],[Cost of Making]]-(receipetable[[#This Row],[Our Prizing]]*0.27)-receipetable[[#This Row],[Other Charges]]</f>
        <v>#VALUE!</v>
      </c>
      <c r="L100" s="24" t="e">
        <f>(receipetable[[#This Row],[Our Prizing]]-receipetable[[#This Row],[Cost of Making]]-receipetable[[#This Row],[Other Charges]]-(receipetable[[#This Row],[Our Prizing]]*0.27))/receipetable[[#This Row],[Cost of Making]]</f>
        <v>#VALUE!</v>
      </c>
      <c r="M100" s="25">
        <v>2</v>
      </c>
    </row>
    <row r="101" spans="2:13" x14ac:dyDescent="0.25">
      <c r="B101" s="26">
        <v>101</v>
      </c>
      <c r="C101" s="20" t="s">
        <v>265</v>
      </c>
      <c r="D101" s="20" t="s">
        <v>124</v>
      </c>
      <c r="E101" s="20" t="s">
        <v>125</v>
      </c>
      <c r="F101" s="20">
        <f>SUMIF(Quantitytable[Dish],receipetable[[#This Row],[Recipe Name]],Quantitytable[Cost Per Dish Per Item])</f>
        <v>0</v>
      </c>
      <c r="G101" s="20">
        <v>5</v>
      </c>
      <c r="H101" s="20">
        <v>150</v>
      </c>
      <c r="I101" s="20" t="e">
        <f>receipetable[[#This Row],[Cost of Making]]+receipetable[[#This Row],[PKG Cst]]</f>
        <v>#VALUE!</v>
      </c>
      <c r="J101" s="20"/>
      <c r="K101" s="20" t="e">
        <f>receipetable[[#This Row],[Our Prizing]]-receipetable[[#This Row],[Cost of Making]]-(receipetable[[#This Row],[Our Prizing]]*0.27)-receipetable[[#This Row],[Other Charges]]</f>
        <v>#VALUE!</v>
      </c>
      <c r="L101" s="22" t="e">
        <f>(receipetable[[#This Row],[Our Prizing]]-receipetable[[#This Row],[Cost of Making]]-receipetable[[#This Row],[Other Charges]]-(receipetable[[#This Row],[Our Prizing]]*0.27))/receipetable[[#This Row],[Cost of Making]]</f>
        <v>#VALUE!</v>
      </c>
      <c r="M101" s="23">
        <v>2</v>
      </c>
    </row>
    <row r="102" spans="2:13" x14ac:dyDescent="0.25">
      <c r="B102" s="27">
        <v>102</v>
      </c>
      <c r="C102" s="21"/>
      <c r="D102" s="21"/>
      <c r="E102" s="21"/>
      <c r="F102" s="21">
        <f>SUMIF(Quantitytable[Dish],receipetable[[#This Row],[Recipe Name]],Quantitytable[Cost Per Dish Per Item])</f>
        <v>0</v>
      </c>
      <c r="G102" s="21">
        <v>5</v>
      </c>
      <c r="H102" s="21"/>
      <c r="I102" s="21" t="e">
        <f>receipetable[[#This Row],[Cost of Making]]+receipetable[[#This Row],[PKG Cst]]</f>
        <v>#VALUE!</v>
      </c>
      <c r="J102" s="21"/>
      <c r="K102" s="21" t="e">
        <f>receipetable[[#This Row],[Our Prizing]]-receipetable[[#This Row],[Cost of Making]]-(receipetable[[#This Row],[Our Prizing]]*0.27)-receipetable[[#This Row],[Other Charges]]</f>
        <v>#VALUE!</v>
      </c>
      <c r="L102" s="24" t="e">
        <f>(receipetable[[#This Row],[Our Prizing]]-receipetable[[#This Row],[Cost of Making]]-receipetable[[#This Row],[Other Charges]]-(receipetable[[#This Row],[Our Prizing]]*0.27))/receipetable[[#This Row],[Cost of Making]]</f>
        <v>#VALUE!</v>
      </c>
      <c r="M102" s="25">
        <v>2</v>
      </c>
    </row>
    <row r="103" spans="2:13" x14ac:dyDescent="0.25">
      <c r="B103" s="27">
        <v>103</v>
      </c>
      <c r="C103" s="20" t="s">
        <v>266</v>
      </c>
      <c r="D103" s="20" t="s">
        <v>129</v>
      </c>
      <c r="E103" s="20" t="s">
        <v>125</v>
      </c>
      <c r="F103" s="20">
        <f>SUMIF(Quantitytable[Dish],receipetable[[#This Row],[Recipe Name]],Quantitytable[Cost Per Dish Per Item])</f>
        <v>0</v>
      </c>
      <c r="G103" s="20">
        <v>5</v>
      </c>
      <c r="H103" s="20">
        <v>150</v>
      </c>
      <c r="I103" s="20" t="e">
        <f>receipetable[[#This Row],[Cost of Making]]+receipetable[[#This Row],[PKG Cst]]</f>
        <v>#VALUE!</v>
      </c>
      <c r="J103" s="20"/>
      <c r="K103" s="20" t="e">
        <f>receipetable[[#This Row],[Our Prizing]]-receipetable[[#This Row],[Cost of Making]]-(receipetable[[#This Row],[Our Prizing]]*0.27)-receipetable[[#This Row],[Other Charges]]</f>
        <v>#VALUE!</v>
      </c>
      <c r="L103" s="22" t="e">
        <f>(receipetable[[#This Row],[Our Prizing]]-receipetable[[#This Row],[Cost of Making]]-receipetable[[#This Row],[Other Charges]]-(receipetable[[#This Row],[Our Prizing]]*0.27))/receipetable[[#This Row],[Cost of Making]]</f>
        <v>#VALUE!</v>
      </c>
      <c r="M103" s="23">
        <v>2</v>
      </c>
    </row>
    <row r="104" spans="2:13" x14ac:dyDescent="0.25">
      <c r="B104" s="26">
        <v>104</v>
      </c>
      <c r="C104" s="21"/>
      <c r="D104" s="21"/>
      <c r="E104" s="21"/>
      <c r="F104" s="21">
        <f>SUMIF(Quantitytable[Dish],receipetable[[#This Row],[Recipe Name]],Quantitytable[Cost Per Dish Per Item])</f>
        <v>0</v>
      </c>
      <c r="G104" s="21">
        <v>5</v>
      </c>
      <c r="H104" s="21"/>
      <c r="I104" s="21" t="e">
        <f>receipetable[[#This Row],[Cost of Making]]+receipetable[[#This Row],[PKG Cst]]</f>
        <v>#VALUE!</v>
      </c>
      <c r="J104" s="21"/>
      <c r="K104" s="21" t="e">
        <f>receipetable[[#This Row],[Our Prizing]]-receipetable[[#This Row],[Cost of Making]]-(receipetable[[#This Row],[Our Prizing]]*0.27)-receipetable[[#This Row],[Other Charges]]</f>
        <v>#VALUE!</v>
      </c>
      <c r="L104" s="24" t="e">
        <f>(receipetable[[#This Row],[Our Prizing]]-receipetable[[#This Row],[Cost of Making]]-receipetable[[#This Row],[Other Charges]]-(receipetable[[#This Row],[Our Prizing]]*0.27))/receipetable[[#This Row],[Cost of Making]]</f>
        <v>#VALUE!</v>
      </c>
      <c r="M104" s="25">
        <v>2</v>
      </c>
    </row>
    <row r="105" spans="2:13" x14ac:dyDescent="0.25">
      <c r="B105" s="27">
        <v>105</v>
      </c>
      <c r="C105" s="20" t="s">
        <v>267</v>
      </c>
      <c r="D105" s="20" t="s">
        <v>124</v>
      </c>
      <c r="E105" s="20" t="s">
        <v>125</v>
      </c>
      <c r="F105" s="20">
        <f>SUMIF(Quantitytable[Dish],receipetable[[#This Row],[Recipe Name]],Quantitytable[Cost Per Dish Per Item])</f>
        <v>0</v>
      </c>
      <c r="G105" s="20">
        <v>5</v>
      </c>
      <c r="H105" s="20">
        <v>150</v>
      </c>
      <c r="I105" s="20" t="e">
        <f>receipetable[[#This Row],[Cost of Making]]+receipetable[[#This Row],[PKG Cst]]</f>
        <v>#VALUE!</v>
      </c>
      <c r="J105" s="20"/>
      <c r="K105" s="20" t="e">
        <f>receipetable[[#This Row],[Our Prizing]]-receipetable[[#This Row],[Cost of Making]]-(receipetable[[#This Row],[Our Prizing]]*0.27)-receipetable[[#This Row],[Other Charges]]</f>
        <v>#VALUE!</v>
      </c>
      <c r="L105" s="22" t="e">
        <f>(receipetable[[#This Row],[Our Prizing]]-receipetable[[#This Row],[Cost of Making]]-receipetable[[#This Row],[Other Charges]]-(receipetable[[#This Row],[Our Prizing]]*0.27))/receipetable[[#This Row],[Cost of Making]]</f>
        <v>#VALUE!</v>
      </c>
      <c r="M105" s="23">
        <v>2</v>
      </c>
    </row>
    <row r="106" spans="2:13" x14ac:dyDescent="0.25">
      <c r="B106" s="27">
        <v>106</v>
      </c>
      <c r="C106" s="21" t="s">
        <v>268</v>
      </c>
      <c r="D106" s="21" t="s">
        <v>129</v>
      </c>
      <c r="E106" s="21" t="s">
        <v>125</v>
      </c>
      <c r="F106" s="21">
        <f>SUMIF(Quantitytable[Dish],receipetable[[#This Row],[Recipe Name]],Quantitytable[Cost Per Dish Per Item])</f>
        <v>0</v>
      </c>
      <c r="G106" s="21">
        <v>5</v>
      </c>
      <c r="H106" s="21">
        <v>120</v>
      </c>
      <c r="I106" s="21" t="e">
        <f>receipetable[[#This Row],[Cost of Making]]+receipetable[[#This Row],[PKG Cst]]</f>
        <v>#VALUE!</v>
      </c>
      <c r="J106" s="21"/>
      <c r="K106" s="21" t="e">
        <f>receipetable[[#This Row],[Our Prizing]]-receipetable[[#This Row],[Cost of Making]]-(receipetable[[#This Row],[Our Prizing]]*0.27)-receipetable[[#This Row],[Other Charges]]</f>
        <v>#VALUE!</v>
      </c>
      <c r="L106" s="24" t="e">
        <f>(receipetable[[#This Row],[Our Prizing]]-receipetable[[#This Row],[Cost of Making]]-receipetable[[#This Row],[Other Charges]]-(receipetable[[#This Row],[Our Prizing]]*0.27))/receipetable[[#This Row],[Cost of Making]]</f>
        <v>#VALUE!</v>
      </c>
      <c r="M106" s="25">
        <v>2</v>
      </c>
    </row>
    <row r="107" spans="2:13" x14ac:dyDescent="0.25">
      <c r="B107" s="26">
        <v>107</v>
      </c>
      <c r="C107" s="20" t="s">
        <v>269</v>
      </c>
      <c r="D107" s="20" t="s">
        <v>129</v>
      </c>
      <c r="E107" s="20" t="s">
        <v>125</v>
      </c>
      <c r="F107" s="20">
        <f>SUMIF(Quantitytable[Dish],receipetable[[#This Row],[Recipe Name]],Quantitytable[Cost Per Dish Per Item])</f>
        <v>0</v>
      </c>
      <c r="G107" s="20">
        <v>5</v>
      </c>
      <c r="H107" s="20">
        <v>120</v>
      </c>
      <c r="I107" s="20" t="e">
        <f>receipetable[[#This Row],[Cost of Making]]+receipetable[[#This Row],[PKG Cst]]</f>
        <v>#VALUE!</v>
      </c>
      <c r="J107" s="20"/>
      <c r="K107" s="20" t="e">
        <f>receipetable[[#This Row],[Our Prizing]]-receipetable[[#This Row],[Cost of Making]]-(receipetable[[#This Row],[Our Prizing]]*0.27)-receipetable[[#This Row],[Other Charges]]</f>
        <v>#VALUE!</v>
      </c>
      <c r="L107" s="22" t="e">
        <f>(receipetable[[#This Row],[Our Prizing]]-receipetable[[#This Row],[Cost of Making]]-receipetable[[#This Row],[Other Charges]]-(receipetable[[#This Row],[Our Prizing]]*0.27))/receipetable[[#This Row],[Cost of Making]]</f>
        <v>#VALUE!</v>
      </c>
      <c r="M107" s="23">
        <v>2</v>
      </c>
    </row>
    <row r="108" spans="2:13" x14ac:dyDescent="0.25">
      <c r="B108" s="27">
        <v>108</v>
      </c>
      <c r="C108" s="21" t="s">
        <v>270</v>
      </c>
      <c r="D108" s="21" t="s">
        <v>124</v>
      </c>
      <c r="E108" s="21" t="s">
        <v>125</v>
      </c>
      <c r="F108" s="21">
        <f>SUMIF(Quantitytable[Dish],receipetable[[#This Row],[Recipe Name]],Quantitytable[Cost Per Dish Per Item])</f>
        <v>0</v>
      </c>
      <c r="G108" s="21">
        <v>5</v>
      </c>
      <c r="H108" s="21">
        <v>150</v>
      </c>
      <c r="I108" s="21" t="e">
        <f>receipetable[[#This Row],[Cost of Making]]+receipetable[[#This Row],[PKG Cst]]</f>
        <v>#VALUE!</v>
      </c>
      <c r="J108" s="21"/>
      <c r="K108" s="21" t="e">
        <f>receipetable[[#This Row],[Our Prizing]]-receipetable[[#This Row],[Cost of Making]]-(receipetable[[#This Row],[Our Prizing]]*0.27)-receipetable[[#This Row],[Other Charges]]</f>
        <v>#VALUE!</v>
      </c>
      <c r="L108" s="24" t="e">
        <f>(receipetable[[#This Row],[Our Prizing]]-receipetable[[#This Row],[Cost of Making]]-receipetable[[#This Row],[Other Charges]]-(receipetable[[#This Row],[Our Prizing]]*0.27))/receipetable[[#This Row],[Cost of Making]]</f>
        <v>#VALUE!</v>
      </c>
      <c r="M108" s="25">
        <v>2</v>
      </c>
    </row>
    <row r="109" spans="2:13" x14ac:dyDescent="0.25">
      <c r="B109" s="27">
        <v>109</v>
      </c>
      <c r="C109" s="20" t="s">
        <v>271</v>
      </c>
      <c r="D109" s="20" t="s">
        <v>124</v>
      </c>
      <c r="E109" s="20" t="s">
        <v>125</v>
      </c>
      <c r="F109" s="20">
        <f>SUMIF(Quantitytable[Dish],receipetable[[#This Row],[Recipe Name]],Quantitytable[Cost Per Dish Per Item])</f>
        <v>0</v>
      </c>
      <c r="G109" s="20">
        <v>5</v>
      </c>
      <c r="H109" s="20">
        <v>150</v>
      </c>
      <c r="I109" s="20" t="e">
        <f>receipetable[[#This Row],[Cost of Making]]+receipetable[[#This Row],[PKG Cst]]</f>
        <v>#VALUE!</v>
      </c>
      <c r="J109" s="20"/>
      <c r="K109" s="20" t="e">
        <f>receipetable[[#This Row],[Our Prizing]]-receipetable[[#This Row],[Cost of Making]]-(receipetable[[#This Row],[Our Prizing]]*0.27)-receipetable[[#This Row],[Other Charges]]</f>
        <v>#VALUE!</v>
      </c>
      <c r="L109" s="22" t="e">
        <f>(receipetable[[#This Row],[Our Prizing]]-receipetable[[#This Row],[Cost of Making]]-receipetable[[#This Row],[Other Charges]]-(receipetable[[#This Row],[Our Prizing]]*0.27))/receipetable[[#This Row],[Cost of Making]]</f>
        <v>#VALUE!</v>
      </c>
      <c r="M109" s="23">
        <v>2</v>
      </c>
    </row>
    <row r="110" spans="2:13" x14ac:dyDescent="0.25">
      <c r="B110" s="26">
        <v>110</v>
      </c>
      <c r="C110" s="21" t="s">
        <v>272</v>
      </c>
      <c r="D110" s="21" t="s">
        <v>121</v>
      </c>
      <c r="E110" s="21" t="s">
        <v>125</v>
      </c>
      <c r="F110" s="21">
        <f>SUMIF(Quantitytable[Dish],receipetable[[#This Row],[Recipe Name]],Quantitytable[Cost Per Dish Per Item])</f>
        <v>0</v>
      </c>
      <c r="G110" s="21">
        <v>5</v>
      </c>
      <c r="H110" s="21">
        <v>180</v>
      </c>
      <c r="I110" s="21" t="e">
        <f>receipetable[[#This Row],[Cost of Making]]+receipetable[[#This Row],[PKG Cst]]</f>
        <v>#VALUE!</v>
      </c>
      <c r="J110" s="21"/>
      <c r="K110" s="21" t="e">
        <f>receipetable[[#This Row],[Our Prizing]]-receipetable[[#This Row],[Cost of Making]]-(receipetable[[#This Row],[Our Prizing]]*0.27)-receipetable[[#This Row],[Other Charges]]</f>
        <v>#VALUE!</v>
      </c>
      <c r="L110" s="24" t="e">
        <f>(receipetable[[#This Row],[Our Prizing]]-receipetable[[#This Row],[Cost of Making]]-receipetable[[#This Row],[Other Charges]]-(receipetable[[#This Row],[Our Prizing]]*0.27))/receipetable[[#This Row],[Cost of Making]]</f>
        <v>#VALUE!</v>
      </c>
      <c r="M110" s="25">
        <v>2</v>
      </c>
    </row>
    <row r="111" spans="2:13" x14ac:dyDescent="0.25">
      <c r="B111" s="27">
        <v>111</v>
      </c>
      <c r="C111" s="20" t="s">
        <v>273</v>
      </c>
      <c r="D111" s="20" t="s">
        <v>121</v>
      </c>
      <c r="E111" s="20" t="s">
        <v>125</v>
      </c>
      <c r="F111" s="20">
        <f>SUMIF(Quantitytable[Dish],receipetable[[#This Row],[Recipe Name]],Quantitytable[Cost Per Dish Per Item])</f>
        <v>0</v>
      </c>
      <c r="G111" s="20">
        <v>5</v>
      </c>
      <c r="H111" s="20">
        <v>180</v>
      </c>
      <c r="I111" s="20" t="e">
        <f>receipetable[[#This Row],[Cost of Making]]+receipetable[[#This Row],[PKG Cst]]</f>
        <v>#VALUE!</v>
      </c>
      <c r="J111" s="20"/>
      <c r="K111" s="20" t="e">
        <f>receipetable[[#This Row],[Our Prizing]]-receipetable[[#This Row],[Cost of Making]]-(receipetable[[#This Row],[Our Prizing]]*0.27)-receipetable[[#This Row],[Other Charges]]</f>
        <v>#VALUE!</v>
      </c>
      <c r="L111" s="22" t="e">
        <f>(receipetable[[#This Row],[Our Prizing]]-receipetable[[#This Row],[Cost of Making]]-receipetable[[#This Row],[Other Charges]]-(receipetable[[#This Row],[Our Prizing]]*0.27))/receipetable[[#This Row],[Cost of Making]]</f>
        <v>#VALUE!</v>
      </c>
      <c r="M111" s="23">
        <v>2</v>
      </c>
    </row>
    <row r="112" spans="2:13" x14ac:dyDescent="0.25">
      <c r="B112" s="27">
        <v>112</v>
      </c>
      <c r="C112" s="21" t="s">
        <v>274</v>
      </c>
      <c r="D112" s="21" t="s">
        <v>121</v>
      </c>
      <c r="E112" s="21" t="s">
        <v>125</v>
      </c>
      <c r="F112" s="21">
        <f>SUMIF(Quantitytable[Dish],receipetable[[#This Row],[Recipe Name]],Quantitytable[Cost Per Dish Per Item])</f>
        <v>0</v>
      </c>
      <c r="G112" s="21">
        <v>5</v>
      </c>
      <c r="H112" s="21">
        <v>180</v>
      </c>
      <c r="I112" s="21" t="e">
        <f>receipetable[[#This Row],[Cost of Making]]+receipetable[[#This Row],[PKG Cst]]</f>
        <v>#VALUE!</v>
      </c>
      <c r="J112" s="21"/>
      <c r="K112" s="21" t="e">
        <f>receipetable[[#This Row],[Our Prizing]]-receipetable[[#This Row],[Cost of Making]]-(receipetable[[#This Row],[Our Prizing]]*0.27)-receipetable[[#This Row],[Other Charges]]</f>
        <v>#VALUE!</v>
      </c>
      <c r="L112" s="24" t="e">
        <f>(receipetable[[#This Row],[Our Prizing]]-receipetable[[#This Row],[Cost of Making]]-receipetable[[#This Row],[Other Charges]]-(receipetable[[#This Row],[Our Prizing]]*0.27))/receipetable[[#This Row],[Cost of Making]]</f>
        <v>#VALUE!</v>
      </c>
      <c r="M112" s="25">
        <v>2</v>
      </c>
    </row>
    <row r="113" spans="2:13" x14ac:dyDescent="0.25">
      <c r="B113" s="26">
        <v>113</v>
      </c>
      <c r="C113" s="20" t="s">
        <v>275</v>
      </c>
      <c r="D113" s="20" t="s">
        <v>129</v>
      </c>
      <c r="E113" s="20" t="s">
        <v>125</v>
      </c>
      <c r="F113" s="20">
        <f>SUMIF(Quantitytable[Dish],receipetable[[#This Row],[Recipe Name]],Quantitytable[Cost Per Dish Per Item])</f>
        <v>0</v>
      </c>
      <c r="G113" s="20">
        <v>5</v>
      </c>
      <c r="H113" s="20">
        <v>150</v>
      </c>
      <c r="I113" s="20" t="e">
        <f>receipetable[[#This Row],[Cost of Making]]+receipetable[[#This Row],[PKG Cst]]</f>
        <v>#VALUE!</v>
      </c>
      <c r="J113" s="20"/>
      <c r="K113" s="20" t="e">
        <f>receipetable[[#This Row],[Our Prizing]]-receipetable[[#This Row],[Cost of Making]]-(receipetable[[#This Row],[Our Prizing]]*0.27)-receipetable[[#This Row],[Other Charges]]</f>
        <v>#VALUE!</v>
      </c>
      <c r="L113" s="22" t="e">
        <f>(receipetable[[#This Row],[Our Prizing]]-receipetable[[#This Row],[Cost of Making]]-receipetable[[#This Row],[Other Charges]]-(receipetable[[#This Row],[Our Prizing]]*0.27))/receipetable[[#This Row],[Cost of Making]]</f>
        <v>#VALUE!</v>
      </c>
      <c r="M113" s="23">
        <v>2</v>
      </c>
    </row>
    <row r="114" spans="2:13" x14ac:dyDescent="0.25">
      <c r="B114" s="27">
        <v>114</v>
      </c>
      <c r="C114" s="21" t="s">
        <v>276</v>
      </c>
      <c r="D114" s="21" t="s">
        <v>129</v>
      </c>
      <c r="E114" s="21" t="s">
        <v>125</v>
      </c>
      <c r="F114" s="21">
        <f>SUMIF(Quantitytable[Dish],receipetable[[#This Row],[Recipe Name]],Quantitytable[Cost Per Dish Per Item])</f>
        <v>0</v>
      </c>
      <c r="G114" s="21">
        <v>5</v>
      </c>
      <c r="H114" s="21">
        <v>180</v>
      </c>
      <c r="I114" s="21" t="e">
        <f>receipetable[[#This Row],[Cost of Making]]+receipetable[[#This Row],[PKG Cst]]</f>
        <v>#VALUE!</v>
      </c>
      <c r="J114" s="21"/>
      <c r="K114" s="21" t="e">
        <f>receipetable[[#This Row],[Our Prizing]]-receipetable[[#This Row],[Cost of Making]]-(receipetable[[#This Row],[Our Prizing]]*0.27)-receipetable[[#This Row],[Other Charges]]</f>
        <v>#VALUE!</v>
      </c>
      <c r="L114" s="24" t="e">
        <f>(receipetable[[#This Row],[Our Prizing]]-receipetable[[#This Row],[Cost of Making]]-receipetable[[#This Row],[Other Charges]]-(receipetable[[#This Row],[Our Prizing]]*0.27))/receipetable[[#This Row],[Cost of Making]]</f>
        <v>#VALUE!</v>
      </c>
      <c r="M114" s="25">
        <v>2</v>
      </c>
    </row>
    <row r="115" spans="2:13" x14ac:dyDescent="0.25">
      <c r="B115" s="27">
        <v>115</v>
      </c>
      <c r="C115" s="20" t="s">
        <v>277</v>
      </c>
      <c r="D115" s="20" t="s">
        <v>124</v>
      </c>
      <c r="E115" s="20" t="s">
        <v>125</v>
      </c>
      <c r="F115" s="20">
        <f>SUMIF(Quantitytable[Dish],receipetable[[#This Row],[Recipe Name]],Quantitytable[Cost Per Dish Per Item])</f>
        <v>0</v>
      </c>
      <c r="G115" s="20">
        <v>5</v>
      </c>
      <c r="H115" s="20">
        <v>180</v>
      </c>
      <c r="I115" s="20" t="e">
        <f>receipetable[[#This Row],[Cost of Making]]+receipetable[[#This Row],[PKG Cst]]</f>
        <v>#VALUE!</v>
      </c>
      <c r="J115" s="20"/>
      <c r="K115" s="20" t="e">
        <f>receipetable[[#This Row],[Our Prizing]]-receipetable[[#This Row],[Cost of Making]]-(receipetable[[#This Row],[Our Prizing]]*0.27)-receipetable[[#This Row],[Other Charges]]</f>
        <v>#VALUE!</v>
      </c>
      <c r="L115" s="22" t="e">
        <f>(receipetable[[#This Row],[Our Prizing]]-receipetable[[#This Row],[Cost of Making]]-receipetable[[#This Row],[Other Charges]]-(receipetable[[#This Row],[Our Prizing]]*0.27))/receipetable[[#This Row],[Cost of Making]]</f>
        <v>#VALUE!</v>
      </c>
      <c r="M115" s="23">
        <v>2</v>
      </c>
    </row>
    <row r="116" spans="2:13" x14ac:dyDescent="0.25">
      <c r="B116" s="26">
        <v>116</v>
      </c>
      <c r="C116" s="21" t="s">
        <v>278</v>
      </c>
      <c r="D116" s="21" t="s">
        <v>124</v>
      </c>
      <c r="E116" s="21" t="s">
        <v>125</v>
      </c>
      <c r="F116" s="21">
        <f>SUMIF(Quantitytable[Dish],receipetable[[#This Row],[Recipe Name]],Quantitytable[Cost Per Dish Per Item])</f>
        <v>0</v>
      </c>
      <c r="G116" s="21">
        <v>5</v>
      </c>
      <c r="H116" s="21">
        <v>180</v>
      </c>
      <c r="I116" s="21" t="e">
        <f>receipetable[[#This Row],[Cost of Making]]+receipetable[[#This Row],[PKG Cst]]</f>
        <v>#VALUE!</v>
      </c>
      <c r="J116" s="21"/>
      <c r="K116" s="21" t="e">
        <f>receipetable[[#This Row],[Our Prizing]]-receipetable[[#This Row],[Cost of Making]]-(receipetable[[#This Row],[Our Prizing]]*0.27)-receipetable[[#This Row],[Other Charges]]</f>
        <v>#VALUE!</v>
      </c>
      <c r="L116" s="24" t="e">
        <f>(receipetable[[#This Row],[Our Prizing]]-receipetable[[#This Row],[Cost of Making]]-receipetable[[#This Row],[Other Charges]]-(receipetable[[#This Row],[Our Prizing]]*0.27))/receipetable[[#This Row],[Cost of Making]]</f>
        <v>#VALUE!</v>
      </c>
      <c r="M116" s="25">
        <v>2</v>
      </c>
    </row>
    <row r="117" spans="2:13" x14ac:dyDescent="0.25">
      <c r="B117" s="27">
        <v>117</v>
      </c>
      <c r="C117" s="20" t="s">
        <v>279</v>
      </c>
      <c r="D117" s="20" t="s">
        <v>129</v>
      </c>
      <c r="E117" s="20" t="s">
        <v>125</v>
      </c>
      <c r="F117" s="20">
        <f>SUMIF(Quantitytable[Dish],receipetable[[#This Row],[Recipe Name]],Quantitytable[Cost Per Dish Per Item])</f>
        <v>0</v>
      </c>
      <c r="G117" s="20">
        <v>5</v>
      </c>
      <c r="H117" s="20">
        <v>160</v>
      </c>
      <c r="I117" s="20" t="e">
        <f>receipetable[[#This Row],[Cost of Making]]+receipetable[[#This Row],[PKG Cst]]</f>
        <v>#VALUE!</v>
      </c>
      <c r="J117" s="20"/>
      <c r="K117" s="20" t="e">
        <f>receipetable[[#This Row],[Our Prizing]]-receipetable[[#This Row],[Cost of Making]]-(receipetable[[#This Row],[Our Prizing]]*0.27)-receipetable[[#This Row],[Other Charges]]</f>
        <v>#VALUE!</v>
      </c>
      <c r="L117" s="22" t="e">
        <f>(receipetable[[#This Row],[Our Prizing]]-receipetable[[#This Row],[Cost of Making]]-receipetable[[#This Row],[Other Charges]]-(receipetable[[#This Row],[Our Prizing]]*0.27))/receipetable[[#This Row],[Cost of Making]]</f>
        <v>#VALUE!</v>
      </c>
      <c r="M117" s="23">
        <v>2</v>
      </c>
    </row>
    <row r="118" spans="2:13" x14ac:dyDescent="0.25">
      <c r="B118" s="27">
        <v>118</v>
      </c>
      <c r="C118" s="21" t="s">
        <v>280</v>
      </c>
      <c r="D118" s="21" t="s">
        <v>129</v>
      </c>
      <c r="E118" s="21" t="s">
        <v>125</v>
      </c>
      <c r="F118" s="21">
        <f>SUMIF(Quantitytable[Dish],receipetable[[#This Row],[Recipe Name]],Quantitytable[Cost Per Dish Per Item])</f>
        <v>0</v>
      </c>
      <c r="G118" s="21">
        <v>5</v>
      </c>
      <c r="H118" s="21">
        <v>160</v>
      </c>
      <c r="I118" s="21" t="e">
        <f>receipetable[[#This Row],[Cost of Making]]+receipetable[[#This Row],[PKG Cst]]</f>
        <v>#VALUE!</v>
      </c>
      <c r="J118" s="21"/>
      <c r="K118" s="21" t="e">
        <f>receipetable[[#This Row],[Our Prizing]]-receipetable[[#This Row],[Cost of Making]]-(receipetable[[#This Row],[Our Prizing]]*0.27)-receipetable[[#This Row],[Other Charges]]</f>
        <v>#VALUE!</v>
      </c>
      <c r="L118" s="24" t="e">
        <f>(receipetable[[#This Row],[Our Prizing]]-receipetable[[#This Row],[Cost of Making]]-receipetable[[#This Row],[Other Charges]]-(receipetable[[#This Row],[Our Prizing]]*0.27))/receipetable[[#This Row],[Cost of Making]]</f>
        <v>#VALUE!</v>
      </c>
      <c r="M118" s="25">
        <v>2</v>
      </c>
    </row>
    <row r="119" spans="2:13" x14ac:dyDescent="0.25">
      <c r="B119" s="26">
        <v>119</v>
      </c>
      <c r="C119" s="20" t="s">
        <v>281</v>
      </c>
      <c r="D119" s="20" t="s">
        <v>129</v>
      </c>
      <c r="E119" s="20" t="s">
        <v>125</v>
      </c>
      <c r="F119" s="20">
        <f>SUMIF(Quantitytable[Dish],receipetable[[#This Row],[Recipe Name]],Quantitytable[Cost Per Dish Per Item])</f>
        <v>0</v>
      </c>
      <c r="G119" s="20">
        <v>5</v>
      </c>
      <c r="H119" s="20">
        <v>180</v>
      </c>
      <c r="I119" s="20" t="e">
        <f>receipetable[[#This Row],[Cost of Making]]+receipetable[[#This Row],[PKG Cst]]</f>
        <v>#VALUE!</v>
      </c>
      <c r="J119" s="20"/>
      <c r="K119" s="20" t="e">
        <f>receipetable[[#This Row],[Our Prizing]]-receipetable[[#This Row],[Cost of Making]]-(receipetable[[#This Row],[Our Prizing]]*0.27)-receipetable[[#This Row],[Other Charges]]</f>
        <v>#VALUE!</v>
      </c>
      <c r="L119" s="22" t="e">
        <f>(receipetable[[#This Row],[Our Prizing]]-receipetable[[#This Row],[Cost of Making]]-receipetable[[#This Row],[Other Charges]]-(receipetable[[#This Row],[Our Prizing]]*0.27))/receipetable[[#This Row],[Cost of Making]]</f>
        <v>#VALUE!</v>
      </c>
      <c r="M119" s="23">
        <v>2</v>
      </c>
    </row>
    <row r="120" spans="2:13" x14ac:dyDescent="0.25">
      <c r="B120" s="27">
        <v>120</v>
      </c>
      <c r="C120" s="21" t="s">
        <v>282</v>
      </c>
      <c r="D120" s="21" t="s">
        <v>121</v>
      </c>
      <c r="E120" s="21" t="s">
        <v>125</v>
      </c>
      <c r="F120" s="21">
        <f>SUMIF(Quantitytable[Dish],receipetable[[#This Row],[Recipe Name]],Quantitytable[Cost Per Dish Per Item])</f>
        <v>0</v>
      </c>
      <c r="G120" s="21">
        <v>5</v>
      </c>
      <c r="H120" s="21">
        <v>180</v>
      </c>
      <c r="I120" s="21" t="e">
        <f>receipetable[[#This Row],[Cost of Making]]+receipetable[[#This Row],[PKG Cst]]</f>
        <v>#VALUE!</v>
      </c>
      <c r="J120" s="21"/>
      <c r="K120" s="21" t="e">
        <f>receipetable[[#This Row],[Our Prizing]]-receipetable[[#This Row],[Cost of Making]]-(receipetable[[#This Row],[Our Prizing]]*0.27)-receipetable[[#This Row],[Other Charges]]</f>
        <v>#VALUE!</v>
      </c>
      <c r="L120" s="24" t="e">
        <f>(receipetable[[#This Row],[Our Prizing]]-receipetable[[#This Row],[Cost of Making]]-receipetable[[#This Row],[Other Charges]]-(receipetable[[#This Row],[Our Prizing]]*0.27))/receipetable[[#This Row],[Cost of Making]]</f>
        <v>#VALUE!</v>
      </c>
      <c r="M120" s="25">
        <v>2</v>
      </c>
    </row>
    <row r="121" spans="2:13" x14ac:dyDescent="0.25">
      <c r="B121" s="27">
        <v>121</v>
      </c>
      <c r="C121" s="20" t="s">
        <v>283</v>
      </c>
      <c r="D121" s="20" t="s">
        <v>121</v>
      </c>
      <c r="E121" s="20" t="s">
        <v>125</v>
      </c>
      <c r="F121" s="20">
        <f>SUMIF(Quantitytable[Dish],receipetable[[#This Row],[Recipe Name]],Quantitytable[Cost Per Dish Per Item])</f>
        <v>0</v>
      </c>
      <c r="G121" s="20">
        <v>5</v>
      </c>
      <c r="H121" s="20">
        <v>180</v>
      </c>
      <c r="I121" s="20" t="e">
        <f>receipetable[[#This Row],[Cost of Making]]+receipetable[[#This Row],[PKG Cst]]</f>
        <v>#VALUE!</v>
      </c>
      <c r="J121" s="20"/>
      <c r="K121" s="20" t="e">
        <f>receipetable[[#This Row],[Our Prizing]]-receipetable[[#This Row],[Cost of Making]]-(receipetable[[#This Row],[Our Prizing]]*0.27)-receipetable[[#This Row],[Other Charges]]</f>
        <v>#VALUE!</v>
      </c>
      <c r="L121" s="22" t="e">
        <f>(receipetable[[#This Row],[Our Prizing]]-receipetable[[#This Row],[Cost of Making]]-receipetable[[#This Row],[Other Charges]]-(receipetable[[#This Row],[Our Prizing]]*0.27))/receipetable[[#This Row],[Cost of Making]]</f>
        <v>#VALUE!</v>
      </c>
      <c r="M121" s="23">
        <v>2</v>
      </c>
    </row>
    <row r="122" spans="2:13" x14ac:dyDescent="0.25">
      <c r="B122" s="26">
        <v>122</v>
      </c>
      <c r="C122" s="21" t="s">
        <v>284</v>
      </c>
      <c r="D122" s="21" t="s">
        <v>129</v>
      </c>
      <c r="E122" s="21" t="s">
        <v>125</v>
      </c>
      <c r="F122" s="21">
        <f>SUMIF(Quantitytable[Dish],receipetable[[#This Row],[Recipe Name]],Quantitytable[Cost Per Dish Per Item])</f>
        <v>0</v>
      </c>
      <c r="G122" s="21">
        <v>5</v>
      </c>
      <c r="H122" s="21">
        <v>180</v>
      </c>
      <c r="I122" s="21" t="e">
        <f>receipetable[[#This Row],[Cost of Making]]+receipetable[[#This Row],[PKG Cst]]</f>
        <v>#VALUE!</v>
      </c>
      <c r="J122" s="21"/>
      <c r="K122" s="21" t="e">
        <f>receipetable[[#This Row],[Our Prizing]]-receipetable[[#This Row],[Cost of Making]]-(receipetable[[#This Row],[Our Prizing]]*0.27)-receipetable[[#This Row],[Other Charges]]</f>
        <v>#VALUE!</v>
      </c>
      <c r="L122" s="24" t="e">
        <f>(receipetable[[#This Row],[Our Prizing]]-receipetable[[#This Row],[Cost of Making]]-receipetable[[#This Row],[Other Charges]]-(receipetable[[#This Row],[Our Prizing]]*0.27))/receipetable[[#This Row],[Cost of Making]]</f>
        <v>#VALUE!</v>
      </c>
      <c r="M122" s="25">
        <v>2</v>
      </c>
    </row>
    <row r="123" spans="2:13" x14ac:dyDescent="0.25">
      <c r="B123" s="27">
        <v>123</v>
      </c>
      <c r="C123" s="20" t="s">
        <v>285</v>
      </c>
      <c r="D123" s="20" t="s">
        <v>121</v>
      </c>
      <c r="E123" s="20" t="s">
        <v>125</v>
      </c>
      <c r="F123" s="20">
        <f>SUMIF(Quantitytable[Dish],receipetable[[#This Row],[Recipe Name]],Quantitytable[Cost Per Dish Per Item])</f>
        <v>0</v>
      </c>
      <c r="G123" s="20">
        <v>5</v>
      </c>
      <c r="H123" s="20">
        <v>180</v>
      </c>
      <c r="I123" s="20" t="e">
        <f>receipetable[[#This Row],[Cost of Making]]+receipetable[[#This Row],[PKG Cst]]</f>
        <v>#VALUE!</v>
      </c>
      <c r="J123" s="20"/>
      <c r="K123" s="20" t="e">
        <f>receipetable[[#This Row],[Our Prizing]]-receipetable[[#This Row],[Cost of Making]]-(receipetable[[#This Row],[Our Prizing]]*0.27)-receipetable[[#This Row],[Other Charges]]</f>
        <v>#VALUE!</v>
      </c>
      <c r="L123" s="22" t="e">
        <f>(receipetable[[#This Row],[Our Prizing]]-receipetable[[#This Row],[Cost of Making]]-receipetable[[#This Row],[Other Charges]]-(receipetable[[#This Row],[Our Prizing]]*0.27))/receipetable[[#This Row],[Cost of Making]]</f>
        <v>#VALUE!</v>
      </c>
      <c r="M123" s="23">
        <v>2</v>
      </c>
    </row>
    <row r="124" spans="2:13" x14ac:dyDescent="0.25">
      <c r="B124" s="27">
        <v>124</v>
      </c>
      <c r="C124" s="21" t="s">
        <v>286</v>
      </c>
      <c r="D124" s="21" t="s">
        <v>121</v>
      </c>
      <c r="E124" s="21" t="s">
        <v>125</v>
      </c>
      <c r="F124" s="21">
        <f>SUMIF(Quantitytable[Dish],receipetable[[#This Row],[Recipe Name]],Quantitytable[Cost Per Dish Per Item])</f>
        <v>0</v>
      </c>
      <c r="G124" s="21">
        <v>5</v>
      </c>
      <c r="H124" s="21">
        <v>180</v>
      </c>
      <c r="I124" s="21" t="e">
        <f>receipetable[[#This Row],[Cost of Making]]+receipetable[[#This Row],[PKG Cst]]</f>
        <v>#VALUE!</v>
      </c>
      <c r="J124" s="21"/>
      <c r="K124" s="21" t="e">
        <f>receipetable[[#This Row],[Our Prizing]]-receipetable[[#This Row],[Cost of Making]]-(receipetable[[#This Row],[Our Prizing]]*0.27)-receipetable[[#This Row],[Other Charges]]</f>
        <v>#VALUE!</v>
      </c>
      <c r="L124" s="24" t="e">
        <f>(receipetable[[#This Row],[Our Prizing]]-receipetable[[#This Row],[Cost of Making]]-receipetable[[#This Row],[Other Charges]]-(receipetable[[#This Row],[Our Prizing]]*0.27))/receipetable[[#This Row],[Cost of Making]]</f>
        <v>#VALUE!</v>
      </c>
      <c r="M124" s="25">
        <v>2</v>
      </c>
    </row>
    <row r="125" spans="2:13" x14ac:dyDescent="0.25">
      <c r="B125" s="26">
        <v>125</v>
      </c>
      <c r="C125" s="20" t="s">
        <v>287</v>
      </c>
      <c r="D125" s="20" t="s">
        <v>129</v>
      </c>
      <c r="E125" s="20" t="s">
        <v>125</v>
      </c>
      <c r="F125" s="20">
        <f>SUMIF(Quantitytable[Dish],receipetable[[#This Row],[Recipe Name]],Quantitytable[Cost Per Dish Per Item])</f>
        <v>0</v>
      </c>
      <c r="G125" s="20">
        <v>5</v>
      </c>
      <c r="H125" s="20">
        <v>180</v>
      </c>
      <c r="I125" s="20" t="e">
        <f>receipetable[[#This Row],[Cost of Making]]+receipetable[[#This Row],[PKG Cst]]</f>
        <v>#VALUE!</v>
      </c>
      <c r="J125" s="20"/>
      <c r="K125" s="20" t="e">
        <f>receipetable[[#This Row],[Our Prizing]]-receipetable[[#This Row],[Cost of Making]]-(receipetable[[#This Row],[Our Prizing]]*0.27)-receipetable[[#This Row],[Other Charges]]</f>
        <v>#VALUE!</v>
      </c>
      <c r="L125" s="22" t="e">
        <f>(receipetable[[#This Row],[Our Prizing]]-receipetable[[#This Row],[Cost of Making]]-receipetable[[#This Row],[Other Charges]]-(receipetable[[#This Row],[Our Prizing]]*0.27))/receipetable[[#This Row],[Cost of Making]]</f>
        <v>#VALUE!</v>
      </c>
      <c r="M125" s="23">
        <v>2</v>
      </c>
    </row>
    <row r="126" spans="2:13" x14ac:dyDescent="0.25">
      <c r="B126" s="27">
        <v>126</v>
      </c>
      <c r="C126" s="21" t="s">
        <v>288</v>
      </c>
      <c r="D126" s="21" t="s">
        <v>124</v>
      </c>
      <c r="E126" s="21" t="s">
        <v>125</v>
      </c>
      <c r="F126" s="21">
        <f>SUMIF(Quantitytable[Dish],receipetable[[#This Row],[Recipe Name]],Quantitytable[Cost Per Dish Per Item])</f>
        <v>0</v>
      </c>
      <c r="G126" s="21">
        <v>5</v>
      </c>
      <c r="H126" s="21">
        <v>200</v>
      </c>
      <c r="I126" s="21" t="e">
        <f>receipetable[[#This Row],[Cost of Making]]+receipetable[[#This Row],[PKG Cst]]</f>
        <v>#VALUE!</v>
      </c>
      <c r="J126" s="21"/>
      <c r="K126" s="21" t="e">
        <f>receipetable[[#This Row],[Our Prizing]]-receipetable[[#This Row],[Cost of Making]]-(receipetable[[#This Row],[Our Prizing]]*0.27)-receipetable[[#This Row],[Other Charges]]</f>
        <v>#VALUE!</v>
      </c>
      <c r="L126" s="24" t="e">
        <f>(receipetable[[#This Row],[Our Prizing]]-receipetable[[#This Row],[Cost of Making]]-receipetable[[#This Row],[Other Charges]]-(receipetable[[#This Row],[Our Prizing]]*0.27))/receipetable[[#This Row],[Cost of Making]]</f>
        <v>#VALUE!</v>
      </c>
      <c r="M126" s="25">
        <v>2</v>
      </c>
    </row>
    <row r="127" spans="2:13" x14ac:dyDescent="0.25">
      <c r="B127" s="27">
        <v>127</v>
      </c>
      <c r="C127" s="20" t="s">
        <v>289</v>
      </c>
      <c r="D127" s="20" t="s">
        <v>129</v>
      </c>
      <c r="E127" s="20" t="s">
        <v>125</v>
      </c>
      <c r="F127" s="20">
        <f>SUMIF(Quantitytable[Dish],receipetable[[#This Row],[Recipe Name]],Quantitytable[Cost Per Dish Per Item])</f>
        <v>0</v>
      </c>
      <c r="G127" s="20">
        <v>5</v>
      </c>
      <c r="H127" s="20">
        <v>220</v>
      </c>
      <c r="I127" s="20" t="e">
        <f>receipetable[[#This Row],[Cost of Making]]+receipetable[[#This Row],[PKG Cst]]</f>
        <v>#VALUE!</v>
      </c>
      <c r="J127" s="20"/>
      <c r="K127" s="20" t="e">
        <f>receipetable[[#This Row],[Our Prizing]]-receipetable[[#This Row],[Cost of Making]]-(receipetable[[#This Row],[Our Prizing]]*0.27)-receipetable[[#This Row],[Other Charges]]</f>
        <v>#VALUE!</v>
      </c>
      <c r="L127" s="22" t="e">
        <f>(receipetable[[#This Row],[Our Prizing]]-receipetable[[#This Row],[Cost of Making]]-receipetable[[#This Row],[Other Charges]]-(receipetable[[#This Row],[Our Prizing]]*0.27))/receipetable[[#This Row],[Cost of Making]]</f>
        <v>#VALUE!</v>
      </c>
      <c r="M127" s="23">
        <v>2</v>
      </c>
    </row>
    <row r="128" spans="2:13" x14ac:dyDescent="0.25">
      <c r="B128" s="26">
        <v>128</v>
      </c>
      <c r="C128" s="21" t="s">
        <v>290</v>
      </c>
      <c r="D128" s="21" t="s">
        <v>129</v>
      </c>
      <c r="E128" s="21" t="s">
        <v>125</v>
      </c>
      <c r="F128" s="21">
        <f>SUMIF(Quantitytable[Dish],receipetable[[#This Row],[Recipe Name]],Quantitytable[Cost Per Dish Per Item])</f>
        <v>0</v>
      </c>
      <c r="G128" s="21">
        <v>5</v>
      </c>
      <c r="H128" s="21">
        <v>220</v>
      </c>
      <c r="I128" s="21" t="e">
        <f>receipetable[[#This Row],[Cost of Making]]+receipetable[[#This Row],[PKG Cst]]</f>
        <v>#VALUE!</v>
      </c>
      <c r="J128" s="21"/>
      <c r="K128" s="21" t="e">
        <f>receipetable[[#This Row],[Our Prizing]]-receipetable[[#This Row],[Cost of Making]]-(receipetable[[#This Row],[Our Prizing]]*0.27)-receipetable[[#This Row],[Other Charges]]</f>
        <v>#VALUE!</v>
      </c>
      <c r="L128" s="24" t="e">
        <f>(receipetable[[#This Row],[Our Prizing]]-receipetable[[#This Row],[Cost of Making]]-receipetable[[#This Row],[Other Charges]]-(receipetable[[#This Row],[Our Prizing]]*0.27))/receipetable[[#This Row],[Cost of Making]]</f>
        <v>#VALUE!</v>
      </c>
      <c r="M128" s="25">
        <v>2</v>
      </c>
    </row>
    <row r="129" spans="2:13" x14ac:dyDescent="0.25">
      <c r="B129" s="27">
        <v>129</v>
      </c>
      <c r="C129" s="20"/>
      <c r="D129" s="20"/>
      <c r="E129" s="20"/>
      <c r="F129" s="20">
        <f>SUMIF(Quantitytable[Dish],receipetable[[#This Row],[Recipe Name]],Quantitytable[Cost Per Dish Per Item])</f>
        <v>0</v>
      </c>
      <c r="G129" s="20">
        <v>5</v>
      </c>
      <c r="H129" s="20"/>
      <c r="I129" s="20" t="e">
        <f>receipetable[[#This Row],[Cost of Making]]+receipetable[[#This Row],[PKG Cst]]</f>
        <v>#VALUE!</v>
      </c>
      <c r="J129" s="20"/>
      <c r="K129" s="20" t="e">
        <f>receipetable[[#This Row],[Our Prizing]]-receipetable[[#This Row],[Cost of Making]]-(receipetable[[#This Row],[Our Prizing]]*0.27)-receipetable[[#This Row],[Other Charges]]</f>
        <v>#VALUE!</v>
      </c>
      <c r="L129" s="22" t="e">
        <f>(receipetable[[#This Row],[Our Prizing]]-receipetable[[#This Row],[Cost of Making]]-receipetable[[#This Row],[Other Charges]]-(receipetable[[#This Row],[Our Prizing]]*0.27))/receipetable[[#This Row],[Cost of Making]]</f>
        <v>#VALUE!</v>
      </c>
      <c r="M129" s="23">
        <v>2</v>
      </c>
    </row>
    <row r="130" spans="2:13" x14ac:dyDescent="0.25">
      <c r="B130" s="27">
        <v>130</v>
      </c>
      <c r="C130" s="21"/>
      <c r="D130" s="21"/>
      <c r="E130" s="21"/>
      <c r="F130" s="21">
        <f>SUMIF(Quantitytable[Dish],receipetable[[#This Row],[Recipe Name]],Quantitytable[Cost Per Dish Per Item])</f>
        <v>0</v>
      </c>
      <c r="G130" s="21">
        <v>5</v>
      </c>
      <c r="H130" s="21"/>
      <c r="I130" s="21" t="e">
        <f>receipetable[[#This Row],[Cost of Making]]+receipetable[[#This Row],[PKG Cst]]</f>
        <v>#VALUE!</v>
      </c>
      <c r="J130" s="21"/>
      <c r="K130" s="21" t="e">
        <f>receipetable[[#This Row],[Our Prizing]]-receipetable[[#This Row],[Cost of Making]]-(receipetable[[#This Row],[Our Prizing]]*0.27)-receipetable[[#This Row],[Other Charges]]</f>
        <v>#VALUE!</v>
      </c>
      <c r="L130" s="24" t="e">
        <f>(receipetable[[#This Row],[Our Prizing]]-receipetable[[#This Row],[Cost of Making]]-receipetable[[#This Row],[Other Charges]]-(receipetable[[#This Row],[Our Prizing]]*0.27))/receipetable[[#This Row],[Cost of Making]]</f>
        <v>#VALUE!</v>
      </c>
      <c r="M130" s="25">
        <v>2</v>
      </c>
    </row>
    <row r="131" spans="2:13" x14ac:dyDescent="0.25">
      <c r="B131" s="26">
        <v>131</v>
      </c>
      <c r="C131" s="20" t="s">
        <v>291</v>
      </c>
      <c r="D131" s="20" t="s">
        <v>124</v>
      </c>
      <c r="E131" s="20" t="s">
        <v>125</v>
      </c>
      <c r="F131" s="20">
        <f>SUMIF(Quantitytable[Dish],receipetable[[#This Row],[Recipe Name]],Quantitytable[Cost Per Dish Per Item])</f>
        <v>0</v>
      </c>
      <c r="G131" s="20">
        <v>5</v>
      </c>
      <c r="H131" s="20">
        <v>220</v>
      </c>
      <c r="I131" s="20" t="e">
        <f>receipetable[[#This Row],[Cost of Making]]+receipetable[[#This Row],[PKG Cst]]</f>
        <v>#VALUE!</v>
      </c>
      <c r="J131" s="20"/>
      <c r="K131" s="20" t="e">
        <f>receipetable[[#This Row],[Our Prizing]]-receipetable[[#This Row],[Cost of Making]]-(receipetable[[#This Row],[Our Prizing]]*0.27)-receipetable[[#This Row],[Other Charges]]</f>
        <v>#VALUE!</v>
      </c>
      <c r="L131" s="22" t="e">
        <f>(receipetable[[#This Row],[Our Prizing]]-receipetable[[#This Row],[Cost of Making]]-receipetable[[#This Row],[Other Charges]]-(receipetable[[#This Row],[Our Prizing]]*0.27))/receipetable[[#This Row],[Cost of Making]]</f>
        <v>#VALUE!</v>
      </c>
      <c r="M131" s="23">
        <v>2</v>
      </c>
    </row>
    <row r="132" spans="2:13" x14ac:dyDescent="0.25">
      <c r="B132" s="27">
        <v>132</v>
      </c>
      <c r="C132" s="21" t="s">
        <v>292</v>
      </c>
      <c r="D132" s="21" t="s">
        <v>124</v>
      </c>
      <c r="E132" s="21" t="s">
        <v>125</v>
      </c>
      <c r="F132" s="21">
        <f>SUMIF(Quantitytable[Dish],receipetable[[#This Row],[Recipe Name]],Quantitytable[Cost Per Dish Per Item])</f>
        <v>0</v>
      </c>
      <c r="G132" s="21">
        <v>5</v>
      </c>
      <c r="H132" s="21">
        <v>200</v>
      </c>
      <c r="I132" s="21" t="e">
        <f>receipetable[[#This Row],[Cost of Making]]+receipetable[[#This Row],[PKG Cst]]</f>
        <v>#VALUE!</v>
      </c>
      <c r="J132" s="21"/>
      <c r="K132" s="21" t="e">
        <f>receipetable[[#This Row],[Our Prizing]]-receipetable[[#This Row],[Cost of Making]]-(receipetable[[#This Row],[Our Prizing]]*0.27)-receipetable[[#This Row],[Other Charges]]</f>
        <v>#VALUE!</v>
      </c>
      <c r="L132" s="24" t="e">
        <f>(receipetable[[#This Row],[Our Prizing]]-receipetable[[#This Row],[Cost of Making]]-receipetable[[#This Row],[Other Charges]]-(receipetable[[#This Row],[Our Prizing]]*0.27))/receipetable[[#This Row],[Cost of Making]]</f>
        <v>#VALUE!</v>
      </c>
      <c r="M132" s="25">
        <v>2</v>
      </c>
    </row>
    <row r="133" spans="2:13" x14ac:dyDescent="0.25">
      <c r="B133" s="27">
        <v>133</v>
      </c>
      <c r="C133" s="20" t="s">
        <v>293</v>
      </c>
      <c r="D133" s="20" t="s">
        <v>129</v>
      </c>
      <c r="E133" s="20" t="s">
        <v>125</v>
      </c>
      <c r="F133" s="20">
        <f>SUMIF(Quantitytable[Dish],receipetable[[#This Row],[Recipe Name]],Quantitytable[Cost Per Dish Per Item])</f>
        <v>0</v>
      </c>
      <c r="G133" s="20">
        <v>5</v>
      </c>
      <c r="H133" s="20">
        <v>180</v>
      </c>
      <c r="I133" s="20" t="e">
        <f>receipetable[[#This Row],[Cost of Making]]+receipetable[[#This Row],[PKG Cst]]</f>
        <v>#VALUE!</v>
      </c>
      <c r="J133" s="20"/>
      <c r="K133" s="20" t="e">
        <f>receipetable[[#This Row],[Our Prizing]]-receipetable[[#This Row],[Cost of Making]]-(receipetable[[#This Row],[Our Prizing]]*0.27)-receipetable[[#This Row],[Other Charges]]</f>
        <v>#VALUE!</v>
      </c>
      <c r="L133" s="22" t="e">
        <f>(receipetable[[#This Row],[Our Prizing]]-receipetable[[#This Row],[Cost of Making]]-receipetable[[#This Row],[Other Charges]]-(receipetable[[#This Row],[Our Prizing]]*0.27))/receipetable[[#This Row],[Cost of Making]]</f>
        <v>#VALUE!</v>
      </c>
      <c r="M133" s="23">
        <v>2</v>
      </c>
    </row>
    <row r="134" spans="2:13" x14ac:dyDescent="0.25">
      <c r="B134" s="26">
        <v>134</v>
      </c>
      <c r="C134" s="21" t="s">
        <v>294</v>
      </c>
      <c r="D134" s="21" t="s">
        <v>124</v>
      </c>
      <c r="E134" s="21" t="s">
        <v>125</v>
      </c>
      <c r="F134" s="21">
        <f>SUMIF(Quantitytable[Dish],receipetable[[#This Row],[Recipe Name]],Quantitytable[Cost Per Dish Per Item])</f>
        <v>0</v>
      </c>
      <c r="G134" s="21">
        <v>5</v>
      </c>
      <c r="H134" s="21">
        <v>220</v>
      </c>
      <c r="I134" s="21" t="e">
        <f>receipetable[[#This Row],[Cost of Making]]+receipetable[[#This Row],[PKG Cst]]</f>
        <v>#VALUE!</v>
      </c>
      <c r="J134" s="21"/>
      <c r="K134" s="21" t="e">
        <f>receipetable[[#This Row],[Our Prizing]]-receipetable[[#This Row],[Cost of Making]]-(receipetable[[#This Row],[Our Prizing]]*0.27)-receipetable[[#This Row],[Other Charges]]</f>
        <v>#VALUE!</v>
      </c>
      <c r="L134" s="24" t="e">
        <f>(receipetable[[#This Row],[Our Prizing]]-receipetable[[#This Row],[Cost of Making]]-receipetable[[#This Row],[Other Charges]]-(receipetable[[#This Row],[Our Prizing]]*0.27))/receipetable[[#This Row],[Cost of Making]]</f>
        <v>#VALUE!</v>
      </c>
      <c r="M134" s="25">
        <v>2</v>
      </c>
    </row>
    <row r="135" spans="2:13" x14ac:dyDescent="0.25">
      <c r="B135" s="27">
        <v>135</v>
      </c>
      <c r="C135" s="20" t="s">
        <v>295</v>
      </c>
      <c r="D135" s="20" t="s">
        <v>124</v>
      </c>
      <c r="E135" s="20" t="s">
        <v>125</v>
      </c>
      <c r="F135" s="20">
        <f>SUMIF(Quantitytable[Dish],receipetable[[#This Row],[Recipe Name]],Quantitytable[Cost Per Dish Per Item])</f>
        <v>0</v>
      </c>
      <c r="G135" s="20">
        <v>5</v>
      </c>
      <c r="H135" s="20">
        <v>200</v>
      </c>
      <c r="I135" s="20" t="e">
        <f>receipetable[[#This Row],[Cost of Making]]+receipetable[[#This Row],[PKG Cst]]</f>
        <v>#VALUE!</v>
      </c>
      <c r="J135" s="20"/>
      <c r="K135" s="20" t="e">
        <f>receipetable[[#This Row],[Our Prizing]]-receipetable[[#This Row],[Cost of Making]]-(receipetable[[#This Row],[Our Prizing]]*0.27)-receipetable[[#This Row],[Other Charges]]</f>
        <v>#VALUE!</v>
      </c>
      <c r="L135" s="22" t="e">
        <f>(receipetable[[#This Row],[Our Prizing]]-receipetable[[#This Row],[Cost of Making]]-receipetable[[#This Row],[Other Charges]]-(receipetable[[#This Row],[Our Prizing]]*0.27))/receipetable[[#This Row],[Cost of Making]]</f>
        <v>#VALUE!</v>
      </c>
      <c r="M135" s="23">
        <v>2</v>
      </c>
    </row>
    <row r="136" spans="2:13" x14ac:dyDescent="0.25">
      <c r="B136" s="27">
        <v>136</v>
      </c>
      <c r="C136" s="21" t="s">
        <v>296</v>
      </c>
      <c r="D136" s="21" t="s">
        <v>129</v>
      </c>
      <c r="E136" s="21" t="s">
        <v>125</v>
      </c>
      <c r="F136" s="21">
        <f>SUMIF(Quantitytable[Dish],receipetable[[#This Row],[Recipe Name]],Quantitytable[Cost Per Dish Per Item])</f>
        <v>0</v>
      </c>
      <c r="G136" s="21">
        <v>5</v>
      </c>
      <c r="H136" s="21">
        <v>220</v>
      </c>
      <c r="I136" s="21" t="e">
        <f>receipetable[[#This Row],[Cost of Making]]+receipetable[[#This Row],[PKG Cst]]</f>
        <v>#VALUE!</v>
      </c>
      <c r="J136" s="21"/>
      <c r="K136" s="21" t="e">
        <f>receipetable[[#This Row],[Our Prizing]]-receipetable[[#This Row],[Cost of Making]]-(receipetable[[#This Row],[Our Prizing]]*0.27)-receipetable[[#This Row],[Other Charges]]</f>
        <v>#VALUE!</v>
      </c>
      <c r="L136" s="24" t="e">
        <f>(receipetable[[#This Row],[Our Prizing]]-receipetable[[#This Row],[Cost of Making]]-receipetable[[#This Row],[Other Charges]]-(receipetable[[#This Row],[Our Prizing]]*0.27))/receipetable[[#This Row],[Cost of Making]]</f>
        <v>#VALUE!</v>
      </c>
      <c r="M136" s="25">
        <v>2</v>
      </c>
    </row>
    <row r="137" spans="2:13" x14ac:dyDescent="0.25">
      <c r="B137" s="26">
        <v>137</v>
      </c>
      <c r="C137" s="20"/>
      <c r="D137" s="20"/>
      <c r="E137" s="20"/>
      <c r="F137" s="20">
        <f>SUMIF(Quantitytable[Dish],receipetable[[#This Row],[Recipe Name]],Quantitytable[Cost Per Dish Per Item])</f>
        <v>0</v>
      </c>
      <c r="G137" s="20">
        <v>5</v>
      </c>
      <c r="H137" s="20"/>
      <c r="I137" s="20" t="e">
        <f>receipetable[[#This Row],[Cost of Making]]+receipetable[[#This Row],[PKG Cst]]</f>
        <v>#VALUE!</v>
      </c>
      <c r="J137" s="20"/>
      <c r="K137" s="20" t="e">
        <f>receipetable[[#This Row],[Our Prizing]]-receipetable[[#This Row],[Cost of Making]]-(receipetable[[#This Row],[Our Prizing]]*0.27)-receipetable[[#This Row],[Other Charges]]</f>
        <v>#VALUE!</v>
      </c>
      <c r="L137" s="22" t="e">
        <f>(receipetable[[#This Row],[Our Prizing]]-receipetable[[#This Row],[Cost of Making]]-receipetable[[#This Row],[Other Charges]]-(receipetable[[#This Row],[Our Prizing]]*0.27))/receipetable[[#This Row],[Cost of Making]]</f>
        <v>#VALUE!</v>
      </c>
      <c r="M137" s="23">
        <v>2</v>
      </c>
    </row>
    <row r="138" spans="2:13" x14ac:dyDescent="0.25">
      <c r="B138" s="27">
        <v>138</v>
      </c>
      <c r="C138" s="21" t="s">
        <v>297</v>
      </c>
      <c r="D138" s="21" t="s">
        <v>124</v>
      </c>
      <c r="E138" s="21" t="s">
        <v>125</v>
      </c>
      <c r="F138" s="21">
        <f>SUMIF(Quantitytable[Dish],receipetable[[#This Row],[Recipe Name]],Quantitytable[Cost Per Dish Per Item])</f>
        <v>0</v>
      </c>
      <c r="G138" s="21">
        <v>5</v>
      </c>
      <c r="H138" s="21">
        <v>220</v>
      </c>
      <c r="I138" s="21" t="e">
        <f>receipetable[[#This Row],[Cost of Making]]+receipetable[[#This Row],[PKG Cst]]</f>
        <v>#VALUE!</v>
      </c>
      <c r="J138" s="21"/>
      <c r="K138" s="21" t="e">
        <f>receipetable[[#This Row],[Our Prizing]]-receipetable[[#This Row],[Cost of Making]]-(receipetable[[#This Row],[Our Prizing]]*0.27)-receipetable[[#This Row],[Other Charges]]</f>
        <v>#VALUE!</v>
      </c>
      <c r="L138" s="24" t="e">
        <f>(receipetable[[#This Row],[Our Prizing]]-receipetable[[#This Row],[Cost of Making]]-receipetable[[#This Row],[Other Charges]]-(receipetable[[#This Row],[Our Prizing]]*0.27))/receipetable[[#This Row],[Cost of Making]]</f>
        <v>#VALUE!</v>
      </c>
      <c r="M138" s="25">
        <v>2</v>
      </c>
    </row>
    <row r="139" spans="2:13" x14ac:dyDescent="0.25">
      <c r="B139" s="27">
        <v>139</v>
      </c>
      <c r="C139" s="20" t="s">
        <v>298</v>
      </c>
      <c r="D139" s="20" t="s">
        <v>129</v>
      </c>
      <c r="E139" s="20" t="s">
        <v>125</v>
      </c>
      <c r="F139" s="20">
        <f>SUMIF(Quantitytable[Dish],receipetable[[#This Row],[Recipe Name]],Quantitytable[Cost Per Dish Per Item])</f>
        <v>0</v>
      </c>
      <c r="G139" s="20">
        <v>5</v>
      </c>
      <c r="H139" s="20">
        <v>200</v>
      </c>
      <c r="I139" s="20" t="e">
        <f>receipetable[[#This Row],[Cost of Making]]+receipetable[[#This Row],[PKG Cst]]</f>
        <v>#VALUE!</v>
      </c>
      <c r="J139" s="20"/>
      <c r="K139" s="20" t="e">
        <f>receipetable[[#This Row],[Our Prizing]]-receipetable[[#This Row],[Cost of Making]]-(receipetable[[#This Row],[Our Prizing]]*0.27)-receipetable[[#This Row],[Other Charges]]</f>
        <v>#VALUE!</v>
      </c>
      <c r="L139" s="22" t="e">
        <f>(receipetable[[#This Row],[Our Prizing]]-receipetable[[#This Row],[Cost of Making]]-receipetable[[#This Row],[Other Charges]]-(receipetable[[#This Row],[Our Prizing]]*0.27))/receipetable[[#This Row],[Cost of Making]]</f>
        <v>#VALUE!</v>
      </c>
      <c r="M139" s="23">
        <v>2</v>
      </c>
    </row>
    <row r="140" spans="2:13" x14ac:dyDescent="0.25">
      <c r="B140" s="26">
        <v>140</v>
      </c>
      <c r="C140" s="21" t="s">
        <v>299</v>
      </c>
      <c r="D140" s="21" t="s">
        <v>138</v>
      </c>
      <c r="E140" s="21" t="s">
        <v>151</v>
      </c>
      <c r="F140" s="21">
        <f>SUMIF(Quantitytable[Dish],receipetable[[#This Row],[Recipe Name]],Quantitytable[Cost Per Dish Per Item])</f>
        <v>0</v>
      </c>
      <c r="G140" s="21">
        <v>7</v>
      </c>
      <c r="H140" s="21">
        <v>200</v>
      </c>
      <c r="I140" s="21" t="e">
        <f>receipetable[[#This Row],[Cost of Making]]+receipetable[[#This Row],[PKG Cst]]</f>
        <v>#VALUE!</v>
      </c>
      <c r="J140" s="21"/>
      <c r="K140" s="21" t="e">
        <f>receipetable[[#This Row],[Our Prizing]]-receipetable[[#This Row],[Cost of Making]]-(receipetable[[#This Row],[Our Prizing]]*0.27)-receipetable[[#This Row],[Other Charges]]</f>
        <v>#VALUE!</v>
      </c>
      <c r="L140" s="24" t="e">
        <f>(receipetable[[#This Row],[Our Prizing]]-receipetable[[#This Row],[Cost of Making]]-receipetable[[#This Row],[Other Charges]]-(receipetable[[#This Row],[Our Prizing]]*0.27))/receipetable[[#This Row],[Cost of Making]]</f>
        <v>#VALUE!</v>
      </c>
      <c r="M140" s="25">
        <v>2</v>
      </c>
    </row>
    <row r="141" spans="2:13" x14ac:dyDescent="0.25">
      <c r="B141" s="27">
        <v>141</v>
      </c>
      <c r="C141" s="20" t="s">
        <v>300</v>
      </c>
      <c r="D141" s="20" t="s">
        <v>138</v>
      </c>
      <c r="E141" s="20" t="s">
        <v>151</v>
      </c>
      <c r="F141" s="20">
        <f>SUMIF(Quantitytable[Dish],receipetable[[#This Row],[Recipe Name]],Quantitytable[Cost Per Dish Per Item])</f>
        <v>0</v>
      </c>
      <c r="G141" s="20">
        <v>7</v>
      </c>
      <c r="H141" s="20">
        <v>180</v>
      </c>
      <c r="I141" s="20" t="e">
        <f>receipetable[[#This Row],[Cost of Making]]+receipetable[[#This Row],[PKG Cst]]</f>
        <v>#VALUE!</v>
      </c>
      <c r="J141" s="20"/>
      <c r="K141" s="20" t="e">
        <f>receipetable[[#This Row],[Our Prizing]]-receipetable[[#This Row],[Cost of Making]]-(receipetable[[#This Row],[Our Prizing]]*0.27)-receipetable[[#This Row],[Other Charges]]</f>
        <v>#VALUE!</v>
      </c>
      <c r="L141" s="22" t="e">
        <f>(receipetable[[#This Row],[Our Prizing]]-receipetable[[#This Row],[Cost of Making]]-receipetable[[#This Row],[Other Charges]]-(receipetable[[#This Row],[Our Prizing]]*0.27))/receipetable[[#This Row],[Cost of Making]]</f>
        <v>#VALUE!</v>
      </c>
      <c r="M141" s="23">
        <v>2</v>
      </c>
    </row>
    <row r="142" spans="2:13" x14ac:dyDescent="0.25">
      <c r="B142" s="27">
        <v>142</v>
      </c>
      <c r="C142" s="21" t="s">
        <v>301</v>
      </c>
      <c r="D142" s="21" t="s">
        <v>138</v>
      </c>
      <c r="E142" s="21" t="s">
        <v>151</v>
      </c>
      <c r="F142" s="21">
        <f>SUMIF(Quantitytable[Dish],receipetable[[#This Row],[Recipe Name]],Quantitytable[Cost Per Dish Per Item])</f>
        <v>0</v>
      </c>
      <c r="G142" s="21">
        <v>7</v>
      </c>
      <c r="H142" s="21">
        <v>180</v>
      </c>
      <c r="I142" s="21" t="e">
        <f>receipetable[[#This Row],[Cost of Making]]+receipetable[[#This Row],[PKG Cst]]</f>
        <v>#VALUE!</v>
      </c>
      <c r="J142" s="21"/>
      <c r="K142" s="21" t="e">
        <f>receipetable[[#This Row],[Our Prizing]]-receipetable[[#This Row],[Cost of Making]]-(receipetable[[#This Row],[Our Prizing]]*0.27)-receipetable[[#This Row],[Other Charges]]</f>
        <v>#VALUE!</v>
      </c>
      <c r="L142" s="24" t="e">
        <f>(receipetable[[#This Row],[Our Prizing]]-receipetable[[#This Row],[Cost of Making]]-receipetable[[#This Row],[Other Charges]]-(receipetable[[#This Row],[Our Prizing]]*0.27))/receipetable[[#This Row],[Cost of Making]]</f>
        <v>#VALUE!</v>
      </c>
      <c r="M142" s="25">
        <v>2</v>
      </c>
    </row>
    <row r="143" spans="2:13" x14ac:dyDescent="0.25">
      <c r="B143" s="26">
        <v>143</v>
      </c>
      <c r="C143" s="20" t="s">
        <v>302</v>
      </c>
      <c r="D143" s="20" t="s">
        <v>124</v>
      </c>
      <c r="E143" s="20" t="s">
        <v>125</v>
      </c>
      <c r="F143" s="20">
        <f>SUMIF(Quantitytable[Dish],receipetable[[#This Row],[Recipe Name]],Quantitytable[Cost Per Dish Per Item])</f>
        <v>0</v>
      </c>
      <c r="G143" s="20">
        <v>5</v>
      </c>
      <c r="H143" s="20">
        <v>180</v>
      </c>
      <c r="I143" s="20" t="e">
        <f>receipetable[[#This Row],[Cost of Making]]+receipetable[[#This Row],[PKG Cst]]</f>
        <v>#VALUE!</v>
      </c>
      <c r="J143" s="20"/>
      <c r="K143" s="20" t="e">
        <f>receipetable[[#This Row],[Our Prizing]]-receipetable[[#This Row],[Cost of Making]]-(receipetable[[#This Row],[Our Prizing]]*0.27)-receipetable[[#This Row],[Other Charges]]</f>
        <v>#VALUE!</v>
      </c>
      <c r="L143" s="22" t="e">
        <f>(receipetable[[#This Row],[Our Prizing]]-receipetable[[#This Row],[Cost of Making]]-receipetable[[#This Row],[Other Charges]]-(receipetable[[#This Row],[Our Prizing]]*0.27))/receipetable[[#This Row],[Cost of Making]]</f>
        <v>#VALUE!</v>
      </c>
      <c r="M143" s="23">
        <v>2</v>
      </c>
    </row>
    <row r="144" spans="2:13" x14ac:dyDescent="0.25">
      <c r="B144" s="27">
        <v>144</v>
      </c>
      <c r="C144" s="21" t="s">
        <v>303</v>
      </c>
      <c r="D144" s="21" t="s">
        <v>124</v>
      </c>
      <c r="E144" s="21" t="s">
        <v>125</v>
      </c>
      <c r="F144" s="21">
        <f>SUMIF(Quantitytable[Dish],receipetable[[#This Row],[Recipe Name]],Quantitytable[Cost Per Dish Per Item])</f>
        <v>0</v>
      </c>
      <c r="G144" s="21">
        <v>5</v>
      </c>
      <c r="H144" s="21">
        <v>160</v>
      </c>
      <c r="I144" s="21" t="e">
        <f>receipetable[[#This Row],[Cost of Making]]+receipetable[[#This Row],[PKG Cst]]</f>
        <v>#VALUE!</v>
      </c>
      <c r="J144" s="21"/>
      <c r="K144" s="21" t="e">
        <f>receipetable[[#This Row],[Our Prizing]]-receipetable[[#This Row],[Cost of Making]]-(receipetable[[#This Row],[Our Prizing]]*0.27)-receipetable[[#This Row],[Other Charges]]</f>
        <v>#VALUE!</v>
      </c>
      <c r="L144" s="24" t="e">
        <f>(receipetable[[#This Row],[Our Prizing]]-receipetable[[#This Row],[Cost of Making]]-receipetable[[#This Row],[Other Charges]]-(receipetable[[#This Row],[Our Prizing]]*0.27))/receipetable[[#This Row],[Cost of Making]]</f>
        <v>#VALUE!</v>
      </c>
      <c r="M144" s="25">
        <v>2</v>
      </c>
    </row>
    <row r="145" spans="2:13" x14ac:dyDescent="0.25">
      <c r="B145" s="27">
        <v>145</v>
      </c>
      <c r="C145" s="20" t="s">
        <v>304</v>
      </c>
      <c r="D145" s="20" t="s">
        <v>124</v>
      </c>
      <c r="E145" s="20" t="s">
        <v>125</v>
      </c>
      <c r="F145" s="20">
        <f>SUMIF(Quantitytable[Dish],receipetable[[#This Row],[Recipe Name]],Quantitytable[Cost Per Dish Per Item])</f>
        <v>0</v>
      </c>
      <c r="G145" s="20">
        <v>5</v>
      </c>
      <c r="H145" s="20">
        <v>180</v>
      </c>
      <c r="I145" s="20" t="e">
        <f>receipetable[[#This Row],[Cost of Making]]+receipetable[[#This Row],[PKG Cst]]</f>
        <v>#VALUE!</v>
      </c>
      <c r="J145" s="20"/>
      <c r="K145" s="20" t="e">
        <f>receipetable[[#This Row],[Our Prizing]]-receipetable[[#This Row],[Cost of Making]]-(receipetable[[#This Row],[Our Prizing]]*0.27)-receipetable[[#This Row],[Other Charges]]</f>
        <v>#VALUE!</v>
      </c>
      <c r="L145" s="22" t="e">
        <f>(receipetable[[#This Row],[Our Prizing]]-receipetable[[#This Row],[Cost of Making]]-receipetable[[#This Row],[Other Charges]]-(receipetable[[#This Row],[Our Prizing]]*0.27))/receipetable[[#This Row],[Cost of Making]]</f>
        <v>#VALUE!</v>
      </c>
      <c r="M145" s="23">
        <v>2</v>
      </c>
    </row>
    <row r="146" spans="2:13" x14ac:dyDescent="0.25">
      <c r="B146" s="26">
        <v>146</v>
      </c>
      <c r="C146" s="21" t="s">
        <v>305</v>
      </c>
      <c r="D146" s="21" t="s">
        <v>129</v>
      </c>
      <c r="E146" s="21" t="s">
        <v>125</v>
      </c>
      <c r="F146" s="21">
        <f>SUMIF(Quantitytable[Dish],receipetable[[#This Row],[Recipe Name]],Quantitytable[Cost Per Dish Per Item])</f>
        <v>0</v>
      </c>
      <c r="G146" s="21">
        <v>5</v>
      </c>
      <c r="H146" s="21">
        <v>280</v>
      </c>
      <c r="I146" s="21" t="e">
        <f>receipetable[[#This Row],[Cost of Making]]+receipetable[[#This Row],[PKG Cst]]</f>
        <v>#VALUE!</v>
      </c>
      <c r="J146" s="21"/>
      <c r="K146" s="21" t="e">
        <f>receipetable[[#This Row],[Our Prizing]]-receipetable[[#This Row],[Cost of Making]]-(receipetable[[#This Row],[Our Prizing]]*0.27)-receipetable[[#This Row],[Other Charges]]</f>
        <v>#VALUE!</v>
      </c>
      <c r="L146" s="24" t="e">
        <f>(receipetable[[#This Row],[Our Prizing]]-receipetable[[#This Row],[Cost of Making]]-receipetable[[#This Row],[Other Charges]]-(receipetable[[#This Row],[Our Prizing]]*0.27))/receipetable[[#This Row],[Cost of Making]]</f>
        <v>#VALUE!</v>
      </c>
      <c r="M146" s="25">
        <v>2</v>
      </c>
    </row>
    <row r="147" spans="2:13" x14ac:dyDescent="0.25">
      <c r="B147" s="27">
        <v>147</v>
      </c>
      <c r="C147" s="20" t="s">
        <v>306</v>
      </c>
      <c r="D147" s="20" t="s">
        <v>129</v>
      </c>
      <c r="E147" s="20" t="s">
        <v>125</v>
      </c>
      <c r="F147" s="20">
        <f>SUMIF(Quantitytable[Dish],receipetable[[#This Row],[Recipe Name]],Quantitytable[Cost Per Dish Per Item])</f>
        <v>0</v>
      </c>
      <c r="G147" s="20">
        <v>5</v>
      </c>
      <c r="H147" s="20">
        <v>140</v>
      </c>
      <c r="I147" s="20" t="e">
        <f>receipetable[[#This Row],[Cost of Making]]+receipetable[[#This Row],[PKG Cst]]</f>
        <v>#VALUE!</v>
      </c>
      <c r="J147" s="20"/>
      <c r="K147" s="20" t="e">
        <f>receipetable[[#This Row],[Our Prizing]]-receipetable[[#This Row],[Cost of Making]]-(receipetable[[#This Row],[Our Prizing]]*0.27)-receipetable[[#This Row],[Other Charges]]</f>
        <v>#VALUE!</v>
      </c>
      <c r="L147" s="22" t="e">
        <f>(receipetable[[#This Row],[Our Prizing]]-receipetable[[#This Row],[Cost of Making]]-receipetable[[#This Row],[Other Charges]]-(receipetable[[#This Row],[Our Prizing]]*0.27))/receipetable[[#This Row],[Cost of Making]]</f>
        <v>#VALUE!</v>
      </c>
      <c r="M147" s="23">
        <v>2</v>
      </c>
    </row>
    <row r="148" spans="2:13" x14ac:dyDescent="0.25">
      <c r="B148" s="27">
        <v>148</v>
      </c>
      <c r="C148" s="21" t="s">
        <v>185</v>
      </c>
      <c r="D148" s="21" t="s">
        <v>121</v>
      </c>
      <c r="E148" s="21" t="s">
        <v>125</v>
      </c>
      <c r="F148" s="21">
        <f>SUMIF(Quantitytable[Dish],receipetable[[#This Row],[Recipe Name]],Quantitytable[Cost Per Dish Per Item])</f>
        <v>0</v>
      </c>
      <c r="G148" s="21">
        <v>5</v>
      </c>
      <c r="H148" s="21">
        <v>150</v>
      </c>
      <c r="I148" s="21" t="e">
        <f>receipetable[[#This Row],[Cost of Making]]+receipetable[[#This Row],[PKG Cst]]</f>
        <v>#VALUE!</v>
      </c>
      <c r="J148" s="21"/>
      <c r="K148" s="21" t="e">
        <f>receipetable[[#This Row],[Our Prizing]]-receipetable[[#This Row],[Cost of Making]]-(receipetable[[#This Row],[Our Prizing]]*0.27)-receipetable[[#This Row],[Other Charges]]</f>
        <v>#VALUE!</v>
      </c>
      <c r="L148" s="24" t="e">
        <f>(receipetable[[#This Row],[Our Prizing]]-receipetable[[#This Row],[Cost of Making]]-receipetable[[#This Row],[Other Charges]]-(receipetable[[#This Row],[Our Prizing]]*0.27))/receipetable[[#This Row],[Cost of Making]]</f>
        <v>#VALUE!</v>
      </c>
      <c r="M148" s="25">
        <v>2</v>
      </c>
    </row>
    <row r="149" spans="2:13" x14ac:dyDescent="0.25">
      <c r="B149" s="26">
        <v>149</v>
      </c>
      <c r="C149" s="20" t="s">
        <v>307</v>
      </c>
      <c r="D149" s="20" t="s">
        <v>129</v>
      </c>
      <c r="E149" s="20" t="s">
        <v>125</v>
      </c>
      <c r="F149" s="20">
        <f>SUMIF(Quantitytable[Dish],receipetable[[#This Row],[Recipe Name]],Quantitytable[Cost Per Dish Per Item])</f>
        <v>0</v>
      </c>
      <c r="G149" s="20">
        <v>5</v>
      </c>
      <c r="H149" s="20">
        <v>120</v>
      </c>
      <c r="I149" s="20" t="e">
        <f>receipetable[[#This Row],[Cost of Making]]+receipetable[[#This Row],[PKG Cst]]</f>
        <v>#VALUE!</v>
      </c>
      <c r="J149" s="20"/>
      <c r="K149" s="20" t="e">
        <f>receipetable[[#This Row],[Our Prizing]]-receipetable[[#This Row],[Cost of Making]]-(receipetable[[#This Row],[Our Prizing]]*0.27)-receipetable[[#This Row],[Other Charges]]</f>
        <v>#VALUE!</v>
      </c>
      <c r="L149" s="22" t="e">
        <f>(receipetable[[#This Row],[Our Prizing]]-receipetable[[#This Row],[Cost of Making]]-receipetable[[#This Row],[Other Charges]]-(receipetable[[#This Row],[Our Prizing]]*0.27))/receipetable[[#This Row],[Cost of Making]]</f>
        <v>#VALUE!</v>
      </c>
      <c r="M149" s="23">
        <v>2</v>
      </c>
    </row>
    <row r="150" spans="2:13" x14ac:dyDescent="0.25">
      <c r="B150" s="27">
        <v>150</v>
      </c>
      <c r="C150" s="21" t="s">
        <v>308</v>
      </c>
      <c r="D150" s="21" t="s">
        <v>136</v>
      </c>
      <c r="E150" s="21" t="s">
        <v>122</v>
      </c>
      <c r="F150" s="21">
        <f>SUMIF(Quantitytable[Dish],receipetable[[#This Row],[Recipe Name]],Quantitytable[Cost Per Dish Per Item])</f>
        <v>0</v>
      </c>
      <c r="G150" s="21">
        <v>3</v>
      </c>
      <c r="H150" s="21">
        <v>50</v>
      </c>
      <c r="I150" s="21" t="e">
        <f>receipetable[[#This Row],[Cost of Making]]+receipetable[[#This Row],[PKG Cst]]</f>
        <v>#VALUE!</v>
      </c>
      <c r="J150" s="21"/>
      <c r="K150" s="21" t="e">
        <f>receipetable[[#This Row],[Our Prizing]]-receipetable[[#This Row],[Cost of Making]]-(receipetable[[#This Row],[Our Prizing]]*0.27)-receipetable[[#This Row],[Other Charges]]</f>
        <v>#VALUE!</v>
      </c>
      <c r="L150" s="24" t="e">
        <f>(receipetable[[#This Row],[Our Prizing]]-receipetable[[#This Row],[Cost of Making]]-receipetable[[#This Row],[Other Charges]]-(receipetable[[#This Row],[Our Prizing]]*0.27))/receipetable[[#This Row],[Cost of Making]]</f>
        <v>#VALUE!</v>
      </c>
      <c r="M150" s="25">
        <v>2</v>
      </c>
    </row>
    <row r="151" spans="2:13" x14ac:dyDescent="0.25">
      <c r="B151" s="27">
        <v>151</v>
      </c>
      <c r="C151" s="20" t="s">
        <v>309</v>
      </c>
      <c r="D151" s="20" t="s">
        <v>130</v>
      </c>
      <c r="E151" s="20" t="s">
        <v>125</v>
      </c>
      <c r="F151" s="20">
        <f>SUMIF(Quantitytable[Dish],receipetable[[#This Row],[Recipe Name]],Quantitytable[Cost Per Dish Per Item])</f>
        <v>0</v>
      </c>
      <c r="G151" s="20">
        <v>5</v>
      </c>
      <c r="H151" s="20">
        <v>150</v>
      </c>
      <c r="I151" s="20" t="e">
        <f>receipetable[[#This Row],[Cost of Making]]+receipetable[[#This Row],[PKG Cst]]</f>
        <v>#VALUE!</v>
      </c>
      <c r="J151" s="20"/>
      <c r="K151" s="20" t="e">
        <f>receipetable[[#This Row],[Our Prizing]]-receipetable[[#This Row],[Cost of Making]]-(receipetable[[#This Row],[Our Prizing]]*0.27)-receipetable[[#This Row],[Other Charges]]</f>
        <v>#VALUE!</v>
      </c>
      <c r="L151" s="22" t="e">
        <f>(receipetable[[#This Row],[Our Prizing]]-receipetable[[#This Row],[Cost of Making]]-receipetable[[#This Row],[Other Charges]]-(receipetable[[#This Row],[Our Prizing]]*0.27))/receipetable[[#This Row],[Cost of Making]]</f>
        <v>#VALUE!</v>
      </c>
      <c r="M151" s="23">
        <v>2</v>
      </c>
    </row>
    <row r="152" spans="2:13" x14ac:dyDescent="0.25">
      <c r="B152" s="26">
        <v>152</v>
      </c>
      <c r="C152" s="21"/>
      <c r="D152" s="21"/>
      <c r="E152" s="21"/>
      <c r="F152" s="21">
        <f>SUMIF(Quantitytable[Dish],receipetable[[#This Row],[Recipe Name]],Quantitytable[Cost Per Dish Per Item])</f>
        <v>0</v>
      </c>
      <c r="G152" s="21">
        <v>5</v>
      </c>
      <c r="H152" s="21"/>
      <c r="I152" s="21" t="e">
        <f>receipetable[[#This Row],[Cost of Making]]+receipetable[[#This Row],[PKG Cst]]</f>
        <v>#VALUE!</v>
      </c>
      <c r="J152" s="21"/>
      <c r="K152" s="21" t="e">
        <f>receipetable[[#This Row],[Our Prizing]]-receipetable[[#This Row],[Cost of Making]]-(receipetable[[#This Row],[Our Prizing]]*0.27)-receipetable[[#This Row],[Other Charges]]</f>
        <v>#VALUE!</v>
      </c>
      <c r="L152" s="24" t="e">
        <f>(receipetable[[#This Row],[Our Prizing]]-receipetable[[#This Row],[Cost of Making]]-receipetable[[#This Row],[Other Charges]]-(receipetable[[#This Row],[Our Prizing]]*0.27))/receipetable[[#This Row],[Cost of Making]]</f>
        <v>#VALUE!</v>
      </c>
      <c r="M152" s="25">
        <v>2</v>
      </c>
    </row>
    <row r="153" spans="2:13" x14ac:dyDescent="0.25">
      <c r="B153" s="27">
        <v>153</v>
      </c>
      <c r="C153" s="20" t="s">
        <v>310</v>
      </c>
      <c r="D153" s="20" t="s">
        <v>130</v>
      </c>
      <c r="E153" s="20" t="s">
        <v>125</v>
      </c>
      <c r="F153" s="20">
        <f>SUMIF(Quantitytable[Dish],receipetable[[#This Row],[Recipe Name]],Quantitytable[Cost Per Dish Per Item])</f>
        <v>0</v>
      </c>
      <c r="G153" s="20">
        <v>5</v>
      </c>
      <c r="H153" s="20">
        <v>140</v>
      </c>
      <c r="I153" s="20" t="e">
        <f>receipetable[[#This Row],[Cost of Making]]+receipetable[[#This Row],[PKG Cst]]</f>
        <v>#VALUE!</v>
      </c>
      <c r="J153" s="20"/>
      <c r="K153" s="20" t="e">
        <f>receipetable[[#This Row],[Our Prizing]]-receipetable[[#This Row],[Cost of Making]]-(receipetable[[#This Row],[Our Prizing]]*0.27)-receipetable[[#This Row],[Other Charges]]</f>
        <v>#VALUE!</v>
      </c>
      <c r="L153" s="22" t="e">
        <f>(receipetable[[#This Row],[Our Prizing]]-receipetable[[#This Row],[Cost of Making]]-receipetable[[#This Row],[Other Charges]]-(receipetable[[#This Row],[Our Prizing]]*0.27))/receipetable[[#This Row],[Cost of Making]]</f>
        <v>#VALUE!</v>
      </c>
      <c r="M153" s="23">
        <v>2</v>
      </c>
    </row>
    <row r="154" spans="2:13" x14ac:dyDescent="0.25">
      <c r="B154" s="27">
        <v>154</v>
      </c>
      <c r="C154" s="21" t="s">
        <v>312</v>
      </c>
      <c r="D154" s="21" t="s">
        <v>121</v>
      </c>
      <c r="E154" s="21" t="s">
        <v>125</v>
      </c>
      <c r="F154" s="21">
        <f>SUMIF(Quantitytable[Dish],receipetable[[#This Row],[Recipe Name]],Quantitytable[Cost Per Dish Per Item])</f>
        <v>0</v>
      </c>
      <c r="G154" s="21">
        <v>5</v>
      </c>
      <c r="H154" s="21">
        <v>140</v>
      </c>
      <c r="I154" s="21" t="e">
        <f>receipetable[[#This Row],[Cost of Making]]+receipetable[[#This Row],[PKG Cst]]</f>
        <v>#VALUE!</v>
      </c>
      <c r="J154" s="21"/>
      <c r="K154" s="21" t="e">
        <f>receipetable[[#This Row],[Our Prizing]]-receipetable[[#This Row],[Cost of Making]]-(receipetable[[#This Row],[Our Prizing]]*0.27)-receipetable[[#This Row],[Other Charges]]</f>
        <v>#VALUE!</v>
      </c>
      <c r="L154" s="24" t="e">
        <f>(receipetable[[#This Row],[Our Prizing]]-receipetable[[#This Row],[Cost of Making]]-receipetable[[#This Row],[Other Charges]]-(receipetable[[#This Row],[Our Prizing]]*0.27))/receipetable[[#This Row],[Cost of Making]]</f>
        <v>#VALUE!</v>
      </c>
      <c r="M154" s="25">
        <v>2</v>
      </c>
    </row>
    <row r="155" spans="2:13" x14ac:dyDescent="0.25">
      <c r="B155" s="26">
        <v>155</v>
      </c>
      <c r="C155" s="20" t="s">
        <v>313</v>
      </c>
      <c r="D155" s="20" t="s">
        <v>129</v>
      </c>
      <c r="E155" s="20" t="s">
        <v>125</v>
      </c>
      <c r="F155" s="20">
        <f>SUMIF(Quantitytable[Dish],receipetable[[#This Row],[Recipe Name]],Quantitytable[Cost Per Dish Per Item])</f>
        <v>0</v>
      </c>
      <c r="G155" s="20">
        <v>5</v>
      </c>
      <c r="H155" s="20">
        <v>150</v>
      </c>
      <c r="I155" s="20" t="e">
        <f>receipetable[[#This Row],[Cost of Making]]+receipetable[[#This Row],[PKG Cst]]</f>
        <v>#VALUE!</v>
      </c>
      <c r="J155" s="20"/>
      <c r="K155" s="20" t="e">
        <f>receipetable[[#This Row],[Our Prizing]]-receipetable[[#This Row],[Cost of Making]]-(receipetable[[#This Row],[Our Prizing]]*0.27)-receipetable[[#This Row],[Other Charges]]</f>
        <v>#VALUE!</v>
      </c>
      <c r="L155" s="22" t="e">
        <f>(receipetable[[#This Row],[Our Prizing]]-receipetable[[#This Row],[Cost of Making]]-receipetable[[#This Row],[Other Charges]]-(receipetable[[#This Row],[Our Prizing]]*0.27))/receipetable[[#This Row],[Cost of Making]]</f>
        <v>#VALUE!</v>
      </c>
      <c r="M155" s="23">
        <v>2</v>
      </c>
    </row>
    <row r="156" spans="2:13" x14ac:dyDescent="0.25">
      <c r="B156" s="27">
        <v>156</v>
      </c>
      <c r="C156" s="21" t="s">
        <v>314</v>
      </c>
      <c r="D156" s="21" t="s">
        <v>121</v>
      </c>
      <c r="E156" s="21" t="s">
        <v>125</v>
      </c>
      <c r="F156" s="21">
        <f>SUMIF(Quantitytable[Dish],receipetable[[#This Row],[Recipe Name]],Quantitytable[Cost Per Dish Per Item])</f>
        <v>0</v>
      </c>
      <c r="G156" s="21">
        <v>5</v>
      </c>
      <c r="H156" s="21">
        <v>140</v>
      </c>
      <c r="I156" s="21" t="e">
        <f>receipetable[[#This Row],[Cost of Making]]+receipetable[[#This Row],[PKG Cst]]</f>
        <v>#VALUE!</v>
      </c>
      <c r="J156" s="21"/>
      <c r="K156" s="21" t="e">
        <f>receipetable[[#This Row],[Our Prizing]]-receipetable[[#This Row],[Cost of Making]]-(receipetable[[#This Row],[Our Prizing]]*0.27)-receipetable[[#This Row],[Other Charges]]</f>
        <v>#VALUE!</v>
      </c>
      <c r="L156" s="24" t="e">
        <f>(receipetable[[#This Row],[Our Prizing]]-receipetable[[#This Row],[Cost of Making]]-receipetable[[#This Row],[Other Charges]]-(receipetable[[#This Row],[Our Prizing]]*0.27))/receipetable[[#This Row],[Cost of Making]]</f>
        <v>#VALUE!</v>
      </c>
      <c r="M156" s="25">
        <v>2</v>
      </c>
    </row>
    <row r="157" spans="2:13" x14ac:dyDescent="0.25">
      <c r="B157" s="27">
        <v>157</v>
      </c>
      <c r="C157" s="20" t="s">
        <v>315</v>
      </c>
      <c r="D157" s="20" t="s">
        <v>124</v>
      </c>
      <c r="E157" s="20" t="s">
        <v>125</v>
      </c>
      <c r="F157" s="20">
        <f>SUMIF(Quantitytable[Dish],receipetable[[#This Row],[Recipe Name]],Quantitytable[Cost Per Dish Per Item])</f>
        <v>0</v>
      </c>
      <c r="G157" s="20">
        <v>5</v>
      </c>
      <c r="H157" s="20">
        <v>140</v>
      </c>
      <c r="I157" s="20" t="e">
        <f>receipetable[[#This Row],[Cost of Making]]+receipetable[[#This Row],[PKG Cst]]</f>
        <v>#VALUE!</v>
      </c>
      <c r="J157" s="20"/>
      <c r="K157" s="20" t="e">
        <f>receipetable[[#This Row],[Our Prizing]]-receipetable[[#This Row],[Cost of Making]]-(receipetable[[#This Row],[Our Prizing]]*0.27)-receipetable[[#This Row],[Other Charges]]</f>
        <v>#VALUE!</v>
      </c>
      <c r="L157" s="22" t="e">
        <f>(receipetable[[#This Row],[Our Prizing]]-receipetable[[#This Row],[Cost of Making]]-receipetable[[#This Row],[Other Charges]]-(receipetable[[#This Row],[Our Prizing]]*0.27))/receipetable[[#This Row],[Cost of Making]]</f>
        <v>#VALUE!</v>
      </c>
      <c r="M157" s="23">
        <v>2</v>
      </c>
    </row>
    <row r="158" spans="2:13" x14ac:dyDescent="0.25">
      <c r="B158" s="26">
        <v>158</v>
      </c>
      <c r="C158" s="21" t="s">
        <v>316</v>
      </c>
      <c r="D158" s="21" t="s">
        <v>129</v>
      </c>
      <c r="E158" s="21" t="s">
        <v>125</v>
      </c>
      <c r="F158" s="21">
        <f>SUMIF(Quantitytable[Dish],receipetable[[#This Row],[Recipe Name]],Quantitytable[Cost Per Dish Per Item])</f>
        <v>0</v>
      </c>
      <c r="G158" s="21">
        <v>5</v>
      </c>
      <c r="H158" s="21">
        <v>150</v>
      </c>
      <c r="I158" s="21" t="e">
        <f>receipetable[[#This Row],[Cost of Making]]+receipetable[[#This Row],[PKG Cst]]</f>
        <v>#VALUE!</v>
      </c>
      <c r="J158" s="21"/>
      <c r="K158" s="21" t="e">
        <f>receipetable[[#This Row],[Our Prizing]]-receipetable[[#This Row],[Cost of Making]]-(receipetable[[#This Row],[Our Prizing]]*0.27)-receipetable[[#This Row],[Other Charges]]</f>
        <v>#VALUE!</v>
      </c>
      <c r="L158" s="24" t="e">
        <f>(receipetable[[#This Row],[Our Prizing]]-receipetable[[#This Row],[Cost of Making]]-receipetable[[#This Row],[Other Charges]]-(receipetable[[#This Row],[Our Prizing]]*0.27))/receipetable[[#This Row],[Cost of Making]]</f>
        <v>#VALUE!</v>
      </c>
      <c r="M158" s="25">
        <v>2</v>
      </c>
    </row>
    <row r="159" spans="2:13" x14ac:dyDescent="0.25">
      <c r="B159" s="27">
        <v>159</v>
      </c>
      <c r="C159" s="20" t="s">
        <v>317</v>
      </c>
      <c r="D159" s="20" t="s">
        <v>121</v>
      </c>
      <c r="E159" s="20" t="s">
        <v>125</v>
      </c>
      <c r="F159" s="20">
        <f>SUMIF(Quantitytable[Dish],receipetable[[#This Row],[Recipe Name]],Quantitytable[Cost Per Dish Per Item])</f>
        <v>0</v>
      </c>
      <c r="G159" s="20">
        <v>5</v>
      </c>
      <c r="H159" s="20">
        <v>150</v>
      </c>
      <c r="I159" s="20" t="e">
        <f>receipetable[[#This Row],[Cost of Making]]+receipetable[[#This Row],[PKG Cst]]</f>
        <v>#VALUE!</v>
      </c>
      <c r="J159" s="20"/>
      <c r="K159" s="20" t="e">
        <f>receipetable[[#This Row],[Our Prizing]]-receipetable[[#This Row],[Cost of Making]]-(receipetable[[#This Row],[Our Prizing]]*0.27)-receipetable[[#This Row],[Other Charges]]</f>
        <v>#VALUE!</v>
      </c>
      <c r="L159" s="22" t="e">
        <f>(receipetable[[#This Row],[Our Prizing]]-receipetable[[#This Row],[Cost of Making]]-receipetable[[#This Row],[Other Charges]]-(receipetable[[#This Row],[Our Prizing]]*0.27))/receipetable[[#This Row],[Cost of Making]]</f>
        <v>#VALUE!</v>
      </c>
      <c r="M159" s="23">
        <v>2</v>
      </c>
    </row>
    <row r="160" spans="2:13" x14ac:dyDescent="0.25">
      <c r="B160" s="27">
        <v>160</v>
      </c>
      <c r="C160" s="21" t="s">
        <v>318</v>
      </c>
      <c r="D160" s="21" t="s">
        <v>129</v>
      </c>
      <c r="E160" s="21" t="s">
        <v>125</v>
      </c>
      <c r="F160" s="21">
        <f>SUMIF(Quantitytable[Dish],receipetable[[#This Row],[Recipe Name]],Quantitytable[Cost Per Dish Per Item])</f>
        <v>0</v>
      </c>
      <c r="G160" s="21">
        <v>5</v>
      </c>
      <c r="H160" s="21">
        <v>150</v>
      </c>
      <c r="I160" s="21" t="e">
        <f>receipetable[[#This Row],[Cost of Making]]+receipetable[[#This Row],[PKG Cst]]</f>
        <v>#VALUE!</v>
      </c>
      <c r="J160" s="21"/>
      <c r="K160" s="21" t="e">
        <f>receipetable[[#This Row],[Our Prizing]]-receipetable[[#This Row],[Cost of Making]]-(receipetable[[#This Row],[Our Prizing]]*0.27)-receipetable[[#This Row],[Other Charges]]</f>
        <v>#VALUE!</v>
      </c>
      <c r="L160" s="24" t="e">
        <f>(receipetable[[#This Row],[Our Prizing]]-receipetable[[#This Row],[Cost of Making]]-receipetable[[#This Row],[Other Charges]]-(receipetable[[#This Row],[Our Prizing]]*0.27))/receipetable[[#This Row],[Cost of Making]]</f>
        <v>#VALUE!</v>
      </c>
      <c r="M160" s="25">
        <v>2</v>
      </c>
    </row>
    <row r="161" spans="2:13" x14ac:dyDescent="0.25">
      <c r="B161" s="26">
        <v>161</v>
      </c>
      <c r="C161" s="20" t="s">
        <v>319</v>
      </c>
      <c r="D161" s="20" t="s">
        <v>136</v>
      </c>
      <c r="E161" s="20" t="s">
        <v>122</v>
      </c>
      <c r="F161" s="20">
        <f>SUMIF(Quantitytable[Dish],receipetable[[#This Row],[Recipe Name]],Quantitytable[Cost Per Dish Per Item])</f>
        <v>0</v>
      </c>
      <c r="G161" s="20">
        <v>3</v>
      </c>
      <c r="H161" s="20">
        <v>70</v>
      </c>
      <c r="I161" s="20" t="e">
        <f>receipetable[[#This Row],[Cost of Making]]+receipetable[[#This Row],[PKG Cst]]</f>
        <v>#VALUE!</v>
      </c>
      <c r="J161" s="20"/>
      <c r="K161" s="20" t="e">
        <f>receipetable[[#This Row],[Our Prizing]]-receipetable[[#This Row],[Cost of Making]]-(receipetable[[#This Row],[Our Prizing]]*0.27)-receipetable[[#This Row],[Other Charges]]</f>
        <v>#VALUE!</v>
      </c>
      <c r="L161" s="22" t="e">
        <f>(receipetable[[#This Row],[Our Prizing]]-receipetable[[#This Row],[Cost of Making]]-receipetable[[#This Row],[Other Charges]]-(receipetable[[#This Row],[Our Prizing]]*0.27))/receipetable[[#This Row],[Cost of Making]]</f>
        <v>#VALUE!</v>
      </c>
      <c r="M161" s="23">
        <v>2</v>
      </c>
    </row>
    <row r="162" spans="2:13" x14ac:dyDescent="0.25">
      <c r="B162" s="27">
        <v>162</v>
      </c>
      <c r="C162" s="21" t="s">
        <v>320</v>
      </c>
      <c r="D162" s="21" t="s">
        <v>136</v>
      </c>
      <c r="E162" s="21" t="s">
        <v>122</v>
      </c>
      <c r="F162" s="21">
        <f>SUMIF(Quantitytable[Dish],receipetable[[#This Row],[Recipe Name]],Quantitytable[Cost Per Dish Per Item])</f>
        <v>0</v>
      </c>
      <c r="G162" s="21">
        <v>3</v>
      </c>
      <c r="H162" s="21">
        <v>60</v>
      </c>
      <c r="I162" s="21" t="e">
        <f>receipetable[[#This Row],[Cost of Making]]+receipetable[[#This Row],[PKG Cst]]</f>
        <v>#VALUE!</v>
      </c>
      <c r="J162" s="21"/>
      <c r="K162" s="21" t="e">
        <f>receipetable[[#This Row],[Our Prizing]]-receipetable[[#This Row],[Cost of Making]]-(receipetable[[#This Row],[Our Prizing]]*0.27)-receipetable[[#This Row],[Other Charges]]</f>
        <v>#VALUE!</v>
      </c>
      <c r="L162" s="24" t="e">
        <f>(receipetable[[#This Row],[Our Prizing]]-receipetable[[#This Row],[Cost of Making]]-receipetable[[#This Row],[Other Charges]]-(receipetable[[#This Row],[Our Prizing]]*0.27))/receipetable[[#This Row],[Cost of Making]]</f>
        <v>#VALUE!</v>
      </c>
      <c r="M162" s="25">
        <v>2</v>
      </c>
    </row>
    <row r="163" spans="2:13" x14ac:dyDescent="0.25">
      <c r="B163" s="27">
        <v>163</v>
      </c>
      <c r="C163" s="20" t="s">
        <v>321</v>
      </c>
      <c r="D163" s="20" t="s">
        <v>136</v>
      </c>
      <c r="E163" s="20" t="s">
        <v>122</v>
      </c>
      <c r="F163" s="20">
        <f>SUMIF(Quantitytable[Dish],receipetable[[#This Row],[Recipe Name]],Quantitytable[Cost Per Dish Per Item])</f>
        <v>0</v>
      </c>
      <c r="G163" s="20">
        <v>3</v>
      </c>
      <c r="H163" s="20">
        <v>60</v>
      </c>
      <c r="I163" s="20" t="e">
        <f>receipetable[[#This Row],[Cost of Making]]+receipetable[[#This Row],[PKG Cst]]</f>
        <v>#VALUE!</v>
      </c>
      <c r="J163" s="20"/>
      <c r="K163" s="20" t="e">
        <f>receipetable[[#This Row],[Our Prizing]]-receipetable[[#This Row],[Cost of Making]]-(receipetable[[#This Row],[Our Prizing]]*0.27)-receipetable[[#This Row],[Other Charges]]</f>
        <v>#VALUE!</v>
      </c>
      <c r="L163" s="22" t="e">
        <f>(receipetable[[#This Row],[Our Prizing]]-receipetable[[#This Row],[Cost of Making]]-receipetable[[#This Row],[Other Charges]]-(receipetable[[#This Row],[Our Prizing]]*0.27))/receipetable[[#This Row],[Cost of Making]]</f>
        <v>#VALUE!</v>
      </c>
      <c r="M163" s="23">
        <v>2</v>
      </c>
    </row>
    <row r="164" spans="2:13" x14ac:dyDescent="0.25">
      <c r="B164" s="26">
        <v>164</v>
      </c>
      <c r="C164" s="21" t="s">
        <v>322</v>
      </c>
      <c r="D164" s="21" t="s">
        <v>136</v>
      </c>
      <c r="E164" s="21" t="s">
        <v>122</v>
      </c>
      <c r="F164" s="21">
        <f>SUMIF(Quantitytable[Dish],receipetable[[#This Row],[Recipe Name]],Quantitytable[Cost Per Dish Per Item])</f>
        <v>0</v>
      </c>
      <c r="G164" s="21">
        <v>3</v>
      </c>
      <c r="H164" s="21">
        <v>120</v>
      </c>
      <c r="I164" s="21" t="e">
        <f>receipetable[[#This Row],[Cost of Making]]+receipetable[[#This Row],[PKG Cst]]</f>
        <v>#VALUE!</v>
      </c>
      <c r="J164" s="21"/>
      <c r="K164" s="21" t="e">
        <f>receipetable[[#This Row],[Our Prizing]]-receipetable[[#This Row],[Cost of Making]]-(receipetable[[#This Row],[Our Prizing]]*0.27)-receipetable[[#This Row],[Other Charges]]</f>
        <v>#VALUE!</v>
      </c>
      <c r="L164" s="24" t="e">
        <f>(receipetable[[#This Row],[Our Prizing]]-receipetable[[#This Row],[Cost of Making]]-receipetable[[#This Row],[Other Charges]]-(receipetable[[#This Row],[Our Prizing]]*0.27))/receipetable[[#This Row],[Cost of Making]]</f>
        <v>#VALUE!</v>
      </c>
      <c r="M164" s="25">
        <v>2</v>
      </c>
    </row>
    <row r="165" spans="2:13" x14ac:dyDescent="0.25">
      <c r="B165" s="27">
        <v>165</v>
      </c>
      <c r="C165" s="20" t="s">
        <v>323</v>
      </c>
      <c r="D165" s="20" t="s">
        <v>136</v>
      </c>
      <c r="E165" s="20" t="s">
        <v>122</v>
      </c>
      <c r="F165" s="20">
        <f>SUMIF(Quantitytable[Dish],receipetable[[#This Row],[Recipe Name]],Quantitytable[Cost Per Dish Per Item])</f>
        <v>0</v>
      </c>
      <c r="G165" s="20">
        <v>3</v>
      </c>
      <c r="H165" s="20">
        <v>40</v>
      </c>
      <c r="I165" s="20" t="e">
        <f>receipetable[[#This Row],[Cost of Making]]+receipetable[[#This Row],[PKG Cst]]</f>
        <v>#VALUE!</v>
      </c>
      <c r="J165" s="20"/>
      <c r="K165" s="20" t="e">
        <f>receipetable[[#This Row],[Our Prizing]]-receipetable[[#This Row],[Cost of Making]]-(receipetable[[#This Row],[Our Prizing]]*0.27)-receipetable[[#This Row],[Other Charges]]</f>
        <v>#VALUE!</v>
      </c>
      <c r="L165" s="22" t="e">
        <f>(receipetable[[#This Row],[Our Prizing]]-receipetable[[#This Row],[Cost of Making]]-receipetable[[#This Row],[Other Charges]]-(receipetable[[#This Row],[Our Prizing]]*0.27))/receipetable[[#This Row],[Cost of Making]]</f>
        <v>#VALUE!</v>
      </c>
      <c r="M165" s="23">
        <v>2</v>
      </c>
    </row>
    <row r="166" spans="2:13" x14ac:dyDescent="0.25">
      <c r="B166" s="27">
        <v>166</v>
      </c>
      <c r="C166" s="21" t="s">
        <v>324</v>
      </c>
      <c r="D166" s="21" t="s">
        <v>129</v>
      </c>
      <c r="E166" s="21" t="s">
        <v>125</v>
      </c>
      <c r="F166" s="21">
        <f>SUMIF(Quantitytable[Dish],receipetable[[#This Row],[Recipe Name]],Quantitytable[Cost Per Dish Per Item])</f>
        <v>0</v>
      </c>
      <c r="G166" s="21">
        <v>5</v>
      </c>
      <c r="H166" s="21">
        <v>160</v>
      </c>
      <c r="I166" s="21" t="e">
        <f>receipetable[[#This Row],[Cost of Making]]+receipetable[[#This Row],[PKG Cst]]</f>
        <v>#VALUE!</v>
      </c>
      <c r="J166" s="21"/>
      <c r="K166" s="21" t="e">
        <f>receipetable[[#This Row],[Our Prizing]]-receipetable[[#This Row],[Cost of Making]]-(receipetable[[#This Row],[Our Prizing]]*0.27)-receipetable[[#This Row],[Other Charges]]</f>
        <v>#VALUE!</v>
      </c>
      <c r="L166" s="24" t="e">
        <f>(receipetable[[#This Row],[Our Prizing]]-receipetable[[#This Row],[Cost of Making]]-receipetable[[#This Row],[Other Charges]]-(receipetable[[#This Row],[Our Prizing]]*0.27))/receipetable[[#This Row],[Cost of Making]]</f>
        <v>#VALUE!</v>
      </c>
      <c r="M166" s="25">
        <v>2</v>
      </c>
    </row>
    <row r="167" spans="2:13" x14ac:dyDescent="0.25">
      <c r="B167" s="26">
        <v>167</v>
      </c>
      <c r="C167" s="20" t="s">
        <v>325</v>
      </c>
      <c r="D167" s="20" t="s">
        <v>129</v>
      </c>
      <c r="E167" s="20" t="s">
        <v>125</v>
      </c>
      <c r="F167" s="20">
        <f>SUMIF(Quantitytable[Dish],receipetable[[#This Row],[Recipe Name]],Quantitytable[Cost Per Dish Per Item])</f>
        <v>0</v>
      </c>
      <c r="G167" s="20">
        <v>5</v>
      </c>
      <c r="H167" s="20">
        <v>180</v>
      </c>
      <c r="I167" s="20" t="e">
        <f>receipetable[[#This Row],[Cost of Making]]+receipetable[[#This Row],[PKG Cst]]</f>
        <v>#VALUE!</v>
      </c>
      <c r="J167" s="20"/>
      <c r="K167" s="20" t="e">
        <f>receipetable[[#This Row],[Our Prizing]]-receipetable[[#This Row],[Cost of Making]]-(receipetable[[#This Row],[Our Prizing]]*0.27)-receipetable[[#This Row],[Other Charges]]</f>
        <v>#VALUE!</v>
      </c>
      <c r="L167" s="22" t="e">
        <f>(receipetable[[#This Row],[Our Prizing]]-receipetable[[#This Row],[Cost of Making]]-receipetable[[#This Row],[Other Charges]]-(receipetable[[#This Row],[Our Prizing]]*0.27))/receipetable[[#This Row],[Cost of Making]]</f>
        <v>#VALUE!</v>
      </c>
      <c r="M167" s="23">
        <v>2</v>
      </c>
    </row>
    <row r="168" spans="2:13" x14ac:dyDescent="0.25">
      <c r="B168" s="27">
        <v>168</v>
      </c>
      <c r="C168" s="21" t="s">
        <v>326</v>
      </c>
      <c r="D168" s="21" t="s">
        <v>124</v>
      </c>
      <c r="E168" s="21" t="s">
        <v>125</v>
      </c>
      <c r="F168" s="21">
        <f>SUMIF(Quantitytable[Dish],receipetable[[#This Row],[Recipe Name]],Quantitytable[Cost Per Dish Per Item])</f>
        <v>0</v>
      </c>
      <c r="G168" s="21">
        <v>5</v>
      </c>
      <c r="H168" s="21">
        <v>200</v>
      </c>
      <c r="I168" s="21" t="e">
        <f>receipetable[[#This Row],[Cost of Making]]+receipetable[[#This Row],[PKG Cst]]</f>
        <v>#VALUE!</v>
      </c>
      <c r="J168" s="21"/>
      <c r="K168" s="21" t="e">
        <f>receipetable[[#This Row],[Our Prizing]]-receipetable[[#This Row],[Cost of Making]]-(receipetable[[#This Row],[Our Prizing]]*0.27)-receipetable[[#This Row],[Other Charges]]</f>
        <v>#VALUE!</v>
      </c>
      <c r="L168" s="24" t="e">
        <f>(receipetable[[#This Row],[Our Prizing]]-receipetable[[#This Row],[Cost of Making]]-receipetable[[#This Row],[Other Charges]]-(receipetable[[#This Row],[Our Prizing]]*0.27))/receipetable[[#This Row],[Cost of Making]]</f>
        <v>#VALUE!</v>
      </c>
      <c r="M168" s="25">
        <v>2</v>
      </c>
    </row>
    <row r="169" spans="2:13" x14ac:dyDescent="0.25">
      <c r="B169" s="27">
        <v>169</v>
      </c>
      <c r="C169" s="20" t="s">
        <v>327</v>
      </c>
      <c r="D169" s="20" t="s">
        <v>124</v>
      </c>
      <c r="E169" s="20" t="s">
        <v>125</v>
      </c>
      <c r="F169" s="20">
        <f>SUMIF(Quantitytable[Dish],receipetable[[#This Row],[Recipe Name]],Quantitytable[Cost Per Dish Per Item])</f>
        <v>0</v>
      </c>
      <c r="G169" s="20">
        <v>5</v>
      </c>
      <c r="H169" s="20">
        <v>1000</v>
      </c>
      <c r="I169" s="20" t="e">
        <f>receipetable[[#This Row],[Cost of Making]]+receipetable[[#This Row],[PKG Cst]]</f>
        <v>#VALUE!</v>
      </c>
      <c r="J169" s="20"/>
      <c r="K169" s="20" t="e">
        <f>receipetable[[#This Row],[Our Prizing]]-receipetable[[#This Row],[Cost of Making]]-(receipetable[[#This Row],[Our Prizing]]*0.27)-receipetable[[#This Row],[Other Charges]]</f>
        <v>#VALUE!</v>
      </c>
      <c r="L169" s="22" t="e">
        <f>(receipetable[[#This Row],[Our Prizing]]-receipetable[[#This Row],[Cost of Making]]-receipetable[[#This Row],[Other Charges]]-(receipetable[[#This Row],[Our Prizing]]*0.27))/receipetable[[#This Row],[Cost of Making]]</f>
        <v>#VALUE!</v>
      </c>
      <c r="M169" s="23">
        <v>2</v>
      </c>
    </row>
    <row r="170" spans="2:13" x14ac:dyDescent="0.25">
      <c r="B170" s="26">
        <v>170</v>
      </c>
      <c r="C170" s="21" t="s">
        <v>328</v>
      </c>
      <c r="D170" s="21" t="s">
        <v>129</v>
      </c>
      <c r="E170" s="21" t="s">
        <v>125</v>
      </c>
      <c r="F170" s="21">
        <f>SUMIF(Quantitytable[Dish],receipetable[[#This Row],[Recipe Name]],Quantitytable[Cost Per Dish Per Item])</f>
        <v>0</v>
      </c>
      <c r="G170" s="21">
        <v>5</v>
      </c>
      <c r="H170" s="21">
        <v>120</v>
      </c>
      <c r="I170" s="21" t="e">
        <f>receipetable[[#This Row],[Cost of Making]]+receipetable[[#This Row],[PKG Cst]]</f>
        <v>#VALUE!</v>
      </c>
      <c r="J170" s="21"/>
      <c r="K170" s="21" t="e">
        <f>receipetable[[#This Row],[Our Prizing]]-receipetable[[#This Row],[Cost of Making]]-(receipetable[[#This Row],[Our Prizing]]*0.27)-receipetable[[#This Row],[Other Charges]]</f>
        <v>#VALUE!</v>
      </c>
      <c r="L170" s="24" t="e">
        <f>(receipetable[[#This Row],[Our Prizing]]-receipetable[[#This Row],[Cost of Making]]-receipetable[[#This Row],[Other Charges]]-(receipetable[[#This Row],[Our Prizing]]*0.27))/receipetable[[#This Row],[Cost of Making]]</f>
        <v>#VALUE!</v>
      </c>
      <c r="M170" s="25">
        <v>2</v>
      </c>
    </row>
    <row r="171" spans="2:13" x14ac:dyDescent="0.25">
      <c r="B171" s="27">
        <v>171</v>
      </c>
      <c r="C171" s="20" t="s">
        <v>329</v>
      </c>
      <c r="D171" s="20" t="s">
        <v>124</v>
      </c>
      <c r="E171" s="20" t="s">
        <v>125</v>
      </c>
      <c r="F171" s="20">
        <f>SUMIF(Quantitytable[Dish],receipetable[[#This Row],[Recipe Name]],Quantitytable[Cost Per Dish Per Item])</f>
        <v>0</v>
      </c>
      <c r="G171" s="20">
        <v>5</v>
      </c>
      <c r="H171" s="20">
        <v>120</v>
      </c>
      <c r="I171" s="20" t="e">
        <f>receipetable[[#This Row],[Cost of Making]]+receipetable[[#This Row],[PKG Cst]]</f>
        <v>#VALUE!</v>
      </c>
      <c r="J171" s="20"/>
      <c r="K171" s="20" t="e">
        <f>receipetable[[#This Row],[Our Prizing]]-receipetable[[#This Row],[Cost of Making]]-(receipetable[[#This Row],[Our Prizing]]*0.27)-receipetable[[#This Row],[Other Charges]]</f>
        <v>#VALUE!</v>
      </c>
      <c r="L171" s="22" t="e">
        <f>(receipetable[[#This Row],[Our Prizing]]-receipetable[[#This Row],[Cost of Making]]-receipetable[[#This Row],[Other Charges]]-(receipetable[[#This Row],[Our Prizing]]*0.27))/receipetable[[#This Row],[Cost of Making]]</f>
        <v>#VALUE!</v>
      </c>
      <c r="M171" s="23">
        <v>2</v>
      </c>
    </row>
    <row r="172" spans="2:13" x14ac:dyDescent="0.25">
      <c r="B172" s="27">
        <v>172</v>
      </c>
      <c r="C172" s="21" t="s">
        <v>330</v>
      </c>
      <c r="D172" s="21" t="s">
        <v>129</v>
      </c>
      <c r="E172" s="21" t="s">
        <v>125</v>
      </c>
      <c r="F172" s="21">
        <f>SUMIF(Quantitytable[Dish],receipetable[[#This Row],[Recipe Name]],Quantitytable[Cost Per Dish Per Item])</f>
        <v>0</v>
      </c>
      <c r="G172" s="21">
        <v>5</v>
      </c>
      <c r="H172" s="21">
        <v>140</v>
      </c>
      <c r="I172" s="21" t="e">
        <f>receipetable[[#This Row],[Cost of Making]]+receipetable[[#This Row],[PKG Cst]]</f>
        <v>#VALUE!</v>
      </c>
      <c r="J172" s="21"/>
      <c r="K172" s="21" t="e">
        <f>receipetable[[#This Row],[Our Prizing]]-receipetable[[#This Row],[Cost of Making]]-(receipetable[[#This Row],[Our Prizing]]*0.27)-receipetable[[#This Row],[Other Charges]]</f>
        <v>#VALUE!</v>
      </c>
      <c r="L172" s="24" t="e">
        <f>(receipetable[[#This Row],[Our Prizing]]-receipetable[[#This Row],[Cost of Making]]-receipetable[[#This Row],[Other Charges]]-(receipetable[[#This Row],[Our Prizing]]*0.27))/receipetable[[#This Row],[Cost of Making]]</f>
        <v>#VALUE!</v>
      </c>
      <c r="M172" s="25">
        <v>2</v>
      </c>
    </row>
    <row r="173" spans="2:13" x14ac:dyDescent="0.25">
      <c r="B173" s="26">
        <v>173</v>
      </c>
      <c r="C173" s="20" t="s">
        <v>331</v>
      </c>
      <c r="D173" s="20" t="s">
        <v>129</v>
      </c>
      <c r="E173" s="20" t="s">
        <v>125</v>
      </c>
      <c r="F173" s="20">
        <f>SUMIF(Quantitytable[Dish],receipetable[[#This Row],[Recipe Name]],Quantitytable[Cost Per Dish Per Item])</f>
        <v>0</v>
      </c>
      <c r="G173" s="20">
        <v>5</v>
      </c>
      <c r="H173" s="20">
        <v>150</v>
      </c>
      <c r="I173" s="20" t="e">
        <f>receipetable[[#This Row],[Cost of Making]]+receipetable[[#This Row],[PKG Cst]]</f>
        <v>#VALUE!</v>
      </c>
      <c r="J173" s="20"/>
      <c r="K173" s="20" t="e">
        <f>receipetable[[#This Row],[Our Prizing]]-receipetable[[#This Row],[Cost of Making]]-(receipetable[[#This Row],[Our Prizing]]*0.27)-receipetable[[#This Row],[Other Charges]]</f>
        <v>#VALUE!</v>
      </c>
      <c r="L173" s="22" t="e">
        <f>(receipetable[[#This Row],[Our Prizing]]-receipetable[[#This Row],[Cost of Making]]-receipetable[[#This Row],[Other Charges]]-(receipetable[[#This Row],[Our Prizing]]*0.27))/receipetable[[#This Row],[Cost of Making]]</f>
        <v>#VALUE!</v>
      </c>
      <c r="M173" s="23">
        <v>2</v>
      </c>
    </row>
    <row r="174" spans="2:13" x14ac:dyDescent="0.25">
      <c r="B174" s="27">
        <v>174</v>
      </c>
      <c r="C174" s="21" t="s">
        <v>332</v>
      </c>
      <c r="D174" s="21" t="s">
        <v>124</v>
      </c>
      <c r="E174" s="21" t="s">
        <v>125</v>
      </c>
      <c r="F174" s="21">
        <f>SUMIF(Quantitytable[Dish],receipetable[[#This Row],[Recipe Name]],Quantitytable[Cost Per Dish Per Item])</f>
        <v>0</v>
      </c>
      <c r="G174" s="21">
        <v>5</v>
      </c>
      <c r="H174" s="21">
        <v>140</v>
      </c>
      <c r="I174" s="21" t="e">
        <f>receipetable[[#This Row],[Cost of Making]]+receipetable[[#This Row],[PKG Cst]]</f>
        <v>#VALUE!</v>
      </c>
      <c r="J174" s="21"/>
      <c r="K174" s="21" t="e">
        <f>receipetable[[#This Row],[Our Prizing]]-receipetable[[#This Row],[Cost of Making]]-(receipetable[[#This Row],[Our Prizing]]*0.27)-receipetable[[#This Row],[Other Charges]]</f>
        <v>#VALUE!</v>
      </c>
      <c r="L174" s="24" t="e">
        <f>(receipetable[[#This Row],[Our Prizing]]-receipetable[[#This Row],[Cost of Making]]-receipetable[[#This Row],[Other Charges]]-(receipetable[[#This Row],[Our Prizing]]*0.27))/receipetable[[#This Row],[Cost of Making]]</f>
        <v>#VALUE!</v>
      </c>
      <c r="M174" s="25">
        <v>2</v>
      </c>
    </row>
    <row r="175" spans="2:13" x14ac:dyDescent="0.25">
      <c r="B175" s="27">
        <v>175</v>
      </c>
      <c r="C175" s="20" t="s">
        <v>333</v>
      </c>
      <c r="D175" s="20" t="s">
        <v>124</v>
      </c>
      <c r="E175" s="20" t="s">
        <v>125</v>
      </c>
      <c r="F175" s="20">
        <f>SUMIF(Quantitytable[Dish],receipetable[[#This Row],[Recipe Name]],Quantitytable[Cost Per Dish Per Item])</f>
        <v>0</v>
      </c>
      <c r="G175" s="20">
        <v>5</v>
      </c>
      <c r="H175" s="20">
        <v>150</v>
      </c>
      <c r="I175" s="20" t="e">
        <f>receipetable[[#This Row],[Cost of Making]]+receipetable[[#This Row],[PKG Cst]]</f>
        <v>#VALUE!</v>
      </c>
      <c r="J175" s="20"/>
      <c r="K175" s="20" t="e">
        <f>receipetable[[#This Row],[Our Prizing]]-receipetable[[#This Row],[Cost of Making]]-(receipetable[[#This Row],[Our Prizing]]*0.27)-receipetable[[#This Row],[Other Charges]]</f>
        <v>#VALUE!</v>
      </c>
      <c r="L175" s="22" t="e">
        <f>(receipetable[[#This Row],[Our Prizing]]-receipetable[[#This Row],[Cost of Making]]-receipetable[[#This Row],[Other Charges]]-(receipetable[[#This Row],[Our Prizing]]*0.27))/receipetable[[#This Row],[Cost of Making]]</f>
        <v>#VALUE!</v>
      </c>
      <c r="M175" s="23">
        <v>2</v>
      </c>
    </row>
    <row r="176" spans="2:13" x14ac:dyDescent="0.25">
      <c r="B176" s="26">
        <v>176</v>
      </c>
      <c r="C176" s="21" t="s">
        <v>334</v>
      </c>
      <c r="D176" s="21" t="s">
        <v>124</v>
      </c>
      <c r="E176" s="21" t="s">
        <v>125</v>
      </c>
      <c r="F176" s="21">
        <f>SUMIF(Quantitytable[Dish],receipetable[[#This Row],[Recipe Name]],Quantitytable[Cost Per Dish Per Item])</f>
        <v>0</v>
      </c>
      <c r="G176" s="21">
        <v>5</v>
      </c>
      <c r="H176" s="21">
        <v>150</v>
      </c>
      <c r="I176" s="21" t="e">
        <f>receipetable[[#This Row],[Cost of Making]]+receipetable[[#This Row],[PKG Cst]]</f>
        <v>#VALUE!</v>
      </c>
      <c r="J176" s="21"/>
      <c r="K176" s="21" t="e">
        <f>receipetable[[#This Row],[Our Prizing]]-receipetable[[#This Row],[Cost of Making]]-(receipetable[[#This Row],[Our Prizing]]*0.27)-receipetable[[#This Row],[Other Charges]]</f>
        <v>#VALUE!</v>
      </c>
      <c r="L176" s="24" t="e">
        <f>(receipetable[[#This Row],[Our Prizing]]-receipetable[[#This Row],[Cost of Making]]-receipetable[[#This Row],[Other Charges]]-(receipetable[[#This Row],[Our Prizing]]*0.27))/receipetable[[#This Row],[Cost of Making]]</f>
        <v>#VALUE!</v>
      </c>
      <c r="M176" s="25">
        <v>2</v>
      </c>
    </row>
    <row r="177" spans="2:13" x14ac:dyDescent="0.25">
      <c r="B177" s="27">
        <v>177</v>
      </c>
      <c r="C177" s="20" t="s">
        <v>335</v>
      </c>
      <c r="D177" s="20" t="s">
        <v>138</v>
      </c>
      <c r="E177" s="20" t="s">
        <v>151</v>
      </c>
      <c r="F177" s="20">
        <f>SUMIF(Quantitytable[Dish],receipetable[[#This Row],[Recipe Name]],Quantitytable[Cost Per Dish Per Item])</f>
        <v>0</v>
      </c>
      <c r="G177" s="20">
        <v>7</v>
      </c>
      <c r="H177" s="20">
        <v>320</v>
      </c>
      <c r="I177" s="20" t="e">
        <f>receipetable[[#This Row],[Cost of Making]]+receipetable[[#This Row],[PKG Cst]]</f>
        <v>#VALUE!</v>
      </c>
      <c r="J177" s="20"/>
      <c r="K177" s="20" t="e">
        <f>receipetable[[#This Row],[Our Prizing]]-receipetable[[#This Row],[Cost of Making]]-(receipetable[[#This Row],[Our Prizing]]*0.27)-receipetable[[#This Row],[Other Charges]]</f>
        <v>#VALUE!</v>
      </c>
      <c r="L177" s="22" t="e">
        <f>(receipetable[[#This Row],[Our Prizing]]-receipetable[[#This Row],[Cost of Making]]-receipetable[[#This Row],[Other Charges]]-(receipetable[[#This Row],[Our Prizing]]*0.27))/receipetable[[#This Row],[Cost of Making]]</f>
        <v>#VALUE!</v>
      </c>
      <c r="M177" s="23">
        <v>2</v>
      </c>
    </row>
    <row r="178" spans="2:13" x14ac:dyDescent="0.25">
      <c r="B178" s="27">
        <v>178</v>
      </c>
      <c r="C178" s="21" t="s">
        <v>336</v>
      </c>
      <c r="D178" s="21" t="s">
        <v>124</v>
      </c>
      <c r="E178" s="21" t="s">
        <v>125</v>
      </c>
      <c r="F178" s="21">
        <f>SUMIF(Quantitytable[Dish],receipetable[[#This Row],[Recipe Name]],Quantitytable[Cost Per Dish Per Item])</f>
        <v>0</v>
      </c>
      <c r="G178" s="21">
        <v>5</v>
      </c>
      <c r="H178" s="21">
        <v>280</v>
      </c>
      <c r="I178" s="21" t="e">
        <f>receipetable[[#This Row],[Cost of Making]]+receipetable[[#This Row],[PKG Cst]]</f>
        <v>#VALUE!</v>
      </c>
      <c r="J178" s="21"/>
      <c r="K178" s="21" t="e">
        <f>receipetable[[#This Row],[Our Prizing]]-receipetable[[#This Row],[Cost of Making]]-(receipetable[[#This Row],[Our Prizing]]*0.27)-receipetable[[#This Row],[Other Charges]]</f>
        <v>#VALUE!</v>
      </c>
      <c r="L178" s="24" t="e">
        <f>(receipetable[[#This Row],[Our Prizing]]-receipetable[[#This Row],[Cost of Making]]-receipetable[[#This Row],[Other Charges]]-(receipetable[[#This Row],[Our Prizing]]*0.27))/receipetable[[#This Row],[Cost of Making]]</f>
        <v>#VALUE!</v>
      </c>
      <c r="M178" s="25">
        <v>2</v>
      </c>
    </row>
    <row r="179" spans="2:13" x14ac:dyDescent="0.25">
      <c r="B179" s="26">
        <v>179</v>
      </c>
      <c r="C179" s="20" t="s">
        <v>337</v>
      </c>
      <c r="D179" s="20" t="s">
        <v>124</v>
      </c>
      <c r="E179" s="20" t="s">
        <v>125</v>
      </c>
      <c r="F179" s="20">
        <f>SUMIF(Quantitytable[Dish],receipetable[[#This Row],[Recipe Name]],Quantitytable[Cost Per Dish Per Item])</f>
        <v>0</v>
      </c>
      <c r="G179" s="20">
        <v>5</v>
      </c>
      <c r="H179" s="20">
        <v>280</v>
      </c>
      <c r="I179" s="20" t="e">
        <f>receipetable[[#This Row],[Cost of Making]]+receipetable[[#This Row],[PKG Cst]]</f>
        <v>#VALUE!</v>
      </c>
      <c r="J179" s="20"/>
      <c r="K179" s="20" t="e">
        <f>receipetable[[#This Row],[Our Prizing]]-receipetable[[#This Row],[Cost of Making]]-(receipetable[[#This Row],[Our Prizing]]*0.27)-receipetable[[#This Row],[Other Charges]]</f>
        <v>#VALUE!</v>
      </c>
      <c r="L179" s="22" t="e">
        <f>(receipetable[[#This Row],[Our Prizing]]-receipetable[[#This Row],[Cost of Making]]-receipetable[[#This Row],[Other Charges]]-(receipetable[[#This Row],[Our Prizing]]*0.27))/receipetable[[#This Row],[Cost of Making]]</f>
        <v>#VALUE!</v>
      </c>
      <c r="M179" s="23">
        <v>2</v>
      </c>
    </row>
    <row r="180" spans="2:13" x14ac:dyDescent="0.25">
      <c r="B180" s="27">
        <v>180</v>
      </c>
      <c r="C180" s="21" t="s">
        <v>44</v>
      </c>
      <c r="D180" s="21" t="s">
        <v>408</v>
      </c>
      <c r="E180" s="21" t="s">
        <v>151</v>
      </c>
      <c r="F180" s="21">
        <f>SUMIF(Quantitytable[Dish],receipetable[[#This Row],[Recipe Name]],Quantitytable[Cost Per Dish Per Item])</f>
        <v>0</v>
      </c>
      <c r="G180" s="21">
        <v>7</v>
      </c>
      <c r="H180" s="21">
        <v>0</v>
      </c>
      <c r="I180" s="21" t="e">
        <f>receipetable[[#This Row],[Cost of Making]]+receipetable[[#This Row],[PKG Cst]]</f>
        <v>#VALUE!</v>
      </c>
      <c r="J180" s="21"/>
      <c r="K180" s="21" t="e">
        <f>receipetable[[#This Row],[Our Prizing]]-receipetable[[#This Row],[Cost of Making]]-(receipetable[[#This Row],[Our Prizing]]*0.27)-receipetable[[#This Row],[Other Charges]]</f>
        <v>#VALUE!</v>
      </c>
      <c r="L180" s="24" t="e">
        <f>(receipetable[[#This Row],[Our Prizing]]-receipetable[[#This Row],[Cost of Making]]-receipetable[[#This Row],[Other Charges]]-(receipetable[[#This Row],[Our Prizing]]*0.27))/receipetable[[#This Row],[Cost of Making]]</f>
        <v>#VALUE!</v>
      </c>
      <c r="M180" s="25">
        <v>2</v>
      </c>
    </row>
    <row r="181" spans="2:13" x14ac:dyDescent="0.25">
      <c r="B181" s="27">
        <v>181</v>
      </c>
      <c r="C181" s="20" t="s">
        <v>338</v>
      </c>
      <c r="D181" s="20" t="s">
        <v>124</v>
      </c>
      <c r="E181" s="20" t="s">
        <v>125</v>
      </c>
      <c r="F181" s="20">
        <f>SUMIF(Quantitytable[Dish],receipetable[[#This Row],[Recipe Name]],Quantitytable[Cost Per Dish Per Item])</f>
        <v>0</v>
      </c>
      <c r="G181" s="20">
        <v>5</v>
      </c>
      <c r="H181" s="20">
        <v>300</v>
      </c>
      <c r="I181" s="20" t="e">
        <f>receipetable[[#This Row],[Cost of Making]]+receipetable[[#This Row],[PKG Cst]]</f>
        <v>#VALUE!</v>
      </c>
      <c r="J181" s="20"/>
      <c r="K181" s="20" t="e">
        <f>receipetable[[#This Row],[Our Prizing]]-receipetable[[#This Row],[Cost of Making]]-(receipetable[[#This Row],[Our Prizing]]*0.27)-receipetable[[#This Row],[Other Charges]]</f>
        <v>#VALUE!</v>
      </c>
      <c r="L181" s="22" t="e">
        <f>(receipetable[[#This Row],[Our Prizing]]-receipetable[[#This Row],[Cost of Making]]-receipetable[[#This Row],[Other Charges]]-(receipetable[[#This Row],[Our Prizing]]*0.27))/receipetable[[#This Row],[Cost of Making]]</f>
        <v>#VALUE!</v>
      </c>
      <c r="M181" s="23">
        <v>2</v>
      </c>
    </row>
    <row r="182" spans="2:13" x14ac:dyDescent="0.25">
      <c r="B182" s="26">
        <v>182</v>
      </c>
      <c r="C182" s="21" t="s">
        <v>339</v>
      </c>
      <c r="D182" s="21" t="s">
        <v>124</v>
      </c>
      <c r="E182" s="21" t="s">
        <v>125</v>
      </c>
      <c r="F182" s="21">
        <f>SUMIF(Quantitytable[Dish],receipetable[[#This Row],[Recipe Name]],Quantitytable[Cost Per Dish Per Item])</f>
        <v>0</v>
      </c>
      <c r="G182" s="21">
        <v>5</v>
      </c>
      <c r="H182" s="21">
        <v>300</v>
      </c>
      <c r="I182" s="21" t="e">
        <f>receipetable[[#This Row],[Cost of Making]]+receipetable[[#This Row],[PKG Cst]]</f>
        <v>#VALUE!</v>
      </c>
      <c r="J182" s="21"/>
      <c r="K182" s="21" t="e">
        <f>receipetable[[#This Row],[Our Prizing]]-receipetable[[#This Row],[Cost of Making]]-(receipetable[[#This Row],[Our Prizing]]*0.27)-receipetable[[#This Row],[Other Charges]]</f>
        <v>#VALUE!</v>
      </c>
      <c r="L182" s="24" t="e">
        <f>(receipetable[[#This Row],[Our Prizing]]-receipetable[[#This Row],[Cost of Making]]-receipetable[[#This Row],[Other Charges]]-(receipetable[[#This Row],[Our Prizing]]*0.27))/receipetable[[#This Row],[Cost of Making]]</f>
        <v>#VALUE!</v>
      </c>
      <c r="M182" s="25">
        <v>2</v>
      </c>
    </row>
    <row r="183" spans="2:13" x14ac:dyDescent="0.25">
      <c r="B183" s="27">
        <v>183</v>
      </c>
      <c r="C183" s="20" t="s">
        <v>340</v>
      </c>
      <c r="D183" s="20" t="s">
        <v>129</v>
      </c>
      <c r="E183" s="20" t="s">
        <v>125</v>
      </c>
      <c r="F183" s="20">
        <f>SUMIF(Quantitytable[Dish],receipetable[[#This Row],[Recipe Name]],Quantitytable[Cost Per Dish Per Item])</f>
        <v>0</v>
      </c>
      <c r="G183" s="20">
        <v>5</v>
      </c>
      <c r="H183" s="20">
        <v>80</v>
      </c>
      <c r="I183" s="20" t="e">
        <f>receipetable[[#This Row],[Cost of Making]]+receipetable[[#This Row],[PKG Cst]]</f>
        <v>#VALUE!</v>
      </c>
      <c r="J183" s="20"/>
      <c r="K183" s="20" t="e">
        <f>receipetable[[#This Row],[Our Prizing]]-receipetable[[#This Row],[Cost of Making]]-(receipetable[[#This Row],[Our Prizing]]*0.27)-receipetable[[#This Row],[Other Charges]]</f>
        <v>#VALUE!</v>
      </c>
      <c r="L183" s="22" t="e">
        <f>(receipetable[[#This Row],[Our Prizing]]-receipetable[[#This Row],[Cost of Making]]-receipetable[[#This Row],[Other Charges]]-(receipetable[[#This Row],[Our Prizing]]*0.27))/receipetable[[#This Row],[Cost of Making]]</f>
        <v>#VALUE!</v>
      </c>
      <c r="M183" s="23">
        <v>2</v>
      </c>
    </row>
    <row r="184" spans="2:13" x14ac:dyDescent="0.25">
      <c r="B184" s="26"/>
      <c r="C184" s="21"/>
      <c r="D184" s="21"/>
      <c r="E184" s="21"/>
      <c r="F184" s="21">
        <f>SUMIF(Quantitytable[Dish],receipetable[[#This Row],[Recipe Name]],Quantitytable[Cost Per Dish Per Item])</f>
        <v>0</v>
      </c>
      <c r="G184" s="21"/>
      <c r="H184" s="21"/>
      <c r="I184" s="21" t="e">
        <f>receipetable[[#This Row],[Cost of Making]]+receipetable[[#This Row],[PKG Cst]]</f>
        <v>#VALUE!</v>
      </c>
      <c r="J184" s="21"/>
      <c r="K184" s="21" t="e">
        <f>receipetable[[#This Row],[Our Prizing]]-receipetable[[#This Row],[Cost of Making]]-(receipetable[[#This Row],[Our Prizing]]*0.27)-receipetable[[#This Row],[Other Charges]]</f>
        <v>#VALUE!</v>
      </c>
      <c r="L184" s="24" t="e">
        <f>(receipetable[[#This Row],[Our Prizing]]-receipetable[[#This Row],[Cost of Making]]-receipetable[[#This Row],[Other Charges]]-(receipetable[[#This Row],[Our Prizing]]*0.27))/receipetable[[#This Row],[Cost of Making]]</f>
        <v>#VALUE!</v>
      </c>
      <c r="M184" s="25">
        <v>2</v>
      </c>
    </row>
    <row r="185" spans="2:13" x14ac:dyDescent="0.25">
      <c r="B185" s="27"/>
      <c r="C185" s="20"/>
      <c r="D185" s="20"/>
      <c r="E185" s="20"/>
      <c r="F185" s="20">
        <f>SUMIF(Quantitytable[Dish],receipetable[[#This Row],[Recipe Name]],Quantitytable[Cost Per Dish Per Item])</f>
        <v>0</v>
      </c>
      <c r="G185" s="20"/>
      <c r="H185" s="20"/>
      <c r="I185" s="20" t="e">
        <f>receipetable[[#This Row],[Cost of Making]]+receipetable[[#This Row],[PKG Cst]]</f>
        <v>#VALUE!</v>
      </c>
      <c r="J185" s="20"/>
      <c r="K185" s="20" t="e">
        <f>receipetable[[#This Row],[Our Prizing]]-receipetable[[#This Row],[Cost of Making]]-(receipetable[[#This Row],[Our Prizing]]*0.27)-receipetable[[#This Row],[Other Charges]]</f>
        <v>#VALUE!</v>
      </c>
      <c r="L185" s="22" t="e">
        <f>(receipetable[[#This Row],[Our Prizing]]-receipetable[[#This Row],[Cost of Making]]-receipetable[[#This Row],[Other Charges]]-(receipetable[[#This Row],[Our Prizing]]*0.27))/receipetable[[#This Row],[Cost of Making]]</f>
        <v>#VALUE!</v>
      </c>
      <c r="M185" s="23">
        <v>2</v>
      </c>
    </row>
    <row r="186" spans="2:13" x14ac:dyDescent="0.25">
      <c r="B186" s="26"/>
      <c r="C186" s="21"/>
      <c r="D186" s="21"/>
      <c r="E186" s="21"/>
      <c r="F186" s="21">
        <f>SUMIF(Quantitytable[Dish],receipetable[[#This Row],[Recipe Name]],Quantitytable[Cost Per Dish Per Item])</f>
        <v>0</v>
      </c>
      <c r="G186" s="21"/>
      <c r="H186" s="21"/>
      <c r="I186" s="21" t="e">
        <f>receipetable[[#This Row],[Cost of Making]]+receipetable[[#This Row],[PKG Cst]]</f>
        <v>#VALUE!</v>
      </c>
      <c r="J186" s="21"/>
      <c r="K186" s="21" t="e">
        <f>receipetable[[#This Row],[Our Prizing]]-receipetable[[#This Row],[Cost of Making]]-(receipetable[[#This Row],[Our Prizing]]*0.27)-receipetable[[#This Row],[Other Charges]]</f>
        <v>#VALUE!</v>
      </c>
      <c r="L186" s="24" t="e">
        <f>(receipetable[[#This Row],[Our Prizing]]-receipetable[[#This Row],[Cost of Making]]-receipetable[[#This Row],[Other Charges]]-(receipetable[[#This Row],[Our Prizing]]*0.27))/receipetable[[#This Row],[Cost of Making]]</f>
        <v>#VALUE!</v>
      </c>
      <c r="M186" s="25">
        <v>2</v>
      </c>
    </row>
    <row r="187" spans="2:13" x14ac:dyDescent="0.25">
      <c r="B187" s="27"/>
      <c r="C187" s="20"/>
      <c r="D187" s="20"/>
      <c r="E187" s="20"/>
      <c r="F187" s="20">
        <f>SUMIF(Quantitytable[Dish],receipetable[[#This Row],[Recipe Name]],Quantitytable[Cost Per Dish Per Item])</f>
        <v>0</v>
      </c>
      <c r="G187" s="20"/>
      <c r="H187" s="20"/>
      <c r="I187" s="20" t="e">
        <f>receipetable[[#This Row],[Cost of Making]]+receipetable[[#This Row],[PKG Cst]]</f>
        <v>#VALUE!</v>
      </c>
      <c r="J187" s="20"/>
      <c r="K187" s="20" t="e">
        <f>receipetable[[#This Row],[Our Prizing]]-receipetable[[#This Row],[Cost of Making]]-(receipetable[[#This Row],[Our Prizing]]*0.27)-receipetable[[#This Row],[Other Charges]]</f>
        <v>#VALUE!</v>
      </c>
      <c r="L187" s="22" t="e">
        <f>(receipetable[[#This Row],[Our Prizing]]-receipetable[[#This Row],[Cost of Making]]-receipetable[[#This Row],[Other Charges]]-(receipetable[[#This Row],[Our Prizing]]*0.27))/receipetable[[#This Row],[Cost of Making]]</f>
        <v>#VALUE!</v>
      </c>
      <c r="M187" s="23">
        <v>2</v>
      </c>
    </row>
  </sheetData>
  <conditionalFormatting sqref="C1:C4 C6:C10 C12:C30 C32:C50 C52:C56 C58:C91 C93:C187">
    <cfRule type="duplicateValues" dxfId="10" priority="2"/>
  </conditionalFormatting>
  <conditionalFormatting sqref="C1:C10 C93:C183 C12:C91">
    <cfRule type="duplicateValues" dxfId="9" priority="1"/>
  </conditionalFormatting>
  <conditionalFormatting sqref="C177">
    <cfRule type="duplicateValues" dxfId="8" priority="3"/>
  </conditionalFormatting>
  <dataValidations count="1">
    <dataValidation type="list" allowBlank="1" showInputMessage="1" showErrorMessage="1" sqref="E93:E187 E1:E10 E12:E91" xr:uid="{E9ED6E82-ADD1-423C-98D9-B9B681100253}">
      <formula1>"Easy,Medium,Hard"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0C6D8-356D-4D8D-8F0C-32BD49E8BEA9}">
  <dimension ref="B1:T694"/>
  <sheetViews>
    <sheetView showGridLines="0" tabSelected="1" zoomScaleNormal="100" workbookViewId="0">
      <pane xSplit="1" ySplit="6" topLeftCell="B7" activePane="bottomRight" state="frozen"/>
      <selection pane="topRight" activeCell="B1" sqref="B1"/>
      <selection pane="bottomLeft" activeCell="A7" sqref="A7"/>
      <selection pane="bottomRight" activeCell="J672" sqref="J672"/>
    </sheetView>
  </sheetViews>
  <sheetFormatPr defaultRowHeight="15" outlineLevelCol="1" x14ac:dyDescent="0.25"/>
  <cols>
    <col min="2" max="2" width="58.28515625" customWidth="1"/>
    <col min="3" max="3" width="41.85546875" customWidth="1"/>
    <col min="4" max="5" width="22.140625" customWidth="1"/>
    <col min="6" max="6" width="22" customWidth="1"/>
    <col min="7" max="7" width="18.28515625" customWidth="1"/>
    <col min="8" max="8" width="26.42578125" customWidth="1"/>
    <col min="9" max="9" width="19" customWidth="1"/>
    <col min="10" max="10" width="20.140625" customWidth="1"/>
    <col min="11" max="11" width="18.5703125" customWidth="1"/>
    <col min="12" max="12" width="24.5703125" bestFit="1" customWidth="1"/>
    <col min="13" max="13" width="27.7109375" hidden="1" customWidth="1" outlineLevel="1"/>
    <col min="14" max="14" width="12.28515625" hidden="1" customWidth="1" outlineLevel="1"/>
    <col min="15" max="15" width="12.28515625" bestFit="1" customWidth="1" collapsed="1"/>
    <col min="16" max="16" width="21.42578125" bestFit="1" customWidth="1"/>
    <col min="17" max="17" width="20.85546875" customWidth="1"/>
    <col min="18" max="18" width="14.28515625" customWidth="1"/>
    <col min="19" max="19" width="17" customWidth="1"/>
  </cols>
  <sheetData>
    <row r="1" spans="2:20" s="2" customFormat="1" x14ac:dyDescent="0.25"/>
    <row r="2" spans="2:20" s="2" customFormat="1" x14ac:dyDescent="0.25"/>
    <row r="3" spans="2:20" s="2" customFormat="1" x14ac:dyDescent="0.25"/>
    <row r="4" spans="2:20" s="2" customFormat="1" x14ac:dyDescent="0.25"/>
    <row r="6" spans="2:20" ht="15.75" customHeight="1" x14ac:dyDescent="0.25">
      <c r="B6" s="3" t="s">
        <v>341</v>
      </c>
      <c r="C6" s="3" t="s">
        <v>376</v>
      </c>
      <c r="D6" s="3" t="s">
        <v>390</v>
      </c>
      <c r="E6" s="3" t="s">
        <v>377</v>
      </c>
      <c r="F6" s="3" t="s">
        <v>389</v>
      </c>
      <c r="G6" s="3" t="s">
        <v>388</v>
      </c>
      <c r="H6" s="3" t="s">
        <v>448</v>
      </c>
      <c r="I6" s="3" t="s">
        <v>449</v>
      </c>
      <c r="J6" s="3" t="s">
        <v>500</v>
      </c>
      <c r="R6" s="3" t="s">
        <v>392</v>
      </c>
      <c r="S6" s="3" t="s">
        <v>391</v>
      </c>
      <c r="T6" s="3" t="s">
        <v>459</v>
      </c>
    </row>
    <row r="7" spans="2:20" x14ac:dyDescent="0.25">
      <c r="B7" s="13" t="s">
        <v>565</v>
      </c>
      <c r="C7" s="13" t="s">
        <v>75</v>
      </c>
      <c r="D7" s="13">
        <v>9</v>
      </c>
      <c r="E7" s="3">
        <f>IF(Quantitytable[[#This Row],[Units]]=0,0,SUMIFS(Quantitytable[NeededQuantity],Quantitytable[Dish],Quantitytable[[#This Row],[Dish]],Quantitytable[[Ingredient ]],Quantitytable[[#This Row],[Ingredient ]]))</f>
        <v>0</v>
      </c>
      <c r="F7" s="3">
        <f>SUMIFS(salestable[Quantity Sold],salestable[Item Name],Quantitytable[[#This Row],[Dish]])</f>
        <v>0</v>
      </c>
      <c r="G7" s="3">
        <f>'Quantity Table'!$E7*'Quantity Table'!$F7</f>
        <v>0</v>
      </c>
      <c r="H7" s="3">
        <f>_xlfn.IFNA(VLOOKUP(Quantitytable[[#This Row],[Ingredient ]],Shoppingtable[[Item Name]:[BALANCE Cash]],5,FALSE),0)*Quantitytable[[#This Row],[NeededQuantity]]</f>
        <v>1.3139999999999998</v>
      </c>
      <c r="I7" s="3">
        <f>SUMIF(Quantitytable[Dish],Quantitytable[[#This Row],[Dish]],Quantitytable[Cost Per Dish Per Item])</f>
        <v>27.297516483516485</v>
      </c>
      <c r="J7" s="18" t="s">
        <v>502</v>
      </c>
      <c r="M7" s="10" t="s">
        <v>393</v>
      </c>
      <c r="N7" t="s">
        <v>461</v>
      </c>
      <c r="O7" t="s">
        <v>460</v>
      </c>
      <c r="P7" t="s">
        <v>396</v>
      </c>
      <c r="R7" s="9" t="s">
        <v>429</v>
      </c>
      <c r="S7" s="3">
        <f>SUMIF(Quantitytable[[Ingredient ]],Ingredienttablereference[[#This Row],[Ingredient Ref]],Quantitytable[Materials Used])</f>
        <v>0</v>
      </c>
      <c r="T7" s="3">
        <f>SUMIF(Shoppingtable[Item Name],Ingredienttablereference[[#This Row],[Ingredient Ref]],Shoppingtable[Prize Per Gram])*Ingredienttablereference[[#This Row],[Sum]]</f>
        <v>0</v>
      </c>
    </row>
    <row r="8" spans="2:20" x14ac:dyDescent="0.25">
      <c r="B8" s="13" t="s">
        <v>565</v>
      </c>
      <c r="C8" s="13" t="s">
        <v>577</v>
      </c>
      <c r="D8" s="13">
        <v>100</v>
      </c>
      <c r="E8" s="3">
        <f>IF(Quantitytable[[#This Row],[Units]]=0,0,SUMIFS(Quantitytable[NeededQuantity],Quantitytable[Dish],Quantitytable[[#This Row],[Dish]],Quantitytable[[Ingredient ]],Quantitytable[[#This Row],[Ingredient ]]))</f>
        <v>0</v>
      </c>
      <c r="F8" s="3">
        <f>SUMIFS(salestable[Quantity Sold],salestable[Item Name],Quantitytable[[#This Row],[Dish]])</f>
        <v>0</v>
      </c>
      <c r="G8" s="3">
        <f>'Quantity Table'!$E8*'Quantity Table'!$F8</f>
        <v>0</v>
      </c>
      <c r="H8" s="3">
        <f>_xlfn.IFNA(VLOOKUP(Quantitytable[[#This Row],[Ingredient ]],Shoppingtable[[Item Name]:[BALANCE Cash]],5,FALSE),0)*Quantitytable[[#This Row],[NeededQuantity]]</f>
        <v>5.7692307692307692</v>
      </c>
      <c r="I8" s="3">
        <f>SUMIF(Quantitytable[Dish],Quantitytable[[#This Row],[Dish]],Quantitytable[Cost Per Dish Per Item])</f>
        <v>27.297516483516485</v>
      </c>
      <c r="J8" s="18" t="s">
        <v>502</v>
      </c>
      <c r="M8" s="9" t="s">
        <v>471</v>
      </c>
      <c r="N8">
        <v>20</v>
      </c>
      <c r="O8">
        <v>0</v>
      </c>
      <c r="P8">
        <v>0</v>
      </c>
      <c r="R8" s="9" t="s">
        <v>112</v>
      </c>
      <c r="S8" s="3">
        <f>SUMIF(Quantitytable[[Ingredient ]],Ingredienttablereference[[#This Row],[Ingredient Ref]],Quantitytable[Materials Used])</f>
        <v>0</v>
      </c>
      <c r="T8" s="3">
        <f>SUMIF(Shoppingtable[Item Name],Ingredienttablereference[[#This Row],[Ingredient Ref]],Shoppingtable[Prize Per Gram])*Ingredienttablereference[[#This Row],[Sum]]</f>
        <v>0</v>
      </c>
    </row>
    <row r="9" spans="2:20" x14ac:dyDescent="0.25">
      <c r="B9" s="13" t="s">
        <v>565</v>
      </c>
      <c r="C9" s="13" t="s">
        <v>576</v>
      </c>
      <c r="D9" s="13">
        <v>100</v>
      </c>
      <c r="E9" s="3">
        <f>IF(Quantitytable[[#This Row],[Units]]=0,0,SUMIFS(Quantitytable[NeededQuantity],Quantitytable[Dish],Quantitytable[[#This Row],[Dish]],Quantitytable[[Ingredient ]],Quantitytable[[#This Row],[Ingredient ]]))</f>
        <v>0</v>
      </c>
      <c r="F9" s="3">
        <f>SUMIFS(salestable[Quantity Sold],salestable[Item Name],Quantitytable[[#This Row],[Dish]])</f>
        <v>0</v>
      </c>
      <c r="G9" s="3">
        <f>'Quantity Table'!$E9*'Quantity Table'!$F9</f>
        <v>0</v>
      </c>
      <c r="H9" s="3">
        <f>_xlfn.IFNA(VLOOKUP(Quantitytable[[#This Row],[Ingredient ]],Shoppingtable[[Item Name]:[BALANCE Cash]],5,FALSE),0)*Quantitytable[[#This Row],[NeededQuantity]]</f>
        <v>5.833333333333333</v>
      </c>
      <c r="I9" s="3">
        <f>SUMIF(Quantitytable[Dish],Quantitytable[[#This Row],[Dish]],Quantitytable[Cost Per Dish Per Item])</f>
        <v>27.297516483516485</v>
      </c>
      <c r="J9" s="18" t="s">
        <v>502</v>
      </c>
      <c r="M9" s="9" t="s">
        <v>18</v>
      </c>
      <c r="N9">
        <v>18</v>
      </c>
      <c r="O9">
        <v>0</v>
      </c>
      <c r="P9">
        <v>0</v>
      </c>
      <c r="R9" s="9" t="s">
        <v>8</v>
      </c>
      <c r="S9" s="3">
        <f>SUMIF(Quantitytable[[Ingredient ]],Ingredienttablereference[[#This Row],[Ingredient Ref]],Quantitytable[Materials Used])</f>
        <v>0</v>
      </c>
      <c r="T9" s="3">
        <f>SUMIF(Shoppingtable[Item Name],Ingredienttablereference[[#This Row],[Ingredient Ref]],Shoppingtable[Prize Per Gram])*Ingredienttablereference[[#This Row],[Sum]]</f>
        <v>0</v>
      </c>
    </row>
    <row r="10" spans="2:20" x14ac:dyDescent="0.25">
      <c r="B10" s="13" t="s">
        <v>565</v>
      </c>
      <c r="C10" s="13" t="s">
        <v>98</v>
      </c>
      <c r="D10" s="13">
        <v>160</v>
      </c>
      <c r="E10" s="3">
        <f>IF(Quantitytable[[#This Row],[Units]]=0,0,SUMIFS(Quantitytable[NeededQuantity],Quantitytable[Dish],Quantitytable[[#This Row],[Dish]],Quantitytable[[Ingredient ]],Quantitytable[[#This Row],[Ingredient ]]))</f>
        <v>0</v>
      </c>
      <c r="F10" s="3">
        <f>SUMIFS(salestable[Quantity Sold],salestable[Item Name],Quantitytable[[#This Row],[Dish]])</f>
        <v>0</v>
      </c>
      <c r="G10" s="3">
        <f>'Quantity Table'!$E10*'Quantity Table'!$F10</f>
        <v>0</v>
      </c>
      <c r="H10" s="3">
        <f>_xlfn.IFNA(VLOOKUP(Quantitytable[[#This Row],[Ingredient ]],Shoppingtable[[Item Name]:[BALANCE Cash]],5,FALSE),0)*Quantitytable[[#This Row],[NeededQuantity]]</f>
        <v>8.6666666666666679</v>
      </c>
      <c r="I10" s="3">
        <f>SUMIF(Quantitytable[Dish],Quantitytable[[#This Row],[Dish]],Quantitytable[Cost Per Dish Per Item])</f>
        <v>27.297516483516485</v>
      </c>
      <c r="J10" s="18" t="s">
        <v>502</v>
      </c>
      <c r="M10" s="9" t="s">
        <v>26</v>
      </c>
      <c r="N10">
        <v>0</v>
      </c>
      <c r="O10">
        <v>0</v>
      </c>
      <c r="P10">
        <v>0</v>
      </c>
      <c r="R10" s="9" t="s">
        <v>9</v>
      </c>
      <c r="S10" s="3">
        <f>SUMIF(Quantitytable[[Ingredient ]],Ingredienttablereference[[#This Row],[Ingredient Ref]],Quantitytable[Materials Used])</f>
        <v>0</v>
      </c>
      <c r="T10" s="3">
        <f>SUMIF(Shoppingtable[Item Name],Ingredienttablereference[[#This Row],[Ingredient Ref]],Shoppingtable[Prize Per Gram])*Ingredienttablereference[[#This Row],[Sum]]</f>
        <v>0</v>
      </c>
    </row>
    <row r="11" spans="2:20" x14ac:dyDescent="0.25">
      <c r="B11" s="13" t="s">
        <v>565</v>
      </c>
      <c r="C11" s="13" t="s">
        <v>44</v>
      </c>
      <c r="D11" s="13">
        <v>200</v>
      </c>
      <c r="E11" s="3">
        <f>IF(Quantitytable[[#This Row],[Units]]=0,0,SUMIFS(Quantitytable[NeededQuantity],Quantitytable[Dish],Quantitytable[[#This Row],[Dish]],Quantitytable[[Ingredient ]],Quantitytable[[#This Row],[Ingredient ]]))</f>
        <v>0</v>
      </c>
      <c r="F11" s="3">
        <f>SUMIFS(salestable[Quantity Sold],salestable[Item Name],Quantitytable[[#This Row],[Dish]])</f>
        <v>0</v>
      </c>
      <c r="G11" s="3">
        <f>'Quantity Table'!$E11*'Quantity Table'!$F11</f>
        <v>0</v>
      </c>
      <c r="H11" s="3">
        <f>_xlfn.IFNA(VLOOKUP(Quantitytable[[#This Row],[Ingredient ]],Shoppingtable[[Item Name]:[BALANCE Cash]],5,FALSE),0)*Quantitytable[[#This Row],[NeededQuantity]]</f>
        <v>5.7142857142857144</v>
      </c>
      <c r="I11" s="3">
        <f>SUMIF(Quantitytable[Dish],Quantitytable[[#This Row],[Dish]],Quantitytable[Cost Per Dish Per Item])</f>
        <v>27.297516483516485</v>
      </c>
      <c r="J11" s="18" t="s">
        <v>502</v>
      </c>
      <c r="M11" s="9" t="s">
        <v>420</v>
      </c>
      <c r="N11">
        <v>0</v>
      </c>
      <c r="O11">
        <v>0</v>
      </c>
      <c r="P11">
        <v>0</v>
      </c>
      <c r="R11" s="9" t="s">
        <v>416</v>
      </c>
      <c r="S11" s="3">
        <f>SUMIF(Quantitytable[[Ingredient ]],Ingredienttablereference[[#This Row],[Ingredient Ref]],Quantitytable[Materials Used])</f>
        <v>0</v>
      </c>
      <c r="T11" s="3">
        <f>SUMIF(Shoppingtable[Item Name],Ingredienttablereference[[#This Row],[Ingredient Ref]],Shoppingtable[Prize Per Gram])*Ingredienttablereference[[#This Row],[Sum]]</f>
        <v>0</v>
      </c>
    </row>
    <row r="12" spans="2:20" x14ac:dyDescent="0.25">
      <c r="B12" s="13" t="s">
        <v>633</v>
      </c>
      <c r="C12" s="13" t="s">
        <v>625</v>
      </c>
      <c r="D12" s="13">
        <v>100</v>
      </c>
      <c r="E12" s="3">
        <f>IF(Quantitytable[[#This Row],[Units]]=0,0,SUMIFS(Quantitytable[NeededQuantity],Quantitytable[Dish],Quantitytable[[#This Row],[Dish]],Quantitytable[[Ingredient ]],Quantitytable[[#This Row],[Ingredient ]]))</f>
        <v>0</v>
      </c>
      <c r="F12" s="3">
        <f>SUMIFS(salestable[Quantity Sold],salestable[Item Name],Quantitytable[[#This Row],[Dish]])</f>
        <v>0</v>
      </c>
      <c r="G12" s="3">
        <f>'Quantity Table'!$E12*'Quantity Table'!$F12</f>
        <v>0</v>
      </c>
      <c r="H12" s="3">
        <f>_xlfn.IFNA(VLOOKUP(Quantitytable[[#This Row],[Ingredient ]],Shoppingtable[[Item Name]:[BALANCE Cash]],5,FALSE),0)*Quantitytable[[#This Row],[NeededQuantity]]</f>
        <v>22.08</v>
      </c>
      <c r="I12" s="3">
        <f>SUMIF(Quantitytable[Dish],Quantitytable[[#This Row],[Dish]],Quantitytable[Cost Per Dish Per Item])</f>
        <v>29.108285714285714</v>
      </c>
      <c r="J12" s="18" t="s">
        <v>502</v>
      </c>
      <c r="M12" s="9" t="s">
        <v>421</v>
      </c>
      <c r="N12">
        <v>1.5</v>
      </c>
      <c r="O12">
        <v>0</v>
      </c>
      <c r="P12">
        <v>0</v>
      </c>
      <c r="R12" s="9" t="s">
        <v>10</v>
      </c>
      <c r="S12" s="3">
        <f>SUMIF(Quantitytable[[Ingredient ]],Ingredienttablereference[[#This Row],[Ingredient Ref]],Quantitytable[Materials Used])</f>
        <v>0</v>
      </c>
      <c r="T12" s="3">
        <f>SUMIF(Shoppingtable[Item Name],Ingredienttablereference[[#This Row],[Ingredient Ref]],Shoppingtable[Prize Per Gram])*Ingredienttablereference[[#This Row],[Sum]]</f>
        <v>0</v>
      </c>
    </row>
    <row r="13" spans="2:20" x14ac:dyDescent="0.25">
      <c r="B13" s="13" t="s">
        <v>633</v>
      </c>
      <c r="C13" s="13" t="s">
        <v>75</v>
      </c>
      <c r="D13" s="13">
        <v>9</v>
      </c>
      <c r="E13" s="3">
        <f>IF(Quantitytable[[#This Row],[Units]]=0,0,SUMIFS(Quantitytable[NeededQuantity],Quantitytable[Dish],Quantitytable[[#This Row],[Dish]],Quantitytable[[Ingredient ]],Quantitytable[[#This Row],[Ingredient ]]))</f>
        <v>0</v>
      </c>
      <c r="F13" s="3">
        <f>SUMIFS(salestable[Quantity Sold],salestable[Item Name],Quantitytable[[#This Row],[Dish]])</f>
        <v>0</v>
      </c>
      <c r="G13" s="3">
        <f>'Quantity Table'!$E13*'Quantity Table'!$F13</f>
        <v>0</v>
      </c>
      <c r="H13" s="3">
        <f>_xlfn.IFNA(VLOOKUP(Quantitytable[[#This Row],[Ingredient ]],Shoppingtable[[Item Name]:[BALANCE Cash]],5,FALSE),0)*Quantitytable[[#This Row],[NeededQuantity]]</f>
        <v>1.3139999999999998</v>
      </c>
      <c r="I13" s="3">
        <f>SUMIF(Quantitytable[Dish],Quantitytable[[#This Row],[Dish]],Quantitytable[Cost Per Dish Per Item])</f>
        <v>29.108285714285714</v>
      </c>
      <c r="J13" s="18" t="s">
        <v>502</v>
      </c>
      <c r="M13" s="9" t="s">
        <v>33</v>
      </c>
      <c r="N13">
        <v>42.666666666666664</v>
      </c>
      <c r="O13">
        <v>0</v>
      </c>
      <c r="P13">
        <v>0</v>
      </c>
      <c r="R13" s="9" t="s">
        <v>12</v>
      </c>
      <c r="S13" s="3">
        <f>SUMIF(Quantitytable[[Ingredient ]],Ingredienttablereference[[#This Row],[Ingredient Ref]],Quantitytable[Materials Used])</f>
        <v>0</v>
      </c>
      <c r="T13" s="3">
        <f>SUMIF(Shoppingtable[Item Name],Ingredienttablereference[[#This Row],[Ingredient Ref]],Shoppingtable[Prize Per Gram])*Ingredienttablereference[[#This Row],[Sum]]</f>
        <v>0</v>
      </c>
    </row>
    <row r="14" spans="2:20" x14ac:dyDescent="0.25">
      <c r="B14" s="13" t="s">
        <v>633</v>
      </c>
      <c r="C14" s="13" t="s">
        <v>44</v>
      </c>
      <c r="D14" s="13">
        <v>200</v>
      </c>
      <c r="E14" s="3">
        <f>IF(Quantitytable[[#This Row],[Units]]=0,0,SUMIFS(Quantitytable[NeededQuantity],Quantitytable[Dish],Quantitytable[[#This Row],[Dish]],Quantitytable[[Ingredient ]],Quantitytable[[#This Row],[Ingredient ]]))</f>
        <v>0</v>
      </c>
      <c r="F14" s="3">
        <f>SUMIFS(salestable[Quantity Sold],salestable[Item Name],Quantitytable[[#This Row],[Dish]])</f>
        <v>0</v>
      </c>
      <c r="G14" s="3">
        <f>'Quantity Table'!$E14*'Quantity Table'!$F14</f>
        <v>0</v>
      </c>
      <c r="H14" s="3">
        <f>_xlfn.IFNA(VLOOKUP(Quantitytable[[#This Row],[Ingredient ]],Shoppingtable[[Item Name]:[BALANCE Cash]],5,FALSE),0)*Quantitytable[[#This Row],[NeededQuantity]]</f>
        <v>5.7142857142857144</v>
      </c>
      <c r="I14" s="3">
        <f>SUMIF(Quantitytable[Dish],Quantitytable[[#This Row],[Dish]],Quantitytable[Cost Per Dish Per Item])</f>
        <v>29.108285714285714</v>
      </c>
      <c r="J14" s="18" t="s">
        <v>502</v>
      </c>
      <c r="M14" s="9" t="s">
        <v>36</v>
      </c>
      <c r="N14">
        <v>5</v>
      </c>
      <c r="O14">
        <v>0</v>
      </c>
      <c r="P14">
        <v>0</v>
      </c>
      <c r="R14" s="9" t="s">
        <v>412</v>
      </c>
      <c r="S14" s="3">
        <f>SUMIF(Quantitytable[[Ingredient ]],Ingredienttablereference[[#This Row],[Ingredient Ref]],Quantitytable[Materials Used])</f>
        <v>0</v>
      </c>
      <c r="T14" s="3">
        <f>SUMIF(Shoppingtable[Item Name],Ingredienttablereference[[#This Row],[Ingredient Ref]],Shoppingtable[Prize Per Gram])*Ingredienttablereference[[#This Row],[Sum]]</f>
        <v>0</v>
      </c>
    </row>
    <row r="15" spans="2:20" x14ac:dyDescent="0.25">
      <c r="B15" s="13" t="s">
        <v>656</v>
      </c>
      <c r="C15" s="13" t="s">
        <v>600</v>
      </c>
      <c r="D15" s="13">
        <v>150</v>
      </c>
      <c r="E15" s="3">
        <f>IF(Quantitytable[[#This Row],[Units]]=0,0,SUMIFS(Quantitytable[NeededQuantity],Quantitytable[Dish],Quantitytable[[#This Row],[Dish]],Quantitytable[[Ingredient ]],Quantitytable[[#This Row],[Ingredient ]]))</f>
        <v>0</v>
      </c>
      <c r="F15" s="3">
        <f>SUMIFS(salestable[Quantity Sold],salestable[Item Name],Quantitytable[[#This Row],[Dish]])</f>
        <v>0</v>
      </c>
      <c r="G15" s="3">
        <f>'Quantity Table'!$E15*'Quantity Table'!$F15</f>
        <v>0</v>
      </c>
      <c r="H15" s="3">
        <f>_xlfn.IFNA(VLOOKUP(Quantitytable[[#This Row],[Ingredient ]],Shoppingtable[[Item Name]:[BALANCE Cash]],5,FALSE),0)*Quantitytable[[#This Row],[NeededQuantity]]</f>
        <v>13.3125</v>
      </c>
      <c r="I15" s="3">
        <f>SUMIF(Quantitytable[Dish],Quantitytable[[#This Row],[Dish]],Quantitytable[Cost Per Dish Per Item])</f>
        <v>20.340785714285715</v>
      </c>
      <c r="J15" s="18" t="s">
        <v>502</v>
      </c>
      <c r="M15" s="9" t="s">
        <v>419</v>
      </c>
      <c r="N15">
        <v>1.0227272727272727</v>
      </c>
      <c r="O15">
        <v>0</v>
      </c>
      <c r="P15">
        <v>0</v>
      </c>
      <c r="R15" s="9" t="s">
        <v>14</v>
      </c>
      <c r="S15" s="3">
        <f>SUMIF(Quantitytable[[Ingredient ]],Ingredienttablereference[[#This Row],[Ingredient Ref]],Quantitytable[Materials Used])</f>
        <v>0</v>
      </c>
      <c r="T15" s="3">
        <f>SUMIF(Shoppingtable[Item Name],Ingredienttablereference[[#This Row],[Ingredient Ref]],Shoppingtable[Prize Per Gram])*Ingredienttablereference[[#This Row],[Sum]]</f>
        <v>0</v>
      </c>
    </row>
    <row r="16" spans="2:20" x14ac:dyDescent="0.25">
      <c r="B16" s="13" t="s">
        <v>656</v>
      </c>
      <c r="C16" s="13" t="s">
        <v>75</v>
      </c>
      <c r="D16" s="13">
        <v>9</v>
      </c>
      <c r="E16" s="3">
        <f>IF(Quantitytable[[#This Row],[Units]]=0,0,SUMIFS(Quantitytable[NeededQuantity],Quantitytable[Dish],Quantitytable[[#This Row],[Dish]],Quantitytable[[Ingredient ]],Quantitytable[[#This Row],[Ingredient ]]))</f>
        <v>0</v>
      </c>
      <c r="F16" s="3">
        <f>SUMIFS(salestable[Quantity Sold],salestable[Item Name],Quantitytable[[#This Row],[Dish]])</f>
        <v>0</v>
      </c>
      <c r="G16" s="3">
        <f>'Quantity Table'!$E16*'Quantity Table'!$F16</f>
        <v>0</v>
      </c>
      <c r="H16" s="3">
        <f>_xlfn.IFNA(VLOOKUP(Quantitytable[[#This Row],[Ingredient ]],Shoppingtable[[Item Name]:[BALANCE Cash]],5,FALSE),0)*Quantitytable[[#This Row],[NeededQuantity]]</f>
        <v>1.3139999999999998</v>
      </c>
      <c r="I16" s="3">
        <f>SUMIF(Quantitytable[Dish],Quantitytable[[#This Row],[Dish]],Quantitytable[Cost Per Dish Per Item])</f>
        <v>20.340785714285715</v>
      </c>
      <c r="J16" s="18" t="s">
        <v>502</v>
      </c>
      <c r="M16" s="9" t="s">
        <v>42</v>
      </c>
      <c r="N16">
        <v>6.8000000000000007</v>
      </c>
      <c r="O16">
        <v>0</v>
      </c>
      <c r="P16">
        <v>0</v>
      </c>
      <c r="R16" s="9" t="s">
        <v>403</v>
      </c>
      <c r="S16" s="3">
        <f>SUMIF(Quantitytable[[Ingredient ]],Ingredienttablereference[[#This Row],[Ingredient Ref]],Quantitytable[Materials Used])</f>
        <v>0</v>
      </c>
      <c r="T16" s="3">
        <f>SUMIF(Shoppingtable[Item Name],Ingredienttablereference[[#This Row],[Ingredient Ref]],Shoppingtable[Prize Per Gram])*Ingredienttablereference[[#This Row],[Sum]]</f>
        <v>0</v>
      </c>
    </row>
    <row r="17" spans="2:20" x14ac:dyDescent="0.25">
      <c r="B17" s="13" t="s">
        <v>656</v>
      </c>
      <c r="C17" s="13" t="s">
        <v>44</v>
      </c>
      <c r="D17" s="13">
        <v>200</v>
      </c>
      <c r="E17" s="3">
        <f>IF(Quantitytable[[#This Row],[Units]]=0,0,SUMIFS(Quantitytable[NeededQuantity],Quantitytable[Dish],Quantitytable[[#This Row],[Dish]],Quantitytable[[Ingredient ]],Quantitytable[[#This Row],[Ingredient ]]))</f>
        <v>0</v>
      </c>
      <c r="F17" s="3">
        <f>SUMIFS(salestable[Quantity Sold],salestable[Item Name],Quantitytable[[#This Row],[Dish]])</f>
        <v>0</v>
      </c>
      <c r="G17" s="3">
        <f>'Quantity Table'!$E17*'Quantity Table'!$F17</f>
        <v>0</v>
      </c>
      <c r="H17" s="3">
        <f>_xlfn.IFNA(VLOOKUP(Quantitytable[[#This Row],[Ingredient ]],Shoppingtable[[Item Name]:[BALANCE Cash]],5,FALSE),0)*Quantitytable[[#This Row],[NeededQuantity]]</f>
        <v>5.7142857142857144</v>
      </c>
      <c r="I17" s="3">
        <f>SUMIF(Quantitytable[Dish],Quantitytable[[#This Row],[Dish]],Quantitytable[Cost Per Dish Per Item])</f>
        <v>20.340785714285715</v>
      </c>
      <c r="J17" s="18" t="s">
        <v>502</v>
      </c>
      <c r="M17" s="9" t="s">
        <v>418</v>
      </c>
      <c r="N17">
        <v>8.1</v>
      </c>
      <c r="O17">
        <v>0</v>
      </c>
      <c r="P17">
        <v>0</v>
      </c>
      <c r="R17" s="9" t="s">
        <v>16</v>
      </c>
      <c r="S17" s="3">
        <f>SUMIF(Quantitytable[[Ingredient ]],Ingredienttablereference[[#This Row],[Ingredient Ref]],Quantitytable[Materials Used])</f>
        <v>0</v>
      </c>
      <c r="T17" s="3">
        <f>SUMIF(Shoppingtable[Item Name],Ingredienttablereference[[#This Row],[Ingredient Ref]],Shoppingtable[Prize Per Gram])*Ingredienttablereference[[#This Row],[Sum]]</f>
        <v>0</v>
      </c>
    </row>
    <row r="18" spans="2:20" x14ac:dyDescent="0.25">
      <c r="B18" s="13" t="s">
        <v>564</v>
      </c>
      <c r="C18" s="13" t="s">
        <v>48</v>
      </c>
      <c r="D18" s="13">
        <v>10</v>
      </c>
      <c r="E18" s="3">
        <f>IF(Quantitytable[[#This Row],[Units]]=0,0,SUMIFS(Quantitytable[NeededQuantity],Quantitytable[Dish],Quantitytable[[#This Row],[Dish]],Quantitytable[[Ingredient ]],Quantitytable[[#This Row],[Ingredient ]]))</f>
        <v>0</v>
      </c>
      <c r="F18" s="3">
        <f>SUMIFS(salestable[Quantity Sold],salestable[Item Name],Quantitytable[[#This Row],[Dish]])</f>
        <v>0</v>
      </c>
      <c r="G18" s="3">
        <f>'Quantity Table'!$E18*'Quantity Table'!$F18</f>
        <v>0</v>
      </c>
      <c r="H18" s="3">
        <f>_xlfn.IFNA(VLOOKUP(Quantitytable[[#This Row],[Ingredient ]],Shoppingtable[[Item Name]:[BALANCE Cash]],5,FALSE),0)*Quantitytable[[#This Row],[NeededQuantity]]</f>
        <v>7.4</v>
      </c>
      <c r="I18" s="3">
        <f>SUMIF(Quantitytable[Dish],Quantitytable[[#This Row],[Dish]],Quantitytable[Cost Per Dish Per Item])</f>
        <v>33.383516483516487</v>
      </c>
      <c r="J18" s="18" t="s">
        <v>502</v>
      </c>
      <c r="M18" s="9" t="s">
        <v>407</v>
      </c>
      <c r="N18">
        <v>158.57142857142853</v>
      </c>
      <c r="O18">
        <v>1</v>
      </c>
      <c r="P18">
        <v>100</v>
      </c>
      <c r="R18" s="9" t="s">
        <v>18</v>
      </c>
      <c r="S18" s="3">
        <f>SUMIF(Quantitytable[[Ingredient ]],Ingredienttablereference[[#This Row],[Ingredient Ref]],Quantitytable[Materials Used])</f>
        <v>0</v>
      </c>
      <c r="T18" s="3">
        <f>SUMIF(Shoppingtable[Item Name],Ingredienttablereference[[#This Row],[Ingredient Ref]],Shoppingtable[Prize Per Gram])*Ingredienttablereference[[#This Row],[Sum]]</f>
        <v>0</v>
      </c>
    </row>
    <row r="19" spans="2:20" x14ac:dyDescent="0.25">
      <c r="B19" s="13" t="s">
        <v>564</v>
      </c>
      <c r="C19" s="13" t="s">
        <v>576</v>
      </c>
      <c r="D19" s="13">
        <v>100</v>
      </c>
      <c r="E19" s="3">
        <f>IF(Quantitytable[[#This Row],[Units]]=0,0,SUMIFS(Quantitytable[NeededQuantity],Quantitytable[Dish],Quantitytable[[#This Row],[Dish]],Quantitytable[[Ingredient ]],Quantitytable[[#This Row],[Ingredient ]]))</f>
        <v>0</v>
      </c>
      <c r="F19" s="3">
        <f>SUMIFS(salestable[Quantity Sold],salestable[Item Name],Quantitytable[[#This Row],[Dish]])</f>
        <v>0</v>
      </c>
      <c r="G19" s="3">
        <f>'Quantity Table'!$E19*'Quantity Table'!$F19</f>
        <v>0</v>
      </c>
      <c r="H19" s="3">
        <f>_xlfn.IFNA(VLOOKUP(Quantitytable[[#This Row],[Ingredient ]],Shoppingtable[[Item Name]:[BALANCE Cash]],5,FALSE),0)*Quantitytable[[#This Row],[NeededQuantity]]</f>
        <v>5.833333333333333</v>
      </c>
      <c r="I19" s="3">
        <f>SUMIF(Quantitytable[Dish],Quantitytable[[#This Row],[Dish]],Quantitytable[Cost Per Dish Per Item])</f>
        <v>33.383516483516487</v>
      </c>
      <c r="J19" s="18" t="s">
        <v>502</v>
      </c>
      <c r="M19" s="9" t="s">
        <v>45</v>
      </c>
      <c r="N19">
        <v>28</v>
      </c>
      <c r="O19">
        <v>0</v>
      </c>
      <c r="P19">
        <v>0</v>
      </c>
      <c r="R19" s="9" t="s">
        <v>19</v>
      </c>
      <c r="S19" s="3">
        <f>SUMIF(Quantitytable[[Ingredient ]],Ingredienttablereference[[#This Row],[Ingredient Ref]],Quantitytable[Materials Used])</f>
        <v>0</v>
      </c>
      <c r="T19" s="3">
        <f>SUMIF(Shoppingtable[Item Name],Ingredienttablereference[[#This Row],[Ingredient Ref]],Shoppingtable[Prize Per Gram])*Ingredienttablereference[[#This Row],[Sum]]</f>
        <v>0</v>
      </c>
    </row>
    <row r="20" spans="2:20" x14ac:dyDescent="0.25">
      <c r="B20" s="13" t="s">
        <v>564</v>
      </c>
      <c r="C20" s="13" t="s">
        <v>577</v>
      </c>
      <c r="D20" s="13">
        <v>100</v>
      </c>
      <c r="E20" s="3">
        <f>IF(Quantitytable[[#This Row],[Units]]=0,0,SUMIFS(Quantitytable[NeededQuantity],Quantitytable[Dish],Quantitytable[[#This Row],[Dish]],Quantitytable[[Ingredient ]],Quantitytable[[#This Row],[Ingredient ]]))</f>
        <v>0</v>
      </c>
      <c r="F20" s="3">
        <f>SUMIFS(salestable[Quantity Sold],salestable[Item Name],Quantitytable[[#This Row],[Dish]])</f>
        <v>0</v>
      </c>
      <c r="G20" s="3">
        <f>'Quantity Table'!$E20*'Quantity Table'!$F20</f>
        <v>0</v>
      </c>
      <c r="H20" s="3">
        <f>_xlfn.IFNA(VLOOKUP(Quantitytable[[#This Row],[Ingredient ]],Shoppingtable[[Item Name]:[BALANCE Cash]],5,FALSE),0)*Quantitytable[[#This Row],[NeededQuantity]]</f>
        <v>5.7692307692307692</v>
      </c>
      <c r="I20" s="3">
        <f>SUMIF(Quantitytable[Dish],Quantitytable[[#This Row],[Dish]],Quantitytable[Cost Per Dish Per Item])</f>
        <v>33.383516483516487</v>
      </c>
      <c r="J20" s="18" t="s">
        <v>502</v>
      </c>
      <c r="M20" s="9" t="s">
        <v>487</v>
      </c>
      <c r="N20">
        <v>1.9999999999999998</v>
      </c>
      <c r="O20">
        <v>0</v>
      </c>
      <c r="P20">
        <v>0</v>
      </c>
      <c r="R20" s="9" t="s">
        <v>20</v>
      </c>
      <c r="S20" s="3">
        <f>SUMIF(Quantitytable[[Ingredient ]],Ingredienttablereference[[#This Row],[Ingredient Ref]],Quantitytable[Materials Used])</f>
        <v>0</v>
      </c>
      <c r="T20" s="3">
        <f>SUMIF(Shoppingtable[Item Name],Ingredienttablereference[[#This Row],[Ingredient Ref]],Shoppingtable[Prize Per Gram])*Ingredienttablereference[[#This Row],[Sum]]</f>
        <v>0</v>
      </c>
    </row>
    <row r="21" spans="2:20" x14ac:dyDescent="0.25">
      <c r="B21" s="13" t="s">
        <v>564</v>
      </c>
      <c r="C21" s="13" t="s">
        <v>98</v>
      </c>
      <c r="D21" s="13">
        <v>160</v>
      </c>
      <c r="E21" s="3">
        <f>IF(Quantitytable[[#This Row],[Units]]=0,0,SUMIFS(Quantitytable[NeededQuantity],Quantitytable[Dish],Quantitytable[[#This Row],[Dish]],Quantitytable[[Ingredient ]],Quantitytable[[#This Row],[Ingredient ]]))</f>
        <v>0</v>
      </c>
      <c r="F21" s="3">
        <f>SUMIFS(salestable[Quantity Sold],salestable[Item Name],Quantitytable[[#This Row],[Dish]])</f>
        <v>0</v>
      </c>
      <c r="G21" s="3">
        <f>'Quantity Table'!$E21*'Quantity Table'!$F21</f>
        <v>0</v>
      </c>
      <c r="H21" s="3">
        <f>_xlfn.IFNA(VLOOKUP(Quantitytable[[#This Row],[Ingredient ]],Shoppingtable[[Item Name]:[BALANCE Cash]],5,FALSE),0)*Quantitytable[[#This Row],[NeededQuantity]]</f>
        <v>8.6666666666666679</v>
      </c>
      <c r="I21" s="3">
        <f>SUMIF(Quantitytable[Dish],Quantitytable[[#This Row],[Dish]],Quantitytable[Cost Per Dish Per Item])</f>
        <v>33.383516483516487</v>
      </c>
      <c r="J21" s="18" t="s">
        <v>502</v>
      </c>
      <c r="M21" s="9" t="s">
        <v>402</v>
      </c>
      <c r="N21">
        <v>3.3000000000000003</v>
      </c>
      <c r="O21">
        <v>0</v>
      </c>
      <c r="P21">
        <v>0</v>
      </c>
      <c r="R21" s="9" t="s">
        <v>22</v>
      </c>
      <c r="S21" s="3">
        <f>SUMIF(Quantitytable[[Ingredient ]],Ingredienttablereference[[#This Row],[Ingredient Ref]],Quantitytable[Materials Used])</f>
        <v>0</v>
      </c>
      <c r="T21" s="3">
        <f>SUMIF(Shoppingtable[Item Name],Ingredienttablereference[[#This Row],[Ingredient Ref]],Shoppingtable[Prize Per Gram])*Ingredienttablereference[[#This Row],[Sum]]</f>
        <v>0</v>
      </c>
    </row>
    <row r="22" spans="2:20" x14ac:dyDescent="0.25">
      <c r="B22" s="13" t="s">
        <v>564</v>
      </c>
      <c r="C22" s="13" t="s">
        <v>44</v>
      </c>
      <c r="D22" s="13">
        <v>200</v>
      </c>
      <c r="E22" s="3">
        <f>IF(Quantitytable[[#This Row],[Units]]=0,0,SUMIFS(Quantitytable[NeededQuantity],Quantitytable[Dish],Quantitytable[[#This Row],[Dish]],Quantitytable[[Ingredient ]],Quantitytable[[#This Row],[Ingredient ]]))</f>
        <v>0</v>
      </c>
      <c r="F22" s="3">
        <f>SUMIFS(salestable[Quantity Sold],salestable[Item Name],Quantitytable[[#This Row],[Dish]])</f>
        <v>0</v>
      </c>
      <c r="G22" s="3">
        <f>'Quantity Table'!$E22*'Quantity Table'!$F22</f>
        <v>0</v>
      </c>
      <c r="H22" s="3">
        <f>_xlfn.IFNA(VLOOKUP(Quantitytable[[#This Row],[Ingredient ]],Shoppingtable[[Item Name]:[BALANCE Cash]],5,FALSE),0)*Quantitytable[[#This Row],[NeededQuantity]]</f>
        <v>5.7142857142857144</v>
      </c>
      <c r="I22" s="3">
        <f>SUMIF(Quantitytable[Dish],Quantitytable[[#This Row],[Dish]],Quantitytable[Cost Per Dish Per Item])</f>
        <v>33.383516483516487</v>
      </c>
      <c r="J22" s="18" t="s">
        <v>502</v>
      </c>
      <c r="M22" s="9" t="s">
        <v>48</v>
      </c>
      <c r="N22">
        <v>38.480000000000004</v>
      </c>
      <c r="O22">
        <v>0</v>
      </c>
      <c r="P22">
        <v>0</v>
      </c>
      <c r="R22" s="9" t="s">
        <v>24</v>
      </c>
      <c r="S22" s="3">
        <f>SUMIF(Quantitytable[[Ingredient ]],Ingredienttablereference[[#This Row],[Ingredient Ref]],Quantitytable[Materials Used])</f>
        <v>0</v>
      </c>
      <c r="T22" s="3">
        <f>SUMIF(Shoppingtable[Item Name],Ingredienttablereference[[#This Row],[Ingredient Ref]],Shoppingtable[Prize Per Gram])*Ingredienttablereference[[#This Row],[Sum]]</f>
        <v>0</v>
      </c>
    </row>
    <row r="23" spans="2:20" x14ac:dyDescent="0.25">
      <c r="B23" s="13" t="s">
        <v>634</v>
      </c>
      <c r="C23" s="13" t="s">
        <v>48</v>
      </c>
      <c r="D23" s="13">
        <v>10</v>
      </c>
      <c r="E23" s="3">
        <f>IF(Quantitytable[[#This Row],[Units]]=0,0,SUMIFS(Quantitytable[NeededQuantity],Quantitytable[Dish],Quantitytable[[#This Row],[Dish]],Quantitytable[[Ingredient ]],Quantitytable[[#This Row],[Ingredient ]]))</f>
        <v>0</v>
      </c>
      <c r="F23" s="3">
        <f>SUMIFS(salestable[Quantity Sold],salestable[Item Name],Quantitytable[[#This Row],[Dish]])</f>
        <v>0</v>
      </c>
      <c r="G23" s="3">
        <f>'Quantity Table'!$E23*'Quantity Table'!$F23</f>
        <v>0</v>
      </c>
      <c r="H23" s="3">
        <f>_xlfn.IFNA(VLOOKUP(Quantitytable[[#This Row],[Ingredient ]],Shoppingtable[[Item Name]:[BALANCE Cash]],5,FALSE),0)*Quantitytable[[#This Row],[NeededQuantity]]</f>
        <v>7.4</v>
      </c>
      <c r="I23" s="3">
        <f>SUMIF(Quantitytable[Dish],Quantitytable[[#This Row],[Dish]],Quantitytable[Cost Per Dish Per Item])</f>
        <v>35.194285714285712</v>
      </c>
      <c r="J23" s="18" t="s">
        <v>502</v>
      </c>
      <c r="M23" s="9" t="s">
        <v>401</v>
      </c>
      <c r="N23">
        <v>4.3421052631578947</v>
      </c>
      <c r="O23">
        <v>0</v>
      </c>
      <c r="P23">
        <v>0</v>
      </c>
      <c r="R23" s="9" t="s">
        <v>26</v>
      </c>
      <c r="S23" s="3">
        <f>SUMIF(Quantitytable[[Ingredient ]],Ingredienttablereference[[#This Row],[Ingredient Ref]],Quantitytable[Materials Used])</f>
        <v>0</v>
      </c>
      <c r="T23" s="3">
        <f>SUMIF(Shoppingtable[Item Name],Ingredienttablereference[[#This Row],[Ingredient Ref]],Shoppingtable[Prize Per Gram])*Ingredienttablereference[[#This Row],[Sum]]</f>
        <v>0</v>
      </c>
    </row>
    <row r="24" spans="2:20" x14ac:dyDescent="0.25">
      <c r="B24" s="13" t="s">
        <v>634</v>
      </c>
      <c r="C24" s="13" t="s">
        <v>625</v>
      </c>
      <c r="D24" s="13">
        <v>100</v>
      </c>
      <c r="E24" s="3">
        <f>IF(Quantitytable[[#This Row],[Units]]=0,0,SUMIFS(Quantitytable[NeededQuantity],Quantitytable[Dish],Quantitytable[[#This Row],[Dish]],Quantitytable[[Ingredient ]],Quantitytable[[#This Row],[Ingredient ]]))</f>
        <v>0</v>
      </c>
      <c r="F24" s="3">
        <f>SUMIFS(salestable[Quantity Sold],salestable[Item Name],Quantitytable[[#This Row],[Dish]])</f>
        <v>0</v>
      </c>
      <c r="G24" s="3">
        <f>'Quantity Table'!$E24*'Quantity Table'!$F24</f>
        <v>0</v>
      </c>
      <c r="H24" s="3">
        <f>_xlfn.IFNA(VLOOKUP(Quantitytable[[#This Row],[Ingredient ]],Shoppingtable[[Item Name]:[BALANCE Cash]],5,FALSE),0)*Quantitytable[[#This Row],[NeededQuantity]]</f>
        <v>22.08</v>
      </c>
      <c r="I24" s="3">
        <f>SUMIF(Quantitytable[Dish],Quantitytable[[#This Row],[Dish]],Quantitytable[Cost Per Dish Per Item])</f>
        <v>35.194285714285712</v>
      </c>
      <c r="J24" s="18" t="s">
        <v>502</v>
      </c>
      <c r="M24" s="9" t="s">
        <v>50</v>
      </c>
      <c r="N24">
        <v>0</v>
      </c>
      <c r="O24">
        <v>0</v>
      </c>
      <c r="P24">
        <v>0</v>
      </c>
      <c r="R24" s="9" t="s">
        <v>28</v>
      </c>
      <c r="S24" s="3">
        <f>SUMIF(Quantitytable[[Ingredient ]],Ingredienttablereference[[#This Row],[Ingredient Ref]],Quantitytable[Materials Used])</f>
        <v>0</v>
      </c>
      <c r="T24" s="3">
        <f>SUMIF(Shoppingtable[Item Name],Ingredienttablereference[[#This Row],[Ingredient Ref]],Shoppingtable[Prize Per Gram])*Ingredienttablereference[[#This Row],[Sum]]</f>
        <v>0</v>
      </c>
    </row>
    <row r="25" spans="2:20" x14ac:dyDescent="0.25">
      <c r="B25" s="13" t="s">
        <v>634</v>
      </c>
      <c r="C25" s="13" t="s">
        <v>44</v>
      </c>
      <c r="D25" s="13">
        <v>200</v>
      </c>
      <c r="E25" s="3">
        <f>IF(Quantitytable[[#This Row],[Units]]=0,0,SUMIFS(Quantitytable[NeededQuantity],Quantitytable[Dish],Quantitytable[[#This Row],[Dish]],Quantitytable[[Ingredient ]],Quantitytable[[#This Row],[Ingredient ]]))</f>
        <v>0</v>
      </c>
      <c r="F25" s="3">
        <f>SUMIFS(salestable[Quantity Sold],salestable[Item Name],Quantitytable[[#This Row],[Dish]])</f>
        <v>0</v>
      </c>
      <c r="G25" s="3">
        <f>'Quantity Table'!$E25*'Quantity Table'!$F25</f>
        <v>0</v>
      </c>
      <c r="H25" s="3">
        <f>_xlfn.IFNA(VLOOKUP(Quantitytable[[#This Row],[Ingredient ]],Shoppingtable[[Item Name]:[BALANCE Cash]],5,FALSE),0)*Quantitytable[[#This Row],[NeededQuantity]]</f>
        <v>5.7142857142857144</v>
      </c>
      <c r="I25" s="3">
        <f>SUMIF(Quantitytable[Dish],Quantitytable[[#This Row],[Dish]],Quantitytable[Cost Per Dish Per Item])</f>
        <v>35.194285714285712</v>
      </c>
      <c r="J25" s="18" t="s">
        <v>502</v>
      </c>
      <c r="M25" s="9" t="s">
        <v>406</v>
      </c>
      <c r="N25">
        <v>3.4682080924855492</v>
      </c>
      <c r="O25">
        <v>0</v>
      </c>
      <c r="P25">
        <v>0</v>
      </c>
      <c r="R25" s="9" t="s">
        <v>30</v>
      </c>
      <c r="S25" s="3">
        <f>SUMIF(Quantitytable[[Ingredient ]],Ingredienttablereference[[#This Row],[Ingredient Ref]],Quantitytable[Materials Used])</f>
        <v>0</v>
      </c>
      <c r="T25" s="3">
        <f>SUMIF(Shoppingtable[Item Name],Ingredienttablereference[[#This Row],[Ingredient Ref]],Shoppingtable[Prize Per Gram])*Ingredienttablereference[[#This Row],[Sum]]</f>
        <v>0</v>
      </c>
    </row>
    <row r="26" spans="2:20" x14ac:dyDescent="0.25">
      <c r="B26" s="13" t="s">
        <v>657</v>
      </c>
      <c r="C26" s="13" t="s">
        <v>48</v>
      </c>
      <c r="D26" s="13">
        <v>10</v>
      </c>
      <c r="E26" s="3">
        <f>IF(Quantitytable[[#This Row],[Units]]=0,0,SUMIFS(Quantitytable[NeededQuantity],Quantitytable[Dish],Quantitytable[[#This Row],[Dish]],Quantitytable[[Ingredient ]],Quantitytable[[#This Row],[Ingredient ]]))</f>
        <v>0</v>
      </c>
      <c r="F26" s="3">
        <f>SUMIFS(salestable[Quantity Sold],salestable[Item Name],Quantitytable[[#This Row],[Dish]])</f>
        <v>0</v>
      </c>
      <c r="G26" s="3">
        <f>'Quantity Table'!$E26*'Quantity Table'!$F26</f>
        <v>0</v>
      </c>
      <c r="H26" s="3">
        <f>_xlfn.IFNA(VLOOKUP(Quantitytable[[#This Row],[Ingredient ]],Shoppingtable[[Item Name]:[BALANCE Cash]],5,FALSE),0)*Quantitytable[[#This Row],[NeededQuantity]]</f>
        <v>7.4</v>
      </c>
      <c r="I26" s="3">
        <f>SUMIF(Quantitytable[Dish],Quantitytable[[#This Row],[Dish]],Quantitytable[Cost Per Dish Per Item])</f>
        <v>26.426785714285714</v>
      </c>
      <c r="J26" s="18" t="s">
        <v>502</v>
      </c>
      <c r="M26" s="9" t="s">
        <v>55</v>
      </c>
      <c r="N26">
        <v>0</v>
      </c>
      <c r="O26">
        <v>0</v>
      </c>
      <c r="P26">
        <v>0</v>
      </c>
      <c r="R26" s="9" t="s">
        <v>31</v>
      </c>
      <c r="S26" s="3">
        <f>SUMIF(Quantitytable[[Ingredient ]],Ingredienttablereference[[#This Row],[Ingredient Ref]],Quantitytable[Materials Used])</f>
        <v>0</v>
      </c>
      <c r="T26" s="3">
        <f>SUMIF(Shoppingtable[Item Name],Ingredienttablereference[[#This Row],[Ingredient Ref]],Shoppingtable[Prize Per Gram])*Ingredienttablereference[[#This Row],[Sum]]</f>
        <v>0</v>
      </c>
    </row>
    <row r="27" spans="2:20" x14ac:dyDescent="0.25">
      <c r="B27" s="13" t="s">
        <v>657</v>
      </c>
      <c r="C27" s="13" t="s">
        <v>600</v>
      </c>
      <c r="D27" s="13">
        <v>150</v>
      </c>
      <c r="E27" s="3">
        <f>IF(Quantitytable[[#This Row],[Units]]=0,0,SUMIFS(Quantitytable[NeededQuantity],Quantitytable[Dish],Quantitytable[[#This Row],[Dish]],Quantitytable[[Ingredient ]],Quantitytable[[#This Row],[Ingredient ]]))</f>
        <v>0</v>
      </c>
      <c r="F27" s="3">
        <f>SUMIFS(salestable[Quantity Sold],salestable[Item Name],Quantitytable[[#This Row],[Dish]])</f>
        <v>0</v>
      </c>
      <c r="G27" s="3">
        <f>'Quantity Table'!$E27*'Quantity Table'!$F27</f>
        <v>0</v>
      </c>
      <c r="H27" s="3">
        <f>_xlfn.IFNA(VLOOKUP(Quantitytable[[#This Row],[Ingredient ]],Shoppingtable[[Item Name]:[BALANCE Cash]],5,FALSE),0)*Quantitytable[[#This Row],[NeededQuantity]]</f>
        <v>13.3125</v>
      </c>
      <c r="I27" s="3">
        <f>SUMIF(Quantitytable[Dish],Quantitytable[[#This Row],[Dish]],Quantitytable[Cost Per Dish Per Item])</f>
        <v>26.426785714285714</v>
      </c>
      <c r="J27" s="18" t="s">
        <v>502</v>
      </c>
      <c r="M27" s="9" t="s">
        <v>423</v>
      </c>
      <c r="N27">
        <v>9.375</v>
      </c>
      <c r="O27">
        <v>0</v>
      </c>
      <c r="P27">
        <v>0</v>
      </c>
      <c r="R27" s="9" t="s">
        <v>410</v>
      </c>
      <c r="S27" s="3">
        <f>SUMIF(Quantitytable[[Ingredient ]],Ingredienttablereference[[#This Row],[Ingredient Ref]],Quantitytable[Materials Used])</f>
        <v>0</v>
      </c>
      <c r="T27" s="3">
        <f>SUMIF(Shoppingtable[Item Name],Ingredienttablereference[[#This Row],[Ingredient Ref]],Shoppingtable[Prize Per Gram])*Ingredienttablereference[[#This Row],[Sum]]</f>
        <v>0</v>
      </c>
    </row>
    <row r="28" spans="2:20" x14ac:dyDescent="0.25">
      <c r="B28" s="13" t="s">
        <v>657</v>
      </c>
      <c r="C28" s="13" t="s">
        <v>44</v>
      </c>
      <c r="D28" s="13">
        <v>200</v>
      </c>
      <c r="E28" s="3">
        <f>IF(Quantitytable[[#This Row],[Units]]=0,0,SUMIFS(Quantitytable[NeededQuantity],Quantitytable[Dish],Quantitytable[[#This Row],[Dish]],Quantitytable[[Ingredient ]],Quantitytable[[#This Row],[Ingredient ]]))</f>
        <v>0</v>
      </c>
      <c r="F28" s="3">
        <f>SUMIFS(salestable[Quantity Sold],salestable[Item Name],Quantitytable[[#This Row],[Dish]])</f>
        <v>0</v>
      </c>
      <c r="G28" s="3">
        <f>'Quantity Table'!$E28*'Quantity Table'!$F28</f>
        <v>0</v>
      </c>
      <c r="H28" s="3">
        <f>_xlfn.IFNA(VLOOKUP(Quantitytable[[#This Row],[Ingredient ]],Shoppingtable[[Item Name]:[BALANCE Cash]],5,FALSE),0)*Quantitytable[[#This Row],[NeededQuantity]]</f>
        <v>5.7142857142857144</v>
      </c>
      <c r="I28" s="3">
        <f>SUMIF(Quantitytable[Dish],Quantitytable[[#This Row],[Dish]],Quantitytable[Cost Per Dish Per Item])</f>
        <v>26.426785714285714</v>
      </c>
      <c r="J28" s="18" t="s">
        <v>502</v>
      </c>
      <c r="M28" s="9" t="s">
        <v>64</v>
      </c>
      <c r="N28">
        <v>5</v>
      </c>
      <c r="O28">
        <v>0</v>
      </c>
      <c r="P28">
        <v>0</v>
      </c>
      <c r="R28" s="9" t="s">
        <v>32</v>
      </c>
      <c r="S28" s="3">
        <f>SUMIF(Quantitytable[[Ingredient ]],Ingredienttablereference[[#This Row],[Ingredient Ref]],Quantitytable[Materials Used])</f>
        <v>0</v>
      </c>
      <c r="T28" s="3">
        <f>SUMIF(Shoppingtable[Item Name],Ingredienttablereference[[#This Row],[Ingredient Ref]],Shoppingtable[Prize Per Gram])*Ingredienttablereference[[#This Row],[Sum]]</f>
        <v>0</v>
      </c>
    </row>
    <row r="29" spans="2:20" x14ac:dyDescent="0.25">
      <c r="B29" s="13" t="s">
        <v>563</v>
      </c>
      <c r="C29" s="13" t="s">
        <v>432</v>
      </c>
      <c r="D29" s="13">
        <v>2</v>
      </c>
      <c r="E29" s="3">
        <f>IF(Quantitytable[[#This Row],[Units]]=0,0,SUMIFS(Quantitytable[NeededQuantity],Quantitytable[Dish],Quantitytable[[#This Row],[Dish]],Quantitytable[[Ingredient ]],Quantitytable[[#This Row],[Ingredient ]]))</f>
        <v>0</v>
      </c>
      <c r="F29" s="3">
        <f>SUMIFS(salestable[Quantity Sold],salestable[Item Name],Quantitytable[[#This Row],[Dish]])</f>
        <v>0</v>
      </c>
      <c r="G29" s="3">
        <f>'Quantity Table'!$E29*'Quantity Table'!$F29</f>
        <v>0</v>
      </c>
      <c r="H29" s="3">
        <f>_xlfn.IFNA(VLOOKUP(Quantitytable[[#This Row],[Ingredient ]],Shoppingtable[[Item Name]:[BALANCE Cash]],5,FALSE),0)*Quantitytable[[#This Row],[NeededQuantity]]</f>
        <v>0.6</v>
      </c>
      <c r="I29" s="3">
        <f>SUMIF(Quantitytable[Dish],Quantitytable[[#This Row],[Dish]],Quantitytable[Cost Per Dish Per Item])</f>
        <v>47.316102540972935</v>
      </c>
      <c r="J29" s="18" t="s">
        <v>502</v>
      </c>
      <c r="M29" s="9" t="s">
        <v>67</v>
      </c>
      <c r="N29">
        <v>113.012</v>
      </c>
      <c r="O29">
        <v>0</v>
      </c>
      <c r="P29">
        <v>0</v>
      </c>
      <c r="R29" s="9" t="s">
        <v>420</v>
      </c>
      <c r="S29" s="3">
        <f>SUMIF(Quantitytable[[Ingredient ]],Ingredienttablereference[[#This Row],[Ingredient Ref]],Quantitytable[Materials Used])</f>
        <v>0</v>
      </c>
      <c r="T29" s="3">
        <f>SUMIF(Shoppingtable[Item Name],Ingredienttablereference[[#This Row],[Ingredient Ref]],Shoppingtable[Prize Per Gram])*Ingredienttablereference[[#This Row],[Sum]]</f>
        <v>0</v>
      </c>
    </row>
    <row r="30" spans="2:20" x14ac:dyDescent="0.25">
      <c r="B30" s="13" t="s">
        <v>563</v>
      </c>
      <c r="C30" s="13" t="s">
        <v>508</v>
      </c>
      <c r="D30" s="13">
        <v>2</v>
      </c>
      <c r="E30" s="3">
        <f>IF(Quantitytable[[#This Row],[Units]]=0,0,SUMIFS(Quantitytable[NeededQuantity],Quantitytable[Dish],Quantitytable[[#This Row],[Dish]],Quantitytable[[Ingredient ]],Quantitytable[[#This Row],[Ingredient ]]))</f>
        <v>0</v>
      </c>
      <c r="F30" s="3">
        <f>SUMIFS(salestable[Quantity Sold],salestable[Item Name],Quantitytable[[#This Row],[Dish]])</f>
        <v>0</v>
      </c>
      <c r="G30" s="3">
        <f>'Quantity Table'!$E30*'Quantity Table'!$F30</f>
        <v>0</v>
      </c>
      <c r="H30" s="3">
        <f>_xlfn.IFNA(VLOOKUP(Quantitytable[[#This Row],[Ingredient ]],Shoppingtable[[Item Name]:[BALANCE Cash]],5,FALSE),0)*Quantitytable[[#This Row],[NeededQuantity]]</f>
        <v>0.62222222222222223</v>
      </c>
      <c r="I30" s="3">
        <f>SUMIF(Quantitytable[Dish],Quantitytable[[#This Row],[Dish]],Quantitytable[Cost Per Dish Per Item])</f>
        <v>47.316102540972935</v>
      </c>
      <c r="J30" s="18" t="s">
        <v>502</v>
      </c>
      <c r="M30" s="9" t="s">
        <v>413</v>
      </c>
      <c r="N30">
        <v>119.42799999999998</v>
      </c>
      <c r="O30">
        <v>0</v>
      </c>
      <c r="P30">
        <v>0</v>
      </c>
      <c r="R30" s="9" t="s">
        <v>421</v>
      </c>
      <c r="S30" s="3">
        <f>SUMIF(Quantitytable[[Ingredient ]],Ingredienttablereference[[#This Row],[Ingredient Ref]],Quantitytable[Materials Used])</f>
        <v>0</v>
      </c>
      <c r="T30" s="3">
        <f>SUMIF(Shoppingtable[Item Name],Ingredienttablereference[[#This Row],[Ingredient Ref]],Shoppingtable[Prize Per Gram])*Ingredienttablereference[[#This Row],[Sum]]</f>
        <v>0</v>
      </c>
    </row>
    <row r="31" spans="2:20" x14ac:dyDescent="0.25">
      <c r="B31" s="13" t="s">
        <v>563</v>
      </c>
      <c r="C31" s="13" t="s">
        <v>303</v>
      </c>
      <c r="D31" s="13">
        <v>2</v>
      </c>
      <c r="E31" s="3">
        <f>IF(Quantitytable[[#This Row],[Units]]=0,0,SUMIFS(Quantitytable[NeededQuantity],Quantitytable[Dish],Quantitytable[[#This Row],[Dish]],Quantitytable[[Ingredient ]],Quantitytable[[#This Row],[Ingredient ]]))</f>
        <v>0</v>
      </c>
      <c r="F31" s="3">
        <f>SUMIFS(salestable[Quantity Sold],salestable[Item Name],Quantitytable[[#This Row],[Dish]])</f>
        <v>0</v>
      </c>
      <c r="G31" s="3">
        <f>'Quantity Table'!$E31*'Quantity Table'!$F31</f>
        <v>0</v>
      </c>
      <c r="H31" s="3">
        <f>_xlfn.IFNA(VLOOKUP(Quantitytable[[#This Row],[Ingredient ]],Shoppingtable[[Item Name]:[BALANCE Cash]],5,FALSE),0)*Quantitytable[[#This Row],[NeededQuantity]]</f>
        <v>0.6</v>
      </c>
      <c r="I31" s="3">
        <f>SUMIF(Quantitytable[Dish],Quantitytable[[#This Row],[Dish]],Quantitytable[Cost Per Dish Per Item])</f>
        <v>47.316102540972935</v>
      </c>
      <c r="J31" s="18" t="s">
        <v>502</v>
      </c>
      <c r="M31" s="9" t="s">
        <v>399</v>
      </c>
      <c r="N31">
        <v>70.5</v>
      </c>
      <c r="O31">
        <v>0</v>
      </c>
      <c r="P31">
        <v>0</v>
      </c>
      <c r="R31" s="9" t="s">
        <v>33</v>
      </c>
      <c r="S31" s="3">
        <f>SUMIF(Quantitytable[[Ingredient ]],Ingredienttablereference[[#This Row],[Ingredient Ref]],Quantitytable[Materials Used])</f>
        <v>0</v>
      </c>
      <c r="T31" s="3">
        <f>SUMIF(Shoppingtable[Item Name],Ingredienttablereference[[#This Row],[Ingredient Ref]],Shoppingtable[Prize Per Gram])*Ingredienttablereference[[#This Row],[Sum]]</f>
        <v>0</v>
      </c>
    </row>
    <row r="32" spans="2:20" x14ac:dyDescent="0.25">
      <c r="B32" s="13" t="s">
        <v>563</v>
      </c>
      <c r="C32" s="13" t="s">
        <v>486</v>
      </c>
      <c r="D32" s="13">
        <v>2</v>
      </c>
      <c r="E32" s="3">
        <f>IF(Quantitytable[[#This Row],[Units]]=0,0,SUMIFS(Quantitytable[NeededQuantity],Quantitytable[Dish],Quantitytable[[#This Row],[Dish]],Quantitytable[[Ingredient ]],Quantitytable[[#This Row],[Ingredient ]]))</f>
        <v>0</v>
      </c>
      <c r="F32" s="3">
        <f>SUMIFS(salestable[Quantity Sold],salestable[Item Name],Quantitytable[[#This Row],[Dish]])</f>
        <v>0</v>
      </c>
      <c r="G32" s="3">
        <f>'Quantity Table'!$E32*'Quantity Table'!$F32</f>
        <v>0</v>
      </c>
      <c r="H32" s="3">
        <f>_xlfn.IFNA(VLOOKUP(Quantitytable[[#This Row],[Ingredient ]],Shoppingtable[[Item Name]:[BALANCE Cash]],5,FALSE),0)*Quantitytable[[#This Row],[NeededQuantity]]</f>
        <v>0.72941176470588232</v>
      </c>
      <c r="I32" s="3">
        <f>SUMIF(Quantitytable[Dish],Quantitytable[[#This Row],[Dish]],Quantitytable[Cost Per Dish Per Item])</f>
        <v>47.316102540972935</v>
      </c>
      <c r="J32" s="18" t="s">
        <v>502</v>
      </c>
      <c r="M32" s="9" t="s">
        <v>82</v>
      </c>
      <c r="N32">
        <v>4.4171779141104297</v>
      </c>
      <c r="O32">
        <v>0</v>
      </c>
      <c r="P32">
        <v>0</v>
      </c>
      <c r="R32" s="9" t="s">
        <v>34</v>
      </c>
      <c r="S32" s="3">
        <f>SUMIF(Quantitytable[[Ingredient ]],Ingredienttablereference[[#This Row],[Ingredient Ref]],Quantitytable[Materials Used])</f>
        <v>0</v>
      </c>
      <c r="T32" s="3">
        <f>SUMIF(Shoppingtable[Item Name],Ingredienttablereference[[#This Row],[Ingredient Ref]],Shoppingtable[Prize Per Gram])*Ingredienttablereference[[#This Row],[Sum]]</f>
        <v>0</v>
      </c>
    </row>
    <row r="33" spans="2:20" x14ac:dyDescent="0.25">
      <c r="B33" s="13" t="s">
        <v>563</v>
      </c>
      <c r="C33" s="13" t="s">
        <v>487</v>
      </c>
      <c r="D33" s="13">
        <v>2</v>
      </c>
      <c r="E33" s="3">
        <f>IF(Quantitytable[[#This Row],[Units]]=0,0,SUMIFS(Quantitytable[NeededQuantity],Quantitytable[Dish],Quantitytable[[#This Row],[Dish]],Quantitytable[[Ingredient ]],Quantitytable[[#This Row],[Ingredient ]]))</f>
        <v>0</v>
      </c>
      <c r="F33" s="3">
        <f>SUMIFS(salestable[Quantity Sold],salestable[Item Name],Quantitytable[[#This Row],[Dish]])</f>
        <v>0</v>
      </c>
      <c r="G33" s="3">
        <f>'Quantity Table'!$E33*'Quantity Table'!$F33</f>
        <v>0</v>
      </c>
      <c r="H33" s="3">
        <f>_xlfn.IFNA(VLOOKUP(Quantitytable[[#This Row],[Ingredient ]],Shoppingtable[[Item Name]:[BALANCE Cash]],5,FALSE),0)*Quantitytable[[#This Row],[NeededQuantity]]</f>
        <v>2.1</v>
      </c>
      <c r="I33" s="3">
        <f>SUMIF(Quantitytable[Dish],Quantitytable[[#This Row],[Dish]],Quantitytable[Cost Per Dish Per Item])</f>
        <v>47.316102540972935</v>
      </c>
      <c r="J33" s="18" t="s">
        <v>502</v>
      </c>
      <c r="M33" s="9" t="s">
        <v>84</v>
      </c>
      <c r="N33">
        <v>0</v>
      </c>
      <c r="O33">
        <v>0</v>
      </c>
      <c r="P33">
        <v>0</v>
      </c>
      <c r="R33" s="9" t="s">
        <v>36</v>
      </c>
      <c r="S33" s="3">
        <f>SUMIF(Quantitytable[[Ingredient ]],Ingredienttablereference[[#This Row],[Ingredient Ref]],Quantitytable[Materials Used])</f>
        <v>0</v>
      </c>
      <c r="T33" s="3">
        <f>SUMIF(Shoppingtable[Item Name],Ingredienttablereference[[#This Row],[Ingredient Ref]],Shoppingtable[Prize Per Gram])*Ingredienttablereference[[#This Row],[Sum]]</f>
        <v>0</v>
      </c>
    </row>
    <row r="34" spans="2:20" x14ac:dyDescent="0.25">
      <c r="B34" s="13" t="s">
        <v>563</v>
      </c>
      <c r="C34" s="13" t="s">
        <v>507</v>
      </c>
      <c r="D34" s="13">
        <v>2</v>
      </c>
      <c r="E34" s="3">
        <f>IF(Quantitytable[[#This Row],[Units]]=0,0,SUMIFS(Quantitytable[NeededQuantity],Quantitytable[Dish],Quantitytable[[#This Row],[Dish]],Quantitytable[[Ingredient ]],Quantitytable[[#This Row],[Ingredient ]]))</f>
        <v>0</v>
      </c>
      <c r="F34" s="3">
        <f>SUMIFS(salestable[Quantity Sold],salestable[Item Name],Quantitytable[[#This Row],[Dish]])</f>
        <v>0</v>
      </c>
      <c r="G34" s="3">
        <f>'Quantity Table'!$E34*'Quantity Table'!$F34</f>
        <v>0</v>
      </c>
      <c r="H34" s="3">
        <f>_xlfn.IFNA(VLOOKUP(Quantitytable[[#This Row],[Ingredient ]],Shoppingtable[[Item Name]:[BALANCE Cash]],5,FALSE),0)*Quantitytable[[#This Row],[NeededQuantity]]</f>
        <v>0.22598870056497175</v>
      </c>
      <c r="I34" s="3">
        <f>SUMIF(Quantitytable[Dish],Quantitytable[[#This Row],[Dish]],Quantitytable[Cost Per Dish Per Item])</f>
        <v>47.316102540972935</v>
      </c>
      <c r="J34" s="18" t="s">
        <v>502</v>
      </c>
      <c r="M34" s="9" t="s">
        <v>89</v>
      </c>
      <c r="N34">
        <v>25.5</v>
      </c>
      <c r="O34">
        <v>0</v>
      </c>
      <c r="P34">
        <v>0</v>
      </c>
      <c r="R34" s="9" t="s">
        <v>38</v>
      </c>
      <c r="S34" s="3">
        <f>SUMIF(Quantitytable[[Ingredient ]],Ingredienttablereference[[#This Row],[Ingredient Ref]],Quantitytable[Materials Used])</f>
        <v>0</v>
      </c>
      <c r="T34" s="3">
        <f>SUMIF(Shoppingtable[Item Name],Ingredienttablereference[[#This Row],[Ingredient Ref]],Shoppingtable[Prize Per Gram])*Ingredienttablereference[[#This Row],[Sum]]</f>
        <v>0</v>
      </c>
    </row>
    <row r="35" spans="2:20" x14ac:dyDescent="0.25">
      <c r="B35" s="13" t="s">
        <v>563</v>
      </c>
      <c r="C35" s="13" t="s">
        <v>538</v>
      </c>
      <c r="D35" s="13">
        <v>4</v>
      </c>
      <c r="E35" s="3">
        <f>IF(Quantitytable[[#This Row],[Units]]=0,0,SUMIFS(Quantitytable[NeededQuantity],Quantitytable[Dish],Quantitytable[[#This Row],[Dish]],Quantitytable[[Ingredient ]],Quantitytable[[#This Row],[Ingredient ]]))</f>
        <v>0</v>
      </c>
      <c r="F35" s="3">
        <f>SUMIFS(salestable[Quantity Sold],salestable[Item Name],Quantitytable[[#This Row],[Dish]])</f>
        <v>0</v>
      </c>
      <c r="G35" s="3">
        <f>'Quantity Table'!$E35*'Quantity Table'!$F35</f>
        <v>0</v>
      </c>
      <c r="H35" s="3">
        <f>_xlfn.IFNA(VLOOKUP(Quantitytable[[#This Row],[Ingredient ]],Shoppingtable[[Item Name]:[BALANCE Cash]],5,FALSE),0)*Quantitytable[[#This Row],[NeededQuantity]]</f>
        <v>0.8</v>
      </c>
      <c r="I35" s="3">
        <f>SUMIF(Quantitytable[Dish],Quantitytable[[#This Row],[Dish]],Quantitytable[Cost Per Dish Per Item])</f>
        <v>47.316102540972935</v>
      </c>
      <c r="J35" s="18" t="s">
        <v>502</v>
      </c>
      <c r="M35" s="9" t="s">
        <v>96</v>
      </c>
      <c r="N35">
        <v>0.5</v>
      </c>
      <c r="O35">
        <v>0</v>
      </c>
      <c r="P35">
        <v>0</v>
      </c>
      <c r="R35" s="9" t="s">
        <v>419</v>
      </c>
      <c r="S35" s="3">
        <f>SUMIF(Quantitytable[[Ingredient ]],Ingredienttablereference[[#This Row],[Ingredient Ref]],Quantitytable[Materials Used])</f>
        <v>0</v>
      </c>
      <c r="T35" s="3">
        <f>SUMIF(Shoppingtable[Item Name],Ingredienttablereference[[#This Row],[Ingredient Ref]],Shoppingtable[Prize Per Gram])*Ingredienttablereference[[#This Row],[Sum]]</f>
        <v>0</v>
      </c>
    </row>
    <row r="36" spans="2:20" x14ac:dyDescent="0.25">
      <c r="B36" s="13" t="s">
        <v>563</v>
      </c>
      <c r="C36" s="13" t="s">
        <v>75</v>
      </c>
      <c r="D36" s="13">
        <v>40</v>
      </c>
      <c r="E36" s="3">
        <f>IF(Quantitytable[[#This Row],[Units]]=0,0,SUMIFS(Quantitytable[NeededQuantity],Quantitytable[Dish],Quantitytable[[#This Row],[Dish]],Quantitytable[[Ingredient ]],Quantitytable[[#This Row],[Ingredient ]]))</f>
        <v>0</v>
      </c>
      <c r="F36" s="3">
        <f>SUMIFS(salestable[Quantity Sold],salestable[Item Name],Quantitytable[[#This Row],[Dish]])</f>
        <v>0</v>
      </c>
      <c r="G36" s="3">
        <f>'Quantity Table'!$E36*'Quantity Table'!$F36</f>
        <v>0</v>
      </c>
      <c r="H36" s="3">
        <f>_xlfn.IFNA(VLOOKUP(Quantitytable[[#This Row],[Ingredient ]],Shoppingtable[[Item Name]:[BALANCE Cash]],5,FALSE),0)*Quantitytable[[#This Row],[NeededQuantity]]</f>
        <v>5.84</v>
      </c>
      <c r="I36" s="3">
        <f>SUMIF(Quantitytable[Dish],Quantitytable[[#This Row],[Dish]],Quantitytable[Cost Per Dish Per Item])</f>
        <v>47.316102540972935</v>
      </c>
      <c r="J36" s="18" t="s">
        <v>502</v>
      </c>
      <c r="M36" s="9" t="s">
        <v>98</v>
      </c>
      <c r="N36">
        <v>79.083333333333357</v>
      </c>
      <c r="O36">
        <v>1</v>
      </c>
      <c r="P36">
        <v>80</v>
      </c>
      <c r="R36" s="9" t="s">
        <v>40</v>
      </c>
      <c r="S36" s="3">
        <f>SUMIF(Quantitytable[[Ingredient ]],Ingredienttablereference[[#This Row],[Ingredient Ref]],Quantitytable[Materials Used])</f>
        <v>0</v>
      </c>
      <c r="T36" s="3">
        <f>SUMIF(Shoppingtable[Item Name],Ingredienttablereference[[#This Row],[Ingredient Ref]],Shoppingtable[Prize Per Gram])*Ingredienttablereference[[#This Row],[Sum]]</f>
        <v>0</v>
      </c>
    </row>
    <row r="37" spans="2:20" x14ac:dyDescent="0.25">
      <c r="B37" s="13" t="s">
        <v>563</v>
      </c>
      <c r="C37" s="13" t="s">
        <v>400</v>
      </c>
      <c r="D37" s="13">
        <v>50</v>
      </c>
      <c r="E37" s="3">
        <f>IF(Quantitytable[[#This Row],[Units]]=0,0,SUMIFS(Quantitytable[NeededQuantity],Quantitytable[Dish],Quantitytable[[#This Row],[Dish]],Quantitytable[[Ingredient ]],Quantitytable[[#This Row],[Ingredient ]]))</f>
        <v>0</v>
      </c>
      <c r="F37" s="3">
        <f>SUMIFS(salestable[Quantity Sold],salestable[Item Name],Quantitytable[[#This Row],[Dish]])</f>
        <v>0</v>
      </c>
      <c r="G37" s="3">
        <f>'Quantity Table'!$E37*'Quantity Table'!$F37</f>
        <v>0</v>
      </c>
      <c r="H37" s="3">
        <f>_xlfn.IFNA(VLOOKUP(Quantitytable[[#This Row],[Ingredient ]],Shoppingtable[[Item Name]:[BALANCE Cash]],5,FALSE),0)*Quantitytable[[#This Row],[NeededQuantity]]</f>
        <v>1.5</v>
      </c>
      <c r="I37" s="3">
        <f>SUMIF(Quantitytable[Dish],Quantitytable[[#This Row],[Dish]],Quantitytable[Cost Per Dish Per Item])</f>
        <v>47.316102540972935</v>
      </c>
      <c r="J37" s="18" t="s">
        <v>502</v>
      </c>
      <c r="M37" s="9" t="s">
        <v>25</v>
      </c>
      <c r="N37">
        <v>0</v>
      </c>
      <c r="O37">
        <v>0</v>
      </c>
      <c r="P37">
        <v>0</v>
      </c>
      <c r="R37" s="9" t="s">
        <v>41</v>
      </c>
      <c r="S37" s="3">
        <f>SUMIF(Quantitytable[[Ingredient ]],Ingredienttablereference[[#This Row],[Ingredient Ref]],Quantitytable[Materials Used])</f>
        <v>0</v>
      </c>
      <c r="T37" s="3">
        <f>SUMIF(Shoppingtable[Item Name],Ingredienttablereference[[#This Row],[Ingredient Ref]],Shoppingtable[Prize Per Gram])*Ingredienttablereference[[#This Row],[Sum]]</f>
        <v>0</v>
      </c>
    </row>
    <row r="38" spans="2:20" x14ac:dyDescent="0.25">
      <c r="B38" s="13" t="s">
        <v>563</v>
      </c>
      <c r="C38" s="13" t="s">
        <v>576</v>
      </c>
      <c r="D38" s="13">
        <v>80</v>
      </c>
      <c r="E38" s="3">
        <f>IF(Quantitytable[[#This Row],[Units]]=0,0,SUMIFS(Quantitytable[NeededQuantity],Quantitytable[Dish],Quantitytable[[#This Row],[Dish]],Quantitytable[[Ingredient ]],Quantitytable[[#This Row],[Ingredient ]]))</f>
        <v>0</v>
      </c>
      <c r="F38" s="3">
        <f>SUMIFS(salestable[Quantity Sold],salestable[Item Name],Quantitytable[[#This Row],[Dish]])</f>
        <v>0</v>
      </c>
      <c r="G38" s="3">
        <f>'Quantity Table'!$E38*'Quantity Table'!$F38</f>
        <v>0</v>
      </c>
      <c r="H38" s="3">
        <f>_xlfn.IFNA(VLOOKUP(Quantitytable[[#This Row],[Ingredient ]],Shoppingtable[[Item Name]:[BALANCE Cash]],5,FALSE),0)*Quantitytable[[#This Row],[NeededQuantity]]</f>
        <v>4.666666666666667</v>
      </c>
      <c r="I38" s="3">
        <f>SUMIF(Quantitytable[Dish],Quantitytable[[#This Row],[Dish]],Quantitytable[Cost Per Dish Per Item])</f>
        <v>47.316102540972935</v>
      </c>
      <c r="J38" s="18" t="s">
        <v>502</v>
      </c>
      <c r="M38" s="9" t="s">
        <v>102</v>
      </c>
      <c r="N38">
        <v>4.75</v>
      </c>
      <c r="O38">
        <v>0</v>
      </c>
      <c r="P38">
        <v>0</v>
      </c>
      <c r="R38" s="9" t="s">
        <v>42</v>
      </c>
      <c r="S38" s="3">
        <f>SUMIF(Quantitytable[[Ingredient ]],Ingredienttablereference[[#This Row],[Ingredient Ref]],Quantitytable[Materials Used])</f>
        <v>0</v>
      </c>
      <c r="T38" s="3">
        <f>SUMIF(Shoppingtable[Item Name],Ingredienttablereference[[#This Row],[Ingredient Ref]],Shoppingtable[Prize Per Gram])*Ingredienttablereference[[#This Row],[Sum]]</f>
        <v>0</v>
      </c>
    </row>
    <row r="39" spans="2:20" x14ac:dyDescent="0.25">
      <c r="B39" s="13" t="s">
        <v>563</v>
      </c>
      <c r="C39" s="13" t="s">
        <v>577</v>
      </c>
      <c r="D39" s="13">
        <v>80</v>
      </c>
      <c r="E39" s="3">
        <f>IF(Quantitytable[[#This Row],[Units]]=0,0,SUMIFS(Quantitytable[NeededQuantity],Quantitytable[Dish],Quantitytable[[#This Row],[Dish]],Quantitytable[[Ingredient ]],Quantitytable[[#This Row],[Ingredient ]]))</f>
        <v>0</v>
      </c>
      <c r="F39" s="3">
        <f>SUMIFS(salestable[Quantity Sold],salestable[Item Name],Quantitytable[[#This Row],[Dish]])</f>
        <v>0</v>
      </c>
      <c r="G39" s="3">
        <f>'Quantity Table'!$E39*'Quantity Table'!$F39</f>
        <v>0</v>
      </c>
      <c r="H39" s="3">
        <f>_xlfn.IFNA(VLOOKUP(Quantitytable[[#This Row],[Ingredient ]],Shoppingtable[[Item Name]:[BALANCE Cash]],5,FALSE),0)*Quantitytable[[#This Row],[NeededQuantity]]</f>
        <v>4.6153846153846159</v>
      </c>
      <c r="I39" s="3">
        <f>SUMIF(Quantitytable[Dish],Quantitytable[[#This Row],[Dish]],Quantitytable[Cost Per Dish Per Item])</f>
        <v>47.316102540972935</v>
      </c>
      <c r="J39" s="18" t="s">
        <v>502</v>
      </c>
      <c r="M39" s="9" t="s">
        <v>425</v>
      </c>
      <c r="N39">
        <v>3.75</v>
      </c>
      <c r="O39">
        <v>0</v>
      </c>
      <c r="P39">
        <v>0</v>
      </c>
      <c r="R39" s="9" t="s">
        <v>43</v>
      </c>
      <c r="S39" s="3">
        <f>SUMIF(Quantitytable[[Ingredient ]],Ingredienttablereference[[#This Row],[Ingredient Ref]],Quantitytable[Materials Used])</f>
        <v>0</v>
      </c>
      <c r="T39" s="3">
        <f>SUMIF(Shoppingtable[Item Name],Ingredienttablereference[[#This Row],[Ingredient Ref]],Shoppingtable[Prize Per Gram])*Ingredienttablereference[[#This Row],[Sum]]</f>
        <v>0</v>
      </c>
    </row>
    <row r="40" spans="2:20" x14ac:dyDescent="0.25">
      <c r="B40" s="13" t="s">
        <v>563</v>
      </c>
      <c r="C40" s="13" t="s">
        <v>399</v>
      </c>
      <c r="D40" s="13">
        <v>80</v>
      </c>
      <c r="E40" s="3">
        <f>IF(Quantitytable[[#This Row],[Units]]=0,0,SUMIFS(Quantitytable[NeededQuantity],Quantitytable[Dish],Quantitytable[[#This Row],[Dish]],Quantitytable[[Ingredient ]],Quantitytable[[#This Row],[Ingredient ]]))</f>
        <v>0</v>
      </c>
      <c r="F40" s="3">
        <f>SUMIFS(salestable[Quantity Sold],salestable[Item Name],Quantitytable[[#This Row],[Dish]])</f>
        <v>0</v>
      </c>
      <c r="G40" s="3">
        <f>'Quantity Table'!$E40*'Quantity Table'!$F40</f>
        <v>0</v>
      </c>
      <c r="H40" s="3">
        <f>_xlfn.IFNA(VLOOKUP(Quantitytable[[#This Row],[Ingredient ]],Shoppingtable[[Item Name]:[BALANCE Cash]],5,FALSE),0)*Quantitytable[[#This Row],[NeededQuantity]]</f>
        <v>3.3200000000000003</v>
      </c>
      <c r="I40" s="3">
        <f>SUMIF(Quantitytable[Dish],Quantitytable[[#This Row],[Dish]],Quantitytable[Cost Per Dish Per Item])</f>
        <v>47.316102540972935</v>
      </c>
      <c r="J40" s="18" t="s">
        <v>502</v>
      </c>
      <c r="M40" s="9" t="s">
        <v>400</v>
      </c>
      <c r="N40">
        <v>21.6</v>
      </c>
      <c r="O40">
        <v>0</v>
      </c>
      <c r="P40">
        <v>0</v>
      </c>
      <c r="R40" s="9" t="s">
        <v>418</v>
      </c>
      <c r="S40" s="3">
        <f>SUMIF(Quantitytable[[Ingredient ]],Ingredienttablereference[[#This Row],[Ingredient Ref]],Quantitytable[Materials Used])</f>
        <v>0</v>
      </c>
      <c r="T40" s="3">
        <f>SUMIF(Shoppingtable[Item Name],Ingredienttablereference[[#This Row],[Ingredient Ref]],Shoppingtable[Prize Per Gram])*Ingredienttablereference[[#This Row],[Sum]]</f>
        <v>0</v>
      </c>
    </row>
    <row r="41" spans="2:20" x14ac:dyDescent="0.25">
      <c r="B41" s="13" t="s">
        <v>563</v>
      </c>
      <c r="C41" s="13" t="s">
        <v>98</v>
      </c>
      <c r="D41" s="13">
        <v>150</v>
      </c>
      <c r="E41" s="3">
        <f>IF(Quantitytable[[#This Row],[Units]]=0,0,SUMIFS(Quantitytable[NeededQuantity],Quantitytable[Dish],Quantitytable[[#This Row],[Dish]],Quantitytable[[Ingredient ]],Quantitytable[[#This Row],[Ingredient ]]))</f>
        <v>0</v>
      </c>
      <c r="F41" s="3">
        <f>SUMIFS(salestable[Quantity Sold],salestable[Item Name],Quantitytable[[#This Row],[Dish]])</f>
        <v>0</v>
      </c>
      <c r="G41" s="3">
        <f>'Quantity Table'!$E41*'Quantity Table'!$F41</f>
        <v>0</v>
      </c>
      <c r="H41" s="3">
        <f>_xlfn.IFNA(VLOOKUP(Quantitytable[[#This Row],[Ingredient ]],Shoppingtable[[Item Name]:[BALANCE Cash]],5,FALSE),0)*Quantitytable[[#This Row],[NeededQuantity]]</f>
        <v>8.125</v>
      </c>
      <c r="I41" s="3">
        <f>SUMIF(Quantitytable[Dish],Quantitytable[[#This Row],[Dish]],Quantitytable[Cost Per Dish Per Item])</f>
        <v>47.316102540972935</v>
      </c>
      <c r="J41" s="18" t="s">
        <v>502</v>
      </c>
      <c r="M41" s="9" t="s">
        <v>432</v>
      </c>
      <c r="N41">
        <v>8</v>
      </c>
      <c r="O41">
        <v>0</v>
      </c>
      <c r="P41">
        <v>0</v>
      </c>
      <c r="R41" s="9" t="s">
        <v>44</v>
      </c>
      <c r="S41" s="3">
        <f>SUMIF(Quantitytable[[Ingredient ]],Ingredienttablereference[[#This Row],[Ingredient Ref]],Quantitytable[Materials Used])</f>
        <v>100</v>
      </c>
      <c r="T41" s="3">
        <f>SUMIF(Shoppingtable[Item Name],Ingredienttablereference[[#This Row],[Ingredient Ref]],Shoppingtable[Prize Per Gram])*Ingredienttablereference[[#This Row],[Sum]]</f>
        <v>2.8571428571428572</v>
      </c>
    </row>
    <row r="42" spans="2:20" x14ac:dyDescent="0.25">
      <c r="B42" s="13" t="s">
        <v>563</v>
      </c>
      <c r="C42" s="13" t="s">
        <v>89</v>
      </c>
      <c r="D42" s="13">
        <v>150</v>
      </c>
      <c r="E42" s="3">
        <f>IF(Quantitytable[[#This Row],[Units]]=0,0,SUMIFS(Quantitytable[NeededQuantity],Quantitytable[Dish],Quantitytable[[#This Row],[Dish]],Quantitytable[[Ingredient ]],Quantitytable[[#This Row],[Ingredient ]]))</f>
        <v>0</v>
      </c>
      <c r="F42" s="3">
        <f>SUMIFS(salestable[Quantity Sold],salestable[Item Name],Quantitytable[[#This Row],[Dish]])</f>
        <v>0</v>
      </c>
      <c r="G42" s="3">
        <f>'Quantity Table'!$E42*'Quantity Table'!$F42</f>
        <v>0</v>
      </c>
      <c r="H42" s="3">
        <f>_xlfn.IFNA(VLOOKUP(Quantitytable[[#This Row],[Ingredient ]],Shoppingtable[[Item Name]:[BALANCE Cash]],5,FALSE),0)*Quantitytable[[#This Row],[NeededQuantity]]</f>
        <v>9</v>
      </c>
      <c r="I42" s="3">
        <f>SUMIF(Quantitytable[Dish],Quantitytable[[#This Row],[Dish]],Quantitytable[Cost Per Dish Per Item])</f>
        <v>47.316102540972935</v>
      </c>
      <c r="J42" s="18" t="s">
        <v>502</v>
      </c>
      <c r="M42" s="9" t="s">
        <v>108</v>
      </c>
      <c r="N42">
        <v>0</v>
      </c>
      <c r="O42">
        <v>0</v>
      </c>
      <c r="P42">
        <v>0</v>
      </c>
      <c r="R42" s="9" t="s">
        <v>45</v>
      </c>
      <c r="S42" s="3">
        <f>SUMIF(Quantitytable[[Ingredient ]],Ingredienttablereference[[#This Row],[Ingredient Ref]],Quantitytable[Materials Used])</f>
        <v>0</v>
      </c>
      <c r="T42" s="3">
        <f>SUMIF(Shoppingtable[Item Name],Ingredienttablereference[[#This Row],[Ingredient Ref]],Shoppingtable[Prize Per Gram])*Ingredienttablereference[[#This Row],[Sum]]</f>
        <v>0</v>
      </c>
    </row>
    <row r="43" spans="2:20" x14ac:dyDescent="0.25">
      <c r="B43" s="13" t="s">
        <v>563</v>
      </c>
      <c r="C43" s="13" t="s">
        <v>44</v>
      </c>
      <c r="D43" s="13">
        <v>160</v>
      </c>
      <c r="E43" s="3">
        <f>IF(Quantitytable[[#This Row],[Units]]=0,0,SUMIFS(Quantitytable[NeededQuantity],Quantitytable[Dish],Quantitytable[[#This Row],[Dish]],Quantitytable[[Ingredient ]],Quantitytable[[#This Row],[Ingredient ]]))</f>
        <v>0</v>
      </c>
      <c r="F43" s="3">
        <f>SUMIFS(salestable[Quantity Sold],salestable[Item Name],Quantitytable[[#This Row],[Dish]])</f>
        <v>0</v>
      </c>
      <c r="G43" s="3">
        <f>'Quantity Table'!$E43*'Quantity Table'!$F43</f>
        <v>0</v>
      </c>
      <c r="H43" s="3">
        <f>_xlfn.IFNA(VLOOKUP(Quantitytable[[#This Row],[Ingredient ]],Shoppingtable[[Item Name]:[BALANCE Cash]],5,FALSE),0)*Quantitytable[[#This Row],[NeededQuantity]]</f>
        <v>4.5714285714285712</v>
      </c>
      <c r="I43" s="3">
        <f>SUMIF(Quantitytable[Dish],Quantitytable[[#This Row],[Dish]],Quantitytable[Cost Per Dish Per Item])</f>
        <v>47.316102540972935</v>
      </c>
      <c r="J43" s="18" t="s">
        <v>502</v>
      </c>
      <c r="M43" s="9" t="s">
        <v>303</v>
      </c>
      <c r="N43">
        <v>2.7</v>
      </c>
      <c r="O43">
        <v>0</v>
      </c>
      <c r="P43">
        <v>0</v>
      </c>
      <c r="R43" s="9" t="s">
        <v>417</v>
      </c>
      <c r="S43" s="3">
        <f>SUMIF(Quantitytable[[Ingredient ]],Ingredienttablereference[[#This Row],[Ingredient Ref]],Quantitytable[Materials Used])</f>
        <v>0</v>
      </c>
      <c r="T43" s="3">
        <f>SUMIF(Shoppingtable[Item Name],Ingredienttablereference[[#This Row],[Ingredient Ref]],Shoppingtable[Prize Per Gram])*Ingredienttablereference[[#This Row],[Sum]]</f>
        <v>0</v>
      </c>
    </row>
    <row r="44" spans="2:20" x14ac:dyDescent="0.25">
      <c r="B44" s="13" t="s">
        <v>635</v>
      </c>
      <c r="C44" s="13" t="s">
        <v>432</v>
      </c>
      <c r="D44" s="13">
        <v>2</v>
      </c>
      <c r="E44" s="3">
        <f>IF(Quantitytable[[#This Row],[Units]]=0,0,SUMIFS(Quantitytable[NeededQuantity],Quantitytable[Dish],Quantitytable[[#This Row],[Dish]],Quantitytable[[Ingredient ]],Quantitytable[[#This Row],[Ingredient ]]))</f>
        <v>0</v>
      </c>
      <c r="F44" s="3">
        <f>SUMIFS(salestable[Quantity Sold],salestable[Item Name],Quantitytable[[#This Row],[Dish]])</f>
        <v>0</v>
      </c>
      <c r="G44" s="3">
        <f>'Quantity Table'!$E44*'Quantity Table'!$F44</f>
        <v>0</v>
      </c>
      <c r="H44" s="3">
        <f>_xlfn.IFNA(VLOOKUP(Quantitytable[[#This Row],[Ingredient ]],Shoppingtable[[Item Name]:[BALANCE Cash]],5,FALSE),0)*Quantitytable[[#This Row],[NeededQuantity]]</f>
        <v>0.6</v>
      </c>
      <c r="I44" s="3">
        <f>SUMIF(Quantitytable[Dish],Quantitytable[[#This Row],[Dish]],Quantitytable[Cost Per Dish Per Item])</f>
        <v>51.989051258921648</v>
      </c>
      <c r="J44" s="18" t="s">
        <v>502</v>
      </c>
      <c r="M44" s="9" t="s">
        <v>395</v>
      </c>
      <c r="N44">
        <v>0</v>
      </c>
      <c r="O44">
        <v>0</v>
      </c>
      <c r="P44">
        <v>0</v>
      </c>
      <c r="R44" s="9" t="s">
        <v>46</v>
      </c>
      <c r="S44" s="3">
        <f>SUMIF(Quantitytable[[Ingredient ]],Ingredienttablereference[[#This Row],[Ingredient Ref]],Quantitytable[Materials Used])</f>
        <v>0</v>
      </c>
      <c r="T44" s="3">
        <f>SUMIF(Shoppingtable[Item Name],Ingredienttablereference[[#This Row],[Ingredient Ref]],Shoppingtable[Prize Per Gram])*Ingredienttablereference[[#This Row],[Sum]]</f>
        <v>0</v>
      </c>
    </row>
    <row r="45" spans="2:20" x14ac:dyDescent="0.25">
      <c r="B45" s="13" t="s">
        <v>635</v>
      </c>
      <c r="C45" s="13" t="s">
        <v>508</v>
      </c>
      <c r="D45" s="13">
        <v>2</v>
      </c>
      <c r="E45" s="3">
        <f>IF(Quantitytable[[#This Row],[Units]]=0,0,SUMIFS(Quantitytable[NeededQuantity],Quantitytable[Dish],Quantitytable[[#This Row],[Dish]],Quantitytable[[Ingredient ]],Quantitytable[[#This Row],[Ingredient ]]))</f>
        <v>0</v>
      </c>
      <c r="F45" s="3">
        <f>SUMIFS(salestable[Quantity Sold],salestable[Item Name],Quantitytable[[#This Row],[Dish]])</f>
        <v>0</v>
      </c>
      <c r="G45" s="3">
        <f>'Quantity Table'!$E45*'Quantity Table'!$F45</f>
        <v>0</v>
      </c>
      <c r="H45" s="3">
        <f>_xlfn.IFNA(VLOOKUP(Quantitytable[[#This Row],[Ingredient ]],Shoppingtable[[Item Name]:[BALANCE Cash]],5,FALSE),0)*Quantitytable[[#This Row],[NeededQuantity]]</f>
        <v>0.62222222222222223</v>
      </c>
      <c r="I45" s="3">
        <f>SUMIF(Quantitytable[Dish],Quantitytable[[#This Row],[Dish]],Quantitytable[Cost Per Dish Per Item])</f>
        <v>51.989051258921648</v>
      </c>
      <c r="J45" s="18" t="s">
        <v>502</v>
      </c>
      <c r="M45" s="9" t="s">
        <v>492</v>
      </c>
      <c r="N45">
        <v>1.125</v>
      </c>
      <c r="O45">
        <v>0</v>
      </c>
      <c r="P45">
        <v>0</v>
      </c>
      <c r="R45" s="9" t="s">
        <v>411</v>
      </c>
      <c r="S45" s="3">
        <f>SUMIF(Quantitytable[[Ingredient ]],Ingredienttablereference[[#This Row],[Ingredient Ref]],Quantitytable[Materials Used])</f>
        <v>0</v>
      </c>
      <c r="T45" s="3">
        <f>SUMIF(Shoppingtable[Item Name],Ingredienttablereference[[#This Row],[Ingredient Ref]],Shoppingtable[Prize Per Gram])*Ingredienttablereference[[#This Row],[Sum]]</f>
        <v>0</v>
      </c>
    </row>
    <row r="46" spans="2:20" x14ac:dyDescent="0.25">
      <c r="B46" s="13" t="s">
        <v>635</v>
      </c>
      <c r="C46" s="13" t="s">
        <v>303</v>
      </c>
      <c r="D46" s="13">
        <v>2</v>
      </c>
      <c r="E46" s="3">
        <f>IF(Quantitytable[[#This Row],[Units]]=0,0,SUMIFS(Quantitytable[NeededQuantity],Quantitytable[Dish],Quantitytable[[#This Row],[Dish]],Quantitytable[[Ingredient ]],Quantitytable[[#This Row],[Ingredient ]]))</f>
        <v>0</v>
      </c>
      <c r="F46" s="3">
        <f>SUMIFS(salestable[Quantity Sold],salestable[Item Name],Quantitytable[[#This Row],[Dish]])</f>
        <v>0</v>
      </c>
      <c r="G46" s="3">
        <f>'Quantity Table'!$E46*'Quantity Table'!$F46</f>
        <v>0</v>
      </c>
      <c r="H46" s="3">
        <f>_xlfn.IFNA(VLOOKUP(Quantitytable[[#This Row],[Ingredient ]],Shoppingtable[[Item Name]:[BALANCE Cash]],5,FALSE),0)*Quantitytable[[#This Row],[NeededQuantity]]</f>
        <v>0.6</v>
      </c>
      <c r="I46" s="3">
        <f>SUMIF(Quantitytable[Dish],Quantitytable[[#This Row],[Dish]],Quantitytable[Cost Per Dish Per Item])</f>
        <v>51.989051258921648</v>
      </c>
      <c r="J46" s="18" t="s">
        <v>502</v>
      </c>
      <c r="M46" s="9" t="s">
        <v>145</v>
      </c>
      <c r="N46">
        <v>5</v>
      </c>
      <c r="O46">
        <v>0</v>
      </c>
      <c r="P46">
        <v>0</v>
      </c>
      <c r="R46" s="9" t="s">
        <v>402</v>
      </c>
      <c r="S46" s="3">
        <f>SUMIF(Quantitytable[[Ingredient ]],Ingredienttablereference[[#This Row],[Ingredient Ref]],Quantitytable[Materials Used])</f>
        <v>0</v>
      </c>
      <c r="T46" s="3">
        <f>SUMIF(Shoppingtable[Item Name],Ingredienttablereference[[#This Row],[Ingredient Ref]],Shoppingtable[Prize Per Gram])*Ingredienttablereference[[#This Row],[Sum]]</f>
        <v>0</v>
      </c>
    </row>
    <row r="47" spans="2:20" x14ac:dyDescent="0.25">
      <c r="B47" s="13" t="s">
        <v>635</v>
      </c>
      <c r="C47" s="13" t="s">
        <v>486</v>
      </c>
      <c r="D47" s="13">
        <v>2</v>
      </c>
      <c r="E47" s="3">
        <f>IF(Quantitytable[[#This Row],[Units]]=0,0,SUMIFS(Quantitytable[NeededQuantity],Quantitytable[Dish],Quantitytable[[#This Row],[Dish]],Quantitytable[[Ingredient ]],Quantitytable[[#This Row],[Ingredient ]]))</f>
        <v>0</v>
      </c>
      <c r="F47" s="3">
        <f>SUMIFS(salestable[Quantity Sold],salestable[Item Name],Quantitytable[[#This Row],[Dish]])</f>
        <v>0</v>
      </c>
      <c r="G47" s="3">
        <f>'Quantity Table'!$E47*'Quantity Table'!$F47</f>
        <v>0</v>
      </c>
      <c r="H47" s="3">
        <f>_xlfn.IFNA(VLOOKUP(Quantitytable[[#This Row],[Ingredient ]],Shoppingtable[[Item Name]:[BALANCE Cash]],5,FALSE),0)*Quantitytable[[#This Row],[NeededQuantity]]</f>
        <v>0.72941176470588232</v>
      </c>
      <c r="I47" s="3">
        <f>SUMIF(Quantitytable[Dish],Quantitytable[[#This Row],[Dish]],Quantitytable[Cost Per Dish Per Item])</f>
        <v>51.989051258921648</v>
      </c>
      <c r="J47" s="18" t="s">
        <v>502</v>
      </c>
      <c r="M47" s="9" t="s">
        <v>478</v>
      </c>
      <c r="N47">
        <v>7.25</v>
      </c>
      <c r="O47">
        <v>0</v>
      </c>
      <c r="P47">
        <v>0</v>
      </c>
      <c r="R47" s="9" t="s">
        <v>48</v>
      </c>
      <c r="S47" s="3">
        <f>SUMIF(Quantitytable[[Ingredient ]],Ingredienttablereference[[#This Row],[Ingredient Ref]],Quantitytable[Materials Used])</f>
        <v>0</v>
      </c>
      <c r="T47" s="3">
        <f>SUMIF(Shoppingtable[Item Name],Ingredienttablereference[[#This Row],[Ingredient Ref]],Shoppingtable[Prize Per Gram])*Ingredienttablereference[[#This Row],[Sum]]</f>
        <v>0</v>
      </c>
    </row>
    <row r="48" spans="2:20" x14ac:dyDescent="0.25">
      <c r="B48" s="13" t="s">
        <v>635</v>
      </c>
      <c r="C48" s="13" t="s">
        <v>487</v>
      </c>
      <c r="D48" s="13">
        <v>2</v>
      </c>
      <c r="E48" s="3">
        <f>IF(Quantitytable[[#This Row],[Units]]=0,0,SUMIFS(Quantitytable[NeededQuantity],Quantitytable[Dish],Quantitytable[[#This Row],[Dish]],Quantitytable[[Ingredient ]],Quantitytable[[#This Row],[Ingredient ]]))</f>
        <v>0</v>
      </c>
      <c r="F48" s="3">
        <f>SUMIFS(salestable[Quantity Sold],salestable[Item Name],Quantitytable[[#This Row],[Dish]])</f>
        <v>0</v>
      </c>
      <c r="G48" s="3">
        <f>'Quantity Table'!$E48*'Quantity Table'!$F48</f>
        <v>0</v>
      </c>
      <c r="H48" s="3">
        <f>_xlfn.IFNA(VLOOKUP(Quantitytable[[#This Row],[Ingredient ]],Shoppingtable[[Item Name]:[BALANCE Cash]],5,FALSE),0)*Quantitytable[[#This Row],[NeededQuantity]]</f>
        <v>2.1</v>
      </c>
      <c r="I48" s="3">
        <f>SUMIF(Quantitytable[Dish],Quantitytable[[#This Row],[Dish]],Quantitytable[Cost Per Dish Per Item])</f>
        <v>51.989051258921648</v>
      </c>
      <c r="J48" s="18" t="s">
        <v>502</v>
      </c>
      <c r="M48" s="9" t="s">
        <v>508</v>
      </c>
      <c r="N48">
        <v>8.5555555555555554</v>
      </c>
      <c r="O48">
        <v>0</v>
      </c>
      <c r="P48">
        <v>0</v>
      </c>
      <c r="R48" s="9" t="s">
        <v>401</v>
      </c>
      <c r="S48" s="3">
        <f>SUMIF(Quantitytable[[Ingredient ]],Ingredienttablereference[[#This Row],[Ingredient Ref]],Quantitytable[Materials Used])</f>
        <v>0</v>
      </c>
      <c r="T48" s="3">
        <f>SUMIF(Shoppingtable[Item Name],Ingredienttablereference[[#This Row],[Ingredient Ref]],Shoppingtable[Prize Per Gram])*Ingredienttablereference[[#This Row],[Sum]]</f>
        <v>0</v>
      </c>
    </row>
    <row r="49" spans="2:20" x14ac:dyDescent="0.25">
      <c r="B49" s="13" t="s">
        <v>635</v>
      </c>
      <c r="C49" s="13" t="s">
        <v>507</v>
      </c>
      <c r="D49" s="13">
        <v>2</v>
      </c>
      <c r="E49" s="3">
        <f>IF(Quantitytable[[#This Row],[Units]]=0,0,SUMIFS(Quantitytable[NeededQuantity],Quantitytable[Dish],Quantitytable[[#This Row],[Dish]],Quantitytable[[Ingredient ]],Quantitytable[[#This Row],[Ingredient ]]))</f>
        <v>0</v>
      </c>
      <c r="F49" s="3">
        <f>SUMIFS(salestable[Quantity Sold],salestable[Item Name],Quantitytable[[#This Row],[Dish]])</f>
        <v>0</v>
      </c>
      <c r="G49" s="3">
        <f>'Quantity Table'!$E49*'Quantity Table'!$F49</f>
        <v>0</v>
      </c>
      <c r="H49" s="3">
        <f>_xlfn.IFNA(VLOOKUP(Quantitytable[[#This Row],[Ingredient ]],Shoppingtable[[Item Name]:[BALANCE Cash]],5,FALSE),0)*Quantitytable[[#This Row],[NeededQuantity]]</f>
        <v>0.22598870056497175</v>
      </c>
      <c r="I49" s="3">
        <f>SUMIF(Quantitytable[Dish],Quantitytable[[#This Row],[Dish]],Quantitytable[Cost Per Dish Per Item])</f>
        <v>51.989051258921648</v>
      </c>
      <c r="J49" s="18" t="s">
        <v>502</v>
      </c>
      <c r="M49" s="9" t="s">
        <v>375</v>
      </c>
      <c r="N49">
        <v>15.72</v>
      </c>
      <c r="O49">
        <v>0</v>
      </c>
      <c r="P49">
        <v>0</v>
      </c>
      <c r="R49" s="9" t="s">
        <v>50</v>
      </c>
      <c r="S49" s="3">
        <f>SUMIF(Quantitytable[[Ingredient ]],Ingredienttablereference[[#This Row],[Ingredient Ref]],Quantitytable[Materials Used])</f>
        <v>0</v>
      </c>
      <c r="T49" s="3">
        <f>SUMIF(Shoppingtable[Item Name],Ingredienttablereference[[#This Row],[Ingredient Ref]],Shoppingtable[Prize Per Gram])*Ingredienttablereference[[#This Row],[Sum]]</f>
        <v>0</v>
      </c>
    </row>
    <row r="50" spans="2:20" x14ac:dyDescent="0.25">
      <c r="B50" s="13" t="s">
        <v>635</v>
      </c>
      <c r="C50" s="13" t="s">
        <v>538</v>
      </c>
      <c r="D50" s="13">
        <v>4</v>
      </c>
      <c r="E50" s="3">
        <f>IF(Quantitytable[[#This Row],[Units]]=0,0,SUMIFS(Quantitytable[NeededQuantity],Quantitytable[Dish],Quantitytable[[#This Row],[Dish]],Quantitytable[[Ingredient ]],Quantitytable[[#This Row],[Ingredient ]]))</f>
        <v>0</v>
      </c>
      <c r="F50" s="3">
        <f>SUMIFS(salestable[Quantity Sold],salestable[Item Name],Quantitytable[[#This Row],[Dish]])</f>
        <v>0</v>
      </c>
      <c r="G50" s="3">
        <f>'Quantity Table'!$E50*'Quantity Table'!$F50</f>
        <v>0</v>
      </c>
      <c r="H50" s="3">
        <f>_xlfn.IFNA(VLOOKUP(Quantitytable[[#This Row],[Ingredient ]],Shoppingtable[[Item Name]:[BALANCE Cash]],5,FALSE),0)*Quantitytable[[#This Row],[NeededQuantity]]</f>
        <v>0.8</v>
      </c>
      <c r="I50" s="3">
        <f>SUMIF(Quantitytable[Dish],Quantitytable[[#This Row],[Dish]],Quantitytable[Cost Per Dish Per Item])</f>
        <v>51.989051258921648</v>
      </c>
      <c r="J50" s="18" t="s">
        <v>502</v>
      </c>
      <c r="M50" s="9" t="s">
        <v>538</v>
      </c>
      <c r="N50">
        <v>3.2</v>
      </c>
      <c r="O50">
        <v>0</v>
      </c>
      <c r="P50">
        <v>0</v>
      </c>
      <c r="R50" s="9" t="s">
        <v>51</v>
      </c>
      <c r="S50" s="3">
        <f>SUMIF(Quantitytable[[Ingredient ]],Ingredienttablereference[[#This Row],[Ingredient Ref]],Quantitytable[Materials Used])</f>
        <v>0</v>
      </c>
      <c r="T50" s="3">
        <f>SUMIF(Shoppingtable[Item Name],Ingredienttablereference[[#This Row],[Ingredient Ref]],Shoppingtable[Prize Per Gram])*Ingredienttablereference[[#This Row],[Sum]]</f>
        <v>0</v>
      </c>
    </row>
    <row r="51" spans="2:20" x14ac:dyDescent="0.25">
      <c r="B51" s="13" t="s">
        <v>635</v>
      </c>
      <c r="C51" s="13" t="s">
        <v>75</v>
      </c>
      <c r="D51" s="13">
        <v>40</v>
      </c>
      <c r="E51" s="3">
        <f>IF(Quantitytable[[#This Row],[Units]]=0,0,SUMIFS(Quantitytable[NeededQuantity],Quantitytable[Dish],Quantitytable[[#This Row],[Dish]],Quantitytable[[Ingredient ]],Quantitytable[[#This Row],[Ingredient ]]))</f>
        <v>0</v>
      </c>
      <c r="F51" s="3">
        <f>SUMIFS(salestable[Quantity Sold],salestable[Item Name],Quantitytable[[#This Row],[Dish]])</f>
        <v>0</v>
      </c>
      <c r="G51" s="3">
        <f>'Quantity Table'!$E51*'Quantity Table'!$F51</f>
        <v>0</v>
      </c>
      <c r="H51" s="3">
        <f>_xlfn.IFNA(VLOOKUP(Quantitytable[[#This Row],[Ingredient ]],Shoppingtable[[Item Name]:[BALANCE Cash]],5,FALSE),0)*Quantitytable[[#This Row],[NeededQuantity]]</f>
        <v>5.84</v>
      </c>
      <c r="I51" s="3">
        <f>SUMIF(Quantitytable[Dish],Quantitytable[[#This Row],[Dish]],Quantitytable[Cost Per Dish Per Item])</f>
        <v>51.989051258921648</v>
      </c>
      <c r="J51" s="18" t="s">
        <v>502</v>
      </c>
      <c r="M51" s="9" t="s">
        <v>545</v>
      </c>
      <c r="N51">
        <v>0</v>
      </c>
      <c r="O51">
        <v>0</v>
      </c>
      <c r="P51">
        <v>0</v>
      </c>
      <c r="R51" s="9" t="s">
        <v>52</v>
      </c>
      <c r="S51" s="3">
        <f>SUMIF(Quantitytable[[Ingredient ]],Ingredienttablereference[[#This Row],[Ingredient Ref]],Quantitytable[Materials Used])</f>
        <v>0</v>
      </c>
      <c r="T51" s="3">
        <f>SUMIF(Shoppingtable[Item Name],Ingredienttablereference[[#This Row],[Ingredient Ref]],Shoppingtable[Prize Per Gram])*Ingredienttablereference[[#This Row],[Sum]]</f>
        <v>0</v>
      </c>
    </row>
    <row r="52" spans="2:20" x14ac:dyDescent="0.25">
      <c r="B52" s="13" t="s">
        <v>635</v>
      </c>
      <c r="C52" s="13" t="s">
        <v>400</v>
      </c>
      <c r="D52" s="13">
        <v>50</v>
      </c>
      <c r="E52" s="3">
        <f>IF(Quantitytable[[#This Row],[Units]]=0,0,SUMIFS(Quantitytable[NeededQuantity],Quantitytable[Dish],Quantitytable[[#This Row],[Dish]],Quantitytable[[Ingredient ]],Quantitytable[[#This Row],[Ingredient ]]))</f>
        <v>0</v>
      </c>
      <c r="F52" s="3">
        <f>SUMIFS(salestable[Quantity Sold],salestable[Item Name],Quantitytable[[#This Row],[Dish]])</f>
        <v>0</v>
      </c>
      <c r="G52" s="3">
        <f>'Quantity Table'!$E52*'Quantity Table'!$F52</f>
        <v>0</v>
      </c>
      <c r="H52" s="3">
        <f>_xlfn.IFNA(VLOOKUP(Quantitytable[[#This Row],[Ingredient ]],Shoppingtable[[Item Name]:[BALANCE Cash]],5,FALSE),0)*Quantitytable[[#This Row],[NeededQuantity]]</f>
        <v>1.5</v>
      </c>
      <c r="I52" s="3">
        <f>SUMIF(Quantitytable[Dish],Quantitytable[[#This Row],[Dish]],Quantitytable[Cost Per Dish Per Item])</f>
        <v>51.989051258921648</v>
      </c>
      <c r="J52" s="18" t="s">
        <v>502</v>
      </c>
      <c r="L52">
        <v>550</v>
      </c>
      <c r="M52" s="9" t="s">
        <v>474</v>
      </c>
      <c r="N52">
        <v>4.545454545454545</v>
      </c>
      <c r="O52">
        <v>0</v>
      </c>
      <c r="P52">
        <v>0</v>
      </c>
      <c r="R52" s="9" t="s">
        <v>53</v>
      </c>
      <c r="S52" s="3">
        <f>SUMIF(Quantitytable[[Ingredient ]],Ingredienttablereference[[#This Row],[Ingredient Ref]],Quantitytable[Materials Used])</f>
        <v>0</v>
      </c>
      <c r="T52" s="3">
        <f>SUMIF(Shoppingtable[Item Name],Ingredienttablereference[[#This Row],[Ingredient Ref]],Shoppingtable[Prize Per Gram])*Ingredienttablereference[[#This Row],[Sum]]</f>
        <v>0</v>
      </c>
    </row>
    <row r="53" spans="2:20" x14ac:dyDescent="0.25">
      <c r="B53" s="13" t="s">
        <v>635</v>
      </c>
      <c r="C53" s="13" t="s">
        <v>399</v>
      </c>
      <c r="D53" s="13">
        <v>80</v>
      </c>
      <c r="E53" s="3">
        <f>IF(Quantitytable[[#This Row],[Units]]=0,0,SUMIFS(Quantitytable[NeededQuantity],Quantitytable[Dish],Quantitytable[[#This Row],[Dish]],Quantitytable[[Ingredient ]],Quantitytable[[#This Row],[Ingredient ]]))</f>
        <v>0</v>
      </c>
      <c r="F53" s="3">
        <f>SUMIFS(salestable[Quantity Sold],salestable[Item Name],Quantitytable[[#This Row],[Dish]])</f>
        <v>0</v>
      </c>
      <c r="G53" s="3">
        <f>'Quantity Table'!$E53*'Quantity Table'!$F53</f>
        <v>0</v>
      </c>
      <c r="H53" s="3">
        <f>_xlfn.IFNA(VLOOKUP(Quantitytable[[#This Row],[Ingredient ]],Shoppingtable[[Item Name]:[BALANCE Cash]],5,FALSE),0)*Quantitytable[[#This Row],[NeededQuantity]]</f>
        <v>3.3200000000000003</v>
      </c>
      <c r="I53" s="3">
        <f>SUMIF(Quantitytable[Dish],Quantitytable[[#This Row],[Dish]],Quantitytable[Cost Per Dish Per Item])</f>
        <v>51.989051258921648</v>
      </c>
      <c r="J53" s="18" t="s">
        <v>502</v>
      </c>
      <c r="M53" s="9" t="s">
        <v>524</v>
      </c>
      <c r="N53">
        <v>1.6800000000000002</v>
      </c>
      <c r="O53">
        <v>0</v>
      </c>
      <c r="P53">
        <v>0</v>
      </c>
      <c r="R53" s="9" t="s">
        <v>406</v>
      </c>
      <c r="S53" s="3">
        <f>SUMIF(Quantitytable[[Ingredient ]],Ingredienttablereference[[#This Row],[Ingredient Ref]],Quantitytable[Materials Used])</f>
        <v>0</v>
      </c>
      <c r="T53" s="3">
        <f>SUMIF(Shoppingtable[Item Name],Ingredienttablereference[[#This Row],[Ingredient Ref]],Shoppingtable[Prize Per Gram])*Ingredienttablereference[[#This Row],[Sum]]</f>
        <v>0</v>
      </c>
    </row>
    <row r="54" spans="2:20" x14ac:dyDescent="0.25">
      <c r="B54" s="13" t="s">
        <v>635</v>
      </c>
      <c r="C54" s="13" t="s">
        <v>625</v>
      </c>
      <c r="D54" s="13">
        <v>100</v>
      </c>
      <c r="E54" s="3">
        <f>IF(Quantitytable[[#This Row],[Units]]=0,0,SUMIFS(Quantitytable[NeededQuantity],Quantitytable[Dish],Quantitytable[[#This Row],[Dish]],Quantitytable[[Ingredient ]],Quantitytable[[#This Row],[Ingredient ]]))</f>
        <v>0</v>
      </c>
      <c r="F54" s="3">
        <f>SUMIFS(salestable[Quantity Sold],salestable[Item Name],Quantitytable[[#This Row],[Dish]])</f>
        <v>0</v>
      </c>
      <c r="G54" s="3">
        <f>'Quantity Table'!$E54*'Quantity Table'!$F54</f>
        <v>0</v>
      </c>
      <c r="H54" s="3">
        <f>_xlfn.IFNA(VLOOKUP(Quantitytable[[#This Row],[Ingredient ]],Shoppingtable[[Item Name]:[BALANCE Cash]],5,FALSE),0)*Quantitytable[[#This Row],[NeededQuantity]]</f>
        <v>22.08</v>
      </c>
      <c r="I54" s="3">
        <f>SUMIF(Quantitytable[Dish],Quantitytable[[#This Row],[Dish]],Quantitytable[Cost Per Dish Per Item])</f>
        <v>51.989051258921648</v>
      </c>
      <c r="J54" s="18" t="s">
        <v>502</v>
      </c>
      <c r="M54" s="9" t="s">
        <v>516</v>
      </c>
      <c r="N54">
        <v>3.333333333333333</v>
      </c>
      <c r="O54">
        <v>0</v>
      </c>
      <c r="P54">
        <v>0</v>
      </c>
      <c r="R54" s="9" t="s">
        <v>54</v>
      </c>
      <c r="S54" s="3">
        <f>SUMIF(Quantitytable[[Ingredient ]],Ingredienttablereference[[#This Row],[Ingredient Ref]],Quantitytable[Materials Used])</f>
        <v>0</v>
      </c>
      <c r="T54" s="3">
        <f>SUMIF(Shoppingtable[Item Name],Ingredienttablereference[[#This Row],[Ingredient Ref]],Shoppingtable[Prize Per Gram])*Ingredienttablereference[[#This Row],[Sum]]</f>
        <v>0</v>
      </c>
    </row>
    <row r="55" spans="2:20" x14ac:dyDescent="0.25">
      <c r="B55" s="13" t="s">
        <v>635</v>
      </c>
      <c r="C55" s="13" t="s">
        <v>89</v>
      </c>
      <c r="D55" s="13">
        <v>150</v>
      </c>
      <c r="E55" s="3">
        <f>IF(Quantitytable[[#This Row],[Units]]=0,0,SUMIFS(Quantitytable[NeededQuantity],Quantitytable[Dish],Quantitytable[[#This Row],[Dish]],Quantitytable[[Ingredient ]],Quantitytable[[#This Row],[Ingredient ]]))</f>
        <v>0</v>
      </c>
      <c r="F55" s="3">
        <f>SUMIFS(salestable[Quantity Sold],salestable[Item Name],Quantitytable[[#This Row],[Dish]])</f>
        <v>0</v>
      </c>
      <c r="G55" s="3">
        <f>'Quantity Table'!$E55*'Quantity Table'!$F55</f>
        <v>0</v>
      </c>
      <c r="H55" s="3">
        <f>_xlfn.IFNA(VLOOKUP(Quantitytable[[#This Row],[Ingredient ]],Shoppingtable[[Item Name]:[BALANCE Cash]],5,FALSE),0)*Quantitytable[[#This Row],[NeededQuantity]]</f>
        <v>9</v>
      </c>
      <c r="I55" s="3">
        <f>SUMIF(Quantitytable[Dish],Quantitytable[[#This Row],[Dish]],Quantitytable[Cost Per Dish Per Item])</f>
        <v>51.989051258921648</v>
      </c>
      <c r="J55" s="18" t="s">
        <v>502</v>
      </c>
      <c r="M55" s="9" t="s">
        <v>532</v>
      </c>
      <c r="N55">
        <v>0</v>
      </c>
      <c r="O55">
        <v>0</v>
      </c>
      <c r="P55">
        <v>0</v>
      </c>
      <c r="R55" s="9" t="s">
        <v>55</v>
      </c>
      <c r="S55" s="3">
        <f>SUMIF(Quantitytable[[Ingredient ]],Ingredienttablereference[[#This Row],[Ingredient Ref]],Quantitytable[Materials Used])</f>
        <v>0</v>
      </c>
      <c r="T55" s="3">
        <f>SUMIF(Shoppingtable[Item Name],Ingredienttablereference[[#This Row],[Ingredient Ref]],Shoppingtable[Prize Per Gram])*Ingredienttablereference[[#This Row],[Sum]]</f>
        <v>0</v>
      </c>
    </row>
    <row r="56" spans="2:20" x14ac:dyDescent="0.25">
      <c r="B56" s="13" t="s">
        <v>635</v>
      </c>
      <c r="C56" s="13" t="s">
        <v>44</v>
      </c>
      <c r="D56" s="13">
        <v>160</v>
      </c>
      <c r="E56" s="3">
        <f>IF(Quantitytable[[#This Row],[Units]]=0,0,SUMIFS(Quantitytable[NeededQuantity],Quantitytable[Dish],Quantitytable[[#This Row],[Dish]],Quantitytable[[Ingredient ]],Quantitytable[[#This Row],[Ingredient ]]))</f>
        <v>0</v>
      </c>
      <c r="F56" s="3">
        <f>SUMIFS(salestable[Quantity Sold],salestable[Item Name],Quantitytable[[#This Row],[Dish]])</f>
        <v>0</v>
      </c>
      <c r="G56" s="3">
        <f>'Quantity Table'!$E56*'Quantity Table'!$F56</f>
        <v>0</v>
      </c>
      <c r="H56" s="3">
        <f>_xlfn.IFNA(VLOOKUP(Quantitytable[[#This Row],[Ingredient ]],Shoppingtable[[Item Name]:[BALANCE Cash]],5,FALSE),0)*Quantitytable[[#This Row],[NeededQuantity]]</f>
        <v>4.5714285714285712</v>
      </c>
      <c r="I56" s="3">
        <f>SUMIF(Quantitytable[Dish],Quantitytable[[#This Row],[Dish]],Quantitytable[Cost Per Dish Per Item])</f>
        <v>51.989051258921648</v>
      </c>
      <c r="J56" s="18" t="s">
        <v>502</v>
      </c>
      <c r="M56" s="9" t="s">
        <v>485</v>
      </c>
      <c r="N56">
        <v>2</v>
      </c>
      <c r="O56">
        <v>0</v>
      </c>
      <c r="P56">
        <v>0</v>
      </c>
      <c r="R56" s="9" t="s">
        <v>56</v>
      </c>
      <c r="S56" s="3">
        <f>SUMIF(Quantitytable[[Ingredient ]],Ingredienttablereference[[#This Row],[Ingredient Ref]],Quantitytable[Materials Used])</f>
        <v>0</v>
      </c>
      <c r="T56" s="3">
        <f>SUMIF(Shoppingtable[Item Name],Ingredienttablereference[[#This Row],[Ingredient Ref]],Shoppingtable[Prize Per Gram])*Ingredienttablereference[[#This Row],[Sum]]</f>
        <v>0</v>
      </c>
    </row>
    <row r="57" spans="2:20" x14ac:dyDescent="0.25">
      <c r="B57" s="13" t="s">
        <v>658</v>
      </c>
      <c r="C57" s="13" t="s">
        <v>432</v>
      </c>
      <c r="D57" s="13">
        <v>2</v>
      </c>
      <c r="E57" s="3">
        <f>IF(Quantitytable[[#This Row],[Units]]=0,0,SUMIFS(Quantitytable[NeededQuantity],Quantitytable[Dish],Quantitytable[[#This Row],[Dish]],Quantitytable[[Ingredient ]],Quantitytable[[#This Row],[Ingredient ]]))</f>
        <v>0</v>
      </c>
      <c r="F57" s="3">
        <f>SUMIFS(salestable[Quantity Sold],salestable[Item Name],Quantitytable[[#This Row],[Dish]])</f>
        <v>0</v>
      </c>
      <c r="G57" s="3">
        <f>'Quantity Table'!$E57*'Quantity Table'!$F57</f>
        <v>0</v>
      </c>
      <c r="H57" s="3">
        <f>_xlfn.IFNA(VLOOKUP(Quantitytable[[#This Row],[Ingredient ]],Shoppingtable[[Item Name]:[BALANCE Cash]],5,FALSE),0)*Quantitytable[[#This Row],[NeededQuantity]]</f>
        <v>0.6</v>
      </c>
      <c r="I57" s="3">
        <f>SUMIF(Quantitytable[Dish],Quantitytable[[#This Row],[Dish]],Quantitytable[Cost Per Dish Per Item])</f>
        <v>43.22155125892165</v>
      </c>
      <c r="J57" s="18" t="s">
        <v>502</v>
      </c>
      <c r="M57" s="9" t="s">
        <v>482</v>
      </c>
      <c r="N57">
        <v>13.347457627118644</v>
      </c>
      <c r="O57">
        <v>0</v>
      </c>
      <c r="P57">
        <v>0</v>
      </c>
      <c r="R57" s="9" t="s">
        <v>57</v>
      </c>
      <c r="S57" s="3">
        <f>SUMIF(Quantitytable[[Ingredient ]],Ingredienttablereference[[#This Row],[Ingredient Ref]],Quantitytable[Materials Used])</f>
        <v>0</v>
      </c>
      <c r="T57" s="3">
        <f>SUMIF(Shoppingtable[Item Name],Ingredienttablereference[[#This Row],[Ingredient Ref]],Shoppingtable[Prize Per Gram])*Ingredienttablereference[[#This Row],[Sum]]</f>
        <v>0</v>
      </c>
    </row>
    <row r="58" spans="2:20" x14ac:dyDescent="0.25">
      <c r="B58" s="13" t="s">
        <v>658</v>
      </c>
      <c r="C58" s="13" t="s">
        <v>508</v>
      </c>
      <c r="D58" s="13">
        <v>2</v>
      </c>
      <c r="E58" s="3">
        <f>IF(Quantitytable[[#This Row],[Units]]=0,0,SUMIFS(Quantitytable[NeededQuantity],Quantitytable[Dish],Quantitytable[[#This Row],[Dish]],Quantitytable[[Ingredient ]],Quantitytable[[#This Row],[Ingredient ]]))</f>
        <v>0</v>
      </c>
      <c r="F58" s="3">
        <f>SUMIFS(salestable[Quantity Sold],salestable[Item Name],Quantitytable[[#This Row],[Dish]])</f>
        <v>0</v>
      </c>
      <c r="G58" s="3">
        <f>'Quantity Table'!$E58*'Quantity Table'!$F58</f>
        <v>0</v>
      </c>
      <c r="H58" s="3">
        <f>_xlfn.IFNA(VLOOKUP(Quantitytable[[#This Row],[Ingredient ]],Shoppingtable[[Item Name]:[BALANCE Cash]],5,FALSE),0)*Quantitytable[[#This Row],[NeededQuantity]]</f>
        <v>0.62222222222222223</v>
      </c>
      <c r="I58" s="3">
        <f>SUMIF(Quantitytable[Dish],Quantitytable[[#This Row],[Dish]],Quantitytable[Cost Per Dish Per Item])</f>
        <v>43.22155125892165</v>
      </c>
      <c r="J58" s="18" t="s">
        <v>502</v>
      </c>
      <c r="M58" s="9" t="s">
        <v>507</v>
      </c>
      <c r="N58">
        <v>3.5593220338983054</v>
      </c>
      <c r="O58">
        <v>0</v>
      </c>
      <c r="P58">
        <v>0</v>
      </c>
      <c r="R58" s="9" t="s">
        <v>58</v>
      </c>
      <c r="S58" s="3">
        <f>SUMIF(Quantitytable[[Ingredient ]],Ingredienttablereference[[#This Row],[Ingredient Ref]],Quantitytable[Materials Used])</f>
        <v>0</v>
      </c>
      <c r="T58" s="3">
        <f>SUMIF(Shoppingtable[Item Name],Ingredienttablereference[[#This Row],[Ingredient Ref]],Shoppingtable[Prize Per Gram])*Ingredienttablereference[[#This Row],[Sum]]</f>
        <v>0</v>
      </c>
    </row>
    <row r="59" spans="2:20" x14ac:dyDescent="0.25">
      <c r="B59" s="13" t="s">
        <v>658</v>
      </c>
      <c r="C59" s="13" t="s">
        <v>303</v>
      </c>
      <c r="D59" s="13">
        <v>2</v>
      </c>
      <c r="E59" s="3">
        <f>IF(Quantitytable[[#This Row],[Units]]=0,0,SUMIFS(Quantitytable[NeededQuantity],Quantitytable[Dish],Quantitytable[[#This Row],[Dish]],Quantitytable[[Ingredient ]],Quantitytable[[#This Row],[Ingredient ]]))</f>
        <v>0</v>
      </c>
      <c r="F59" s="3">
        <f>SUMIFS(salestable[Quantity Sold],salestable[Item Name],Quantitytable[[#This Row],[Dish]])</f>
        <v>0</v>
      </c>
      <c r="G59" s="3">
        <f>'Quantity Table'!$E59*'Quantity Table'!$F59</f>
        <v>0</v>
      </c>
      <c r="H59" s="3">
        <f>_xlfn.IFNA(VLOOKUP(Quantitytable[[#This Row],[Ingredient ]],Shoppingtable[[Item Name]:[BALANCE Cash]],5,FALSE),0)*Quantitytable[[#This Row],[NeededQuantity]]</f>
        <v>0.6</v>
      </c>
      <c r="I59" s="3">
        <f>SUMIF(Quantitytable[Dish],Quantitytable[[#This Row],[Dish]],Quantitytable[Cost Per Dish Per Item])</f>
        <v>43.22155125892165</v>
      </c>
      <c r="J59" s="18" t="s">
        <v>502</v>
      </c>
      <c r="M59" s="9" t="s">
        <v>496</v>
      </c>
      <c r="N59">
        <v>40.700000000000003</v>
      </c>
      <c r="O59">
        <v>0</v>
      </c>
      <c r="P59">
        <v>0</v>
      </c>
      <c r="R59" s="9" t="s">
        <v>59</v>
      </c>
      <c r="S59" s="3">
        <f>SUMIF(Quantitytable[[Ingredient ]],Ingredienttablereference[[#This Row],[Ingredient Ref]],Quantitytable[Materials Used])</f>
        <v>0</v>
      </c>
      <c r="T59" s="3">
        <f>SUMIF(Shoppingtable[Item Name],Ingredienttablereference[[#This Row],[Ingredient Ref]],Shoppingtable[Prize Per Gram])*Ingredienttablereference[[#This Row],[Sum]]</f>
        <v>0</v>
      </c>
    </row>
    <row r="60" spans="2:20" x14ac:dyDescent="0.25">
      <c r="B60" s="13" t="s">
        <v>658</v>
      </c>
      <c r="C60" s="13" t="s">
        <v>486</v>
      </c>
      <c r="D60" s="13">
        <v>2</v>
      </c>
      <c r="E60" s="3">
        <f>IF(Quantitytable[[#This Row],[Units]]=0,0,SUMIFS(Quantitytable[NeededQuantity],Quantitytable[Dish],Quantitytable[[#This Row],[Dish]],Quantitytable[[Ingredient ]],Quantitytable[[#This Row],[Ingredient ]]))</f>
        <v>0</v>
      </c>
      <c r="F60" s="3">
        <f>SUMIFS(salestable[Quantity Sold],salestable[Item Name],Quantitytable[[#This Row],[Dish]])</f>
        <v>0</v>
      </c>
      <c r="G60" s="3">
        <f>'Quantity Table'!$E60*'Quantity Table'!$F60</f>
        <v>0</v>
      </c>
      <c r="H60" s="3">
        <f>_xlfn.IFNA(VLOOKUP(Quantitytable[[#This Row],[Ingredient ]],Shoppingtable[[Item Name]:[BALANCE Cash]],5,FALSE),0)*Quantitytable[[#This Row],[NeededQuantity]]</f>
        <v>0.72941176470588232</v>
      </c>
      <c r="I60" s="3">
        <f>SUMIF(Quantitytable[Dish],Quantitytable[[#This Row],[Dish]],Quantitytable[Cost Per Dish Per Item])</f>
        <v>43.22155125892165</v>
      </c>
      <c r="J60" s="18" t="s">
        <v>502</v>
      </c>
      <c r="M60" s="9" t="s">
        <v>491</v>
      </c>
      <c r="N60">
        <v>0.375</v>
      </c>
      <c r="O60">
        <v>0</v>
      </c>
      <c r="P60">
        <v>0</v>
      </c>
      <c r="R60" s="9" t="s">
        <v>60</v>
      </c>
      <c r="S60" s="3">
        <f>SUMIF(Quantitytable[[Ingredient ]],Ingredienttablereference[[#This Row],[Ingredient Ref]],Quantitytable[Materials Used])</f>
        <v>0</v>
      </c>
      <c r="T60" s="3">
        <f>SUMIF(Shoppingtable[Item Name],Ingredienttablereference[[#This Row],[Ingredient Ref]],Shoppingtable[Prize Per Gram])*Ingredienttablereference[[#This Row],[Sum]]</f>
        <v>0</v>
      </c>
    </row>
    <row r="61" spans="2:20" x14ac:dyDescent="0.25">
      <c r="B61" s="13" t="s">
        <v>658</v>
      </c>
      <c r="C61" s="13" t="s">
        <v>487</v>
      </c>
      <c r="D61" s="13">
        <v>2</v>
      </c>
      <c r="E61" s="3">
        <f>IF(Quantitytable[[#This Row],[Units]]=0,0,SUMIFS(Quantitytable[NeededQuantity],Quantitytable[Dish],Quantitytable[[#This Row],[Dish]],Quantitytable[[Ingredient ]],Quantitytable[[#This Row],[Ingredient ]]))</f>
        <v>0</v>
      </c>
      <c r="F61" s="3">
        <f>SUMIFS(salestable[Quantity Sold],salestable[Item Name],Quantitytable[[#This Row],[Dish]])</f>
        <v>0</v>
      </c>
      <c r="G61" s="3">
        <f>'Quantity Table'!$E61*'Quantity Table'!$F61</f>
        <v>0</v>
      </c>
      <c r="H61" s="3">
        <f>_xlfn.IFNA(VLOOKUP(Quantitytable[[#This Row],[Ingredient ]],Shoppingtable[[Item Name]:[BALANCE Cash]],5,FALSE),0)*Quantitytable[[#This Row],[NeededQuantity]]</f>
        <v>2.1</v>
      </c>
      <c r="I61" s="3">
        <f>SUMIF(Quantitytable[Dish],Quantitytable[[#This Row],[Dish]],Quantitytable[Cost Per Dish Per Item])</f>
        <v>43.22155125892165</v>
      </c>
      <c r="J61" s="18" t="s">
        <v>502</v>
      </c>
      <c r="M61" s="9" t="s">
        <v>486</v>
      </c>
      <c r="N61">
        <v>2.2588235294117647</v>
      </c>
      <c r="O61">
        <v>0</v>
      </c>
      <c r="P61">
        <v>0</v>
      </c>
      <c r="R61" s="9" t="s">
        <v>62</v>
      </c>
      <c r="S61" s="3">
        <f>SUMIF(Quantitytable[[Ingredient ]],Ingredienttablereference[[#This Row],[Ingredient Ref]],Quantitytable[Materials Used])</f>
        <v>0</v>
      </c>
      <c r="T61" s="3">
        <f>SUMIF(Shoppingtable[Item Name],Ingredienttablereference[[#This Row],[Ingredient Ref]],Shoppingtable[Prize Per Gram])*Ingredienttablereference[[#This Row],[Sum]]</f>
        <v>0</v>
      </c>
    </row>
    <row r="62" spans="2:20" x14ac:dyDescent="0.25">
      <c r="B62" s="13" t="s">
        <v>658</v>
      </c>
      <c r="C62" s="13" t="s">
        <v>507</v>
      </c>
      <c r="D62" s="13">
        <v>2</v>
      </c>
      <c r="E62" s="3">
        <f>IF(Quantitytable[[#This Row],[Units]]=0,0,SUMIFS(Quantitytable[NeededQuantity],Quantitytable[Dish],Quantitytable[[#This Row],[Dish]],Quantitytable[[Ingredient ]],Quantitytable[[#This Row],[Ingredient ]]))</f>
        <v>0</v>
      </c>
      <c r="F62" s="3">
        <f>SUMIFS(salestable[Quantity Sold],salestable[Item Name],Quantitytable[[#This Row],[Dish]])</f>
        <v>0</v>
      </c>
      <c r="G62" s="3">
        <f>'Quantity Table'!$E62*'Quantity Table'!$F62</f>
        <v>0</v>
      </c>
      <c r="H62" s="3">
        <f>_xlfn.IFNA(VLOOKUP(Quantitytable[[#This Row],[Ingredient ]],Shoppingtable[[Item Name]:[BALANCE Cash]],5,FALSE),0)*Quantitytable[[#This Row],[NeededQuantity]]</f>
        <v>0.22598870056497175</v>
      </c>
      <c r="I62" s="3">
        <f>SUMIF(Quantitytable[Dish],Quantitytable[[#This Row],[Dish]],Quantitytable[Cost Per Dish Per Item])</f>
        <v>43.22155125892165</v>
      </c>
      <c r="J62" s="18" t="s">
        <v>502</v>
      </c>
      <c r="M62" s="9" t="s">
        <v>489</v>
      </c>
      <c r="N62">
        <v>3</v>
      </c>
      <c r="O62">
        <v>0</v>
      </c>
      <c r="P62">
        <v>0</v>
      </c>
      <c r="R62" s="9" t="s">
        <v>423</v>
      </c>
      <c r="S62" s="3">
        <f>SUMIF(Quantitytable[[Ingredient ]],Ingredienttablereference[[#This Row],[Ingredient Ref]],Quantitytable[Materials Used])</f>
        <v>0</v>
      </c>
      <c r="T62" s="3">
        <f>SUMIF(Shoppingtable[Item Name],Ingredienttablereference[[#This Row],[Ingredient Ref]],Shoppingtable[Prize Per Gram])*Ingredienttablereference[[#This Row],[Sum]]</f>
        <v>0</v>
      </c>
    </row>
    <row r="63" spans="2:20" x14ac:dyDescent="0.25">
      <c r="B63" s="13" t="s">
        <v>658</v>
      </c>
      <c r="C63" s="13" t="s">
        <v>538</v>
      </c>
      <c r="D63" s="13">
        <v>4</v>
      </c>
      <c r="E63" s="3">
        <f>IF(Quantitytable[[#This Row],[Units]]=0,0,SUMIFS(Quantitytable[NeededQuantity],Quantitytable[Dish],Quantitytable[[#This Row],[Dish]],Quantitytable[[Ingredient ]],Quantitytable[[#This Row],[Ingredient ]]))</f>
        <v>0</v>
      </c>
      <c r="F63" s="3">
        <f>SUMIFS(salestable[Quantity Sold],salestable[Item Name],Quantitytable[[#This Row],[Dish]])</f>
        <v>0</v>
      </c>
      <c r="G63" s="3">
        <f>'Quantity Table'!$E63*'Quantity Table'!$F63</f>
        <v>0</v>
      </c>
      <c r="H63" s="3">
        <f>_xlfn.IFNA(VLOOKUP(Quantitytable[[#This Row],[Ingredient ]],Shoppingtable[[Item Name]:[BALANCE Cash]],5,FALSE),0)*Quantitytable[[#This Row],[NeededQuantity]]</f>
        <v>0.8</v>
      </c>
      <c r="I63" s="3">
        <f>SUMIF(Quantitytable[Dish],Quantitytable[[#This Row],[Dish]],Quantitytable[Cost Per Dish Per Item])</f>
        <v>43.22155125892165</v>
      </c>
      <c r="J63" s="18" t="s">
        <v>502</v>
      </c>
      <c r="M63" s="9" t="s">
        <v>521</v>
      </c>
      <c r="N63">
        <v>1.7999999999999998</v>
      </c>
      <c r="O63">
        <v>0</v>
      </c>
      <c r="P63">
        <v>0</v>
      </c>
      <c r="R63" s="9" t="s">
        <v>63</v>
      </c>
      <c r="S63" s="3">
        <f>SUMIF(Quantitytable[[Ingredient ]],Ingredienttablereference[[#This Row],[Ingredient Ref]],Quantitytable[Materials Used])</f>
        <v>0</v>
      </c>
      <c r="T63" s="3">
        <f>SUMIF(Shoppingtable[Item Name],Ingredienttablereference[[#This Row],[Ingredient Ref]],Shoppingtable[Prize Per Gram])*Ingredienttablereference[[#This Row],[Sum]]</f>
        <v>0</v>
      </c>
    </row>
    <row r="64" spans="2:20" x14ac:dyDescent="0.25">
      <c r="B64" s="13" t="s">
        <v>658</v>
      </c>
      <c r="C64" s="13" t="s">
        <v>75</v>
      </c>
      <c r="D64" s="13">
        <v>40</v>
      </c>
      <c r="E64" s="3">
        <f>IF(Quantitytable[[#This Row],[Units]]=0,0,SUMIFS(Quantitytable[NeededQuantity],Quantitytable[Dish],Quantitytable[[#This Row],[Dish]],Quantitytable[[Ingredient ]],Quantitytable[[#This Row],[Ingredient ]]))</f>
        <v>0</v>
      </c>
      <c r="F64" s="3">
        <f>SUMIFS(salestable[Quantity Sold],salestable[Item Name],Quantitytable[[#This Row],[Dish]])</f>
        <v>0</v>
      </c>
      <c r="G64" s="3">
        <f>'Quantity Table'!$E64*'Quantity Table'!$F64</f>
        <v>0</v>
      </c>
      <c r="H64" s="3">
        <f>_xlfn.IFNA(VLOOKUP(Quantitytable[[#This Row],[Ingredient ]],Shoppingtable[[Item Name]:[BALANCE Cash]],5,FALSE),0)*Quantitytable[[#This Row],[NeededQuantity]]</f>
        <v>5.84</v>
      </c>
      <c r="I64" s="3">
        <f>SUMIF(Quantitytable[Dish],Quantitytable[[#This Row],[Dish]],Quantitytable[Cost Per Dish Per Item])</f>
        <v>43.22155125892165</v>
      </c>
      <c r="J64" s="18" t="s">
        <v>502</v>
      </c>
      <c r="M64" s="9" t="s">
        <v>505</v>
      </c>
      <c r="N64">
        <v>8.2653061224489797</v>
      </c>
      <c r="O64">
        <v>0</v>
      </c>
      <c r="P64">
        <v>0</v>
      </c>
      <c r="R64" s="9" t="s">
        <v>64</v>
      </c>
      <c r="S64" s="3">
        <f>SUMIF(Quantitytable[[Ingredient ]],Ingredienttablereference[[#This Row],[Ingredient Ref]],Quantitytable[Materials Used])</f>
        <v>0</v>
      </c>
      <c r="T64" s="3">
        <f>SUMIF(Shoppingtable[Item Name],Ingredienttablereference[[#This Row],[Ingredient Ref]],Shoppingtable[Prize Per Gram])*Ingredienttablereference[[#This Row],[Sum]]</f>
        <v>0</v>
      </c>
    </row>
    <row r="65" spans="2:20" x14ac:dyDescent="0.25">
      <c r="B65" s="13" t="s">
        <v>658</v>
      </c>
      <c r="C65" s="13" t="s">
        <v>400</v>
      </c>
      <c r="D65" s="13">
        <v>50</v>
      </c>
      <c r="E65" s="3">
        <f>IF(Quantitytable[[#This Row],[Units]]=0,0,SUMIFS(Quantitytable[NeededQuantity],Quantitytable[Dish],Quantitytable[[#This Row],[Dish]],Quantitytable[[Ingredient ]],Quantitytable[[#This Row],[Ingredient ]]))</f>
        <v>0</v>
      </c>
      <c r="F65" s="3">
        <f>SUMIFS(salestable[Quantity Sold],salestable[Item Name],Quantitytable[[#This Row],[Dish]])</f>
        <v>0</v>
      </c>
      <c r="G65" s="3">
        <f>'Quantity Table'!$E65*'Quantity Table'!$F65</f>
        <v>0</v>
      </c>
      <c r="H65" s="3">
        <f>_xlfn.IFNA(VLOOKUP(Quantitytable[[#This Row],[Ingredient ]],Shoppingtable[[Item Name]:[BALANCE Cash]],5,FALSE),0)*Quantitytable[[#This Row],[NeededQuantity]]</f>
        <v>1.5</v>
      </c>
      <c r="I65" s="3">
        <f>SUMIF(Quantitytable[Dish],Quantitytable[[#This Row],[Dish]],Quantitytable[Cost Per Dish Per Item])</f>
        <v>43.22155125892165</v>
      </c>
      <c r="J65" s="18" t="s">
        <v>502</v>
      </c>
      <c r="M65" s="9" t="s">
        <v>503</v>
      </c>
      <c r="N65">
        <v>1</v>
      </c>
      <c r="O65">
        <v>0</v>
      </c>
      <c r="P65">
        <v>0</v>
      </c>
      <c r="R65" s="9" t="s">
        <v>65</v>
      </c>
      <c r="S65" s="3">
        <f>SUMIF(Quantitytable[[Ingredient ]],Ingredienttablereference[[#This Row],[Ingredient Ref]],Quantitytable[Materials Used])</f>
        <v>0</v>
      </c>
      <c r="T65" s="3">
        <f>SUMIF(Shoppingtable[Item Name],Ingredienttablereference[[#This Row],[Ingredient Ref]],Shoppingtable[Prize Per Gram])*Ingredienttablereference[[#This Row],[Sum]]</f>
        <v>0</v>
      </c>
    </row>
    <row r="66" spans="2:20" x14ac:dyDescent="0.25">
      <c r="B66" s="13" t="s">
        <v>658</v>
      </c>
      <c r="C66" s="13" t="s">
        <v>399</v>
      </c>
      <c r="D66" s="13">
        <v>80</v>
      </c>
      <c r="E66" s="3">
        <f>IF(Quantitytable[[#This Row],[Units]]=0,0,SUMIFS(Quantitytable[NeededQuantity],Quantitytable[Dish],Quantitytable[[#This Row],[Dish]],Quantitytable[[Ingredient ]],Quantitytable[[#This Row],[Ingredient ]]))</f>
        <v>0</v>
      </c>
      <c r="F66" s="3">
        <f>SUMIFS(salestable[Quantity Sold],salestable[Item Name],Quantitytable[[#This Row],[Dish]])</f>
        <v>0</v>
      </c>
      <c r="G66" s="3">
        <f>'Quantity Table'!$E66*'Quantity Table'!$F66</f>
        <v>0</v>
      </c>
      <c r="H66" s="3">
        <f>_xlfn.IFNA(VLOOKUP(Quantitytable[[#This Row],[Ingredient ]],Shoppingtable[[Item Name]:[BALANCE Cash]],5,FALSE),0)*Quantitytable[[#This Row],[NeededQuantity]]</f>
        <v>3.3200000000000003</v>
      </c>
      <c r="I66" s="3">
        <f>SUMIF(Quantitytable[Dish],Quantitytable[[#This Row],[Dish]],Quantitytable[Cost Per Dish Per Item])</f>
        <v>43.22155125892165</v>
      </c>
      <c r="J66" s="18" t="s">
        <v>502</v>
      </c>
      <c r="M66" s="9" t="s">
        <v>506</v>
      </c>
      <c r="N66">
        <v>7.9279279279279278</v>
      </c>
      <c r="O66">
        <v>0</v>
      </c>
      <c r="P66">
        <v>0</v>
      </c>
      <c r="R66" s="9" t="s">
        <v>67</v>
      </c>
      <c r="S66" s="3">
        <f>SUMIF(Quantitytable[[Ingredient ]],Ingredienttablereference[[#This Row],[Ingredient Ref]],Quantitytable[Materials Used])</f>
        <v>0</v>
      </c>
      <c r="T66" s="3">
        <f>SUMIF(Shoppingtable[Item Name],Ingredienttablereference[[#This Row],[Ingredient Ref]],Shoppingtable[Prize Per Gram])*Ingredienttablereference[[#This Row],[Sum]]</f>
        <v>0</v>
      </c>
    </row>
    <row r="67" spans="2:20" x14ac:dyDescent="0.25">
      <c r="B67" s="13" t="s">
        <v>658</v>
      </c>
      <c r="C67" s="13" t="s">
        <v>600</v>
      </c>
      <c r="D67" s="13">
        <v>150</v>
      </c>
      <c r="E67" s="3">
        <f>IF(Quantitytable[[#This Row],[Units]]=0,0,SUMIFS(Quantitytable[NeededQuantity],Quantitytable[Dish],Quantitytable[[#This Row],[Dish]],Quantitytable[[Ingredient ]],Quantitytable[[#This Row],[Ingredient ]]))</f>
        <v>0</v>
      </c>
      <c r="F67" s="3">
        <f>SUMIFS(salestable[Quantity Sold],salestable[Item Name],Quantitytable[[#This Row],[Dish]])</f>
        <v>0</v>
      </c>
      <c r="G67" s="3">
        <f>'Quantity Table'!$E67*'Quantity Table'!$F67</f>
        <v>0</v>
      </c>
      <c r="H67" s="3">
        <f>_xlfn.IFNA(VLOOKUP(Quantitytable[[#This Row],[Ingredient ]],Shoppingtable[[Item Name]:[BALANCE Cash]],5,FALSE),0)*Quantitytable[[#This Row],[NeededQuantity]]</f>
        <v>13.3125</v>
      </c>
      <c r="I67" s="3">
        <f>SUMIF(Quantitytable[Dish],Quantitytable[[#This Row],[Dish]],Quantitytable[Cost Per Dish Per Item])</f>
        <v>43.22155125892165</v>
      </c>
      <c r="J67" s="18" t="s">
        <v>502</v>
      </c>
      <c r="M67" s="9" t="s">
        <v>542</v>
      </c>
      <c r="N67">
        <v>4.8</v>
      </c>
      <c r="O67">
        <v>0</v>
      </c>
      <c r="P67">
        <v>0</v>
      </c>
      <c r="R67" s="9" t="s">
        <v>68</v>
      </c>
      <c r="S67" s="3">
        <f>SUMIF(Quantitytable[[Ingredient ]],Ingredienttablereference[[#This Row],[Ingredient Ref]],Quantitytable[Materials Used])</f>
        <v>0</v>
      </c>
      <c r="T67" s="3">
        <f>SUMIF(Shoppingtable[Item Name],Ingredienttablereference[[#This Row],[Ingredient Ref]],Shoppingtable[Prize Per Gram])*Ingredienttablereference[[#This Row],[Sum]]</f>
        <v>0</v>
      </c>
    </row>
    <row r="68" spans="2:20" x14ac:dyDescent="0.25">
      <c r="B68" s="13" t="s">
        <v>658</v>
      </c>
      <c r="C68" s="13" t="s">
        <v>89</v>
      </c>
      <c r="D68" s="13">
        <v>150</v>
      </c>
      <c r="E68" s="3">
        <f>IF(Quantitytable[[#This Row],[Units]]=0,0,SUMIFS(Quantitytable[NeededQuantity],Quantitytable[Dish],Quantitytable[[#This Row],[Dish]],Quantitytable[[Ingredient ]],Quantitytable[[#This Row],[Ingredient ]]))</f>
        <v>0</v>
      </c>
      <c r="F68" s="3">
        <f>SUMIFS(salestable[Quantity Sold],salestable[Item Name],Quantitytable[[#This Row],[Dish]])</f>
        <v>0</v>
      </c>
      <c r="G68" s="3">
        <f>'Quantity Table'!$E68*'Quantity Table'!$F68</f>
        <v>0</v>
      </c>
      <c r="H68" s="3">
        <f>_xlfn.IFNA(VLOOKUP(Quantitytable[[#This Row],[Ingredient ]],Shoppingtable[[Item Name]:[BALANCE Cash]],5,FALSE),0)*Quantitytable[[#This Row],[NeededQuantity]]</f>
        <v>9</v>
      </c>
      <c r="I68" s="3">
        <f>SUMIF(Quantitytable[Dish],Quantitytable[[#This Row],[Dish]],Quantitytable[Cost Per Dish Per Item])</f>
        <v>43.22155125892165</v>
      </c>
      <c r="J68" s="18" t="s">
        <v>502</v>
      </c>
      <c r="M68" s="9" t="s">
        <v>480</v>
      </c>
      <c r="N68">
        <v>1.25</v>
      </c>
      <c r="O68">
        <v>0</v>
      </c>
      <c r="P68">
        <v>0</v>
      </c>
      <c r="R68" s="9" t="s">
        <v>69</v>
      </c>
      <c r="S68" s="3">
        <f>SUMIF(Quantitytable[[Ingredient ]],Ingredienttablereference[[#This Row],[Ingredient Ref]],Quantitytable[Materials Used])</f>
        <v>0</v>
      </c>
      <c r="T68" s="3">
        <f>SUMIF(Shoppingtable[Item Name],Ingredienttablereference[[#This Row],[Ingredient Ref]],Shoppingtable[Prize Per Gram])*Ingredienttablereference[[#This Row],[Sum]]</f>
        <v>0</v>
      </c>
    </row>
    <row r="69" spans="2:20" x14ac:dyDescent="0.25">
      <c r="B69" s="13" t="s">
        <v>658</v>
      </c>
      <c r="C69" s="13" t="s">
        <v>44</v>
      </c>
      <c r="D69" s="13">
        <v>160</v>
      </c>
      <c r="E69" s="3">
        <f>IF(Quantitytable[[#This Row],[Units]]=0,0,SUMIFS(Quantitytable[NeededQuantity],Quantitytable[Dish],Quantitytable[[#This Row],[Dish]],Quantitytable[[Ingredient ]],Quantitytable[[#This Row],[Ingredient ]]))</f>
        <v>0</v>
      </c>
      <c r="F69" s="3">
        <f>SUMIFS(salestable[Quantity Sold],salestable[Item Name],Quantitytable[[#This Row],[Dish]])</f>
        <v>0</v>
      </c>
      <c r="G69" s="3">
        <f>'Quantity Table'!$E69*'Quantity Table'!$F69</f>
        <v>0</v>
      </c>
      <c r="H69" s="3">
        <f>_xlfn.IFNA(VLOOKUP(Quantitytable[[#This Row],[Ingredient ]],Shoppingtable[[Item Name]:[BALANCE Cash]],5,FALSE),0)*Quantitytable[[#This Row],[NeededQuantity]]</f>
        <v>4.5714285714285712</v>
      </c>
      <c r="I69" s="3">
        <f>SUMIF(Quantitytable[Dish],Quantitytable[[#This Row],[Dish]],Quantitytable[Cost Per Dish Per Item])</f>
        <v>43.22155125892165</v>
      </c>
      <c r="J69" s="18" t="s">
        <v>502</v>
      </c>
      <c r="M69" s="9" t="s">
        <v>146</v>
      </c>
      <c r="N69">
        <v>5</v>
      </c>
      <c r="O69">
        <v>0</v>
      </c>
      <c r="P69">
        <v>0</v>
      </c>
      <c r="R69" s="9" t="s">
        <v>70</v>
      </c>
      <c r="S69" s="3">
        <f>SUMIF(Quantitytable[[Ingredient ]],Ingredienttablereference[[#This Row],[Ingredient Ref]],Quantitytable[Materials Used])</f>
        <v>0</v>
      </c>
      <c r="T69" s="3">
        <f>SUMIF(Shoppingtable[Item Name],Ingredienttablereference[[#This Row],[Ingredient Ref]],Shoppingtable[Prize Per Gram])*Ingredienttablereference[[#This Row],[Sum]]</f>
        <v>0</v>
      </c>
    </row>
    <row r="70" spans="2:20" x14ac:dyDescent="0.25">
      <c r="B70" s="13" t="s">
        <v>148</v>
      </c>
      <c r="C70" s="13" t="s">
        <v>36</v>
      </c>
      <c r="D70" s="13">
        <v>5</v>
      </c>
      <c r="E70" s="3">
        <f>IF(Quantitytable[[#This Row],[Units]]=0,0,SUMIFS(Quantitytable[NeededQuantity],Quantitytable[Dish],Quantitytable[[#This Row],[Dish]],Quantitytable[[Ingredient ]],Quantitytable[[#This Row],[Ingredient ]]))</f>
        <v>0</v>
      </c>
      <c r="F70" s="3">
        <f>SUMIFS(salestable[Quantity Sold],salestable[Item Name],Quantitytable[[#This Row],[Dish]])</f>
        <v>0</v>
      </c>
      <c r="G70" s="3">
        <f>'Quantity Table'!$E70*'Quantity Table'!$F70</f>
        <v>0</v>
      </c>
      <c r="H70" s="3">
        <f>_xlfn.IFNA(VLOOKUP(Quantitytable[[#This Row],[Ingredient ]],Shoppingtable[[Item Name]:[BALANCE Cash]],5,FALSE),0)*Quantitytable[[#This Row],[NeededQuantity]]</f>
        <v>2.5</v>
      </c>
      <c r="I70" s="3">
        <f>SUMIF(Quantitytable[Dish],Quantitytable[[#This Row],[Dish]],Quantitytable[Cost Per Dish Per Item])</f>
        <v>2.75</v>
      </c>
      <c r="J70" s="18" t="s">
        <v>502</v>
      </c>
      <c r="M70" s="9" t="s">
        <v>560</v>
      </c>
      <c r="N70">
        <v>5.55</v>
      </c>
      <c r="O70">
        <v>0</v>
      </c>
      <c r="P70">
        <v>0</v>
      </c>
      <c r="R70" s="9" t="s">
        <v>71</v>
      </c>
      <c r="S70" s="3">
        <f>SUMIF(Quantitytable[[Ingredient ]],Ingredienttablereference[[#This Row],[Ingredient Ref]],Quantitytable[Materials Used])</f>
        <v>0</v>
      </c>
      <c r="T70" s="3">
        <f>SUMIF(Shoppingtable[Item Name],Ingredienttablereference[[#This Row],[Ingredient Ref]],Shoppingtable[Prize Per Gram])*Ingredienttablereference[[#This Row],[Sum]]</f>
        <v>0</v>
      </c>
    </row>
    <row r="71" spans="2:20" x14ac:dyDescent="0.25">
      <c r="B71" s="13" t="s">
        <v>148</v>
      </c>
      <c r="C71" s="13" t="s">
        <v>102</v>
      </c>
      <c r="D71" s="13">
        <v>5</v>
      </c>
      <c r="E71" s="3">
        <f>IF(Quantitytable[[#This Row],[Units]]=0,0,SUMIFS(Quantitytable[NeededQuantity],Quantitytable[Dish],Quantitytable[[#This Row],[Dish]],Quantitytable[[Ingredient ]],Quantitytable[[#This Row],[Ingredient ]]))</f>
        <v>0</v>
      </c>
      <c r="F71" s="3">
        <f>SUMIFS(salestable[Quantity Sold],salestable[Item Name],Quantitytable[[#This Row],[Dish]])</f>
        <v>0</v>
      </c>
      <c r="G71" s="3">
        <f>'Quantity Table'!$E71*'Quantity Table'!$F71</f>
        <v>0</v>
      </c>
      <c r="H71" s="3">
        <f>_xlfn.IFNA(VLOOKUP(Quantitytable[[#This Row],[Ingredient ]],Shoppingtable[[Item Name]:[BALANCE Cash]],5,FALSE),0)*Quantitytable[[#This Row],[NeededQuantity]]</f>
        <v>0.25</v>
      </c>
      <c r="I71" s="3">
        <f>SUMIF(Quantitytable[Dish],Quantitytable[[#This Row],[Dish]],Quantitytable[Cost Per Dish Per Item])</f>
        <v>2.75</v>
      </c>
      <c r="J71" s="18" t="s">
        <v>502</v>
      </c>
      <c r="M71" s="9" t="s">
        <v>577</v>
      </c>
      <c r="N71">
        <v>58.269230769230752</v>
      </c>
      <c r="O71">
        <v>1</v>
      </c>
      <c r="P71">
        <v>50</v>
      </c>
      <c r="R71" s="9" t="s">
        <v>415</v>
      </c>
      <c r="S71" s="3">
        <f>SUMIF(Quantitytable[[Ingredient ]],Ingredienttablereference[[#This Row],[Ingredient Ref]],Quantitytable[Materials Used])</f>
        <v>0</v>
      </c>
      <c r="T71" s="3">
        <f>SUMIF(Shoppingtable[Item Name],Ingredienttablereference[[#This Row],[Ingredient Ref]],Shoppingtable[Prize Per Gram])*Ingredienttablereference[[#This Row],[Sum]]</f>
        <v>0</v>
      </c>
    </row>
    <row r="72" spans="2:20" x14ac:dyDescent="0.25">
      <c r="B72" s="13" t="s">
        <v>311</v>
      </c>
      <c r="C72" s="13" t="s">
        <v>45</v>
      </c>
      <c r="D72" s="13">
        <v>1</v>
      </c>
      <c r="E72" s="3">
        <f>IF(Quantitytable[[#This Row],[Units]]=0,0,SUMIFS(Quantitytable[NeededQuantity],Quantitytable[Dish],Quantitytable[[#This Row],[Dish]],Quantitytable[[Ingredient ]],Quantitytable[[#This Row],[Ingredient ]]))</f>
        <v>0</v>
      </c>
      <c r="F72" s="3">
        <f>SUMIFS(salestable[Quantity Sold],salestable[Item Name],Quantitytable[[#This Row],[Dish]])</f>
        <v>0</v>
      </c>
      <c r="G72" s="3">
        <f>'Quantity Table'!$E72*'Quantity Table'!$F72</f>
        <v>0</v>
      </c>
      <c r="H72" s="3">
        <f>_xlfn.IFNA(VLOOKUP(Quantitytable[[#This Row],[Ingredient ]],Shoppingtable[[Item Name]:[BALANCE Cash]],5,FALSE),0)*Quantitytable[[#This Row],[NeededQuantity]]</f>
        <v>7</v>
      </c>
      <c r="I72" s="3">
        <f>SUMIF(Quantitytable[Dish],Quantitytable[[#This Row],[Dish]],Quantitytable[Cost Per Dish Per Item])</f>
        <v>7</v>
      </c>
      <c r="J72" s="18" t="s">
        <v>502</v>
      </c>
      <c r="M72" s="9" t="s">
        <v>576</v>
      </c>
      <c r="N72">
        <v>58.916666666666671</v>
      </c>
      <c r="O72">
        <v>1</v>
      </c>
      <c r="P72">
        <v>50</v>
      </c>
      <c r="R72" s="9" t="s">
        <v>72</v>
      </c>
      <c r="S72" s="3">
        <f>SUMIF(Quantitytable[[Ingredient ]],Ingredienttablereference[[#This Row],[Ingredient Ref]],Quantitytable[Materials Used])</f>
        <v>0</v>
      </c>
      <c r="T72" s="3">
        <f>SUMIF(Shoppingtable[Item Name],Ingredienttablereference[[#This Row],[Ingredient Ref]],Shoppingtable[Prize Per Gram])*Ingredienttablereference[[#This Row],[Sum]]</f>
        <v>0</v>
      </c>
    </row>
    <row r="73" spans="2:20" x14ac:dyDescent="0.25">
      <c r="B73" s="13" t="s">
        <v>145</v>
      </c>
      <c r="C73" s="13" t="s">
        <v>145</v>
      </c>
      <c r="D73" s="13">
        <v>1</v>
      </c>
      <c r="E73" s="3">
        <f>IF(Quantitytable[[#This Row],[Units]]=0,0,SUMIFS(Quantitytable[NeededQuantity],Quantitytable[Dish],Quantitytable[[#This Row],[Dish]],Quantitytable[[Ingredient ]],Quantitytable[[#This Row],[Ingredient ]]))</f>
        <v>0</v>
      </c>
      <c r="F73" s="3">
        <f>SUMIFS(salestable[Quantity Sold],salestable[Item Name],Quantitytable[[#This Row],[Dish]])</f>
        <v>0</v>
      </c>
      <c r="G73" s="3">
        <f>'Quantity Table'!$E73*'Quantity Table'!$F73</f>
        <v>0</v>
      </c>
      <c r="H73" s="3">
        <f>_xlfn.IFNA(VLOOKUP(Quantitytable[[#This Row],[Ingredient ]],Shoppingtable[[Item Name]:[BALANCE Cash]],5,FALSE),0)*Quantitytable[[#This Row],[NeededQuantity]]</f>
        <v>5</v>
      </c>
      <c r="I73" s="3">
        <f>SUMIF(Quantitytable[Dish],Quantitytable[[#This Row],[Dish]],Quantitytable[Cost Per Dish Per Item])</f>
        <v>16.899999999999999</v>
      </c>
      <c r="J73" s="18" t="s">
        <v>502</v>
      </c>
      <c r="M73" s="9" t="s">
        <v>394</v>
      </c>
      <c r="N73">
        <v>1077.2957252249562</v>
      </c>
      <c r="O73">
        <v>4</v>
      </c>
      <c r="P73">
        <v>280</v>
      </c>
      <c r="R73" s="9" t="s">
        <v>414</v>
      </c>
      <c r="S73" s="3">
        <f>SUMIF(Quantitytable[[Ingredient ]],Ingredienttablereference[[#This Row],[Ingredient Ref]],Quantitytable[Materials Used])</f>
        <v>0</v>
      </c>
      <c r="T73" s="3">
        <f>SUMIF(Shoppingtable[Item Name],Ingredienttablereference[[#This Row],[Ingredient Ref]],Shoppingtable[Prize Per Gram])*Ingredienttablereference[[#This Row],[Sum]]</f>
        <v>0</v>
      </c>
    </row>
    <row r="74" spans="2:20" x14ac:dyDescent="0.25">
      <c r="B74" s="13" t="s">
        <v>145</v>
      </c>
      <c r="C74" s="13" t="s">
        <v>102</v>
      </c>
      <c r="D74" s="13">
        <v>10</v>
      </c>
      <c r="E74" s="3">
        <f>IF(Quantitytable[[#This Row],[Units]]=0,0,SUMIFS(Quantitytable[NeededQuantity],Quantitytable[Dish],Quantitytable[[#This Row],[Dish]],Quantitytable[[Ingredient ]],Quantitytable[[#This Row],[Ingredient ]]))</f>
        <v>0</v>
      </c>
      <c r="F74" s="3">
        <f>SUMIFS(salestable[Quantity Sold],salestable[Item Name],Quantitytable[[#This Row],[Dish]])</f>
        <v>0</v>
      </c>
      <c r="G74" s="3">
        <f>'Quantity Table'!$E74*'Quantity Table'!$F74</f>
        <v>0</v>
      </c>
      <c r="H74" s="3">
        <f>_xlfn.IFNA(VLOOKUP(Quantitytable[[#This Row],[Ingredient ]],Shoppingtable[[Item Name]:[BALANCE Cash]],5,FALSE),0)*Quantitytable[[#This Row],[NeededQuantity]]</f>
        <v>0.5</v>
      </c>
      <c r="I74" s="3">
        <f>SUMIF(Quantitytable[Dish],Quantitytable[[#This Row],[Dish]],Quantitytable[Cost Per Dish Per Item])</f>
        <v>16.899999999999999</v>
      </c>
      <c r="J74" s="18" t="s">
        <v>502</v>
      </c>
      <c r="R74" s="9" t="s">
        <v>73</v>
      </c>
      <c r="S74" s="3">
        <f>SUMIF(Quantitytable[[Ingredient ]],Ingredienttablereference[[#This Row],[Ingredient Ref]],Quantitytable[Materials Used])</f>
        <v>0</v>
      </c>
      <c r="T74" s="3">
        <f>SUMIF(Shoppingtable[Item Name],Ingredienttablereference[[#This Row],[Ingredient Ref]],Shoppingtable[Prize Per Gram])*Ingredienttablereference[[#This Row],[Sum]]</f>
        <v>0</v>
      </c>
    </row>
    <row r="75" spans="2:20" x14ac:dyDescent="0.25">
      <c r="B75" s="13" t="s">
        <v>145</v>
      </c>
      <c r="C75" s="13" t="s">
        <v>67</v>
      </c>
      <c r="D75" s="13">
        <v>150</v>
      </c>
      <c r="E75" s="3">
        <f>IF(Quantitytable[[#This Row],[Units]]=0,0,SUMIFS(Quantitytable[NeededQuantity],Quantitytable[Dish],Quantitytable[[#This Row],[Dish]],Quantitytable[[Ingredient ]],Quantitytable[[#This Row],[Ingredient ]]))</f>
        <v>0</v>
      </c>
      <c r="F75" s="3">
        <f>SUMIFS(salestable[Quantity Sold],salestable[Item Name],Quantitytable[[#This Row],[Dish]])</f>
        <v>0</v>
      </c>
      <c r="G75" s="3">
        <f>'Quantity Table'!$E75*'Quantity Table'!$F75</f>
        <v>0</v>
      </c>
      <c r="H75" s="3">
        <f>_xlfn.IFNA(VLOOKUP(Quantitytable[[#This Row],[Ingredient ]],Shoppingtable[[Item Name]:[BALANCE Cash]],5,FALSE),0)*Quantitytable[[#This Row],[NeededQuantity]]</f>
        <v>11.4</v>
      </c>
      <c r="I75" s="3">
        <f>SUMIF(Quantitytable[Dish],Quantitytable[[#This Row],[Dish]],Quantitytable[Cost Per Dish Per Item])</f>
        <v>16.899999999999999</v>
      </c>
      <c r="J75" s="18" t="s">
        <v>502</v>
      </c>
      <c r="R75" s="9" t="s">
        <v>413</v>
      </c>
      <c r="S75" s="3">
        <f>SUMIF(Quantitytable[[Ingredient ]],Ingredienttablereference[[#This Row],[Ingredient Ref]],Quantitytable[Materials Used])</f>
        <v>0</v>
      </c>
      <c r="T75" s="3">
        <f>SUMIF(Shoppingtable[Item Name],Ingredienttablereference[[#This Row],[Ingredient Ref]],Shoppingtable[Prize Per Gram])*Ingredienttablereference[[#This Row],[Sum]]</f>
        <v>0</v>
      </c>
    </row>
    <row r="76" spans="2:20" x14ac:dyDescent="0.25">
      <c r="B76" s="13" t="s">
        <v>257</v>
      </c>
      <c r="C76" s="13" t="s">
        <v>576</v>
      </c>
      <c r="D76" s="13">
        <v>50</v>
      </c>
      <c r="E76" s="3">
        <f>IF(Quantitytable[[#This Row],[Units]]=0,0,SUMIFS(Quantitytable[NeededQuantity],Quantitytable[Dish],Quantitytable[[#This Row],[Dish]],Quantitytable[[Ingredient ]],Quantitytable[[#This Row],[Ingredient ]]))</f>
        <v>0</v>
      </c>
      <c r="F76" s="3">
        <f>SUMIFS(salestable[Quantity Sold],salestable[Item Name],Quantitytable[[#This Row],[Dish]])</f>
        <v>0</v>
      </c>
      <c r="G76" s="3">
        <f>'Quantity Table'!$E76*'Quantity Table'!$F76</f>
        <v>0</v>
      </c>
      <c r="H76" s="3">
        <f>_xlfn.IFNA(VLOOKUP(Quantitytable[[#This Row],[Ingredient ]],Shoppingtable[[Item Name]:[BALANCE Cash]],5,FALSE),0)*Quantitytable[[#This Row],[NeededQuantity]]</f>
        <v>2.9166666666666665</v>
      </c>
      <c r="I76" s="3">
        <f>SUMIF(Quantitytable[Dish],Quantitytable[[#This Row],[Dish]],Quantitytable[Cost Per Dish Per Item])</f>
        <v>22.543706293706297</v>
      </c>
      <c r="J76" s="18" t="s">
        <v>502</v>
      </c>
      <c r="R76" s="9" t="s">
        <v>399</v>
      </c>
      <c r="S76" s="3">
        <f>SUMIF(Quantitytable[[Ingredient ]],Ingredienttablereference[[#This Row],[Ingredient Ref]],Quantitytable[Materials Used])</f>
        <v>0</v>
      </c>
      <c r="T76" s="3">
        <f>SUMIF(Shoppingtable[Item Name],Ingredienttablereference[[#This Row],[Ingredient Ref]],Shoppingtable[Prize Per Gram])*Ingredienttablereference[[#This Row],[Sum]]</f>
        <v>0</v>
      </c>
    </row>
    <row r="77" spans="2:20" x14ac:dyDescent="0.25">
      <c r="B77" s="13" t="s">
        <v>257</v>
      </c>
      <c r="C77" s="13" t="s">
        <v>577</v>
      </c>
      <c r="D77" s="13">
        <v>50</v>
      </c>
      <c r="E77" s="3">
        <f>IF(Quantitytable[[#This Row],[Units]]=0,0,SUMIFS(Quantitytable[NeededQuantity],Quantitytable[Dish],Quantitytable[[#This Row],[Dish]],Quantitytable[[Ingredient ]],Quantitytable[[#This Row],[Ingredient ]]))</f>
        <v>0</v>
      </c>
      <c r="F77" s="3">
        <f>SUMIFS(salestable[Quantity Sold],salestable[Item Name],Quantitytable[[#This Row],[Dish]])</f>
        <v>0</v>
      </c>
      <c r="G77" s="3">
        <f>'Quantity Table'!$E77*'Quantity Table'!$F77</f>
        <v>0</v>
      </c>
      <c r="H77" s="3">
        <f>_xlfn.IFNA(VLOOKUP(Quantitytable[[#This Row],[Ingredient ]],Shoppingtable[[Item Name]:[BALANCE Cash]],5,FALSE),0)*Quantitytable[[#This Row],[NeededQuantity]]</f>
        <v>2.8846153846153846</v>
      </c>
      <c r="I77" s="3">
        <f>SUMIF(Quantitytable[Dish],Quantitytable[[#This Row],[Dish]],Quantitytable[Cost Per Dish Per Item])</f>
        <v>22.543706293706297</v>
      </c>
      <c r="J77" s="18" t="s">
        <v>502</v>
      </c>
      <c r="R77" s="9" t="s">
        <v>78</v>
      </c>
      <c r="S77" s="3">
        <f>SUMIF(Quantitytable[[Ingredient ]],Ingredienttablereference[[#This Row],[Ingredient Ref]],Quantitytable[Materials Used])</f>
        <v>0</v>
      </c>
      <c r="T77" s="3">
        <f>SUMIF(Shoppingtable[Item Name],Ingredienttablereference[[#This Row],[Ingredient Ref]],Shoppingtable[Prize Per Gram])*Ingredienttablereference[[#This Row],[Sum]]</f>
        <v>0</v>
      </c>
    </row>
    <row r="78" spans="2:20" x14ac:dyDescent="0.25">
      <c r="B78" s="13" t="s">
        <v>257</v>
      </c>
      <c r="C78" s="13" t="s">
        <v>98</v>
      </c>
      <c r="D78" s="13">
        <v>80</v>
      </c>
      <c r="E78" s="3">
        <f>IF(Quantitytable[[#This Row],[Units]]=0,0,SUMIFS(Quantitytable[NeededQuantity],Quantitytable[Dish],Quantitytable[[#This Row],[Dish]],Quantitytable[[Ingredient ]],Quantitytable[[#This Row],[Ingredient ]]))</f>
        <v>0</v>
      </c>
      <c r="F78" s="3">
        <f>SUMIFS(salestable[Quantity Sold],salestable[Item Name],Quantitytable[[#This Row],[Dish]])</f>
        <v>0</v>
      </c>
      <c r="G78" s="3">
        <f>'Quantity Table'!$E78*'Quantity Table'!$F78</f>
        <v>0</v>
      </c>
      <c r="H78" s="3">
        <f>_xlfn.IFNA(VLOOKUP(Quantitytable[[#This Row],[Ingredient ]],Shoppingtable[[Item Name]:[BALANCE Cash]],5,FALSE),0)*Quantitytable[[#This Row],[NeededQuantity]]</f>
        <v>4.3333333333333339</v>
      </c>
      <c r="I78" s="3">
        <f>SUMIF(Quantitytable[Dish],Quantitytable[[#This Row],[Dish]],Quantitytable[Cost Per Dish Per Item])</f>
        <v>22.543706293706297</v>
      </c>
      <c r="J78" s="18" t="s">
        <v>502</v>
      </c>
      <c r="R78" s="9" t="s">
        <v>79</v>
      </c>
      <c r="S78" s="3">
        <f>SUMIF(Quantitytable[[Ingredient ]],Ingredienttablereference[[#This Row],[Ingredient Ref]],Quantitytable[Materials Used])</f>
        <v>0</v>
      </c>
      <c r="T78" s="3">
        <f>SUMIF(Shoppingtable[Item Name],Ingredienttablereference[[#This Row],[Ingredient Ref]],Shoppingtable[Prize Per Gram])*Ingredienttablereference[[#This Row],[Sum]]</f>
        <v>0</v>
      </c>
    </row>
    <row r="79" spans="2:20" x14ac:dyDescent="0.25">
      <c r="B79" s="13" t="s">
        <v>257</v>
      </c>
      <c r="C79" s="13" t="s">
        <v>18</v>
      </c>
      <c r="D79" s="13">
        <v>50</v>
      </c>
      <c r="E79" s="3">
        <f>IF(Quantitytable[[#This Row],[Units]]=0,0,SUMIFS(Quantitytable[NeededQuantity],Quantitytable[Dish],Quantitytable[[#This Row],[Dish]],Quantitytable[[Ingredient ]],Quantitytable[[#This Row],[Ingredient ]]))</f>
        <v>0</v>
      </c>
      <c r="F79" s="3">
        <f>SUMIFS(salestable[Quantity Sold],salestable[Item Name],Quantitytable[[#This Row],[Dish]])</f>
        <v>0</v>
      </c>
      <c r="G79" s="3">
        <f>'Quantity Table'!$E79*'Quantity Table'!$F79</f>
        <v>0</v>
      </c>
      <c r="H79" s="3">
        <f>_xlfn.IFNA(VLOOKUP(Quantitytable[[#This Row],[Ingredient ]],Shoppingtable[[Item Name]:[BALANCE Cash]],5,FALSE),0)*Quantitytable[[#This Row],[NeededQuantity]]</f>
        <v>7.5</v>
      </c>
      <c r="I79" s="3">
        <f>SUMIF(Quantitytable[Dish],Quantitytable[[#This Row],[Dish]],Quantitytable[Cost Per Dish Per Item])</f>
        <v>22.543706293706297</v>
      </c>
      <c r="J79" s="18" t="s">
        <v>502</v>
      </c>
      <c r="R79" s="9" t="s">
        <v>80</v>
      </c>
      <c r="S79" s="3">
        <f>SUMIF(Quantitytable[[Ingredient ]],Ingredienttablereference[[#This Row],[Ingredient Ref]],Quantitytable[Materials Used])</f>
        <v>0</v>
      </c>
      <c r="T79" s="3">
        <f>SUMIF(Shoppingtable[Item Name],Ingredienttablereference[[#This Row],[Ingredient Ref]],Shoppingtable[Prize Per Gram])*Ingredienttablereference[[#This Row],[Sum]]</f>
        <v>0</v>
      </c>
    </row>
    <row r="80" spans="2:20" x14ac:dyDescent="0.25">
      <c r="B80" s="13" t="s">
        <v>257</v>
      </c>
      <c r="C80" s="13" t="s">
        <v>419</v>
      </c>
      <c r="D80" s="13">
        <v>8</v>
      </c>
      <c r="E80" s="3">
        <f>IF(Quantitytable[[#This Row],[Units]]=0,0,SUMIFS(Quantitytable[NeededQuantity],Quantitytable[Dish],Quantitytable[[#This Row],[Dish]],Quantitytable[[Ingredient ]],Quantitytable[[#This Row],[Ingredient ]]))</f>
        <v>0</v>
      </c>
      <c r="F80" s="3">
        <f>SUMIFS(salestable[Quantity Sold],salestable[Item Name],Quantitytable[[#This Row],[Dish]])</f>
        <v>0</v>
      </c>
      <c r="G80" s="3">
        <f>'Quantity Table'!$E80*'Quantity Table'!$F80</f>
        <v>0</v>
      </c>
      <c r="H80" s="3">
        <f>_xlfn.IFNA(VLOOKUP(Quantitytable[[#This Row],[Ingredient ]],Shoppingtable[[Item Name]:[BALANCE Cash]],5,FALSE),0)*Quantitytable[[#This Row],[NeededQuantity]]</f>
        <v>0.90909090909090906</v>
      </c>
      <c r="I80" s="3">
        <f>SUMIF(Quantitytable[Dish],Quantitytable[[#This Row],[Dish]],Quantitytable[Cost Per Dish Per Item])</f>
        <v>22.543706293706297</v>
      </c>
      <c r="J80" s="18" t="s">
        <v>502</v>
      </c>
      <c r="R80" s="9" t="s">
        <v>81</v>
      </c>
      <c r="S80" s="3">
        <f>SUMIF(Quantitytable[[Ingredient ]],Ingredienttablereference[[#This Row],[Ingredient Ref]],Quantitytable[Materials Used])</f>
        <v>0</v>
      </c>
      <c r="T80" s="3">
        <f>SUMIF(Shoppingtable[Item Name],Ingredienttablereference[[#This Row],[Ingredient Ref]],Shoppingtable[Prize Per Gram])*Ingredienttablereference[[#This Row],[Sum]]</f>
        <v>0</v>
      </c>
    </row>
    <row r="81" spans="2:20" x14ac:dyDescent="0.25">
      <c r="B81" s="13" t="s">
        <v>257</v>
      </c>
      <c r="C81" s="13" t="s">
        <v>44</v>
      </c>
      <c r="D81" s="13">
        <v>140</v>
      </c>
      <c r="E81" s="3">
        <f>IF(Quantitytable[[#This Row],[Units]]=0,0,SUMIFS(Quantitytable[NeededQuantity],Quantitytable[Dish],Quantitytable[[#This Row],[Dish]],Quantitytable[[Ingredient ]],Quantitytable[[#This Row],[Ingredient ]]))</f>
        <v>0</v>
      </c>
      <c r="F81" s="3">
        <f>SUMIFS(salestable[Quantity Sold],salestable[Item Name],Quantitytable[[#This Row],[Dish]])</f>
        <v>0</v>
      </c>
      <c r="G81" s="3">
        <f>'Quantity Table'!$E81*'Quantity Table'!$F81</f>
        <v>0</v>
      </c>
      <c r="H81" s="3">
        <f>_xlfn.IFNA(VLOOKUP(Quantitytable[[#This Row],[Ingredient ]],Shoppingtable[[Item Name]:[BALANCE Cash]],5,FALSE),0)*Quantitytable[[#This Row],[NeededQuantity]]</f>
        <v>4</v>
      </c>
      <c r="I81" s="3">
        <f>SUMIF(Quantitytable[Dish],Quantitytable[[#This Row],[Dish]],Quantitytable[Cost Per Dish Per Item])</f>
        <v>22.543706293706297</v>
      </c>
      <c r="J81" s="18" t="s">
        <v>502</v>
      </c>
      <c r="R81" s="9" t="s">
        <v>82</v>
      </c>
      <c r="S81" s="3">
        <f>SUMIF(Quantitytable[[Ingredient ]],Ingredienttablereference[[#This Row],[Ingredient Ref]],Quantitytable[Materials Used])</f>
        <v>0</v>
      </c>
      <c r="T81" s="3">
        <f>SUMIF(Shoppingtable[Item Name],Ingredienttablereference[[#This Row],[Ingredient Ref]],Shoppingtable[Prize Per Gram])*Ingredienttablereference[[#This Row],[Sum]]</f>
        <v>0</v>
      </c>
    </row>
    <row r="82" spans="2:20" x14ac:dyDescent="0.25">
      <c r="B82" s="13" t="s">
        <v>636</v>
      </c>
      <c r="C82" s="13" t="s">
        <v>163</v>
      </c>
      <c r="D82" s="13">
        <v>100</v>
      </c>
      <c r="E82" s="3">
        <f>IF(Quantitytable[[#This Row],[Units]]=0,0,SUMIFS(Quantitytable[NeededQuantity],Quantitytable[Dish],Quantitytable[[#This Row],[Dish]],Quantitytable[[Ingredient ]],Quantitytable[[#This Row],[Ingredient ]]))</f>
        <v>0</v>
      </c>
      <c r="F82" s="3">
        <f>SUMIFS(salestable[Quantity Sold],salestable[Item Name],Quantitytable[[#This Row],[Dish]])</f>
        <v>0</v>
      </c>
      <c r="G82" s="3">
        <f>'Quantity Table'!$E82*'Quantity Table'!$F82</f>
        <v>0</v>
      </c>
      <c r="H82" s="3">
        <f>_xlfn.IFNA(VLOOKUP(Quantitytable[[#This Row],[Ingredient ]],Shoppingtable[[Item Name]:[BALANCE Cash]],5,FALSE),0)*Quantitytable[[#This Row],[NeededQuantity]]</f>
        <v>22.08</v>
      </c>
      <c r="I82" s="3">
        <f>SUMIF(Quantitytable[Dish],Quantitytable[[#This Row],[Dish]],Quantitytable[Cost Per Dish Per Item])</f>
        <v>34.489090909090905</v>
      </c>
      <c r="J82" s="18" t="s">
        <v>502</v>
      </c>
      <c r="R82" s="9" t="s">
        <v>84</v>
      </c>
      <c r="S82" s="3">
        <f>SUMIF(Quantitytable[[Ingredient ]],Ingredienttablereference[[#This Row],[Ingredient Ref]],Quantitytable[Materials Used])</f>
        <v>0</v>
      </c>
      <c r="T82" s="3">
        <f>SUMIF(Shoppingtable[Item Name],Ingredienttablereference[[#This Row],[Ingredient Ref]],Shoppingtable[Prize Per Gram])*Ingredienttablereference[[#This Row],[Sum]]</f>
        <v>0</v>
      </c>
    </row>
    <row r="83" spans="2:20" x14ac:dyDescent="0.25">
      <c r="B83" s="13" t="s">
        <v>636</v>
      </c>
      <c r="C83" s="13" t="s">
        <v>18</v>
      </c>
      <c r="D83" s="13">
        <v>50</v>
      </c>
      <c r="E83" s="3">
        <f>IF(Quantitytable[[#This Row],[Units]]=0,0,SUMIFS(Quantitytable[NeededQuantity],Quantitytable[Dish],Quantitytable[[#This Row],[Dish]],Quantitytable[[Ingredient ]],Quantitytable[[#This Row],[Ingredient ]]))</f>
        <v>0</v>
      </c>
      <c r="F83" s="3">
        <f>SUMIFS(salestable[Quantity Sold],salestable[Item Name],Quantitytable[[#This Row],[Dish]])</f>
        <v>0</v>
      </c>
      <c r="G83" s="3">
        <f>'Quantity Table'!$E83*'Quantity Table'!$F83</f>
        <v>0</v>
      </c>
      <c r="H83" s="3">
        <f>_xlfn.IFNA(VLOOKUP(Quantitytable[[#This Row],[Ingredient ]],Shoppingtable[[Item Name]:[BALANCE Cash]],5,FALSE),0)*Quantitytable[[#This Row],[NeededQuantity]]</f>
        <v>7.5</v>
      </c>
      <c r="I83" s="3">
        <f>SUMIF(Quantitytable[Dish],Quantitytable[[#This Row],[Dish]],Quantitytable[Cost Per Dish Per Item])</f>
        <v>34.489090909090905</v>
      </c>
      <c r="J83" s="18" t="s">
        <v>502</v>
      </c>
      <c r="R83" s="9" t="s">
        <v>85</v>
      </c>
      <c r="S83" s="3">
        <f>SUMIF(Quantitytable[[Ingredient ]],Ingredienttablereference[[#This Row],[Ingredient Ref]],Quantitytable[Materials Used])</f>
        <v>0</v>
      </c>
      <c r="T83" s="3">
        <f>SUMIF(Shoppingtable[Item Name],Ingredienttablereference[[#This Row],[Ingredient Ref]],Shoppingtable[Prize Per Gram])*Ingredienttablereference[[#This Row],[Sum]]</f>
        <v>0</v>
      </c>
    </row>
    <row r="84" spans="2:20" x14ac:dyDescent="0.25">
      <c r="B84" s="13" t="s">
        <v>636</v>
      </c>
      <c r="C84" s="13" t="s">
        <v>419</v>
      </c>
      <c r="D84" s="13">
        <v>8</v>
      </c>
      <c r="E84" s="3">
        <f>IF(Quantitytable[[#This Row],[Units]]=0,0,SUMIFS(Quantitytable[NeededQuantity],Quantitytable[Dish],Quantitytable[[#This Row],[Dish]],Quantitytable[[Ingredient ]],Quantitytable[[#This Row],[Ingredient ]]))</f>
        <v>0</v>
      </c>
      <c r="F84" s="3">
        <f>SUMIFS(salestable[Quantity Sold],salestable[Item Name],Quantitytable[[#This Row],[Dish]])</f>
        <v>0</v>
      </c>
      <c r="G84" s="3">
        <f>'Quantity Table'!$E84*'Quantity Table'!$F84</f>
        <v>0</v>
      </c>
      <c r="H84" s="3">
        <f>_xlfn.IFNA(VLOOKUP(Quantitytable[[#This Row],[Ingredient ]],Shoppingtable[[Item Name]:[BALANCE Cash]],5,FALSE),0)*Quantitytable[[#This Row],[NeededQuantity]]</f>
        <v>0.90909090909090906</v>
      </c>
      <c r="I84" s="3">
        <f>SUMIF(Quantitytable[Dish],Quantitytable[[#This Row],[Dish]],Quantitytable[Cost Per Dish Per Item])</f>
        <v>34.489090909090905</v>
      </c>
      <c r="J84" s="18" t="s">
        <v>502</v>
      </c>
      <c r="R84" s="9" t="s">
        <v>86</v>
      </c>
      <c r="S84" s="3">
        <f>SUMIF(Quantitytable[[Ingredient ]],Ingredienttablereference[[#This Row],[Ingredient Ref]],Quantitytable[Materials Used])</f>
        <v>0</v>
      </c>
      <c r="T84" s="3">
        <f>SUMIF(Shoppingtable[Item Name],Ingredienttablereference[[#This Row],[Ingredient Ref]],Shoppingtable[Prize Per Gram])*Ingredienttablereference[[#This Row],[Sum]]</f>
        <v>0</v>
      </c>
    </row>
    <row r="85" spans="2:20" x14ac:dyDescent="0.25">
      <c r="B85" s="13" t="s">
        <v>636</v>
      </c>
      <c r="C85" s="13" t="s">
        <v>44</v>
      </c>
      <c r="D85" s="13">
        <v>140</v>
      </c>
      <c r="E85" s="3">
        <f>IF(Quantitytable[[#This Row],[Units]]=0,0,SUMIFS(Quantitytable[NeededQuantity],Quantitytable[Dish],Quantitytable[[#This Row],[Dish]],Quantitytable[[Ingredient ]],Quantitytable[[#This Row],[Ingredient ]]))</f>
        <v>0</v>
      </c>
      <c r="F85" s="3">
        <f>SUMIFS(salestable[Quantity Sold],salestable[Item Name],Quantitytable[[#This Row],[Dish]])</f>
        <v>0</v>
      </c>
      <c r="G85" s="3">
        <f>'Quantity Table'!$E85*'Quantity Table'!$F85</f>
        <v>0</v>
      </c>
      <c r="H85" s="3">
        <f>_xlfn.IFNA(VLOOKUP(Quantitytable[[#This Row],[Ingredient ]],Shoppingtable[[Item Name]:[BALANCE Cash]],5,FALSE),0)*Quantitytable[[#This Row],[NeededQuantity]]</f>
        <v>4</v>
      </c>
      <c r="I85" s="3">
        <f>SUMIF(Quantitytable[Dish],Quantitytable[[#This Row],[Dish]],Quantitytable[Cost Per Dish Per Item])</f>
        <v>34.489090909090905</v>
      </c>
      <c r="J85" s="18" t="s">
        <v>502</v>
      </c>
      <c r="R85" s="9" t="s">
        <v>87</v>
      </c>
      <c r="S85" s="3">
        <f>SUMIF(Quantitytable[[Ingredient ]],Ingredienttablereference[[#This Row],[Ingredient Ref]],Quantitytable[Materials Used])</f>
        <v>0</v>
      </c>
      <c r="T85" s="3">
        <f>SUMIF(Shoppingtable[Item Name],Ingredienttablereference[[#This Row],[Ingredient Ref]],Shoppingtable[Prize Per Gram])*Ingredienttablereference[[#This Row],[Sum]]</f>
        <v>0</v>
      </c>
    </row>
    <row r="86" spans="2:20" x14ac:dyDescent="0.25">
      <c r="B86" s="13" t="s">
        <v>659</v>
      </c>
      <c r="C86" s="13" t="s">
        <v>600</v>
      </c>
      <c r="D86" s="13">
        <v>150</v>
      </c>
      <c r="E86" s="3">
        <f>IF(Quantitytable[[#This Row],[Units]]=0,0,SUMIFS(Quantitytable[NeededQuantity],Quantitytable[Dish],Quantitytable[[#This Row],[Dish]],Quantitytable[[Ingredient ]],Quantitytable[[#This Row],[Ingredient ]]))</f>
        <v>0</v>
      </c>
      <c r="F86" s="3">
        <f>SUMIFS(salestable[Quantity Sold],salestable[Item Name],Quantitytable[[#This Row],[Dish]])</f>
        <v>0</v>
      </c>
      <c r="G86" s="3">
        <f>'Quantity Table'!$E86*'Quantity Table'!$F86</f>
        <v>0</v>
      </c>
      <c r="H86" s="3">
        <f>_xlfn.IFNA(VLOOKUP(Quantitytable[[#This Row],[Ingredient ]],Shoppingtable[[Item Name]:[BALANCE Cash]],5,FALSE),0)*Quantitytable[[#This Row],[NeededQuantity]]</f>
        <v>13.3125</v>
      </c>
      <c r="I86" s="3">
        <f>SUMIF(Quantitytable[Dish],Quantitytable[[#This Row],[Dish]],Quantitytable[Cost Per Dish Per Item])</f>
        <v>25.72159090909091</v>
      </c>
      <c r="J86" s="18" t="s">
        <v>502</v>
      </c>
      <c r="R86" s="9" t="s">
        <v>88</v>
      </c>
      <c r="S86" s="3">
        <f>SUMIF(Quantitytable[[Ingredient ]],Ingredienttablereference[[#This Row],[Ingredient Ref]],Quantitytable[Materials Used])</f>
        <v>0</v>
      </c>
      <c r="T86" s="3">
        <f>SUMIF(Shoppingtable[Item Name],Ingredienttablereference[[#This Row],[Ingredient Ref]],Shoppingtable[Prize Per Gram])*Ingredienttablereference[[#This Row],[Sum]]</f>
        <v>0</v>
      </c>
    </row>
    <row r="87" spans="2:20" x14ac:dyDescent="0.25">
      <c r="B87" s="13" t="s">
        <v>659</v>
      </c>
      <c r="C87" s="13" t="s">
        <v>18</v>
      </c>
      <c r="D87" s="13">
        <v>50</v>
      </c>
      <c r="E87" s="3">
        <f>IF(Quantitytable[[#This Row],[Units]]=0,0,SUMIFS(Quantitytable[NeededQuantity],Quantitytable[Dish],Quantitytable[[#This Row],[Dish]],Quantitytable[[Ingredient ]],Quantitytable[[#This Row],[Ingredient ]]))</f>
        <v>0</v>
      </c>
      <c r="F87" s="3">
        <f>SUMIFS(salestable[Quantity Sold],salestable[Item Name],Quantitytable[[#This Row],[Dish]])</f>
        <v>0</v>
      </c>
      <c r="G87" s="3">
        <f>'Quantity Table'!$E87*'Quantity Table'!$F87</f>
        <v>0</v>
      </c>
      <c r="H87" s="3">
        <f>_xlfn.IFNA(VLOOKUP(Quantitytable[[#This Row],[Ingredient ]],Shoppingtable[[Item Name]:[BALANCE Cash]],5,FALSE),0)*Quantitytable[[#This Row],[NeededQuantity]]</f>
        <v>7.5</v>
      </c>
      <c r="I87" s="3">
        <f>SUMIF(Quantitytable[Dish],Quantitytable[[#This Row],[Dish]],Quantitytable[Cost Per Dish Per Item])</f>
        <v>25.72159090909091</v>
      </c>
      <c r="J87" s="18" t="s">
        <v>502</v>
      </c>
      <c r="R87" s="9" t="s">
        <v>89</v>
      </c>
      <c r="S87" s="3">
        <f>SUMIF(Quantitytable[[Ingredient ]],Ingredienttablereference[[#This Row],[Ingredient Ref]],Quantitytable[Materials Used])</f>
        <v>0</v>
      </c>
      <c r="T87" s="3">
        <f>SUMIF(Shoppingtable[Item Name],Ingredienttablereference[[#This Row],[Ingredient Ref]],Shoppingtable[Prize Per Gram])*Ingredienttablereference[[#This Row],[Sum]]</f>
        <v>0</v>
      </c>
    </row>
    <row r="88" spans="2:20" x14ac:dyDescent="0.25">
      <c r="B88" s="13" t="s">
        <v>659</v>
      </c>
      <c r="C88" s="13" t="s">
        <v>419</v>
      </c>
      <c r="D88" s="13">
        <v>8</v>
      </c>
      <c r="E88" s="3">
        <f>IF(Quantitytable[[#This Row],[Units]]=0,0,SUMIFS(Quantitytable[NeededQuantity],Quantitytable[Dish],Quantitytable[[#This Row],[Dish]],Quantitytable[[Ingredient ]],Quantitytable[[#This Row],[Ingredient ]]))</f>
        <v>0</v>
      </c>
      <c r="F88" s="3">
        <f>SUMIFS(salestable[Quantity Sold],salestable[Item Name],Quantitytable[[#This Row],[Dish]])</f>
        <v>0</v>
      </c>
      <c r="G88" s="3">
        <f>'Quantity Table'!$E88*'Quantity Table'!$F88</f>
        <v>0</v>
      </c>
      <c r="H88" s="3">
        <f>_xlfn.IFNA(VLOOKUP(Quantitytable[[#This Row],[Ingredient ]],Shoppingtable[[Item Name]:[BALANCE Cash]],5,FALSE),0)*Quantitytable[[#This Row],[NeededQuantity]]</f>
        <v>0.90909090909090906</v>
      </c>
      <c r="I88" s="3">
        <f>SUMIF(Quantitytable[Dish],Quantitytable[[#This Row],[Dish]],Quantitytable[Cost Per Dish Per Item])</f>
        <v>25.72159090909091</v>
      </c>
      <c r="J88" s="18" t="s">
        <v>502</v>
      </c>
      <c r="R88" s="9" t="s">
        <v>90</v>
      </c>
      <c r="S88" s="3">
        <f>SUMIF(Quantitytable[[Ingredient ]],Ingredienttablereference[[#This Row],[Ingredient Ref]],Quantitytable[Materials Used])</f>
        <v>0</v>
      </c>
      <c r="T88" s="3">
        <f>SUMIF(Shoppingtable[Item Name],Ingredienttablereference[[#This Row],[Ingredient Ref]],Shoppingtable[Prize Per Gram])*Ingredienttablereference[[#This Row],[Sum]]</f>
        <v>0</v>
      </c>
    </row>
    <row r="89" spans="2:20" x14ac:dyDescent="0.25">
      <c r="B89" s="13" t="s">
        <v>659</v>
      </c>
      <c r="C89" s="13" t="s">
        <v>44</v>
      </c>
      <c r="D89" s="13">
        <v>140</v>
      </c>
      <c r="E89" s="3">
        <f>IF(Quantitytable[[#This Row],[Units]]=0,0,SUMIFS(Quantitytable[NeededQuantity],Quantitytable[Dish],Quantitytable[[#This Row],[Dish]],Quantitytable[[Ingredient ]],Quantitytable[[#This Row],[Ingredient ]]))</f>
        <v>0</v>
      </c>
      <c r="F89" s="3">
        <f>SUMIFS(salestable[Quantity Sold],salestable[Item Name],Quantitytable[[#This Row],[Dish]])</f>
        <v>0</v>
      </c>
      <c r="G89" s="3">
        <f>'Quantity Table'!$E89*'Quantity Table'!$F89</f>
        <v>0</v>
      </c>
      <c r="H89" s="3">
        <f>_xlfn.IFNA(VLOOKUP(Quantitytable[[#This Row],[Ingredient ]],Shoppingtable[[Item Name]:[BALANCE Cash]],5,FALSE),0)*Quantitytable[[#This Row],[NeededQuantity]]</f>
        <v>4</v>
      </c>
      <c r="I89" s="3">
        <f>SUMIF(Quantitytable[Dish],Quantitytable[[#This Row],[Dish]],Quantitytable[Cost Per Dish Per Item])</f>
        <v>25.72159090909091</v>
      </c>
      <c r="J89" s="18" t="s">
        <v>502</v>
      </c>
      <c r="R89" s="9" t="s">
        <v>91</v>
      </c>
      <c r="S89" s="3">
        <f>SUMIF(Quantitytable[[Ingredient ]],Ingredienttablereference[[#This Row],[Ingredient Ref]],Quantitytable[Materials Used])</f>
        <v>0</v>
      </c>
      <c r="T89" s="3">
        <f>SUMIF(Shoppingtable[Item Name],Ingredienttablereference[[#This Row],[Ingredient Ref]],Shoppingtable[Prize Per Gram])*Ingredienttablereference[[#This Row],[Sum]]</f>
        <v>0</v>
      </c>
    </row>
    <row r="90" spans="2:20" x14ac:dyDescent="0.25">
      <c r="B90" s="13" t="s">
        <v>539</v>
      </c>
      <c r="C90" s="13" t="s">
        <v>418</v>
      </c>
      <c r="D90" s="13">
        <v>2</v>
      </c>
      <c r="E90" s="3">
        <f>IF(Quantitytable[[#This Row],[Units]]=0,0,SUMIFS(Quantitytable[NeededQuantity],Quantitytable[Dish],Quantitytable[[#This Row],[Dish]],Quantitytable[[Ingredient ]],Quantitytable[[#This Row],[Ingredient ]]))</f>
        <v>0</v>
      </c>
      <c r="F90" s="3">
        <f>SUMIFS(salestable[Quantity Sold],salestable[Item Name],Quantitytable[[#This Row],[Dish]])</f>
        <v>0</v>
      </c>
      <c r="G90" s="3">
        <f>'Quantity Table'!$E90*'Quantity Table'!$F90</f>
        <v>0</v>
      </c>
      <c r="H90" s="3">
        <f>_xlfn.IFNA(VLOOKUP(Quantitytable[[#This Row],[Ingredient ]],Shoppingtable[[Item Name]:[BALANCE Cash]],5,FALSE),0)*Quantitytable[[#This Row],[NeededQuantity]]</f>
        <v>0.3</v>
      </c>
      <c r="I90" s="3">
        <f>SUMIF(Quantitytable[Dish],Quantitytable[[#This Row],[Dish]],Quantitytable[Cost Per Dish Per Item])</f>
        <v>11.7</v>
      </c>
      <c r="J90" s="18" t="s">
        <v>502</v>
      </c>
      <c r="R90" s="9" t="s">
        <v>92</v>
      </c>
      <c r="S90" s="3">
        <f>SUMIF(Quantitytable[[Ingredient ]],Ingredienttablereference[[#This Row],[Ingredient Ref]],Quantitytable[Materials Used])</f>
        <v>0</v>
      </c>
      <c r="T90" s="3">
        <f>SUMIF(Shoppingtable[Item Name],Ingredienttablereference[[#This Row],[Ingredient Ref]],Shoppingtable[Prize Per Gram])*Ingredienttablereference[[#This Row],[Sum]]</f>
        <v>0</v>
      </c>
    </row>
    <row r="91" spans="2:20" x14ac:dyDescent="0.25">
      <c r="B91" s="13" t="s">
        <v>539</v>
      </c>
      <c r="C91" s="13" t="s">
        <v>18</v>
      </c>
      <c r="D91" s="13">
        <v>25</v>
      </c>
      <c r="E91" s="3">
        <f>IF(Quantitytable[[#This Row],[Units]]=0,0,SUMIFS(Quantitytable[NeededQuantity],Quantitytable[Dish],Quantitytable[[#This Row],[Dish]],Quantitytable[[Ingredient ]],Quantitytable[[#This Row],[Ingredient ]]))</f>
        <v>0</v>
      </c>
      <c r="F91" s="3">
        <f>SUMIFS(salestable[Quantity Sold],salestable[Item Name],Quantitytable[[#This Row],[Dish]])</f>
        <v>0</v>
      </c>
      <c r="G91" s="3">
        <f>'Quantity Table'!$E91*'Quantity Table'!$F91</f>
        <v>0</v>
      </c>
      <c r="H91" s="3">
        <f>_xlfn.IFNA(VLOOKUP(Quantitytable[[#This Row],[Ingredient ]],Shoppingtable[[Item Name]:[BALANCE Cash]],5,FALSE),0)*Quantitytable[[#This Row],[NeededQuantity]]</f>
        <v>3.75</v>
      </c>
      <c r="I91" s="3">
        <f>SUMIF(Quantitytable[Dish],Quantitytable[[#This Row],[Dish]],Quantitytable[Cost Per Dish Per Item])</f>
        <v>11.7</v>
      </c>
      <c r="J91" s="18" t="s">
        <v>502</v>
      </c>
      <c r="R91" s="9" t="s">
        <v>405</v>
      </c>
      <c r="S91" s="3">
        <f>SUMIF(Quantitytable[[Ingredient ]],Ingredienttablereference[[#This Row],[Ingredient Ref]],Quantitytable[Materials Used])</f>
        <v>0</v>
      </c>
      <c r="T91" s="3">
        <f>SUMIF(Shoppingtable[Item Name],Ingredienttablereference[[#This Row],[Ingredient Ref]],Shoppingtable[Prize Per Gram])*Ingredienttablereference[[#This Row],[Sum]]</f>
        <v>0</v>
      </c>
    </row>
    <row r="92" spans="2:20" x14ac:dyDescent="0.25">
      <c r="B92" s="13" t="s">
        <v>539</v>
      </c>
      <c r="C92" s="13" t="s">
        <v>75</v>
      </c>
      <c r="D92" s="13">
        <v>25</v>
      </c>
      <c r="E92" s="3">
        <f>IF(Quantitytable[[#This Row],[Units]]=0,0,SUMIFS(Quantitytable[NeededQuantity],Quantitytable[Dish],Quantitytable[[#This Row],[Dish]],Quantitytable[[Ingredient ]],Quantitytable[[#This Row],[Ingredient ]]))</f>
        <v>0</v>
      </c>
      <c r="F92" s="3">
        <f>SUMIFS(salestable[Quantity Sold],salestable[Item Name],Quantitytable[[#This Row],[Dish]])</f>
        <v>0</v>
      </c>
      <c r="G92" s="3">
        <f>'Quantity Table'!$E92*'Quantity Table'!$F92</f>
        <v>0</v>
      </c>
      <c r="H92" s="3">
        <f>_xlfn.IFNA(VLOOKUP(Quantitytable[[#This Row],[Ingredient ]],Shoppingtable[[Item Name]:[BALANCE Cash]],5,FALSE),0)*Quantitytable[[#This Row],[NeededQuantity]]</f>
        <v>3.65</v>
      </c>
      <c r="I92" s="3">
        <f>SUMIF(Quantitytable[Dish],Quantitytable[[#This Row],[Dish]],Quantitytable[Cost Per Dish Per Item])</f>
        <v>11.7</v>
      </c>
      <c r="J92" s="18" t="s">
        <v>502</v>
      </c>
      <c r="R92" s="9" t="s">
        <v>93</v>
      </c>
      <c r="S92" s="3">
        <f>SUMIF(Quantitytable[[Ingredient ]],Ingredienttablereference[[#This Row],[Ingredient Ref]],Quantitytable[Materials Used])</f>
        <v>0</v>
      </c>
      <c r="T92" s="3">
        <f>SUMIF(Shoppingtable[Item Name],Ingredienttablereference[[#This Row],[Ingredient Ref]],Shoppingtable[Prize Per Gram])*Ingredienttablereference[[#This Row],[Sum]]</f>
        <v>0</v>
      </c>
    </row>
    <row r="93" spans="2:20" x14ac:dyDescent="0.25">
      <c r="B93" s="13" t="s">
        <v>539</v>
      </c>
      <c r="C93" s="13" t="s">
        <v>44</v>
      </c>
      <c r="D93" s="13">
        <v>140</v>
      </c>
      <c r="E93" s="3">
        <f>IF(Quantitytable[[#This Row],[Units]]=0,0,SUMIFS(Quantitytable[NeededQuantity],Quantitytable[Dish],Quantitytable[[#This Row],[Dish]],Quantitytable[[Ingredient ]],Quantitytable[[#This Row],[Ingredient ]]))</f>
        <v>0</v>
      </c>
      <c r="F93" s="3">
        <f>SUMIFS(salestable[Quantity Sold],salestable[Item Name],Quantitytable[[#This Row],[Dish]])</f>
        <v>0</v>
      </c>
      <c r="G93" s="3">
        <f>'Quantity Table'!$E93*'Quantity Table'!$F93</f>
        <v>0</v>
      </c>
      <c r="H93" s="3">
        <f>_xlfn.IFNA(VLOOKUP(Quantitytable[[#This Row],[Ingredient ]],Shoppingtable[[Item Name]:[BALANCE Cash]],5,FALSE),0)*Quantitytable[[#This Row],[NeededQuantity]]</f>
        <v>4</v>
      </c>
      <c r="I93" s="3">
        <f>SUMIF(Quantitytable[Dish],Quantitytable[[#This Row],[Dish]],Quantitytable[Cost Per Dish Per Item])</f>
        <v>11.7</v>
      </c>
      <c r="J93" s="18" t="s">
        <v>502</v>
      </c>
      <c r="R93" s="9" t="s">
        <v>94</v>
      </c>
      <c r="S93" s="3">
        <f>SUMIF(Quantitytable[[Ingredient ]],Ingredienttablereference[[#This Row],[Ingredient Ref]],Quantitytable[Materials Used])</f>
        <v>0</v>
      </c>
      <c r="T93" s="3">
        <f>SUMIF(Shoppingtable[Item Name],Ingredienttablereference[[#This Row],[Ingredient Ref]],Shoppingtable[Prize Per Gram])*Ingredienttablereference[[#This Row],[Sum]]</f>
        <v>0</v>
      </c>
    </row>
    <row r="94" spans="2:20" x14ac:dyDescent="0.25">
      <c r="B94" s="13" t="s">
        <v>637</v>
      </c>
      <c r="C94" s="13" t="s">
        <v>418</v>
      </c>
      <c r="D94" s="13">
        <v>2</v>
      </c>
      <c r="E94" s="3">
        <f>IF(Quantitytable[[#This Row],[Units]]=0,0,SUMIFS(Quantitytable[NeededQuantity],Quantitytable[Dish],Quantitytable[[#This Row],[Dish]],Quantitytable[[Ingredient ]],Quantitytable[[#This Row],[Ingredient ]]))</f>
        <v>0</v>
      </c>
      <c r="F94" s="3">
        <f>SUMIFS(salestable[Quantity Sold],salestable[Item Name],Quantitytable[[#This Row],[Dish]])</f>
        <v>0</v>
      </c>
      <c r="G94" s="3">
        <f>'Quantity Table'!$E94*'Quantity Table'!$F94</f>
        <v>0</v>
      </c>
      <c r="H94" s="3">
        <f>_xlfn.IFNA(VLOOKUP(Quantitytable[[#This Row],[Ingredient ]],Shoppingtable[[Item Name]:[BALANCE Cash]],5,FALSE),0)*Quantitytable[[#This Row],[NeededQuantity]]</f>
        <v>0.3</v>
      </c>
      <c r="I94" s="3">
        <f>SUMIF(Quantitytable[Dish],Quantitytable[[#This Row],[Dish]],Quantitytable[Cost Per Dish Per Item])</f>
        <v>33.78</v>
      </c>
      <c r="J94" s="18" t="s">
        <v>502</v>
      </c>
      <c r="R94" s="9" t="s">
        <v>95</v>
      </c>
      <c r="S94" s="3">
        <f>SUMIF(Quantitytable[[Ingredient ]],Ingredienttablereference[[#This Row],[Ingredient Ref]],Quantitytable[Materials Used])</f>
        <v>0</v>
      </c>
      <c r="T94" s="3">
        <f>SUMIF(Shoppingtable[Item Name],Ingredienttablereference[[#This Row],[Ingredient Ref]],Shoppingtable[Prize Per Gram])*Ingredienttablereference[[#This Row],[Sum]]</f>
        <v>0</v>
      </c>
    </row>
    <row r="95" spans="2:20" x14ac:dyDescent="0.25">
      <c r="B95" s="13" t="s">
        <v>637</v>
      </c>
      <c r="C95" s="13" t="s">
        <v>18</v>
      </c>
      <c r="D95" s="13">
        <v>25</v>
      </c>
      <c r="E95" s="3">
        <f>IF(Quantitytable[[#This Row],[Units]]=0,0,SUMIFS(Quantitytable[NeededQuantity],Quantitytable[Dish],Quantitytable[[#This Row],[Dish]],Quantitytable[[Ingredient ]],Quantitytable[[#This Row],[Ingredient ]]))</f>
        <v>0</v>
      </c>
      <c r="F95" s="3">
        <f>SUMIFS(salestable[Quantity Sold],salestable[Item Name],Quantitytable[[#This Row],[Dish]])</f>
        <v>0</v>
      </c>
      <c r="G95" s="3">
        <f>'Quantity Table'!$E95*'Quantity Table'!$F95</f>
        <v>0</v>
      </c>
      <c r="H95" s="3">
        <f>_xlfn.IFNA(VLOOKUP(Quantitytable[[#This Row],[Ingredient ]],Shoppingtable[[Item Name]:[BALANCE Cash]],5,FALSE),0)*Quantitytable[[#This Row],[NeededQuantity]]</f>
        <v>3.75</v>
      </c>
      <c r="I95" s="3">
        <f>SUMIF(Quantitytable[Dish],Quantitytable[[#This Row],[Dish]],Quantitytable[Cost Per Dish Per Item])</f>
        <v>33.78</v>
      </c>
      <c r="J95" s="18" t="s">
        <v>502</v>
      </c>
      <c r="R95" s="9" t="s">
        <v>96</v>
      </c>
      <c r="S95" s="3">
        <f>SUMIF(Quantitytable[[Ingredient ]],Ingredienttablereference[[#This Row],[Ingredient Ref]],Quantitytable[Materials Used])</f>
        <v>0</v>
      </c>
      <c r="T95" s="3">
        <f>SUMIF(Shoppingtable[Item Name],Ingredienttablereference[[#This Row],[Ingredient Ref]],Shoppingtable[Prize Per Gram])*Ingredienttablereference[[#This Row],[Sum]]</f>
        <v>0</v>
      </c>
    </row>
    <row r="96" spans="2:20" x14ac:dyDescent="0.25">
      <c r="B96" s="13" t="s">
        <v>637</v>
      </c>
      <c r="C96" s="13" t="s">
        <v>75</v>
      </c>
      <c r="D96" s="13">
        <v>25</v>
      </c>
      <c r="E96" s="3">
        <f>IF(Quantitytable[[#This Row],[Units]]=0,0,SUMIFS(Quantitytable[NeededQuantity],Quantitytable[Dish],Quantitytable[[#This Row],[Dish]],Quantitytable[[Ingredient ]],Quantitytable[[#This Row],[Ingredient ]]))</f>
        <v>0</v>
      </c>
      <c r="F96" s="3">
        <f>SUMIFS(salestable[Quantity Sold],salestable[Item Name],Quantitytable[[#This Row],[Dish]])</f>
        <v>0</v>
      </c>
      <c r="G96" s="3">
        <f>'Quantity Table'!$E96*'Quantity Table'!$F96</f>
        <v>0</v>
      </c>
      <c r="H96" s="3">
        <f>_xlfn.IFNA(VLOOKUP(Quantitytable[[#This Row],[Ingredient ]],Shoppingtable[[Item Name]:[BALANCE Cash]],5,FALSE),0)*Quantitytable[[#This Row],[NeededQuantity]]</f>
        <v>3.65</v>
      </c>
      <c r="I96" s="3">
        <f>SUMIF(Quantitytable[Dish],Quantitytable[[#This Row],[Dish]],Quantitytable[Cost Per Dish Per Item])</f>
        <v>33.78</v>
      </c>
      <c r="J96" s="18" t="s">
        <v>502</v>
      </c>
      <c r="R96" s="9" t="s">
        <v>98</v>
      </c>
      <c r="S96" s="3">
        <f>SUMIF(Quantitytable[[Ingredient ]],Ingredienttablereference[[#This Row],[Ingredient Ref]],Quantitytable[Materials Used])</f>
        <v>80</v>
      </c>
      <c r="T96" s="3">
        <f>SUMIF(Shoppingtable[Item Name],Ingredienttablereference[[#This Row],[Ingredient Ref]],Shoppingtable[Prize Per Gram])*Ingredienttablereference[[#This Row],[Sum]]</f>
        <v>4.3333333333333339</v>
      </c>
    </row>
    <row r="97" spans="2:20" x14ac:dyDescent="0.25">
      <c r="B97" s="13" t="s">
        <v>637</v>
      </c>
      <c r="C97" s="13" t="s">
        <v>163</v>
      </c>
      <c r="D97" s="13">
        <v>100</v>
      </c>
      <c r="E97" s="3">
        <f>IF(Quantitytable[[#This Row],[Units]]=0,0,SUMIFS(Quantitytable[NeededQuantity],Quantitytable[Dish],Quantitytable[[#This Row],[Dish]],Quantitytable[[Ingredient ]],Quantitytable[[#This Row],[Ingredient ]]))</f>
        <v>0</v>
      </c>
      <c r="F97" s="3">
        <f>SUMIFS(salestable[Quantity Sold],salestable[Item Name],Quantitytable[[#This Row],[Dish]])</f>
        <v>0</v>
      </c>
      <c r="G97" s="3">
        <f>'Quantity Table'!$E97*'Quantity Table'!$F97</f>
        <v>0</v>
      </c>
      <c r="H97" s="3">
        <f>_xlfn.IFNA(VLOOKUP(Quantitytable[[#This Row],[Ingredient ]],Shoppingtable[[Item Name]:[BALANCE Cash]],5,FALSE),0)*Quantitytable[[#This Row],[NeededQuantity]]</f>
        <v>22.08</v>
      </c>
      <c r="I97" s="3">
        <f>SUMIF(Quantitytable[Dish],Quantitytable[[#This Row],[Dish]],Quantitytable[Cost Per Dish Per Item])</f>
        <v>33.78</v>
      </c>
      <c r="J97" s="18" t="s">
        <v>502</v>
      </c>
      <c r="R97" s="9" t="s">
        <v>99</v>
      </c>
      <c r="S97" s="3">
        <f>SUMIF(Quantitytable[[Ingredient ]],Ingredienttablereference[[#This Row],[Ingredient Ref]],Quantitytable[Materials Used])</f>
        <v>0</v>
      </c>
      <c r="T97" s="3">
        <f>SUMIF(Shoppingtable[Item Name],Ingredienttablereference[[#This Row],[Ingredient Ref]],Shoppingtable[Prize Per Gram])*Ingredienttablereference[[#This Row],[Sum]]</f>
        <v>0</v>
      </c>
    </row>
    <row r="98" spans="2:20" x14ac:dyDescent="0.25">
      <c r="B98" s="13" t="s">
        <v>637</v>
      </c>
      <c r="C98" s="13" t="s">
        <v>44</v>
      </c>
      <c r="D98" s="13">
        <v>140</v>
      </c>
      <c r="E98" s="3">
        <f>IF(Quantitytable[[#This Row],[Units]]=0,0,SUMIFS(Quantitytable[NeededQuantity],Quantitytable[Dish],Quantitytable[[#This Row],[Dish]],Quantitytable[[Ingredient ]],Quantitytable[[#This Row],[Ingredient ]]))</f>
        <v>0</v>
      </c>
      <c r="F98" s="3">
        <f>SUMIFS(salestable[Quantity Sold],salestable[Item Name],Quantitytable[[#This Row],[Dish]])</f>
        <v>0</v>
      </c>
      <c r="G98" s="3">
        <f>'Quantity Table'!$E98*'Quantity Table'!$F98</f>
        <v>0</v>
      </c>
      <c r="H98" s="3">
        <f>_xlfn.IFNA(VLOOKUP(Quantitytable[[#This Row],[Ingredient ]],Shoppingtable[[Item Name]:[BALANCE Cash]],5,FALSE),0)*Quantitytable[[#This Row],[NeededQuantity]]</f>
        <v>4</v>
      </c>
      <c r="I98" s="3">
        <f>SUMIF(Quantitytable[Dish],Quantitytable[[#This Row],[Dish]],Quantitytable[Cost Per Dish Per Item])</f>
        <v>33.78</v>
      </c>
      <c r="J98" s="18" t="s">
        <v>502</v>
      </c>
      <c r="R98" s="9" t="s">
        <v>100</v>
      </c>
      <c r="S98" s="3">
        <f>SUMIF(Quantitytable[[Ingredient ]],Ingredienttablereference[[#This Row],[Ingredient Ref]],Quantitytable[Materials Used])</f>
        <v>0</v>
      </c>
      <c r="T98" s="3">
        <f>SUMIF(Shoppingtable[Item Name],Ingredienttablereference[[#This Row],[Ingredient Ref]],Shoppingtable[Prize Per Gram])*Ingredienttablereference[[#This Row],[Sum]]</f>
        <v>0</v>
      </c>
    </row>
    <row r="99" spans="2:20" x14ac:dyDescent="0.25">
      <c r="B99" s="13" t="s">
        <v>660</v>
      </c>
      <c r="C99" s="13" t="s">
        <v>418</v>
      </c>
      <c r="D99" s="13">
        <v>2</v>
      </c>
      <c r="E99" s="3">
        <f>IF(Quantitytable[[#This Row],[Units]]=0,0,SUMIFS(Quantitytable[NeededQuantity],Quantitytable[Dish],Quantitytable[[#This Row],[Dish]],Quantitytable[[Ingredient ]],Quantitytable[[#This Row],[Ingredient ]]))</f>
        <v>0</v>
      </c>
      <c r="F99" s="3">
        <f>SUMIFS(salestable[Quantity Sold],salestable[Item Name],Quantitytable[[#This Row],[Dish]])</f>
        <v>0</v>
      </c>
      <c r="G99" s="3">
        <f>'Quantity Table'!$E99*'Quantity Table'!$F99</f>
        <v>0</v>
      </c>
      <c r="H99" s="3">
        <f>_xlfn.IFNA(VLOOKUP(Quantitytable[[#This Row],[Ingredient ]],Shoppingtable[[Item Name]:[BALANCE Cash]],5,FALSE),0)*Quantitytable[[#This Row],[NeededQuantity]]</f>
        <v>0.3</v>
      </c>
      <c r="I99" s="3">
        <f>SUMIF(Quantitytable[Dish],Quantitytable[[#This Row],[Dish]],Quantitytable[Cost Per Dish Per Item])</f>
        <v>25.012499999999999</v>
      </c>
      <c r="J99" s="18" t="s">
        <v>502</v>
      </c>
      <c r="R99" s="9" t="s">
        <v>101</v>
      </c>
      <c r="S99" s="3">
        <f>SUMIF(Quantitytable[[Ingredient ]],Ingredienttablereference[[#This Row],[Ingredient Ref]],Quantitytable[Materials Used])</f>
        <v>0</v>
      </c>
      <c r="T99" s="3">
        <f>SUMIF(Shoppingtable[Item Name],Ingredienttablereference[[#This Row],[Ingredient Ref]],Shoppingtable[Prize Per Gram])*Ingredienttablereference[[#This Row],[Sum]]</f>
        <v>0</v>
      </c>
    </row>
    <row r="100" spans="2:20" x14ac:dyDescent="0.25">
      <c r="B100" s="13" t="s">
        <v>660</v>
      </c>
      <c r="C100" s="13" t="s">
        <v>18</v>
      </c>
      <c r="D100" s="13">
        <v>25</v>
      </c>
      <c r="E100" s="3">
        <f>IF(Quantitytable[[#This Row],[Units]]=0,0,SUMIFS(Quantitytable[NeededQuantity],Quantitytable[Dish],Quantitytable[[#This Row],[Dish]],Quantitytable[[Ingredient ]],Quantitytable[[#This Row],[Ingredient ]]))</f>
        <v>0</v>
      </c>
      <c r="F100" s="3">
        <f>SUMIFS(salestable[Quantity Sold],salestable[Item Name],Quantitytable[[#This Row],[Dish]])</f>
        <v>0</v>
      </c>
      <c r="G100" s="3">
        <f>'Quantity Table'!$E100*'Quantity Table'!$F100</f>
        <v>0</v>
      </c>
      <c r="H100" s="3">
        <f>_xlfn.IFNA(VLOOKUP(Quantitytable[[#This Row],[Ingredient ]],Shoppingtable[[Item Name]:[BALANCE Cash]],5,FALSE),0)*Quantitytable[[#This Row],[NeededQuantity]]</f>
        <v>3.75</v>
      </c>
      <c r="I100" s="3">
        <f>SUMIF(Quantitytable[Dish],Quantitytable[[#This Row],[Dish]],Quantitytable[Cost Per Dish Per Item])</f>
        <v>25.012499999999999</v>
      </c>
      <c r="J100" s="18" t="s">
        <v>502</v>
      </c>
      <c r="R100" s="9" t="s">
        <v>25</v>
      </c>
      <c r="S100" s="3">
        <f>SUMIF(Quantitytable[[Ingredient ]],Ingredienttablereference[[#This Row],[Ingredient Ref]],Quantitytable[Materials Used])</f>
        <v>0</v>
      </c>
      <c r="T100" s="3">
        <f>SUMIF(Shoppingtable[Item Name],Ingredienttablereference[[#This Row],[Ingredient Ref]],Shoppingtable[Prize Per Gram])*Ingredienttablereference[[#This Row],[Sum]]</f>
        <v>0</v>
      </c>
    </row>
    <row r="101" spans="2:20" x14ac:dyDescent="0.25">
      <c r="B101" s="13" t="s">
        <v>660</v>
      </c>
      <c r="C101" s="13" t="s">
        <v>75</v>
      </c>
      <c r="D101" s="13">
        <v>25</v>
      </c>
      <c r="E101" s="3">
        <f>IF(Quantitytable[[#This Row],[Units]]=0,0,SUMIFS(Quantitytable[NeededQuantity],Quantitytable[Dish],Quantitytable[[#This Row],[Dish]],Quantitytable[[Ingredient ]],Quantitytable[[#This Row],[Ingredient ]]))</f>
        <v>0</v>
      </c>
      <c r="F101" s="3">
        <f>SUMIFS(salestable[Quantity Sold],salestable[Item Name],Quantitytable[[#This Row],[Dish]])</f>
        <v>0</v>
      </c>
      <c r="G101" s="3">
        <f>'Quantity Table'!$E101*'Quantity Table'!$F101</f>
        <v>0</v>
      </c>
      <c r="H101" s="3">
        <f>_xlfn.IFNA(VLOOKUP(Quantitytable[[#This Row],[Ingredient ]],Shoppingtable[[Item Name]:[BALANCE Cash]],5,FALSE),0)*Quantitytable[[#This Row],[NeededQuantity]]</f>
        <v>3.65</v>
      </c>
      <c r="I101" s="3">
        <f>SUMIF(Quantitytable[Dish],Quantitytable[[#This Row],[Dish]],Quantitytable[Cost Per Dish Per Item])</f>
        <v>25.012499999999999</v>
      </c>
      <c r="J101" s="18" t="s">
        <v>502</v>
      </c>
      <c r="R101" s="9" t="s">
        <v>102</v>
      </c>
      <c r="S101" s="3">
        <f>SUMIF(Quantitytable[[Ingredient ]],Ingredienttablereference[[#This Row],[Ingredient Ref]],Quantitytable[Materials Used])</f>
        <v>0</v>
      </c>
      <c r="T101" s="3">
        <f>SUMIF(Shoppingtable[Item Name],Ingredienttablereference[[#This Row],[Ingredient Ref]],Shoppingtable[Prize Per Gram])*Ingredienttablereference[[#This Row],[Sum]]</f>
        <v>0</v>
      </c>
    </row>
    <row r="102" spans="2:20" x14ac:dyDescent="0.25">
      <c r="B102" s="13" t="s">
        <v>660</v>
      </c>
      <c r="C102" s="13" t="s">
        <v>600</v>
      </c>
      <c r="D102" s="13">
        <v>150</v>
      </c>
      <c r="E102" s="3">
        <f>IF(Quantitytable[[#This Row],[Units]]=0,0,SUMIFS(Quantitytable[NeededQuantity],Quantitytable[Dish],Quantitytable[[#This Row],[Dish]],Quantitytable[[Ingredient ]],Quantitytable[[#This Row],[Ingredient ]]))</f>
        <v>0</v>
      </c>
      <c r="F102" s="3">
        <f>SUMIFS(salestable[Quantity Sold],salestable[Item Name],Quantitytable[[#This Row],[Dish]])</f>
        <v>0</v>
      </c>
      <c r="G102" s="3">
        <f>'Quantity Table'!$E102*'Quantity Table'!$F102</f>
        <v>0</v>
      </c>
      <c r="H102" s="3">
        <f>_xlfn.IFNA(VLOOKUP(Quantitytable[[#This Row],[Ingredient ]],Shoppingtable[[Item Name]:[BALANCE Cash]],5,FALSE),0)*Quantitytable[[#This Row],[NeededQuantity]]</f>
        <v>13.3125</v>
      </c>
      <c r="I102" s="3">
        <f>SUMIF(Quantitytable[Dish],Quantitytable[[#This Row],[Dish]],Quantitytable[Cost Per Dish Per Item])</f>
        <v>25.012499999999999</v>
      </c>
      <c r="J102" s="18" t="s">
        <v>502</v>
      </c>
      <c r="R102" s="9" t="s">
        <v>425</v>
      </c>
      <c r="S102" s="3">
        <f>SUMIF(Quantitytable[[Ingredient ]],Ingredienttablereference[[#This Row],[Ingredient Ref]],Quantitytable[Materials Used])</f>
        <v>0</v>
      </c>
      <c r="T102" s="3">
        <f>SUMIF(Shoppingtable[Item Name],Ingredienttablereference[[#This Row],[Ingredient Ref]],Shoppingtable[Prize Per Gram])*Ingredienttablereference[[#This Row],[Sum]]</f>
        <v>0</v>
      </c>
    </row>
    <row r="103" spans="2:20" x14ac:dyDescent="0.25">
      <c r="B103" s="13" t="s">
        <v>660</v>
      </c>
      <c r="C103" s="13" t="s">
        <v>44</v>
      </c>
      <c r="D103" s="13">
        <v>140</v>
      </c>
      <c r="E103" s="3">
        <f>IF(Quantitytable[[#This Row],[Units]]=0,0,SUMIFS(Quantitytable[NeededQuantity],Quantitytable[Dish],Quantitytable[[#This Row],[Dish]],Quantitytable[[Ingredient ]],Quantitytable[[#This Row],[Ingredient ]]))</f>
        <v>0</v>
      </c>
      <c r="F103" s="3">
        <f>SUMIFS(salestable[Quantity Sold],salestable[Item Name],Quantitytable[[#This Row],[Dish]])</f>
        <v>0</v>
      </c>
      <c r="G103" s="3">
        <f>'Quantity Table'!$E103*'Quantity Table'!$F103</f>
        <v>0</v>
      </c>
      <c r="H103" s="3">
        <f>_xlfn.IFNA(VLOOKUP(Quantitytable[[#This Row],[Ingredient ]],Shoppingtable[[Item Name]:[BALANCE Cash]],5,FALSE),0)*Quantitytable[[#This Row],[NeededQuantity]]</f>
        <v>4</v>
      </c>
      <c r="I103" s="3">
        <f>SUMIF(Quantitytable[Dish],Quantitytable[[#This Row],[Dish]],Quantitytable[Cost Per Dish Per Item])</f>
        <v>25.012499999999999</v>
      </c>
      <c r="J103" s="18" t="s">
        <v>502</v>
      </c>
      <c r="R103" s="9" t="s">
        <v>400</v>
      </c>
      <c r="S103" s="3">
        <f>SUMIF(Quantitytable[[Ingredient ]],Ingredienttablereference[[#This Row],[Ingredient Ref]],Quantitytable[Materials Used])</f>
        <v>0</v>
      </c>
      <c r="T103" s="3">
        <f>SUMIF(Shoppingtable[Item Name],Ingredienttablereference[[#This Row],[Ingredient Ref]],Shoppingtable[Prize Per Gram])*Ingredienttablereference[[#This Row],[Sum]]</f>
        <v>0</v>
      </c>
    </row>
    <row r="104" spans="2:20" x14ac:dyDescent="0.25">
      <c r="B104" s="13" t="s">
        <v>431</v>
      </c>
      <c r="C104" s="13" t="s">
        <v>508</v>
      </c>
      <c r="D104" s="13">
        <v>2</v>
      </c>
      <c r="E104" s="3">
        <f>IF(Quantitytable[[#This Row],[Units]]=0,0,SUMIFS(Quantitytable[NeededQuantity],Quantitytable[Dish],Quantitytable[[#This Row],[Dish]],Quantitytable[[Ingredient ]],Quantitytable[[#This Row],[Ingredient ]]))</f>
        <v>0</v>
      </c>
      <c r="F104" s="3">
        <f>SUMIFS(salestable[Quantity Sold],salestable[Item Name],Quantitytable[[#This Row],[Dish]])</f>
        <v>0</v>
      </c>
      <c r="G104" s="3">
        <f>'Quantity Table'!$E104*'Quantity Table'!$F104</f>
        <v>0</v>
      </c>
      <c r="H104" s="3">
        <f>_xlfn.IFNA(VLOOKUP(Quantitytable[[#This Row],[Ingredient ]],Shoppingtable[[Item Name]:[BALANCE Cash]],5,FALSE),0)*Quantitytable[[#This Row],[NeededQuantity]]</f>
        <v>0.62222222222222223</v>
      </c>
      <c r="I104" s="3">
        <f>SUMIF(Quantitytable[Dish],Quantitytable[[#This Row],[Dish]],Quantitytable[Cost Per Dish Per Item])</f>
        <v>9.5008638407193331</v>
      </c>
      <c r="J104" s="18" t="s">
        <v>502</v>
      </c>
      <c r="R104" s="9" t="s">
        <v>105</v>
      </c>
      <c r="S104" s="3">
        <f>SUMIF(Quantitytable[[Ingredient ]],Ingredienttablereference[[#This Row],[Ingredient Ref]],Quantitytable[Materials Used])</f>
        <v>0</v>
      </c>
      <c r="T104" s="3">
        <f>SUMIF(Shoppingtable[Item Name],Ingredienttablereference[[#This Row],[Ingredient Ref]],Shoppingtable[Prize Per Gram])*Ingredienttablereference[[#This Row],[Sum]]</f>
        <v>0</v>
      </c>
    </row>
    <row r="105" spans="2:20" x14ac:dyDescent="0.25">
      <c r="B105" s="13" t="s">
        <v>431</v>
      </c>
      <c r="C105" s="13" t="s">
        <v>478</v>
      </c>
      <c r="D105" s="13">
        <v>2</v>
      </c>
      <c r="E105" s="3">
        <f>IF(Quantitytable[[#This Row],[Units]]=0,0,SUMIFS(Quantitytable[NeededQuantity],Quantitytable[Dish],Quantitytable[[#This Row],[Dish]],Quantitytable[[Ingredient ]],Quantitytable[[#This Row],[Ingredient ]]))</f>
        <v>0</v>
      </c>
      <c r="F105" s="3">
        <f>SUMIFS(salestable[Quantity Sold],salestable[Item Name],Quantitytable[[#This Row],[Dish]])</f>
        <v>0</v>
      </c>
      <c r="G105" s="3">
        <f>'Quantity Table'!$E105*'Quantity Table'!$F105</f>
        <v>0</v>
      </c>
      <c r="H105" s="3">
        <f>_xlfn.IFNA(VLOOKUP(Quantitytable[[#This Row],[Ingredient ]],Shoppingtable[[Item Name]:[BALANCE Cash]],5,FALSE),0)*Quantitytable[[#This Row],[NeededQuantity]]</f>
        <v>0.5</v>
      </c>
      <c r="I105" s="3">
        <f>SUMIF(Quantitytable[Dish],Quantitytable[[#This Row],[Dish]],Quantitytable[Cost Per Dish Per Item])</f>
        <v>9.5008638407193331</v>
      </c>
      <c r="J105" s="18" t="s">
        <v>502</v>
      </c>
      <c r="R105" s="9" t="s">
        <v>404</v>
      </c>
      <c r="S105" s="3">
        <f>SUMIF(Quantitytable[[Ingredient ]],Ingredienttablereference[[#This Row],[Ingredient Ref]],Quantitytable[Materials Used])</f>
        <v>0</v>
      </c>
      <c r="T105" s="3">
        <f>SUMIF(Shoppingtable[Item Name],Ingredienttablereference[[#This Row],[Ingredient Ref]],Shoppingtable[Prize Per Gram])*Ingredienttablereference[[#This Row],[Sum]]</f>
        <v>0</v>
      </c>
    </row>
    <row r="106" spans="2:20" x14ac:dyDescent="0.25">
      <c r="B106" s="13" t="s">
        <v>431</v>
      </c>
      <c r="C106" s="13" t="s">
        <v>432</v>
      </c>
      <c r="D106" s="13">
        <v>3</v>
      </c>
      <c r="E106" s="3">
        <f>IF(Quantitytable[[#This Row],[Units]]=0,0,SUMIFS(Quantitytable[NeededQuantity],Quantitytable[Dish],Quantitytable[[#This Row],[Dish]],Quantitytable[[Ingredient ]],Quantitytable[[#This Row],[Ingredient ]]))</f>
        <v>0</v>
      </c>
      <c r="F106" s="3">
        <f>SUMIFS(salestable[Quantity Sold],salestable[Item Name],Quantitytable[[#This Row],[Dish]])</f>
        <v>0</v>
      </c>
      <c r="G106" s="3">
        <f>'Quantity Table'!$E106*'Quantity Table'!$F106</f>
        <v>0</v>
      </c>
      <c r="H106" s="3">
        <f>_xlfn.IFNA(VLOOKUP(Quantitytable[[#This Row],[Ingredient ]],Shoppingtable[[Item Name]:[BALANCE Cash]],5,FALSE),0)*Quantitytable[[#This Row],[NeededQuantity]]</f>
        <v>0.89999999999999991</v>
      </c>
      <c r="I106" s="3">
        <f>SUMIF(Quantitytable[Dish],Quantitytable[[#This Row],[Dish]],Quantitytable[Cost Per Dish Per Item])</f>
        <v>9.5008638407193331</v>
      </c>
      <c r="J106" s="18" t="s">
        <v>502</v>
      </c>
      <c r="R106" s="9" t="s">
        <v>422</v>
      </c>
      <c r="S106" s="3">
        <f>SUMIF(Quantitytable[[Ingredient ]],Ingredienttablereference[[#This Row],[Ingredient Ref]],Quantitytable[Materials Used])</f>
        <v>0</v>
      </c>
      <c r="T106" s="3">
        <f>SUMIF(Shoppingtable[Item Name],Ingredienttablereference[[#This Row],[Ingredient Ref]],Shoppingtable[Prize Per Gram])*Ingredienttablereference[[#This Row],[Sum]]</f>
        <v>0</v>
      </c>
    </row>
    <row r="107" spans="2:20" x14ac:dyDescent="0.25">
      <c r="B107" s="13" t="s">
        <v>431</v>
      </c>
      <c r="C107" s="13" t="s">
        <v>402</v>
      </c>
      <c r="D107" s="13">
        <v>5</v>
      </c>
      <c r="E107" s="3">
        <f>IF(Quantitytable[[#This Row],[Units]]=0,0,SUMIFS(Quantitytable[NeededQuantity],Quantitytable[Dish],Quantitytable[[#This Row],[Dish]],Quantitytable[[Ingredient ]],Quantitytable[[#This Row],[Ingredient ]]))</f>
        <v>0</v>
      </c>
      <c r="F107" s="3">
        <f>SUMIFS(salestable[Quantity Sold],salestable[Item Name],Quantitytable[[#This Row],[Dish]])</f>
        <v>0</v>
      </c>
      <c r="G107" s="3">
        <f>'Quantity Table'!$E107*'Quantity Table'!$F107</f>
        <v>0</v>
      </c>
      <c r="H107" s="3">
        <f>_xlfn.IFNA(VLOOKUP(Quantitytable[[#This Row],[Ingredient ]],Shoppingtable[[Item Name]:[BALANCE Cash]],5,FALSE),0)*Quantitytable[[#This Row],[NeededQuantity]]</f>
        <v>1</v>
      </c>
      <c r="I107" s="3">
        <f>SUMIF(Quantitytable[Dish],Quantitytable[[#This Row],[Dish]],Quantitytable[Cost Per Dish Per Item])</f>
        <v>9.5008638407193331</v>
      </c>
      <c r="J107" s="18" t="s">
        <v>502</v>
      </c>
      <c r="R107" s="9" t="s">
        <v>432</v>
      </c>
      <c r="S107" s="3">
        <f>SUMIF(Quantitytable[[Ingredient ]],Ingredienttablereference[[#This Row],[Ingredient Ref]],Quantitytable[Materials Used])</f>
        <v>0</v>
      </c>
      <c r="T107" s="3">
        <f>SUMIF(Shoppingtable[Item Name],Ingredienttablereference[[#This Row],[Ingredient Ref]],Shoppingtable[Prize Per Gram])*Ingredienttablereference[[#This Row],[Sum]]</f>
        <v>0</v>
      </c>
    </row>
    <row r="108" spans="2:20" x14ac:dyDescent="0.25">
      <c r="B108" s="13" t="s">
        <v>431</v>
      </c>
      <c r="C108" s="13" t="s">
        <v>406</v>
      </c>
      <c r="D108" s="13">
        <v>6</v>
      </c>
      <c r="E108" s="3">
        <f>IF(Quantitytable[[#This Row],[Units]]=0,0,SUMIFS(Quantitytable[NeededQuantity],Quantitytable[Dish],Quantitytable[[#This Row],[Dish]],Quantitytable[[Ingredient ]],Quantitytable[[#This Row],[Ingredient ]]))</f>
        <v>0</v>
      </c>
      <c r="F108" s="3">
        <f>SUMIFS(salestable[Quantity Sold],salestable[Item Name],Quantitytable[[#This Row],[Dish]])</f>
        <v>0</v>
      </c>
      <c r="G108" s="3">
        <f>'Quantity Table'!$E108*'Quantity Table'!$F108</f>
        <v>0</v>
      </c>
      <c r="H108" s="3">
        <f>_xlfn.IFNA(VLOOKUP(Quantitytable[[#This Row],[Ingredient ]],Shoppingtable[[Item Name]:[BALANCE Cash]],5,FALSE),0)*Quantitytable[[#This Row],[NeededQuantity]]</f>
        <v>0.69364161849710981</v>
      </c>
      <c r="I108" s="3">
        <f>SUMIF(Quantitytable[Dish],Quantitytable[[#This Row],[Dish]],Quantitytable[Cost Per Dish Per Item])</f>
        <v>9.5008638407193331</v>
      </c>
      <c r="J108" s="18" t="s">
        <v>502</v>
      </c>
      <c r="R108" s="9" t="s">
        <v>106</v>
      </c>
      <c r="S108" s="3">
        <f>SUMIF(Quantitytable[[Ingredient ]],Ingredienttablereference[[#This Row],[Ingredient Ref]],Quantitytable[Materials Used])</f>
        <v>0</v>
      </c>
      <c r="T108" s="3">
        <f>SUMIF(Shoppingtable[Item Name],Ingredienttablereference[[#This Row],[Ingredient Ref]],Shoppingtable[Prize Per Gram])*Ingredienttablereference[[#This Row],[Sum]]</f>
        <v>0</v>
      </c>
    </row>
    <row r="109" spans="2:20" x14ac:dyDescent="0.25">
      <c r="B109" s="13" t="s">
        <v>431</v>
      </c>
      <c r="C109" s="13" t="s">
        <v>413</v>
      </c>
      <c r="D109" s="13">
        <v>10</v>
      </c>
      <c r="E109" s="3">
        <f>IF(Quantitytable[[#This Row],[Units]]=0,0,SUMIFS(Quantitytable[NeededQuantity],Quantitytable[Dish],Quantitytable[[#This Row],[Dish]],Quantitytable[[Ingredient ]],Quantitytable[[#This Row],[Ingredient ]]))</f>
        <v>0</v>
      </c>
      <c r="F109" s="3">
        <f>SUMIFS(salestable[Quantity Sold],salestable[Item Name],Quantitytable[[#This Row],[Dish]])</f>
        <v>0</v>
      </c>
      <c r="G109" s="3">
        <f>'Quantity Table'!$E109*'Quantity Table'!$F109</f>
        <v>0</v>
      </c>
      <c r="H109" s="3">
        <f>_xlfn.IFNA(VLOOKUP(Quantitytable[[#This Row],[Ingredient ]],Shoppingtable[[Item Name]:[BALANCE Cash]],5,FALSE),0)*Quantitytable[[#This Row],[NeededQuantity]]</f>
        <v>1.46</v>
      </c>
      <c r="I109" s="3">
        <f>SUMIF(Quantitytable[Dish],Quantitytable[[#This Row],[Dish]],Quantitytable[Cost Per Dish Per Item])</f>
        <v>9.5008638407193331</v>
      </c>
      <c r="J109" s="18" t="s">
        <v>502</v>
      </c>
      <c r="R109" s="9" t="s">
        <v>107</v>
      </c>
      <c r="S109" s="3">
        <f>SUMIF(Quantitytable[[Ingredient ]],Ingredienttablereference[[#This Row],[Ingredient Ref]],Quantitytable[Materials Used])</f>
        <v>0</v>
      </c>
      <c r="T109" s="3">
        <f>SUMIF(Shoppingtable[Item Name],Ingredienttablereference[[#This Row],[Ingredient Ref]],Shoppingtable[Prize Per Gram])*Ingredienttablereference[[#This Row],[Sum]]</f>
        <v>0</v>
      </c>
    </row>
    <row r="110" spans="2:20" x14ac:dyDescent="0.25">
      <c r="B110" s="13" t="s">
        <v>431</v>
      </c>
      <c r="C110" s="13" t="s">
        <v>18</v>
      </c>
      <c r="D110" s="13">
        <v>15</v>
      </c>
      <c r="E110" s="3">
        <f>IF(Quantitytable[[#This Row],[Units]]=0,0,SUMIFS(Quantitytable[NeededQuantity],Quantitytable[Dish],Quantitytable[[#This Row],[Dish]],Quantitytable[[Ingredient ]],Quantitytable[[#This Row],[Ingredient ]]))</f>
        <v>0</v>
      </c>
      <c r="F110" s="3">
        <f>SUMIFS(salestable[Quantity Sold],salestable[Item Name],Quantitytable[[#This Row],[Dish]])</f>
        <v>0</v>
      </c>
      <c r="G110" s="3">
        <f>'Quantity Table'!$E110*'Quantity Table'!$F110</f>
        <v>0</v>
      </c>
      <c r="H110" s="3">
        <f>_xlfn.IFNA(VLOOKUP(Quantitytable[[#This Row],[Ingredient ]],Shoppingtable[[Item Name]:[BALANCE Cash]],5,FALSE),0)*Quantitytable[[#This Row],[NeededQuantity]]</f>
        <v>2.25</v>
      </c>
      <c r="I110" s="3">
        <f>SUMIF(Quantitytable[Dish],Quantitytable[[#This Row],[Dish]],Quantitytable[Cost Per Dish Per Item])</f>
        <v>9.5008638407193331</v>
      </c>
      <c r="J110" s="18" t="s">
        <v>502</v>
      </c>
      <c r="R110" s="9" t="s">
        <v>11</v>
      </c>
      <c r="S110" s="3">
        <f>SUMIF(Quantitytable[[Ingredient ]],Ingredienttablereference[[#This Row],[Ingredient Ref]],Quantitytable[Materials Used])</f>
        <v>0</v>
      </c>
      <c r="T110" s="3">
        <f>SUMIF(Shoppingtable[Item Name],Ingredienttablereference[[#This Row],[Ingredient Ref]],Shoppingtable[Prize Per Gram])*Ingredienttablereference[[#This Row],[Sum]]</f>
        <v>0</v>
      </c>
    </row>
    <row r="111" spans="2:20" x14ac:dyDescent="0.25">
      <c r="B111" s="13" t="s">
        <v>431</v>
      </c>
      <c r="C111" s="13" t="s">
        <v>399</v>
      </c>
      <c r="D111" s="13">
        <v>50</v>
      </c>
      <c r="E111" s="3">
        <f>IF(Quantitytable[[#This Row],[Units]]=0,0,SUMIFS(Quantitytable[NeededQuantity],Quantitytable[Dish],Quantitytable[[#This Row],[Dish]],Quantitytable[[Ingredient ]],Quantitytable[[#This Row],[Ingredient ]]))</f>
        <v>0</v>
      </c>
      <c r="F111" s="3">
        <f>SUMIFS(salestable[Quantity Sold],salestable[Item Name],Quantitytable[[#This Row],[Dish]])</f>
        <v>0</v>
      </c>
      <c r="G111" s="3">
        <f>'Quantity Table'!$E111*'Quantity Table'!$F111</f>
        <v>0</v>
      </c>
      <c r="H111" s="3">
        <f>_xlfn.IFNA(VLOOKUP(Quantitytable[[#This Row],[Ingredient ]],Shoppingtable[[Item Name]:[BALANCE Cash]],5,FALSE),0)*Quantitytable[[#This Row],[NeededQuantity]]</f>
        <v>2.0750000000000002</v>
      </c>
      <c r="I111" s="3">
        <f>SUMIF(Quantitytable[Dish],Quantitytable[[#This Row],[Dish]],Quantitytable[Cost Per Dish Per Item])</f>
        <v>9.5008638407193331</v>
      </c>
      <c r="J111" s="18" t="s">
        <v>502</v>
      </c>
      <c r="R111" s="9" t="s">
        <v>108</v>
      </c>
      <c r="S111" s="3">
        <f>SUMIF(Quantitytable[[Ingredient ]],Ingredienttablereference[[#This Row],[Ingredient Ref]],Quantitytable[Materials Used])</f>
        <v>0</v>
      </c>
      <c r="T111" s="3">
        <f>SUMIF(Shoppingtable[Item Name],Ingredienttablereference[[#This Row],[Ingredient Ref]],Shoppingtable[Prize Per Gram])*Ingredienttablereference[[#This Row],[Sum]]</f>
        <v>0</v>
      </c>
    </row>
    <row r="112" spans="2:20" x14ac:dyDescent="0.25">
      <c r="B112" s="13" t="s">
        <v>149</v>
      </c>
      <c r="C112" s="13" t="s">
        <v>96</v>
      </c>
      <c r="D112" s="13">
        <v>3</v>
      </c>
      <c r="E112" s="3">
        <f>IF(Quantitytable[[#This Row],[Units]]=0,0,SUMIFS(Quantitytable[NeededQuantity],Quantitytable[Dish],Quantitytable[[#This Row],[Dish]],Quantitytable[[Ingredient ]],Quantitytable[[#This Row],[Ingredient ]]))</f>
        <v>0</v>
      </c>
      <c r="F112" s="3">
        <f>SUMIFS(salestable[Quantity Sold],salestable[Item Name],Quantitytable[[#This Row],[Dish]])</f>
        <v>0</v>
      </c>
      <c r="G112" s="3">
        <f>'Quantity Table'!$E112*'Quantity Table'!$F112</f>
        <v>0</v>
      </c>
      <c r="H112" s="3">
        <f>_xlfn.IFNA(VLOOKUP(Quantitytable[[#This Row],[Ingredient ]],Shoppingtable[[Item Name]:[BALANCE Cash]],5,FALSE),0)*Quantitytable[[#This Row],[NeededQuantity]]</f>
        <v>0.15000000000000002</v>
      </c>
      <c r="I112" s="3">
        <f>SUMIF(Quantitytable[Dish],Quantitytable[[#This Row],[Dish]],Quantitytable[Cost Per Dish Per Item])</f>
        <v>9.0399999999999991</v>
      </c>
      <c r="J112" s="18" t="s">
        <v>502</v>
      </c>
      <c r="R112" s="9" t="s">
        <v>109</v>
      </c>
      <c r="S112" s="3">
        <f>SUMIF(Quantitytable[[Ingredient ]],Ingredienttablereference[[#This Row],[Ingredient Ref]],Quantitytable[Materials Used])</f>
        <v>0</v>
      </c>
      <c r="T112" s="3">
        <f>SUMIF(Shoppingtable[Item Name],Ingredienttablereference[[#This Row],[Ingredient Ref]],Shoppingtable[Prize Per Gram])*Ingredienttablereference[[#This Row],[Sum]]</f>
        <v>0</v>
      </c>
    </row>
    <row r="113" spans="2:20" x14ac:dyDescent="0.25">
      <c r="B113" s="13" t="s">
        <v>149</v>
      </c>
      <c r="C113" s="13" t="s">
        <v>413</v>
      </c>
      <c r="D113" s="13">
        <v>25</v>
      </c>
      <c r="E113" s="3">
        <f>IF(Quantitytable[[#This Row],[Units]]=0,0,SUMIFS(Quantitytable[NeededQuantity],Quantitytable[Dish],Quantitytable[[#This Row],[Dish]],Quantitytable[[Ingredient ]],Quantitytable[[#This Row],[Ingredient ]]))</f>
        <v>0</v>
      </c>
      <c r="F113" s="3">
        <f>SUMIFS(salestable[Quantity Sold],salestable[Item Name],Quantitytable[[#This Row],[Dish]])</f>
        <v>0</v>
      </c>
      <c r="G113" s="3">
        <f>'Quantity Table'!$E113*'Quantity Table'!$F113</f>
        <v>0</v>
      </c>
      <c r="H113" s="3">
        <f>_xlfn.IFNA(VLOOKUP(Quantitytable[[#This Row],[Ingredient ]],Shoppingtable[[Item Name]:[BALANCE Cash]],5,FALSE),0)*Quantitytable[[#This Row],[NeededQuantity]]</f>
        <v>3.65</v>
      </c>
      <c r="I113" s="3">
        <f>SUMIF(Quantitytable[Dish],Quantitytable[[#This Row],[Dish]],Quantitytable[Cost Per Dish Per Item])</f>
        <v>9.0399999999999991</v>
      </c>
      <c r="J113" s="18" t="s">
        <v>502</v>
      </c>
      <c r="R113" s="9" t="s">
        <v>110</v>
      </c>
      <c r="S113" s="3">
        <f>SUMIF(Quantitytable[[Ingredient ]],Ingredienttablereference[[#This Row],[Ingredient Ref]],Quantitytable[Materials Used])</f>
        <v>0</v>
      </c>
      <c r="T113" s="3">
        <f>SUMIF(Shoppingtable[Item Name],Ingredienttablereference[[#This Row],[Ingredient Ref]],Shoppingtable[Prize Per Gram])*Ingredienttablereference[[#This Row],[Sum]]</f>
        <v>0</v>
      </c>
    </row>
    <row r="114" spans="2:20" x14ac:dyDescent="0.25">
      <c r="B114" s="13" t="s">
        <v>149</v>
      </c>
      <c r="C114" s="13" t="s">
        <v>375</v>
      </c>
      <c r="D114" s="13">
        <v>100</v>
      </c>
      <c r="E114" s="3">
        <f>IF(Quantitytable[[#This Row],[Units]]=0,0,SUMIFS(Quantitytable[NeededQuantity],Quantitytable[Dish],Quantitytable[[#This Row],[Dish]],Quantitytable[[Ingredient ]],Quantitytable[[#This Row],[Ingredient ]]))</f>
        <v>0</v>
      </c>
      <c r="F114" s="3">
        <f>SUMIFS(salestable[Quantity Sold],salestable[Item Name],Quantitytable[[#This Row],[Dish]])</f>
        <v>0</v>
      </c>
      <c r="G114" s="3">
        <f>'Quantity Table'!$E114*'Quantity Table'!$F114</f>
        <v>0</v>
      </c>
      <c r="H114" s="3">
        <f>_xlfn.IFNA(VLOOKUP(Quantitytable[[#This Row],[Ingredient ]],Shoppingtable[[Item Name]:[BALANCE Cash]],5,FALSE),0)*Quantitytable[[#This Row],[NeededQuantity]]</f>
        <v>5.24</v>
      </c>
      <c r="I114" s="3">
        <f>SUMIF(Quantitytable[Dish],Quantitytable[[#This Row],[Dish]],Quantitytable[Cost Per Dish Per Item])</f>
        <v>9.0399999999999991</v>
      </c>
      <c r="J114" s="18" t="s">
        <v>502</v>
      </c>
      <c r="R114" s="9" t="s">
        <v>111</v>
      </c>
      <c r="S114" s="3">
        <f>SUMIF(Quantitytable[[Ingredient ]],Ingredienttablereference[[#This Row],[Ingredient Ref]],Quantitytable[Materials Used])</f>
        <v>0</v>
      </c>
      <c r="T114" s="3">
        <f>SUMIF(Shoppingtable[Item Name],Ingredienttablereference[[#This Row],[Ingredient Ref]],Shoppingtable[Prize Per Gram])*Ingredienttablereference[[#This Row],[Sum]]</f>
        <v>0</v>
      </c>
    </row>
    <row r="115" spans="2:20" x14ac:dyDescent="0.25">
      <c r="B115" s="13" t="s">
        <v>638</v>
      </c>
      <c r="C115" s="13" t="s">
        <v>96</v>
      </c>
      <c r="D115" s="13">
        <v>3</v>
      </c>
      <c r="E115" s="3">
        <f>IF(Quantitytable[[#This Row],[Units]]=0,0,SUMIFS(Quantitytable[NeededQuantity],Quantitytable[Dish],Quantitytable[[#This Row],[Dish]],Quantitytable[[Ingredient ]],Quantitytable[[#This Row],[Ingredient ]]))</f>
        <v>0</v>
      </c>
      <c r="F115" s="3">
        <f>SUMIFS(salestable[Quantity Sold],salestable[Item Name],Quantitytable[[#This Row],[Dish]])</f>
        <v>0</v>
      </c>
      <c r="G115" s="3">
        <f>'Quantity Table'!$E115*'Quantity Table'!$F115</f>
        <v>0</v>
      </c>
      <c r="H115" s="3">
        <f>_xlfn.IFNA(VLOOKUP(Quantitytable[[#This Row],[Ingredient ]],Shoppingtable[[Item Name]:[BALANCE Cash]],5,FALSE),0)*Quantitytable[[#This Row],[NeededQuantity]]</f>
        <v>0.15000000000000002</v>
      </c>
      <c r="I115" s="3">
        <f>SUMIF(Quantitytable[Dish],Quantitytable[[#This Row],[Dish]],Quantitytable[Cost Per Dish Per Item])</f>
        <v>31.119999999999997</v>
      </c>
      <c r="J115" s="18" t="s">
        <v>502</v>
      </c>
      <c r="R115" s="9"/>
      <c r="S115" s="3"/>
    </row>
    <row r="116" spans="2:20" x14ac:dyDescent="0.25">
      <c r="B116" s="13" t="s">
        <v>638</v>
      </c>
      <c r="C116" s="13" t="s">
        <v>413</v>
      </c>
      <c r="D116" s="13">
        <v>25</v>
      </c>
      <c r="E116" s="3">
        <f>IF(Quantitytable[[#This Row],[Units]]=0,0,SUMIFS(Quantitytable[NeededQuantity],Quantitytable[Dish],Quantitytable[[#This Row],[Dish]],Quantitytable[[Ingredient ]],Quantitytable[[#This Row],[Ingredient ]]))</f>
        <v>0</v>
      </c>
      <c r="F116" s="3">
        <f>SUMIFS(salestable[Quantity Sold],salestable[Item Name],Quantitytable[[#This Row],[Dish]])</f>
        <v>0</v>
      </c>
      <c r="G116" s="3">
        <f>'Quantity Table'!$E116*'Quantity Table'!$F116</f>
        <v>0</v>
      </c>
      <c r="H116" s="3">
        <f>_xlfn.IFNA(VLOOKUP(Quantitytable[[#This Row],[Ingredient ]],Shoppingtable[[Item Name]:[BALANCE Cash]],5,FALSE),0)*Quantitytable[[#This Row],[NeededQuantity]]</f>
        <v>3.65</v>
      </c>
      <c r="I116" s="3">
        <f>SUMIF(Quantitytable[Dish],Quantitytable[[#This Row],[Dish]],Quantitytable[Cost Per Dish Per Item])</f>
        <v>31.119999999999997</v>
      </c>
      <c r="J116" s="18" t="s">
        <v>502</v>
      </c>
    </row>
    <row r="117" spans="2:20" x14ac:dyDescent="0.25">
      <c r="B117" s="13" t="s">
        <v>638</v>
      </c>
      <c r="C117" s="13" t="s">
        <v>375</v>
      </c>
      <c r="D117" s="13">
        <v>100</v>
      </c>
      <c r="E117" s="3">
        <f>IF(Quantitytable[[#This Row],[Units]]=0,0,SUMIFS(Quantitytable[NeededQuantity],Quantitytable[Dish],Quantitytable[[#This Row],[Dish]],Quantitytable[[Ingredient ]],Quantitytable[[#This Row],[Ingredient ]]))</f>
        <v>0</v>
      </c>
      <c r="F117" s="3">
        <f>SUMIFS(salestable[Quantity Sold],salestable[Item Name],Quantitytable[[#This Row],[Dish]])</f>
        <v>0</v>
      </c>
      <c r="G117" s="3">
        <f>'Quantity Table'!$E117*'Quantity Table'!$F117</f>
        <v>0</v>
      </c>
      <c r="H117" s="3">
        <f>_xlfn.IFNA(VLOOKUP(Quantitytable[[#This Row],[Ingredient ]],Shoppingtable[[Item Name]:[BALANCE Cash]],5,FALSE),0)*Quantitytable[[#This Row],[NeededQuantity]]</f>
        <v>5.24</v>
      </c>
      <c r="I117" s="3">
        <f>SUMIF(Quantitytable[Dish],Quantitytable[[#This Row],[Dish]],Quantitytable[Cost Per Dish Per Item])</f>
        <v>31.119999999999997</v>
      </c>
      <c r="J117" s="18" t="s">
        <v>502</v>
      </c>
    </row>
    <row r="118" spans="2:20" x14ac:dyDescent="0.25">
      <c r="B118" s="13" t="s">
        <v>638</v>
      </c>
      <c r="C118" s="13" t="s">
        <v>163</v>
      </c>
      <c r="D118" s="13">
        <v>100</v>
      </c>
      <c r="E118" s="3">
        <f>IF(Quantitytable[[#This Row],[Units]]=0,0,SUMIFS(Quantitytable[NeededQuantity],Quantitytable[Dish],Quantitytable[[#This Row],[Dish]],Quantitytable[[Ingredient ]],Quantitytable[[#This Row],[Ingredient ]]))</f>
        <v>0</v>
      </c>
      <c r="F118" s="3">
        <f>SUMIFS(salestable[Quantity Sold],salestable[Item Name],Quantitytable[[#This Row],[Dish]])</f>
        <v>0</v>
      </c>
      <c r="G118" s="3">
        <f>'Quantity Table'!$E118*'Quantity Table'!$F118</f>
        <v>0</v>
      </c>
      <c r="H118" s="3">
        <f>_xlfn.IFNA(VLOOKUP(Quantitytable[[#This Row],[Ingredient ]],Shoppingtable[[Item Name]:[BALANCE Cash]],5,FALSE),0)*Quantitytable[[#This Row],[NeededQuantity]]</f>
        <v>22.08</v>
      </c>
      <c r="I118" s="3">
        <f>SUMIF(Quantitytable[Dish],Quantitytable[[#This Row],[Dish]],Quantitytable[Cost Per Dish Per Item])</f>
        <v>31.119999999999997</v>
      </c>
      <c r="J118" s="18" t="s">
        <v>502</v>
      </c>
    </row>
    <row r="119" spans="2:20" x14ac:dyDescent="0.25">
      <c r="B119" s="13" t="s">
        <v>661</v>
      </c>
      <c r="C119" s="13" t="s">
        <v>96</v>
      </c>
      <c r="D119" s="13">
        <v>3</v>
      </c>
      <c r="E119" s="3">
        <f>IF(Quantitytable[[#This Row],[Units]]=0,0,SUMIFS(Quantitytable[NeededQuantity],Quantitytable[Dish],Quantitytable[[#This Row],[Dish]],Quantitytable[[Ingredient ]],Quantitytable[[#This Row],[Ingredient ]]))</f>
        <v>0</v>
      </c>
      <c r="F119" s="3">
        <f>SUMIFS(salestable[Quantity Sold],salestable[Item Name],Quantitytable[[#This Row],[Dish]])</f>
        <v>0</v>
      </c>
      <c r="G119" s="3">
        <f>'Quantity Table'!$E119*'Quantity Table'!$F119</f>
        <v>0</v>
      </c>
      <c r="H119" s="3">
        <f>_xlfn.IFNA(VLOOKUP(Quantitytable[[#This Row],[Ingredient ]],Shoppingtable[[Item Name]:[BALANCE Cash]],5,FALSE),0)*Quantitytable[[#This Row],[NeededQuantity]]</f>
        <v>0.15000000000000002</v>
      </c>
      <c r="I119" s="3">
        <f>SUMIF(Quantitytable[Dish],Quantitytable[[#This Row],[Dish]],Quantitytable[Cost Per Dish Per Item])</f>
        <v>22.352499999999999</v>
      </c>
      <c r="J119" s="18" t="s">
        <v>502</v>
      </c>
    </row>
    <row r="120" spans="2:20" x14ac:dyDescent="0.25">
      <c r="B120" s="13" t="s">
        <v>661</v>
      </c>
      <c r="C120" s="13" t="s">
        <v>413</v>
      </c>
      <c r="D120" s="13">
        <v>25</v>
      </c>
      <c r="E120" s="3">
        <f>IF(Quantitytable[[#This Row],[Units]]=0,0,SUMIFS(Quantitytable[NeededQuantity],Quantitytable[Dish],Quantitytable[[#This Row],[Dish]],Quantitytable[[Ingredient ]],Quantitytable[[#This Row],[Ingredient ]]))</f>
        <v>0</v>
      </c>
      <c r="F120" s="3">
        <f>SUMIFS(salestable[Quantity Sold],salestable[Item Name],Quantitytable[[#This Row],[Dish]])</f>
        <v>0</v>
      </c>
      <c r="G120" s="3">
        <f>'Quantity Table'!$E120*'Quantity Table'!$F120</f>
        <v>0</v>
      </c>
      <c r="H120" s="3">
        <f>_xlfn.IFNA(VLOOKUP(Quantitytable[[#This Row],[Ingredient ]],Shoppingtable[[Item Name]:[BALANCE Cash]],5,FALSE),0)*Quantitytable[[#This Row],[NeededQuantity]]</f>
        <v>3.65</v>
      </c>
      <c r="I120" s="3">
        <f>SUMIF(Quantitytable[Dish],Quantitytable[[#This Row],[Dish]],Quantitytable[Cost Per Dish Per Item])</f>
        <v>22.352499999999999</v>
      </c>
      <c r="J120" s="18" t="s">
        <v>502</v>
      </c>
    </row>
    <row r="121" spans="2:20" x14ac:dyDescent="0.25">
      <c r="B121" s="13" t="s">
        <v>661</v>
      </c>
      <c r="C121" s="13" t="s">
        <v>375</v>
      </c>
      <c r="D121" s="13">
        <v>100</v>
      </c>
      <c r="E121" s="3">
        <f>IF(Quantitytable[[#This Row],[Units]]=0,0,SUMIFS(Quantitytable[NeededQuantity],Quantitytable[Dish],Quantitytable[[#This Row],[Dish]],Quantitytable[[Ingredient ]],Quantitytable[[#This Row],[Ingredient ]]))</f>
        <v>0</v>
      </c>
      <c r="F121" s="3">
        <f>SUMIFS(salestable[Quantity Sold],salestable[Item Name],Quantitytable[[#This Row],[Dish]])</f>
        <v>0</v>
      </c>
      <c r="G121" s="3">
        <f>'Quantity Table'!$E121*'Quantity Table'!$F121</f>
        <v>0</v>
      </c>
      <c r="H121" s="3">
        <f>_xlfn.IFNA(VLOOKUP(Quantitytable[[#This Row],[Ingredient ]],Shoppingtable[[Item Name]:[BALANCE Cash]],5,FALSE),0)*Quantitytable[[#This Row],[NeededQuantity]]</f>
        <v>5.24</v>
      </c>
      <c r="I121" s="3">
        <f>SUMIF(Quantitytable[Dish],Quantitytable[[#This Row],[Dish]],Quantitytable[Cost Per Dish Per Item])</f>
        <v>22.352499999999999</v>
      </c>
      <c r="J121" s="18" t="s">
        <v>502</v>
      </c>
    </row>
    <row r="122" spans="2:20" x14ac:dyDescent="0.25">
      <c r="B122" s="13" t="s">
        <v>661</v>
      </c>
      <c r="C122" s="13" t="s">
        <v>600</v>
      </c>
      <c r="D122" s="13">
        <v>150</v>
      </c>
      <c r="E122" s="3">
        <f>IF(Quantitytable[[#This Row],[Units]]=0,0,SUMIFS(Quantitytable[NeededQuantity],Quantitytable[Dish],Quantitytable[[#This Row],[Dish]],Quantitytable[[Ingredient ]],Quantitytable[[#This Row],[Ingredient ]]))</f>
        <v>0</v>
      </c>
      <c r="F122" s="3">
        <f>SUMIFS(salestable[Quantity Sold],salestable[Item Name],Quantitytable[[#This Row],[Dish]])</f>
        <v>0</v>
      </c>
      <c r="G122" s="3">
        <f>'Quantity Table'!$E122*'Quantity Table'!$F122</f>
        <v>0</v>
      </c>
      <c r="H122" s="3">
        <f>_xlfn.IFNA(VLOOKUP(Quantitytable[[#This Row],[Ingredient ]],Shoppingtable[[Item Name]:[BALANCE Cash]],5,FALSE),0)*Quantitytable[[#This Row],[NeededQuantity]]</f>
        <v>13.3125</v>
      </c>
      <c r="I122" s="3">
        <f>SUMIF(Quantitytable[Dish],Quantitytable[[#This Row],[Dish]],Quantitytable[Cost Per Dish Per Item])</f>
        <v>22.352499999999999</v>
      </c>
      <c r="J122" s="18" t="s">
        <v>502</v>
      </c>
    </row>
    <row r="123" spans="2:20" x14ac:dyDescent="0.25">
      <c r="B123" s="13" t="s">
        <v>253</v>
      </c>
      <c r="C123" s="13" t="s">
        <v>421</v>
      </c>
      <c r="D123" s="13">
        <v>1</v>
      </c>
      <c r="E123" s="3">
        <f>IF(Quantitytable[[#This Row],[Units]]=0,0,SUMIFS(Quantitytable[NeededQuantity],Quantitytable[Dish],Quantitytable[[#This Row],[Dish]],Quantitytable[[Ingredient ]],Quantitytable[[#This Row],[Ingredient ]]))</f>
        <v>0</v>
      </c>
      <c r="F123" s="3">
        <f>SUMIFS(salestable[Quantity Sold],salestable[Item Name],Quantitytable[[#This Row],[Dish]])</f>
        <v>0</v>
      </c>
      <c r="G123" s="3">
        <f>'Quantity Table'!$E123*'Quantity Table'!$F123</f>
        <v>0</v>
      </c>
      <c r="H123" s="3">
        <f>_xlfn.IFNA(VLOOKUP(Quantitytable[[#This Row],[Ingredient ]],Shoppingtable[[Item Name]:[BALANCE Cash]],5,FALSE),0)*Quantitytable[[#This Row],[NeededQuantity]]</f>
        <v>0.5</v>
      </c>
      <c r="I123" s="3">
        <f>SUMIF(Quantitytable[Dish],Quantitytable[[#This Row],[Dish]],Quantitytable[Cost Per Dish Per Item])</f>
        <v>29.576893939393941</v>
      </c>
      <c r="J123" s="18" t="s">
        <v>502</v>
      </c>
    </row>
    <row r="124" spans="2:20" x14ac:dyDescent="0.25">
      <c r="B124" s="13" t="s">
        <v>253</v>
      </c>
      <c r="C124" s="13" t="s">
        <v>492</v>
      </c>
      <c r="D124" s="13">
        <v>1</v>
      </c>
      <c r="E124" s="3">
        <f>IF(Quantitytable[[#This Row],[Units]]=0,0,SUMIFS(Quantitytable[NeededQuantity],Quantitytable[Dish],Quantitytable[[#This Row],[Dish]],Quantitytable[[Ingredient ]],Quantitytable[[#This Row],[Ingredient ]]))</f>
        <v>0</v>
      </c>
      <c r="F124" s="3">
        <f>SUMIFS(salestable[Quantity Sold],salestable[Item Name],Quantitytable[[#This Row],[Dish]])</f>
        <v>0</v>
      </c>
      <c r="G124" s="3">
        <f>'Quantity Table'!$E124*'Quantity Table'!$F124</f>
        <v>0</v>
      </c>
      <c r="H124" s="3">
        <f>_xlfn.IFNA(VLOOKUP(Quantitytable[[#This Row],[Ingredient ]],Shoppingtable[[Item Name]:[BALANCE Cash]],5,FALSE),0)*Quantitytable[[#This Row],[NeededQuantity]]</f>
        <v>0.1875</v>
      </c>
      <c r="I124" s="3">
        <f>SUMIF(Quantitytable[Dish],Quantitytable[[#This Row],[Dish]],Quantitytable[Cost Per Dish Per Item])</f>
        <v>29.576893939393941</v>
      </c>
      <c r="J124" s="18" t="s">
        <v>502</v>
      </c>
    </row>
    <row r="125" spans="2:20" x14ac:dyDescent="0.25">
      <c r="B125" s="13" t="s">
        <v>253</v>
      </c>
      <c r="C125" s="13" t="s">
        <v>420</v>
      </c>
      <c r="D125" s="13">
        <v>1</v>
      </c>
      <c r="E125" s="3">
        <f>IF(Quantitytable[[#This Row],[Units]]=0,0,SUMIFS(Quantitytable[NeededQuantity],Quantitytable[Dish],Quantitytable[[#This Row],[Dish]],Quantitytable[[Ingredient ]],Quantitytable[[#This Row],[Ingredient ]]))</f>
        <v>0</v>
      </c>
      <c r="F125" s="3">
        <f>SUMIFS(salestable[Quantity Sold],salestable[Item Name],Quantitytable[[#This Row],[Dish]])</f>
        <v>0</v>
      </c>
      <c r="G125" s="3">
        <f>'Quantity Table'!$E125*'Quantity Table'!$F125</f>
        <v>0</v>
      </c>
      <c r="H125" s="3">
        <f>_xlfn.IFNA(VLOOKUP(Quantitytable[[#This Row],[Ingredient ]],Shoppingtable[[Item Name]:[BALANCE Cash]],5,FALSE),0)*Quantitytable[[#This Row],[NeededQuantity]]</f>
        <v>0</v>
      </c>
      <c r="I125" s="3">
        <f>SUMIF(Quantitytable[Dish],Quantitytable[[#This Row],[Dish]],Quantitytable[Cost Per Dish Per Item])</f>
        <v>29.576893939393941</v>
      </c>
      <c r="J125" s="18" t="s">
        <v>502</v>
      </c>
    </row>
    <row r="126" spans="2:20" x14ac:dyDescent="0.25">
      <c r="B126" s="13" t="s">
        <v>253</v>
      </c>
      <c r="C126" s="13" t="s">
        <v>303</v>
      </c>
      <c r="D126" s="13">
        <v>2</v>
      </c>
      <c r="E126" s="3">
        <f>IF(Quantitytable[[#This Row],[Units]]=0,0,SUMIFS(Quantitytable[NeededQuantity],Quantitytable[Dish],Quantitytable[[#This Row],[Dish]],Quantitytable[[Ingredient ]],Quantitytable[[#This Row],[Ingredient ]]))</f>
        <v>0</v>
      </c>
      <c r="F126" s="3">
        <f>SUMIFS(salestable[Quantity Sold],salestable[Item Name],Quantitytable[[#This Row],[Dish]])</f>
        <v>0</v>
      </c>
      <c r="G126" s="3">
        <f>'Quantity Table'!$E126*'Quantity Table'!$F126</f>
        <v>0</v>
      </c>
      <c r="H126" s="3">
        <f>_xlfn.IFNA(VLOOKUP(Quantitytable[[#This Row],[Ingredient ]],Shoppingtable[[Item Name]:[BALANCE Cash]],5,FALSE),0)*Quantitytable[[#This Row],[NeededQuantity]]</f>
        <v>0.6</v>
      </c>
      <c r="I126" s="3">
        <f>SUMIF(Quantitytable[Dish],Quantitytable[[#This Row],[Dish]],Quantitytable[Cost Per Dish Per Item])</f>
        <v>29.576893939393941</v>
      </c>
      <c r="J126" s="18" t="s">
        <v>502</v>
      </c>
    </row>
    <row r="127" spans="2:20" x14ac:dyDescent="0.25">
      <c r="B127" s="13" t="s">
        <v>253</v>
      </c>
      <c r="C127" s="13" t="s">
        <v>524</v>
      </c>
      <c r="D127" s="13">
        <v>2</v>
      </c>
      <c r="E127" s="3">
        <f>IF(Quantitytable[[#This Row],[Units]]=0,0,SUMIFS(Quantitytable[NeededQuantity],Quantitytable[Dish],Quantitytable[[#This Row],[Dish]],Quantitytable[[Ingredient ]],Quantitytable[[#This Row],[Ingredient ]]))</f>
        <v>0</v>
      </c>
      <c r="F127" s="3">
        <f>SUMIFS(salestable[Quantity Sold],salestable[Item Name],Quantitytable[[#This Row],[Dish]])</f>
        <v>0</v>
      </c>
      <c r="G127" s="3">
        <f>'Quantity Table'!$E127*'Quantity Table'!$F127</f>
        <v>0</v>
      </c>
      <c r="H127" s="3">
        <f>_xlfn.IFNA(VLOOKUP(Quantitytable[[#This Row],[Ingredient ]],Shoppingtable[[Item Name]:[BALANCE Cash]],5,FALSE),0)*Quantitytable[[#This Row],[NeededQuantity]]</f>
        <v>0.56000000000000005</v>
      </c>
      <c r="I127" s="3">
        <f>SUMIF(Quantitytable[Dish],Quantitytable[[#This Row],[Dish]],Quantitytable[Cost Per Dish Per Item])</f>
        <v>29.576893939393941</v>
      </c>
      <c r="J127" s="18" t="s">
        <v>502</v>
      </c>
    </row>
    <row r="128" spans="2:20" x14ac:dyDescent="0.25">
      <c r="B128" s="13" t="s">
        <v>253</v>
      </c>
      <c r="C128" s="13" t="s">
        <v>485</v>
      </c>
      <c r="D128" s="13">
        <v>2</v>
      </c>
      <c r="E128" s="3">
        <f>IF(Quantitytable[[#This Row],[Units]]=0,0,SUMIFS(Quantitytable[NeededQuantity],Quantitytable[Dish],Quantitytable[[#This Row],[Dish]],Quantitytable[[Ingredient ]],Quantitytable[[#This Row],[Ingredient ]]))</f>
        <v>0</v>
      </c>
      <c r="F128" s="3">
        <f>SUMIFS(salestable[Quantity Sold],salestable[Item Name],Quantitytable[[#This Row],[Dish]])</f>
        <v>0</v>
      </c>
      <c r="G128" s="3">
        <f>'Quantity Table'!$E128*'Quantity Table'!$F128</f>
        <v>0</v>
      </c>
      <c r="H128" s="3">
        <f>_xlfn.IFNA(VLOOKUP(Quantitytable[[#This Row],[Ingredient ]],Shoppingtable[[Item Name]:[BALANCE Cash]],5,FALSE),0)*Quantitytable[[#This Row],[NeededQuantity]]</f>
        <v>0.4</v>
      </c>
      <c r="I128" s="3">
        <f>SUMIF(Quantitytable[Dish],Quantitytable[[#This Row],[Dish]],Quantitytable[Cost Per Dish Per Item])</f>
        <v>29.576893939393941</v>
      </c>
      <c r="J128" s="18" t="s">
        <v>502</v>
      </c>
    </row>
    <row r="129" spans="2:10" x14ac:dyDescent="0.25">
      <c r="B129" s="13" t="s">
        <v>253</v>
      </c>
      <c r="C129" s="13" t="s">
        <v>487</v>
      </c>
      <c r="D129" s="13">
        <v>2</v>
      </c>
      <c r="E129" s="3">
        <f>IF(Quantitytable[[#This Row],[Units]]=0,0,SUMIFS(Quantitytable[NeededQuantity],Quantitytable[Dish],Quantitytable[[#This Row],[Dish]],Quantitytable[[Ingredient ]],Quantitytable[[#This Row],[Ingredient ]]))</f>
        <v>0</v>
      </c>
      <c r="F129" s="3">
        <f>SUMIFS(salestable[Quantity Sold],salestable[Item Name],Quantitytable[[#This Row],[Dish]])</f>
        <v>0</v>
      </c>
      <c r="G129" s="3">
        <f>'Quantity Table'!$E129*'Quantity Table'!$F129</f>
        <v>0</v>
      </c>
      <c r="H129" s="3">
        <f>_xlfn.IFNA(VLOOKUP(Quantitytable[[#This Row],[Ingredient ]],Shoppingtable[[Item Name]:[BALANCE Cash]],5,FALSE),0)*Quantitytable[[#This Row],[NeededQuantity]]</f>
        <v>2.1</v>
      </c>
      <c r="I129" s="3">
        <f>SUMIF(Quantitytable[Dish],Quantitytable[[#This Row],[Dish]],Quantitytable[Cost Per Dish Per Item])</f>
        <v>29.576893939393941</v>
      </c>
      <c r="J129" s="18" t="s">
        <v>502</v>
      </c>
    </row>
    <row r="130" spans="2:10" x14ac:dyDescent="0.25">
      <c r="B130" s="13" t="s">
        <v>253</v>
      </c>
      <c r="C130" s="13" t="s">
        <v>516</v>
      </c>
      <c r="D130" s="13">
        <v>5</v>
      </c>
      <c r="E130" s="3">
        <f>IF(Quantitytable[[#This Row],[Units]]=0,0,SUMIFS(Quantitytable[NeededQuantity],Quantitytable[Dish],Quantitytable[[#This Row],[Dish]],Quantitytable[[Ingredient ]],Quantitytable[[#This Row],[Ingredient ]]))</f>
        <v>0</v>
      </c>
      <c r="F130" s="3">
        <f>SUMIFS(salestable[Quantity Sold],salestable[Item Name],Quantitytable[[#This Row],[Dish]])</f>
        <v>0</v>
      </c>
      <c r="G130" s="3">
        <f>'Quantity Table'!$E130*'Quantity Table'!$F130</f>
        <v>0</v>
      </c>
      <c r="H130" s="3">
        <f>_xlfn.IFNA(VLOOKUP(Quantitytable[[#This Row],[Ingredient ]],Shoppingtable[[Item Name]:[BALANCE Cash]],5,FALSE),0)*Quantitytable[[#This Row],[NeededQuantity]]</f>
        <v>0.83333333333333326</v>
      </c>
      <c r="I130" s="3">
        <f>SUMIF(Quantitytable[Dish],Quantitytable[[#This Row],[Dish]],Quantitytable[Cost Per Dish Per Item])</f>
        <v>29.576893939393941</v>
      </c>
      <c r="J130" s="18" t="s">
        <v>502</v>
      </c>
    </row>
    <row r="131" spans="2:10" x14ac:dyDescent="0.25">
      <c r="B131" s="13" t="s">
        <v>253</v>
      </c>
      <c r="C131" s="13" t="s">
        <v>538</v>
      </c>
      <c r="D131" s="13">
        <v>5</v>
      </c>
      <c r="E131" s="3">
        <f>IF(Quantitytable[[#This Row],[Units]]=0,0,SUMIFS(Quantitytable[NeededQuantity],Quantitytable[Dish],Quantitytable[[#This Row],[Dish]],Quantitytable[[Ingredient ]],Quantitytable[[#This Row],[Ingredient ]]))</f>
        <v>0</v>
      </c>
      <c r="F131" s="3">
        <f>SUMIFS(salestable[Quantity Sold],salestable[Item Name],Quantitytable[[#This Row],[Dish]])</f>
        <v>0</v>
      </c>
      <c r="G131" s="3">
        <f>'Quantity Table'!$E131*'Quantity Table'!$F131</f>
        <v>0</v>
      </c>
      <c r="H131" s="3">
        <f>_xlfn.IFNA(VLOOKUP(Quantitytable[[#This Row],[Ingredient ]],Shoppingtable[[Item Name]:[BALANCE Cash]],5,FALSE),0)*Quantitytable[[#This Row],[NeededQuantity]]</f>
        <v>1</v>
      </c>
      <c r="I131" s="3">
        <f>SUMIF(Quantitytable[Dish],Quantitytable[[#This Row],[Dish]],Quantitytable[Cost Per Dish Per Item])</f>
        <v>29.576893939393941</v>
      </c>
      <c r="J131" s="18" t="s">
        <v>502</v>
      </c>
    </row>
    <row r="132" spans="2:10" x14ac:dyDescent="0.25">
      <c r="B132" s="13" t="s">
        <v>253</v>
      </c>
      <c r="C132" s="13" t="s">
        <v>474</v>
      </c>
      <c r="D132" s="13">
        <v>10</v>
      </c>
      <c r="E132" s="3">
        <f>IF(Quantitytable[[#This Row],[Units]]=0,0,SUMIFS(Quantitytable[NeededQuantity],Quantitytable[Dish],Quantitytable[[#This Row],[Dish]],Quantitytable[[Ingredient ]],Quantitytable[[#This Row],[Ingredient ]]))</f>
        <v>0</v>
      </c>
      <c r="F132" s="3">
        <f>SUMIFS(salestable[Quantity Sold],salestable[Item Name],Quantitytable[[#This Row],[Dish]])</f>
        <v>0</v>
      </c>
      <c r="G132" s="3">
        <f>'Quantity Table'!$E132*'Quantity Table'!$F132</f>
        <v>0</v>
      </c>
      <c r="H132" s="3">
        <f>_xlfn.IFNA(VLOOKUP(Quantitytable[[#This Row],[Ingredient ]],Shoppingtable[[Item Name]:[BALANCE Cash]],5,FALSE),0)*Quantitytable[[#This Row],[NeededQuantity]]</f>
        <v>2.2727272727272725</v>
      </c>
      <c r="I132" s="3">
        <f>SUMIF(Quantitytable[Dish],Quantitytable[[#This Row],[Dish]],Quantitytable[Cost Per Dish Per Item])</f>
        <v>29.576893939393941</v>
      </c>
      <c r="J132" s="18" t="s">
        <v>502</v>
      </c>
    </row>
    <row r="133" spans="2:10" x14ac:dyDescent="0.25">
      <c r="B133" s="13" t="s">
        <v>253</v>
      </c>
      <c r="C133" s="13" t="s">
        <v>33</v>
      </c>
      <c r="D133" s="13">
        <v>10</v>
      </c>
      <c r="E133" s="3">
        <f>IF(Quantitytable[[#This Row],[Units]]=0,0,SUMIFS(Quantitytable[NeededQuantity],Quantitytable[Dish],Quantitytable[[#This Row],[Dish]],Quantitytable[[Ingredient ]],Quantitytable[[#This Row],[Ingredient ]]))</f>
        <v>0</v>
      </c>
      <c r="F133" s="3">
        <f>SUMIFS(salestable[Quantity Sold],salestable[Item Name],Quantitytable[[#This Row],[Dish]])</f>
        <v>0</v>
      </c>
      <c r="G133" s="3">
        <f>'Quantity Table'!$E133*'Quantity Table'!$F133</f>
        <v>0</v>
      </c>
      <c r="H133" s="3">
        <f>_xlfn.IFNA(VLOOKUP(Quantitytable[[#This Row],[Ingredient ]],Shoppingtable[[Item Name]:[BALANCE Cash]],5,FALSE),0)*Quantitytable[[#This Row],[NeededQuantity]]</f>
        <v>1.3333333333333333</v>
      </c>
      <c r="I133" s="3">
        <f>SUMIF(Quantitytable[Dish],Quantitytable[[#This Row],[Dish]],Quantitytable[Cost Per Dish Per Item])</f>
        <v>29.576893939393941</v>
      </c>
      <c r="J133" s="18" t="s">
        <v>502</v>
      </c>
    </row>
    <row r="134" spans="2:10" x14ac:dyDescent="0.25">
      <c r="B134" s="13" t="s">
        <v>253</v>
      </c>
      <c r="C134" s="13" t="s">
        <v>545</v>
      </c>
      <c r="D134" s="13">
        <v>15</v>
      </c>
      <c r="E134" s="3">
        <f>IF(Quantitytable[[#This Row],[Units]]=0,0,SUMIFS(Quantitytable[NeededQuantity],Quantitytable[Dish],Quantitytable[[#This Row],[Dish]],Quantitytable[[Ingredient ]],Quantitytable[[#This Row],[Ingredient ]]))</f>
        <v>0</v>
      </c>
      <c r="F134" s="3">
        <f>SUMIFS(salestable[Quantity Sold],salestable[Item Name],Quantitytable[[#This Row],[Dish]])</f>
        <v>0</v>
      </c>
      <c r="G134" s="3">
        <f>'Quantity Table'!$E134*'Quantity Table'!$F134</f>
        <v>0</v>
      </c>
      <c r="H134" s="3">
        <f>_xlfn.IFNA(VLOOKUP(Quantitytable[[#This Row],[Ingredient ]],Shoppingtable[[Item Name]:[BALANCE Cash]],5,FALSE),0)*Quantitytable[[#This Row],[NeededQuantity]]</f>
        <v>0</v>
      </c>
      <c r="I134" s="3">
        <f>SUMIF(Quantitytable[Dish],Quantitytable[[#This Row],[Dish]],Quantitytable[Cost Per Dish Per Item])</f>
        <v>29.576893939393941</v>
      </c>
      <c r="J134" s="18" t="s">
        <v>502</v>
      </c>
    </row>
    <row r="135" spans="2:10" x14ac:dyDescent="0.25">
      <c r="B135" s="13" t="s">
        <v>253</v>
      </c>
      <c r="C135" s="13" t="s">
        <v>18</v>
      </c>
      <c r="D135" s="13">
        <v>25</v>
      </c>
      <c r="E135" s="3">
        <f>IF(Quantitytable[[#This Row],[Units]]=0,0,SUMIFS(Quantitytable[NeededQuantity],Quantitytable[Dish],Quantitytable[[#This Row],[Dish]],Quantitytable[[Ingredient ]],Quantitytable[[#This Row],[Ingredient ]]))</f>
        <v>0</v>
      </c>
      <c r="F135" s="3">
        <f>SUMIFS(salestable[Quantity Sold],salestable[Item Name],Quantitytable[[#This Row],[Dish]])</f>
        <v>0</v>
      </c>
      <c r="G135" s="3">
        <f>'Quantity Table'!$E135*'Quantity Table'!$F135</f>
        <v>0</v>
      </c>
      <c r="H135" s="3">
        <f>_xlfn.IFNA(VLOOKUP(Quantitytable[[#This Row],[Ingredient ]],Shoppingtable[[Item Name]:[BALANCE Cash]],5,FALSE),0)*Quantitytable[[#This Row],[NeededQuantity]]</f>
        <v>3.75</v>
      </c>
      <c r="I135" s="3">
        <f>SUMIF(Quantitytable[Dish],Quantitytable[[#This Row],[Dish]],Quantitytable[Cost Per Dish Per Item])</f>
        <v>29.576893939393941</v>
      </c>
      <c r="J135" s="18" t="s">
        <v>502</v>
      </c>
    </row>
    <row r="136" spans="2:10" x14ac:dyDescent="0.25">
      <c r="B136" s="13" t="s">
        <v>253</v>
      </c>
      <c r="C136" s="13" t="s">
        <v>75</v>
      </c>
      <c r="D136" s="13">
        <v>25</v>
      </c>
      <c r="E136" s="3">
        <f>IF(Quantitytable[[#This Row],[Units]]=0,0,SUMIFS(Quantitytable[NeededQuantity],Quantitytable[Dish],Quantitytable[[#This Row],[Dish]],Quantitytable[[Ingredient ]],Quantitytable[[#This Row],[Ingredient ]]))</f>
        <v>0</v>
      </c>
      <c r="F136" s="3">
        <f>SUMIFS(salestable[Quantity Sold],salestable[Item Name],Quantitytable[[#This Row],[Dish]])</f>
        <v>0</v>
      </c>
      <c r="G136" s="3">
        <f>'Quantity Table'!$E136*'Quantity Table'!$F136</f>
        <v>0</v>
      </c>
      <c r="H136" s="3">
        <f>_xlfn.IFNA(VLOOKUP(Quantitytable[[#This Row],[Ingredient ]],Shoppingtable[[Item Name]:[BALANCE Cash]],5,FALSE),0)*Quantitytable[[#This Row],[NeededQuantity]]</f>
        <v>3.65</v>
      </c>
      <c r="I136" s="3">
        <f>SUMIF(Quantitytable[Dish],Quantitytable[[#This Row],[Dish]],Quantitytable[Cost Per Dish Per Item])</f>
        <v>29.576893939393941</v>
      </c>
      <c r="J136" s="18" t="s">
        <v>502</v>
      </c>
    </row>
    <row r="137" spans="2:10" x14ac:dyDescent="0.25">
      <c r="B137" s="13" t="s">
        <v>253</v>
      </c>
      <c r="C137" s="13" t="s">
        <v>89</v>
      </c>
      <c r="D137" s="13">
        <v>25</v>
      </c>
      <c r="E137" s="3">
        <f>IF(Quantitytable[[#This Row],[Units]]=0,0,SUMIFS(Quantitytable[NeededQuantity],Quantitytable[Dish],Quantitytable[[#This Row],[Dish]],Quantitytable[[Ingredient ]],Quantitytable[[#This Row],[Ingredient ]]))</f>
        <v>0</v>
      </c>
      <c r="F137" s="3">
        <f>SUMIFS(salestable[Quantity Sold],salestable[Item Name],Quantitytable[[#This Row],[Dish]])</f>
        <v>0</v>
      </c>
      <c r="G137" s="3">
        <f>'Quantity Table'!$E137*'Quantity Table'!$F137</f>
        <v>0</v>
      </c>
      <c r="H137" s="3">
        <f>_xlfn.IFNA(VLOOKUP(Quantitytable[[#This Row],[Ingredient ]],Shoppingtable[[Item Name]:[BALANCE Cash]],5,FALSE),0)*Quantitytable[[#This Row],[NeededQuantity]]</f>
        <v>1.5</v>
      </c>
      <c r="I137" s="3">
        <f>SUMIF(Quantitytable[Dish],Quantitytable[[#This Row],[Dish]],Quantitytable[Cost Per Dish Per Item])</f>
        <v>29.576893939393941</v>
      </c>
      <c r="J137" s="18" t="s">
        <v>502</v>
      </c>
    </row>
    <row r="138" spans="2:10" x14ac:dyDescent="0.25">
      <c r="B138" s="13" t="s">
        <v>253</v>
      </c>
      <c r="C138" s="13" t="s">
        <v>104</v>
      </c>
      <c r="D138" s="13">
        <v>50</v>
      </c>
      <c r="E138" s="3">
        <f>IF(Quantitytable[[#This Row],[Units]]=0,0,SUMIFS(Quantitytable[NeededQuantity],Quantitytable[Dish],Quantitytable[[#This Row],[Dish]],Quantitytable[[Ingredient ]],Quantitytable[[#This Row],[Ingredient ]]))</f>
        <v>0</v>
      </c>
      <c r="F138" s="3">
        <f>SUMIFS(salestable[Quantity Sold],salestable[Item Name],Quantitytable[[#This Row],[Dish]])</f>
        <v>0</v>
      </c>
      <c r="G138" s="3">
        <f>'Quantity Table'!$E138*'Quantity Table'!$F138</f>
        <v>0</v>
      </c>
      <c r="H138" s="3">
        <f>_xlfn.IFNA(VLOOKUP(Quantitytable[[#This Row],[Ingredient ]],Shoppingtable[[Item Name]:[BALANCE Cash]],5,FALSE),0)*Quantitytable[[#This Row],[NeededQuantity]]</f>
        <v>1.5</v>
      </c>
      <c r="I138" s="3">
        <f>SUMIF(Quantitytable[Dish],Quantitytable[[#This Row],[Dish]],Quantitytable[Cost Per Dish Per Item])</f>
        <v>29.576893939393941</v>
      </c>
      <c r="J138" s="18" t="s">
        <v>502</v>
      </c>
    </row>
    <row r="139" spans="2:10" x14ac:dyDescent="0.25">
      <c r="B139" s="13" t="s">
        <v>253</v>
      </c>
      <c r="C139" s="13" t="s">
        <v>375</v>
      </c>
      <c r="D139" s="13">
        <v>100</v>
      </c>
      <c r="E139" s="3">
        <f>IF(Quantitytable[[#This Row],[Units]]=0,0,SUMIFS(Quantitytable[NeededQuantity],Quantitytable[Dish],Quantitytable[[#This Row],[Dish]],Quantitytable[[Ingredient ]],Quantitytable[[#This Row],[Ingredient ]]))</f>
        <v>0</v>
      </c>
      <c r="F139" s="3">
        <f>SUMIFS(salestable[Quantity Sold],salestable[Item Name],Quantitytable[[#This Row],[Dish]])</f>
        <v>0</v>
      </c>
      <c r="G139" s="3">
        <f>'Quantity Table'!$E139*'Quantity Table'!$F139</f>
        <v>0</v>
      </c>
      <c r="H139" s="3">
        <f>_xlfn.IFNA(VLOOKUP(Quantitytable[[#This Row],[Ingredient ]],Shoppingtable[[Item Name]:[BALANCE Cash]],5,FALSE),0)*Quantitytable[[#This Row],[NeededQuantity]]</f>
        <v>5.24</v>
      </c>
      <c r="I139" s="3">
        <f>SUMIF(Quantitytable[Dish],Quantitytable[[#This Row],[Dish]],Quantitytable[Cost Per Dish Per Item])</f>
        <v>29.576893939393941</v>
      </c>
      <c r="J139" s="18" t="s">
        <v>502</v>
      </c>
    </row>
    <row r="140" spans="2:10" x14ac:dyDescent="0.25">
      <c r="B140" s="13" t="s">
        <v>253</v>
      </c>
      <c r="C140" s="13" t="s">
        <v>77</v>
      </c>
      <c r="D140" s="13">
        <v>100</v>
      </c>
      <c r="E140" s="3">
        <f>IF(Quantitytable[[#This Row],[Units]]=0,0,SUMIFS(Quantitytable[NeededQuantity],Quantitytable[Dish],Quantitytable[[#This Row],[Dish]],Quantitytable[[Ingredient ]],Quantitytable[[#This Row],[Ingredient ]]))</f>
        <v>0</v>
      </c>
      <c r="F140" s="3">
        <f>SUMIFS(salestable[Quantity Sold],salestable[Item Name],Quantitytable[[#This Row],[Dish]])</f>
        <v>0</v>
      </c>
      <c r="G140" s="3">
        <f>'Quantity Table'!$E140*'Quantity Table'!$F140</f>
        <v>0</v>
      </c>
      <c r="H140" s="3">
        <f>_xlfn.IFNA(VLOOKUP(Quantitytable[[#This Row],[Ingredient ]],Shoppingtable[[Item Name]:[BALANCE Cash]],5,FALSE),0)*Quantitytable[[#This Row],[NeededQuantity]]</f>
        <v>4.1500000000000004</v>
      </c>
      <c r="I140" s="3">
        <f>SUMIF(Quantitytable[Dish],Quantitytable[[#This Row],[Dish]],Quantitytable[Cost Per Dish Per Item])</f>
        <v>29.576893939393941</v>
      </c>
      <c r="J140" s="18" t="s">
        <v>502</v>
      </c>
    </row>
    <row r="141" spans="2:10" x14ac:dyDescent="0.25">
      <c r="B141" s="13" t="s">
        <v>253</v>
      </c>
      <c r="C141" s="13" t="s">
        <v>532</v>
      </c>
      <c r="D141" s="13">
        <v>100</v>
      </c>
      <c r="E141" s="3">
        <f>IF(Quantitytable[[#This Row],[Units]]=0,0,SUMIFS(Quantitytable[NeededQuantity],Quantitytable[Dish],Quantitytable[[#This Row],[Dish]],Quantitytable[[Ingredient ]],Quantitytable[[#This Row],[Ingredient ]]))</f>
        <v>0</v>
      </c>
      <c r="F141" s="3">
        <f>SUMIFS(salestable[Quantity Sold],salestable[Item Name],Quantitytable[[#This Row],[Dish]])</f>
        <v>0</v>
      </c>
      <c r="G141" s="3">
        <f>'Quantity Table'!$E141*'Quantity Table'!$F141</f>
        <v>0</v>
      </c>
      <c r="H141" s="3">
        <f>_xlfn.IFNA(VLOOKUP(Quantitytable[[#This Row],[Ingredient ]],Shoppingtable[[Item Name]:[BALANCE Cash]],5,FALSE),0)*Quantitytable[[#This Row],[NeededQuantity]]</f>
        <v>0</v>
      </c>
      <c r="I141" s="3">
        <f>SUMIF(Quantitytable[Dish],Quantitytable[[#This Row],[Dish]],Quantitytable[Cost Per Dish Per Item])</f>
        <v>29.576893939393941</v>
      </c>
      <c r="J141" s="18" t="s">
        <v>502</v>
      </c>
    </row>
    <row r="142" spans="2:10" x14ac:dyDescent="0.25">
      <c r="B142" s="13" t="s">
        <v>544</v>
      </c>
      <c r="C142" s="13" t="s">
        <v>421</v>
      </c>
      <c r="D142" s="13">
        <v>1</v>
      </c>
      <c r="E142" s="3">
        <f>IF(Quantitytable[[#This Row],[Units]]=0,0,SUMIFS(Quantitytable[NeededQuantity],Quantitytable[Dish],Quantitytable[[#This Row],[Dish]],Quantitytable[[Ingredient ]],Quantitytable[[#This Row],[Ingredient ]]))</f>
        <v>0</v>
      </c>
      <c r="F142" s="3">
        <f>SUMIFS(salestable[Quantity Sold],salestable[Item Name],Quantitytable[[#This Row],[Dish]])</f>
        <v>0</v>
      </c>
      <c r="G142" s="3">
        <f>'Quantity Table'!$E142*'Quantity Table'!$F142</f>
        <v>0</v>
      </c>
      <c r="H142" s="3">
        <f>_xlfn.IFNA(VLOOKUP(Quantitytable[[#This Row],[Ingredient ]],Shoppingtable[[Item Name]:[BALANCE Cash]],5,FALSE),0)*Quantitytable[[#This Row],[NeededQuantity]]</f>
        <v>0.5</v>
      </c>
      <c r="I142" s="3">
        <f>SUMIF(Quantitytable[Dish],Quantitytable[[#This Row],[Dish]],Quantitytable[Cost Per Dish Per Item])</f>
        <v>31.766893939393938</v>
      </c>
      <c r="J142" s="18" t="s">
        <v>502</v>
      </c>
    </row>
    <row r="143" spans="2:10" x14ac:dyDescent="0.25">
      <c r="B143" s="13" t="s">
        <v>544</v>
      </c>
      <c r="C143" s="13" t="s">
        <v>492</v>
      </c>
      <c r="D143" s="13">
        <v>1</v>
      </c>
      <c r="E143" s="3">
        <f>IF(Quantitytable[[#This Row],[Units]]=0,0,SUMIFS(Quantitytable[NeededQuantity],Quantitytable[Dish],Quantitytable[[#This Row],[Dish]],Quantitytable[[Ingredient ]],Quantitytable[[#This Row],[Ingredient ]]))</f>
        <v>0</v>
      </c>
      <c r="F143" s="3">
        <f>SUMIFS(salestable[Quantity Sold],salestable[Item Name],Quantitytable[[#This Row],[Dish]])</f>
        <v>0</v>
      </c>
      <c r="G143" s="3">
        <f>'Quantity Table'!$E143*'Quantity Table'!$F143</f>
        <v>0</v>
      </c>
      <c r="H143" s="3">
        <f>_xlfn.IFNA(VLOOKUP(Quantitytable[[#This Row],[Ingredient ]],Shoppingtable[[Item Name]:[BALANCE Cash]],5,FALSE),0)*Quantitytable[[#This Row],[NeededQuantity]]</f>
        <v>0.1875</v>
      </c>
      <c r="I143" s="3">
        <f>SUMIF(Quantitytable[Dish],Quantitytable[[#This Row],[Dish]],Quantitytable[Cost Per Dish Per Item])</f>
        <v>31.766893939393938</v>
      </c>
      <c r="J143" s="18" t="s">
        <v>502</v>
      </c>
    </row>
    <row r="144" spans="2:10" x14ac:dyDescent="0.25">
      <c r="B144" s="13" t="s">
        <v>544</v>
      </c>
      <c r="C144" s="13" t="s">
        <v>420</v>
      </c>
      <c r="D144" s="13">
        <v>1</v>
      </c>
      <c r="E144" s="3">
        <f>IF(Quantitytable[[#This Row],[Units]]=0,0,SUMIFS(Quantitytable[NeededQuantity],Quantitytable[Dish],Quantitytable[[#This Row],[Dish]],Quantitytable[[Ingredient ]],Quantitytable[[#This Row],[Ingredient ]]))</f>
        <v>0</v>
      </c>
      <c r="F144" s="3">
        <f>SUMIFS(salestable[Quantity Sold],salestable[Item Name],Quantitytable[[#This Row],[Dish]])</f>
        <v>0</v>
      </c>
      <c r="G144" s="3">
        <f>'Quantity Table'!$E144*'Quantity Table'!$F144</f>
        <v>0</v>
      </c>
      <c r="H144" s="3">
        <f>_xlfn.IFNA(VLOOKUP(Quantitytable[[#This Row],[Ingredient ]],Shoppingtable[[Item Name]:[BALANCE Cash]],5,FALSE),0)*Quantitytable[[#This Row],[NeededQuantity]]</f>
        <v>0</v>
      </c>
      <c r="I144" s="3">
        <f>SUMIF(Quantitytable[Dish],Quantitytable[[#This Row],[Dish]],Quantitytable[Cost Per Dish Per Item])</f>
        <v>31.766893939393938</v>
      </c>
      <c r="J144" s="18" t="s">
        <v>502</v>
      </c>
    </row>
    <row r="145" spans="2:10" x14ac:dyDescent="0.25">
      <c r="B145" s="13" t="s">
        <v>544</v>
      </c>
      <c r="C145" s="13" t="s">
        <v>303</v>
      </c>
      <c r="D145" s="13">
        <v>2</v>
      </c>
      <c r="E145" s="3">
        <f>IF(Quantitytable[[#This Row],[Units]]=0,0,SUMIFS(Quantitytable[NeededQuantity],Quantitytable[Dish],Quantitytable[[#This Row],[Dish]],Quantitytable[[Ingredient ]],Quantitytable[[#This Row],[Ingredient ]]))</f>
        <v>0</v>
      </c>
      <c r="F145" s="3">
        <f>SUMIFS(salestable[Quantity Sold],salestable[Item Name],Quantitytable[[#This Row],[Dish]])</f>
        <v>0</v>
      </c>
      <c r="G145" s="3">
        <f>'Quantity Table'!$E145*'Quantity Table'!$F145</f>
        <v>0</v>
      </c>
      <c r="H145" s="3">
        <f>_xlfn.IFNA(VLOOKUP(Quantitytable[[#This Row],[Ingredient ]],Shoppingtable[[Item Name]:[BALANCE Cash]],5,FALSE),0)*Quantitytable[[#This Row],[NeededQuantity]]</f>
        <v>0.6</v>
      </c>
      <c r="I145" s="3">
        <f>SUMIF(Quantitytable[Dish],Quantitytable[[#This Row],[Dish]],Quantitytable[Cost Per Dish Per Item])</f>
        <v>31.766893939393938</v>
      </c>
      <c r="J145" s="18" t="s">
        <v>502</v>
      </c>
    </row>
    <row r="146" spans="2:10" x14ac:dyDescent="0.25">
      <c r="B146" s="13" t="s">
        <v>544</v>
      </c>
      <c r="C146" s="13" t="s">
        <v>524</v>
      </c>
      <c r="D146" s="13">
        <v>2</v>
      </c>
      <c r="E146" s="3">
        <f>IF(Quantitytable[[#This Row],[Units]]=0,0,SUMIFS(Quantitytable[NeededQuantity],Quantitytable[Dish],Quantitytable[[#This Row],[Dish]],Quantitytable[[Ingredient ]],Quantitytable[[#This Row],[Ingredient ]]))</f>
        <v>0</v>
      </c>
      <c r="F146" s="3">
        <f>SUMIFS(salestable[Quantity Sold],salestable[Item Name],Quantitytable[[#This Row],[Dish]])</f>
        <v>0</v>
      </c>
      <c r="G146" s="3">
        <f>'Quantity Table'!$E146*'Quantity Table'!$F146</f>
        <v>0</v>
      </c>
      <c r="H146" s="3">
        <f>_xlfn.IFNA(VLOOKUP(Quantitytable[[#This Row],[Ingredient ]],Shoppingtable[[Item Name]:[BALANCE Cash]],5,FALSE),0)*Quantitytable[[#This Row],[NeededQuantity]]</f>
        <v>0.56000000000000005</v>
      </c>
      <c r="I146" s="3">
        <f>SUMIF(Quantitytable[Dish],Quantitytable[[#This Row],[Dish]],Quantitytable[Cost Per Dish Per Item])</f>
        <v>31.766893939393938</v>
      </c>
      <c r="J146" s="18" t="s">
        <v>502</v>
      </c>
    </row>
    <row r="147" spans="2:10" x14ac:dyDescent="0.25">
      <c r="B147" s="13" t="s">
        <v>544</v>
      </c>
      <c r="C147" s="13" t="s">
        <v>485</v>
      </c>
      <c r="D147" s="13">
        <v>2</v>
      </c>
      <c r="E147" s="3">
        <f>IF(Quantitytable[[#This Row],[Units]]=0,0,SUMIFS(Quantitytable[NeededQuantity],Quantitytable[Dish],Quantitytable[[#This Row],[Dish]],Quantitytable[[Ingredient ]],Quantitytable[[#This Row],[Ingredient ]]))</f>
        <v>0</v>
      </c>
      <c r="F147" s="3">
        <f>SUMIFS(salestable[Quantity Sold],salestable[Item Name],Quantitytable[[#This Row],[Dish]])</f>
        <v>0</v>
      </c>
      <c r="G147" s="3">
        <f>'Quantity Table'!$E147*'Quantity Table'!$F147</f>
        <v>0</v>
      </c>
      <c r="H147" s="3">
        <f>_xlfn.IFNA(VLOOKUP(Quantitytable[[#This Row],[Ingredient ]],Shoppingtable[[Item Name]:[BALANCE Cash]],5,FALSE),0)*Quantitytable[[#This Row],[NeededQuantity]]</f>
        <v>0.4</v>
      </c>
      <c r="I147" s="3">
        <f>SUMIF(Quantitytable[Dish],Quantitytable[[#This Row],[Dish]],Quantitytable[Cost Per Dish Per Item])</f>
        <v>31.766893939393938</v>
      </c>
      <c r="J147" s="18" t="s">
        <v>502</v>
      </c>
    </row>
    <row r="148" spans="2:10" x14ac:dyDescent="0.25">
      <c r="B148" s="13" t="s">
        <v>544</v>
      </c>
      <c r="C148" s="13" t="s">
        <v>487</v>
      </c>
      <c r="D148" s="13">
        <v>2</v>
      </c>
      <c r="E148" s="3">
        <f>IF(Quantitytable[[#This Row],[Units]]=0,0,SUMIFS(Quantitytable[NeededQuantity],Quantitytable[Dish],Quantitytable[[#This Row],[Dish]],Quantitytable[[Ingredient ]],Quantitytable[[#This Row],[Ingredient ]]))</f>
        <v>0</v>
      </c>
      <c r="F148" s="3">
        <f>SUMIFS(salestable[Quantity Sold],salestable[Item Name],Quantitytable[[#This Row],[Dish]])</f>
        <v>0</v>
      </c>
      <c r="G148" s="3">
        <f>'Quantity Table'!$E148*'Quantity Table'!$F148</f>
        <v>0</v>
      </c>
      <c r="H148" s="3">
        <f>_xlfn.IFNA(VLOOKUP(Quantitytable[[#This Row],[Ingredient ]],Shoppingtable[[Item Name]:[BALANCE Cash]],5,FALSE),0)*Quantitytable[[#This Row],[NeededQuantity]]</f>
        <v>2.1</v>
      </c>
      <c r="I148" s="3">
        <f>SUMIF(Quantitytable[Dish],Quantitytable[[#This Row],[Dish]],Quantitytable[Cost Per Dish Per Item])</f>
        <v>31.766893939393938</v>
      </c>
      <c r="J148" s="18" t="s">
        <v>502</v>
      </c>
    </row>
    <row r="149" spans="2:10" x14ac:dyDescent="0.25">
      <c r="B149" s="13" t="s">
        <v>544</v>
      </c>
      <c r="C149" s="13" t="s">
        <v>516</v>
      </c>
      <c r="D149" s="13">
        <v>5</v>
      </c>
      <c r="E149" s="3">
        <f>IF(Quantitytable[[#This Row],[Units]]=0,0,SUMIFS(Quantitytable[NeededQuantity],Quantitytable[Dish],Quantitytable[[#This Row],[Dish]],Quantitytable[[Ingredient ]],Quantitytable[[#This Row],[Ingredient ]]))</f>
        <v>0</v>
      </c>
      <c r="F149" s="3">
        <f>SUMIFS(salestable[Quantity Sold],salestable[Item Name],Quantitytable[[#This Row],[Dish]])</f>
        <v>0</v>
      </c>
      <c r="G149" s="3">
        <f>'Quantity Table'!$E149*'Quantity Table'!$F149</f>
        <v>0</v>
      </c>
      <c r="H149" s="3">
        <f>_xlfn.IFNA(VLOOKUP(Quantitytable[[#This Row],[Ingredient ]],Shoppingtable[[Item Name]:[BALANCE Cash]],5,FALSE),0)*Quantitytable[[#This Row],[NeededQuantity]]</f>
        <v>0.83333333333333326</v>
      </c>
      <c r="I149" s="3">
        <f>SUMIF(Quantitytable[Dish],Quantitytable[[#This Row],[Dish]],Quantitytable[Cost Per Dish Per Item])</f>
        <v>31.766893939393938</v>
      </c>
      <c r="J149" s="18" t="s">
        <v>502</v>
      </c>
    </row>
    <row r="150" spans="2:10" x14ac:dyDescent="0.25">
      <c r="B150" s="13" t="s">
        <v>544</v>
      </c>
      <c r="C150" s="13" t="s">
        <v>538</v>
      </c>
      <c r="D150" s="13">
        <v>5</v>
      </c>
      <c r="E150" s="3">
        <f>IF(Quantitytable[[#This Row],[Units]]=0,0,SUMIFS(Quantitytable[NeededQuantity],Quantitytable[Dish],Quantitytable[[#This Row],[Dish]],Quantitytable[[Ingredient ]],Quantitytable[[#This Row],[Ingredient ]]))</f>
        <v>0</v>
      </c>
      <c r="F150" s="3">
        <f>SUMIFS(salestable[Quantity Sold],salestable[Item Name],Quantitytable[[#This Row],[Dish]])</f>
        <v>0</v>
      </c>
      <c r="G150" s="3">
        <f>'Quantity Table'!$E150*'Quantity Table'!$F150</f>
        <v>0</v>
      </c>
      <c r="H150" s="3">
        <f>_xlfn.IFNA(VLOOKUP(Quantitytable[[#This Row],[Ingredient ]],Shoppingtable[[Item Name]:[BALANCE Cash]],5,FALSE),0)*Quantitytable[[#This Row],[NeededQuantity]]</f>
        <v>1</v>
      </c>
      <c r="I150" s="3">
        <f>SUMIF(Quantitytable[Dish],Quantitytable[[#This Row],[Dish]],Quantitytable[Cost Per Dish Per Item])</f>
        <v>31.766893939393938</v>
      </c>
      <c r="J150" s="18" t="s">
        <v>502</v>
      </c>
    </row>
    <row r="151" spans="2:10" x14ac:dyDescent="0.25">
      <c r="B151" s="13" t="s">
        <v>544</v>
      </c>
      <c r="C151" s="13" t="s">
        <v>474</v>
      </c>
      <c r="D151" s="13">
        <v>10</v>
      </c>
      <c r="E151" s="3">
        <f>IF(Quantitytable[[#This Row],[Units]]=0,0,SUMIFS(Quantitytable[NeededQuantity],Quantitytable[Dish],Quantitytable[[#This Row],[Dish]],Quantitytable[[Ingredient ]],Quantitytable[[#This Row],[Ingredient ]]))</f>
        <v>0</v>
      </c>
      <c r="F151" s="3">
        <f>SUMIFS(salestable[Quantity Sold],salestable[Item Name],Quantitytable[[#This Row],[Dish]])</f>
        <v>0</v>
      </c>
      <c r="G151" s="3">
        <f>'Quantity Table'!$E151*'Quantity Table'!$F151</f>
        <v>0</v>
      </c>
      <c r="H151" s="3">
        <f>_xlfn.IFNA(VLOOKUP(Quantitytable[[#This Row],[Ingredient ]],Shoppingtable[[Item Name]:[BALANCE Cash]],5,FALSE),0)*Quantitytable[[#This Row],[NeededQuantity]]</f>
        <v>2.2727272727272725</v>
      </c>
      <c r="I151" s="3">
        <f>SUMIF(Quantitytable[Dish],Quantitytable[[#This Row],[Dish]],Quantitytable[Cost Per Dish Per Item])</f>
        <v>31.766893939393938</v>
      </c>
      <c r="J151" s="18" t="s">
        <v>502</v>
      </c>
    </row>
    <row r="152" spans="2:10" x14ac:dyDescent="0.25">
      <c r="B152" s="13" t="s">
        <v>544</v>
      </c>
      <c r="C152" s="13" t="s">
        <v>33</v>
      </c>
      <c r="D152" s="13">
        <v>10</v>
      </c>
      <c r="E152" s="3">
        <f>IF(Quantitytable[[#This Row],[Units]]=0,0,SUMIFS(Quantitytable[NeededQuantity],Quantitytable[Dish],Quantitytable[[#This Row],[Dish]],Quantitytable[[Ingredient ]],Quantitytable[[#This Row],[Ingredient ]]))</f>
        <v>0</v>
      </c>
      <c r="F152" s="3">
        <f>SUMIFS(salestable[Quantity Sold],salestable[Item Name],Quantitytable[[#This Row],[Dish]])</f>
        <v>0</v>
      </c>
      <c r="G152" s="3">
        <f>'Quantity Table'!$E152*'Quantity Table'!$F152</f>
        <v>0</v>
      </c>
      <c r="H152" s="3">
        <f>_xlfn.IFNA(VLOOKUP(Quantitytable[[#This Row],[Ingredient ]],Shoppingtable[[Item Name]:[BALANCE Cash]],5,FALSE),0)*Quantitytable[[#This Row],[NeededQuantity]]</f>
        <v>1.3333333333333333</v>
      </c>
      <c r="I152" s="3">
        <f>SUMIF(Quantitytable[Dish],Quantitytable[[#This Row],[Dish]],Quantitytable[Cost Per Dish Per Item])</f>
        <v>31.766893939393938</v>
      </c>
      <c r="J152" s="18" t="s">
        <v>502</v>
      </c>
    </row>
    <row r="153" spans="2:10" x14ac:dyDescent="0.25">
      <c r="B153" s="13" t="s">
        <v>544</v>
      </c>
      <c r="C153" s="13" t="s">
        <v>545</v>
      </c>
      <c r="D153" s="13">
        <v>15</v>
      </c>
      <c r="E153" s="3">
        <f>IF(Quantitytable[[#This Row],[Units]]=0,0,SUMIFS(Quantitytable[NeededQuantity],Quantitytable[Dish],Quantitytable[[#This Row],[Dish]],Quantitytable[[Ingredient ]],Quantitytable[[#This Row],[Ingredient ]]))</f>
        <v>0</v>
      </c>
      <c r="F153" s="3">
        <f>SUMIFS(salestable[Quantity Sold],salestable[Item Name],Quantitytable[[#This Row],[Dish]])</f>
        <v>0</v>
      </c>
      <c r="G153" s="3">
        <f>'Quantity Table'!$E153*'Quantity Table'!$F153</f>
        <v>0</v>
      </c>
      <c r="H153" s="3">
        <f>_xlfn.IFNA(VLOOKUP(Quantitytable[[#This Row],[Ingredient ]],Shoppingtable[[Item Name]:[BALANCE Cash]],5,FALSE),0)*Quantitytable[[#This Row],[NeededQuantity]]</f>
        <v>0</v>
      </c>
      <c r="I153" s="3">
        <f>SUMIF(Quantitytable[Dish],Quantitytable[[#This Row],[Dish]],Quantitytable[Cost Per Dish Per Item])</f>
        <v>31.766893939393938</v>
      </c>
      <c r="J153" s="18" t="s">
        <v>502</v>
      </c>
    </row>
    <row r="154" spans="2:10" x14ac:dyDescent="0.25">
      <c r="B154" s="13" t="s">
        <v>544</v>
      </c>
      <c r="C154" s="13" t="s">
        <v>18</v>
      </c>
      <c r="D154" s="13">
        <v>25</v>
      </c>
      <c r="E154" s="3">
        <f>IF(Quantitytable[[#This Row],[Units]]=0,0,SUMIFS(Quantitytable[NeededQuantity],Quantitytable[Dish],Quantitytable[[#This Row],[Dish]],Quantitytable[[Ingredient ]],Quantitytable[[#This Row],[Ingredient ]]))</f>
        <v>0</v>
      </c>
      <c r="F154" s="3">
        <f>SUMIFS(salestable[Quantity Sold],salestable[Item Name],Quantitytable[[#This Row],[Dish]])</f>
        <v>0</v>
      </c>
      <c r="G154" s="3">
        <f>'Quantity Table'!$E154*'Quantity Table'!$F154</f>
        <v>0</v>
      </c>
      <c r="H154" s="3">
        <f>_xlfn.IFNA(VLOOKUP(Quantitytable[[#This Row],[Ingredient ]],Shoppingtable[[Item Name]:[BALANCE Cash]],5,FALSE),0)*Quantitytable[[#This Row],[NeededQuantity]]</f>
        <v>3.75</v>
      </c>
      <c r="I154" s="3">
        <f>SUMIF(Quantitytable[Dish],Quantitytable[[#This Row],[Dish]],Quantitytable[Cost Per Dish Per Item])</f>
        <v>31.766893939393938</v>
      </c>
      <c r="J154" s="18" t="s">
        <v>502</v>
      </c>
    </row>
    <row r="155" spans="2:10" x14ac:dyDescent="0.25">
      <c r="B155" s="13" t="s">
        <v>544</v>
      </c>
      <c r="C155" s="13" t="s">
        <v>89</v>
      </c>
      <c r="D155" s="13">
        <v>25</v>
      </c>
      <c r="E155" s="3">
        <f>IF(Quantitytable[[#This Row],[Units]]=0,0,SUMIFS(Quantitytable[NeededQuantity],Quantitytable[Dish],Quantitytable[[#This Row],[Dish]],Quantitytable[[Ingredient ]],Quantitytable[[#This Row],[Ingredient ]]))</f>
        <v>0</v>
      </c>
      <c r="F155" s="3">
        <f>SUMIFS(salestable[Quantity Sold],salestable[Item Name],Quantitytable[[#This Row],[Dish]])</f>
        <v>0</v>
      </c>
      <c r="G155" s="3">
        <f>'Quantity Table'!$E155*'Quantity Table'!$F155</f>
        <v>0</v>
      </c>
      <c r="H155" s="3">
        <f>_xlfn.IFNA(VLOOKUP(Quantitytable[[#This Row],[Ingredient ]],Shoppingtable[[Item Name]:[BALANCE Cash]],5,FALSE),0)*Quantitytable[[#This Row],[NeededQuantity]]</f>
        <v>1.5</v>
      </c>
      <c r="I155" s="3">
        <f>SUMIF(Quantitytable[Dish],Quantitytable[[#This Row],[Dish]],Quantitytable[Cost Per Dish Per Item])</f>
        <v>31.766893939393938</v>
      </c>
      <c r="J155" s="18" t="s">
        <v>502</v>
      </c>
    </row>
    <row r="156" spans="2:10" x14ac:dyDescent="0.25">
      <c r="B156" s="13" t="s">
        <v>544</v>
      </c>
      <c r="C156" s="13" t="s">
        <v>75</v>
      </c>
      <c r="D156" s="13">
        <v>40</v>
      </c>
      <c r="E156" s="3">
        <f>IF(Quantitytable[[#This Row],[Units]]=0,0,SUMIFS(Quantitytable[NeededQuantity],Quantitytable[Dish],Quantitytable[[#This Row],[Dish]],Quantitytable[[Ingredient ]],Quantitytable[[#This Row],[Ingredient ]]))</f>
        <v>0</v>
      </c>
      <c r="F156" s="3">
        <f>SUMIFS(salestable[Quantity Sold],salestable[Item Name],Quantitytable[[#This Row],[Dish]])</f>
        <v>0</v>
      </c>
      <c r="G156" s="3">
        <f>'Quantity Table'!$E156*'Quantity Table'!$F156</f>
        <v>0</v>
      </c>
      <c r="H156" s="3">
        <f>_xlfn.IFNA(VLOOKUP(Quantitytable[[#This Row],[Ingredient ]],Shoppingtable[[Item Name]:[BALANCE Cash]],5,FALSE),0)*Quantitytable[[#This Row],[NeededQuantity]]</f>
        <v>5.84</v>
      </c>
      <c r="I156" s="3">
        <f>SUMIF(Quantitytable[Dish],Quantitytable[[#This Row],[Dish]],Quantitytable[Cost Per Dish Per Item])</f>
        <v>31.766893939393938</v>
      </c>
      <c r="J156" s="18" t="s">
        <v>502</v>
      </c>
    </row>
    <row r="157" spans="2:10" x14ac:dyDescent="0.25">
      <c r="B157" s="13" t="s">
        <v>544</v>
      </c>
      <c r="C157" s="13" t="s">
        <v>104</v>
      </c>
      <c r="D157" s="13">
        <v>50</v>
      </c>
      <c r="E157" s="3">
        <f>IF(Quantitytable[[#This Row],[Units]]=0,0,SUMIFS(Quantitytable[NeededQuantity],Quantitytable[Dish],Quantitytable[[#This Row],[Dish]],Quantitytable[[Ingredient ]],Quantitytable[[#This Row],[Ingredient ]]))</f>
        <v>0</v>
      </c>
      <c r="F157" s="3">
        <f>SUMIFS(salestable[Quantity Sold],salestable[Item Name],Quantitytable[[#This Row],[Dish]])</f>
        <v>0</v>
      </c>
      <c r="G157" s="3">
        <f>'Quantity Table'!$E157*'Quantity Table'!$F157</f>
        <v>0</v>
      </c>
      <c r="H157" s="3">
        <f>_xlfn.IFNA(VLOOKUP(Quantitytable[[#This Row],[Ingredient ]],Shoppingtable[[Item Name]:[BALANCE Cash]],5,FALSE),0)*Quantitytable[[#This Row],[NeededQuantity]]</f>
        <v>1.5</v>
      </c>
      <c r="I157" s="3">
        <f>SUMIF(Quantitytable[Dish],Quantitytable[[#This Row],[Dish]],Quantitytable[Cost Per Dish Per Item])</f>
        <v>31.766893939393938</v>
      </c>
      <c r="J157" s="18" t="s">
        <v>502</v>
      </c>
    </row>
    <row r="158" spans="2:10" x14ac:dyDescent="0.25">
      <c r="B158" s="13" t="s">
        <v>544</v>
      </c>
      <c r="C158" s="13" t="s">
        <v>375</v>
      </c>
      <c r="D158" s="13">
        <v>100</v>
      </c>
      <c r="E158" s="3">
        <f>IF(Quantitytable[[#This Row],[Units]]=0,0,SUMIFS(Quantitytable[NeededQuantity],Quantitytable[Dish],Quantitytable[[#This Row],[Dish]],Quantitytable[[Ingredient ]],Quantitytable[[#This Row],[Ingredient ]]))</f>
        <v>0</v>
      </c>
      <c r="F158" s="3">
        <f>SUMIFS(salestable[Quantity Sold],salestable[Item Name],Quantitytable[[#This Row],[Dish]])</f>
        <v>0</v>
      </c>
      <c r="G158" s="3">
        <f>'Quantity Table'!$E158*'Quantity Table'!$F158</f>
        <v>0</v>
      </c>
      <c r="H158" s="3">
        <f>_xlfn.IFNA(VLOOKUP(Quantitytable[[#This Row],[Ingredient ]],Shoppingtable[[Item Name]:[BALANCE Cash]],5,FALSE),0)*Quantitytable[[#This Row],[NeededQuantity]]</f>
        <v>5.24</v>
      </c>
      <c r="I158" s="3">
        <f>SUMIF(Quantitytable[Dish],Quantitytable[[#This Row],[Dish]],Quantitytable[Cost Per Dish Per Item])</f>
        <v>31.766893939393938</v>
      </c>
      <c r="J158" s="18" t="s">
        <v>502</v>
      </c>
    </row>
    <row r="159" spans="2:10" x14ac:dyDescent="0.25">
      <c r="B159" s="13" t="s">
        <v>544</v>
      </c>
      <c r="C159" s="13" t="s">
        <v>77</v>
      </c>
      <c r="D159" s="13">
        <v>100</v>
      </c>
      <c r="E159" s="3">
        <f>IF(Quantitytable[[#This Row],[Units]]=0,0,SUMIFS(Quantitytable[NeededQuantity],Quantitytable[Dish],Quantitytable[[#This Row],[Dish]],Quantitytable[[Ingredient ]],Quantitytable[[#This Row],[Ingredient ]]))</f>
        <v>0</v>
      </c>
      <c r="F159" s="3">
        <f>SUMIFS(salestable[Quantity Sold],salestable[Item Name],Quantitytable[[#This Row],[Dish]])</f>
        <v>0</v>
      </c>
      <c r="G159" s="3">
        <f>'Quantity Table'!$E159*'Quantity Table'!$F159</f>
        <v>0</v>
      </c>
      <c r="H159" s="3">
        <f>_xlfn.IFNA(VLOOKUP(Quantitytable[[#This Row],[Ingredient ]],Shoppingtable[[Item Name]:[BALANCE Cash]],5,FALSE),0)*Quantitytable[[#This Row],[NeededQuantity]]</f>
        <v>4.1500000000000004</v>
      </c>
      <c r="I159" s="3">
        <f>SUMIF(Quantitytable[Dish],Quantitytable[[#This Row],[Dish]],Quantitytable[Cost Per Dish Per Item])</f>
        <v>31.766893939393938</v>
      </c>
      <c r="J159" s="18" t="s">
        <v>502</v>
      </c>
    </row>
    <row r="160" spans="2:10" x14ac:dyDescent="0.25">
      <c r="B160" s="13" t="s">
        <v>28</v>
      </c>
      <c r="C160" s="13" t="s">
        <v>26</v>
      </c>
      <c r="D160" s="13"/>
      <c r="E160" s="3">
        <f>IF(Quantitytable[[#This Row],[Units]]=0,0,SUMIFS(Quantitytable[NeededQuantity],Quantitytable[Dish],Quantitytable[[#This Row],[Dish]],Quantitytable[[Ingredient ]],Quantitytable[[#This Row],[Ingredient ]]))</f>
        <v>0</v>
      </c>
      <c r="F160" s="3">
        <f>SUMIFS(salestable[Quantity Sold],salestable[Item Name],Quantitytable[[#This Row],[Dish]])</f>
        <v>0</v>
      </c>
      <c r="G160" s="3">
        <f>'Quantity Table'!$E160*'Quantity Table'!$F160</f>
        <v>0</v>
      </c>
      <c r="H160" s="3">
        <f>_xlfn.IFNA(VLOOKUP(Quantitytable[[#This Row],[Ingredient ]],Shoppingtable[[Item Name]:[BALANCE Cash]],5,FALSE),0)*Quantitytable[[#This Row],[NeededQuantity]]</f>
        <v>0</v>
      </c>
      <c r="I160" s="3">
        <f>SUMIF(Quantitytable[Dish],Quantitytable[[#This Row],[Dish]],Quantitytable[Cost Per Dish Per Item])</f>
        <v>0</v>
      </c>
      <c r="J160" s="18" t="s">
        <v>502</v>
      </c>
    </row>
    <row r="161" spans="2:10" x14ac:dyDescent="0.25">
      <c r="B161" s="13" t="s">
        <v>28</v>
      </c>
      <c r="C161" s="13" t="s">
        <v>25</v>
      </c>
      <c r="D161" s="13"/>
      <c r="E161" s="3">
        <f>IF(Quantitytable[[#This Row],[Units]]=0,0,SUMIFS(Quantitytable[NeededQuantity],Quantitytable[Dish],Quantitytable[[#This Row],[Dish]],Quantitytable[[Ingredient ]],Quantitytable[[#This Row],[Ingredient ]]))</f>
        <v>0</v>
      </c>
      <c r="F161" s="3">
        <f>SUMIFS(salestable[Quantity Sold],salestable[Item Name],Quantitytable[[#This Row],[Dish]])</f>
        <v>0</v>
      </c>
      <c r="G161" s="3">
        <f>'Quantity Table'!$E161*'Quantity Table'!$F161</f>
        <v>0</v>
      </c>
      <c r="H161" s="3">
        <f>_xlfn.IFNA(VLOOKUP(Quantitytable[[#This Row],[Ingredient ]],Shoppingtable[[Item Name]:[BALANCE Cash]],5,FALSE),0)*Quantitytable[[#This Row],[NeededQuantity]]</f>
        <v>0</v>
      </c>
      <c r="I161" s="3">
        <f>SUMIF(Quantitytable[Dish],Quantitytable[[#This Row],[Dish]],Quantitytable[Cost Per Dish Per Item])</f>
        <v>0</v>
      </c>
      <c r="J161" s="18" t="s">
        <v>502</v>
      </c>
    </row>
    <row r="162" spans="2:10" x14ac:dyDescent="0.25">
      <c r="B162" s="13" t="s">
        <v>28</v>
      </c>
      <c r="C162" s="13"/>
      <c r="D162" s="13"/>
      <c r="E162" s="3">
        <f>IF(Quantitytable[[#This Row],[Units]]=0,0,SUMIFS(Quantitytable[NeededQuantity],Quantitytable[Dish],Quantitytable[[#This Row],[Dish]],Quantitytable[[Ingredient ]],Quantitytable[[#This Row],[Ingredient ]]))</f>
        <v>0</v>
      </c>
      <c r="F162" s="3">
        <f>SUMIFS(salestable[Quantity Sold],salestable[Item Name],Quantitytable[[#This Row],[Dish]])</f>
        <v>0</v>
      </c>
      <c r="G162" s="3">
        <f>'Quantity Table'!$E162*'Quantity Table'!$F162</f>
        <v>0</v>
      </c>
      <c r="H162" s="3">
        <f>_xlfn.IFNA(VLOOKUP(Quantitytable[[#This Row],[Ingredient ]],Shoppingtable[[Item Name]:[BALANCE Cash]],5,FALSE),0)*Quantitytable[[#This Row],[NeededQuantity]]</f>
        <v>0</v>
      </c>
      <c r="I162" s="3">
        <f>SUMIF(Quantitytable[Dish],Quantitytable[[#This Row],[Dish]],Quantitytable[Cost Per Dish Per Item])</f>
        <v>0</v>
      </c>
      <c r="J162" s="18" t="s">
        <v>502</v>
      </c>
    </row>
    <row r="163" spans="2:10" x14ac:dyDescent="0.25">
      <c r="B163" s="13" t="s">
        <v>28</v>
      </c>
      <c r="C163" s="13"/>
      <c r="D163" s="13"/>
      <c r="E163" s="3">
        <f>IF(Quantitytable[[#This Row],[Units]]=0,0,SUMIFS(Quantitytable[NeededQuantity],Quantitytable[Dish],Quantitytable[[#This Row],[Dish]],Quantitytable[[Ingredient ]],Quantitytable[[#This Row],[Ingredient ]]))</f>
        <v>0</v>
      </c>
      <c r="F163" s="3">
        <f>SUMIFS(salestable[Quantity Sold],salestable[Item Name],Quantitytable[[#This Row],[Dish]])</f>
        <v>0</v>
      </c>
      <c r="G163" s="3">
        <f>'Quantity Table'!$E163*'Quantity Table'!$F163</f>
        <v>0</v>
      </c>
      <c r="H163" s="3">
        <f>_xlfn.IFNA(VLOOKUP(Quantitytable[[#This Row],[Ingredient ]],Shoppingtable[[Item Name]:[BALANCE Cash]],5,FALSE),0)*Quantitytable[[#This Row],[NeededQuantity]]</f>
        <v>0</v>
      </c>
      <c r="I163" s="3">
        <f>SUMIF(Quantitytable[Dish],Quantitytable[[#This Row],[Dish]],Quantitytable[Cost Per Dish Per Item])</f>
        <v>0</v>
      </c>
      <c r="J163" s="18" t="s">
        <v>502</v>
      </c>
    </row>
    <row r="164" spans="2:10" x14ac:dyDescent="0.25">
      <c r="B164" s="13" t="s">
        <v>28</v>
      </c>
      <c r="C164" s="13"/>
      <c r="D164" s="13"/>
      <c r="E164" s="3">
        <f>IF(Quantitytable[[#This Row],[Units]]=0,0,SUMIFS(Quantitytable[NeededQuantity],Quantitytable[Dish],Quantitytable[[#This Row],[Dish]],Quantitytable[[Ingredient ]],Quantitytable[[#This Row],[Ingredient ]]))</f>
        <v>0</v>
      </c>
      <c r="F164" s="3">
        <f>SUMIFS(salestable[Quantity Sold],salestable[Item Name],Quantitytable[[#This Row],[Dish]])</f>
        <v>0</v>
      </c>
      <c r="G164" s="3">
        <f>'Quantity Table'!$E164*'Quantity Table'!$F164</f>
        <v>0</v>
      </c>
      <c r="H164" s="3">
        <f>_xlfn.IFNA(VLOOKUP(Quantitytable[[#This Row],[Ingredient ]],Shoppingtable[[Item Name]:[BALANCE Cash]],5,FALSE),0)*Quantitytable[[#This Row],[NeededQuantity]]</f>
        <v>0</v>
      </c>
      <c r="I164" s="3">
        <f>SUMIF(Quantitytable[Dish],Quantitytable[[#This Row],[Dish]],Quantitytable[Cost Per Dish Per Item])</f>
        <v>0</v>
      </c>
      <c r="J164" s="18" t="s">
        <v>502</v>
      </c>
    </row>
    <row r="165" spans="2:10" x14ac:dyDescent="0.25">
      <c r="B165" s="13" t="s">
        <v>28</v>
      </c>
      <c r="C165" s="13"/>
      <c r="D165" s="13"/>
      <c r="E165" s="3">
        <f>IF(Quantitytable[[#This Row],[Units]]=0,0,SUMIFS(Quantitytable[NeededQuantity],Quantitytable[Dish],Quantitytable[[#This Row],[Dish]],Quantitytable[[Ingredient ]],Quantitytable[[#This Row],[Ingredient ]]))</f>
        <v>0</v>
      </c>
      <c r="F165" s="3">
        <f>SUMIFS(salestable[Quantity Sold],salestable[Item Name],Quantitytable[[#This Row],[Dish]])</f>
        <v>0</v>
      </c>
      <c r="G165" s="3">
        <f>'Quantity Table'!$E165*'Quantity Table'!$F165</f>
        <v>0</v>
      </c>
      <c r="H165" s="3">
        <f>_xlfn.IFNA(VLOOKUP(Quantitytable[[#This Row],[Ingredient ]],Shoppingtable[[Item Name]:[BALANCE Cash]],5,FALSE),0)*Quantitytable[[#This Row],[NeededQuantity]]</f>
        <v>0</v>
      </c>
      <c r="I165" s="3">
        <f>SUMIF(Quantitytable[Dish],Quantitytable[[#This Row],[Dish]],Quantitytable[Cost Per Dish Per Item])</f>
        <v>0</v>
      </c>
      <c r="J165" s="18" t="s">
        <v>502</v>
      </c>
    </row>
    <row r="166" spans="2:10" x14ac:dyDescent="0.25">
      <c r="B166" s="13" t="s">
        <v>28</v>
      </c>
      <c r="C166" s="13" t="s">
        <v>75</v>
      </c>
      <c r="D166" s="13"/>
      <c r="E166" s="3">
        <f>IF(Quantitytable[[#This Row],[Units]]=0,0,SUMIFS(Quantitytable[NeededQuantity],Quantitytable[Dish],Quantitytable[[#This Row],[Dish]],Quantitytable[[Ingredient ]],Quantitytable[[#This Row],[Ingredient ]]))</f>
        <v>0</v>
      </c>
      <c r="F166" s="3">
        <f>SUMIFS(salestable[Quantity Sold],salestable[Item Name],Quantitytable[[#This Row],[Dish]])</f>
        <v>0</v>
      </c>
      <c r="G166" s="3">
        <f>'Quantity Table'!$E166*'Quantity Table'!$F166</f>
        <v>0</v>
      </c>
      <c r="H166" s="3">
        <f>_xlfn.IFNA(VLOOKUP(Quantitytable[[#This Row],[Ingredient ]],Shoppingtable[[Item Name]:[BALANCE Cash]],5,FALSE),0)*Quantitytable[[#This Row],[NeededQuantity]]</f>
        <v>0</v>
      </c>
      <c r="I166" s="3">
        <f>SUMIF(Quantitytable[Dish],Quantitytable[[#This Row],[Dish]],Quantitytable[Cost Per Dish Per Item])</f>
        <v>0</v>
      </c>
      <c r="J166" s="18" t="s">
        <v>502</v>
      </c>
    </row>
    <row r="167" spans="2:10" x14ac:dyDescent="0.25">
      <c r="B167" s="13" t="s">
        <v>293</v>
      </c>
      <c r="C167" s="13"/>
      <c r="D167" s="13"/>
      <c r="E167" s="3">
        <f>IF(Quantitytable[[#This Row],[Units]]=0,0,SUMIFS(Quantitytable[NeededQuantity],Quantitytable[Dish],Quantitytable[[#This Row],[Dish]],Quantitytable[[Ingredient ]],Quantitytable[[#This Row],[Ingredient ]]))</f>
        <v>0</v>
      </c>
      <c r="F167" s="3">
        <f>SUMIFS(salestable[Quantity Sold],salestable[Item Name],Quantitytable[[#This Row],[Dish]])</f>
        <v>0</v>
      </c>
      <c r="G167" s="3">
        <f>'Quantity Table'!$E167*'Quantity Table'!$F167</f>
        <v>0</v>
      </c>
      <c r="H167" s="3">
        <f>_xlfn.IFNA(VLOOKUP(Quantitytable[[#This Row],[Ingredient ]],Shoppingtable[[Item Name]:[BALANCE Cash]],5,FALSE),0)*Quantitytable[[#This Row],[NeededQuantity]]</f>
        <v>0</v>
      </c>
      <c r="I167" s="3">
        <f>SUMIF(Quantitytable[Dish],Quantitytable[[#This Row],[Dish]],Quantitytable[Cost Per Dish Per Item])</f>
        <v>0</v>
      </c>
      <c r="J167" s="18" t="s">
        <v>502</v>
      </c>
    </row>
    <row r="168" spans="2:10" x14ac:dyDescent="0.25">
      <c r="B168" s="13" t="s">
        <v>293</v>
      </c>
      <c r="C168" s="13"/>
      <c r="D168" s="13"/>
      <c r="E168" s="3">
        <f>IF(Quantitytable[[#This Row],[Units]]=0,0,SUMIFS(Quantitytable[NeededQuantity],Quantitytable[Dish],Quantitytable[[#This Row],[Dish]],Quantitytable[[Ingredient ]],Quantitytable[[#This Row],[Ingredient ]]))</f>
        <v>0</v>
      </c>
      <c r="F168" s="3">
        <f>SUMIFS(salestable[Quantity Sold],salestable[Item Name],Quantitytable[[#This Row],[Dish]])</f>
        <v>0</v>
      </c>
      <c r="G168" s="3">
        <f>'Quantity Table'!$E168*'Quantity Table'!$F168</f>
        <v>0</v>
      </c>
      <c r="H168" s="3">
        <f>_xlfn.IFNA(VLOOKUP(Quantitytable[[#This Row],[Ingredient ]],Shoppingtable[[Item Name]:[BALANCE Cash]],5,FALSE),0)*Quantitytable[[#This Row],[NeededQuantity]]</f>
        <v>0</v>
      </c>
      <c r="I168" s="3">
        <f>SUMIF(Quantitytable[Dish],Quantitytable[[#This Row],[Dish]],Quantitytable[Cost Per Dish Per Item])</f>
        <v>0</v>
      </c>
      <c r="J168" s="18" t="s">
        <v>502</v>
      </c>
    </row>
    <row r="169" spans="2:10" x14ac:dyDescent="0.25">
      <c r="B169" s="13" t="s">
        <v>293</v>
      </c>
      <c r="C169" s="13"/>
      <c r="D169" s="13"/>
      <c r="E169" s="3">
        <f>IF(Quantitytable[[#This Row],[Units]]=0,0,SUMIFS(Quantitytable[NeededQuantity],Quantitytable[Dish],Quantitytable[[#This Row],[Dish]],Quantitytable[[Ingredient ]],Quantitytable[[#This Row],[Ingredient ]]))</f>
        <v>0</v>
      </c>
      <c r="F169" s="3">
        <f>SUMIFS(salestable[Quantity Sold],salestable[Item Name],Quantitytable[[#This Row],[Dish]])</f>
        <v>0</v>
      </c>
      <c r="G169" s="3">
        <f>'Quantity Table'!$E169*'Quantity Table'!$F169</f>
        <v>0</v>
      </c>
      <c r="H169" s="3">
        <f>_xlfn.IFNA(VLOOKUP(Quantitytable[[#This Row],[Ingredient ]],Shoppingtable[[Item Name]:[BALANCE Cash]],5,FALSE),0)*Quantitytable[[#This Row],[NeededQuantity]]</f>
        <v>0</v>
      </c>
      <c r="I169" s="3">
        <f>SUMIF(Quantitytable[Dish],Quantitytable[[#This Row],[Dish]],Quantitytable[Cost Per Dish Per Item])</f>
        <v>0</v>
      </c>
      <c r="J169" s="18" t="s">
        <v>502</v>
      </c>
    </row>
    <row r="170" spans="2:10" x14ac:dyDescent="0.25">
      <c r="B170" s="13" t="s">
        <v>293</v>
      </c>
      <c r="C170" s="13"/>
      <c r="D170" s="13"/>
      <c r="E170" s="3">
        <f>IF(Quantitytable[[#This Row],[Units]]=0,0,SUMIFS(Quantitytable[NeededQuantity],Quantitytable[Dish],Quantitytable[[#This Row],[Dish]],Quantitytable[[Ingredient ]],Quantitytable[[#This Row],[Ingredient ]]))</f>
        <v>0</v>
      </c>
      <c r="F170" s="3">
        <f>SUMIFS(salestable[Quantity Sold],salestable[Item Name],Quantitytable[[#This Row],[Dish]])</f>
        <v>0</v>
      </c>
      <c r="G170" s="3">
        <f>'Quantity Table'!$E170*'Quantity Table'!$F170</f>
        <v>0</v>
      </c>
      <c r="H170" s="3">
        <f>_xlfn.IFNA(VLOOKUP(Quantitytable[[#This Row],[Ingredient ]],Shoppingtable[[Item Name]:[BALANCE Cash]],5,FALSE),0)*Quantitytable[[#This Row],[NeededQuantity]]</f>
        <v>0</v>
      </c>
      <c r="I170" s="3">
        <f>SUMIF(Quantitytable[Dish],Quantitytable[[#This Row],[Dish]],Quantitytable[Cost Per Dish Per Item])</f>
        <v>0</v>
      </c>
      <c r="J170" s="18" t="s">
        <v>502</v>
      </c>
    </row>
    <row r="171" spans="2:10" x14ac:dyDescent="0.25">
      <c r="B171" s="13" t="s">
        <v>293</v>
      </c>
      <c r="C171" s="13" t="s">
        <v>26</v>
      </c>
      <c r="D171" s="13"/>
      <c r="E171" s="3">
        <f>IF(Quantitytable[[#This Row],[Units]]=0,0,SUMIFS(Quantitytable[NeededQuantity],Quantitytable[Dish],Quantitytable[[#This Row],[Dish]],Quantitytable[[Ingredient ]],Quantitytable[[#This Row],[Ingredient ]]))</f>
        <v>0</v>
      </c>
      <c r="F171" s="3">
        <f>SUMIFS(salestable[Quantity Sold],salestable[Item Name],Quantitytable[[#This Row],[Dish]])</f>
        <v>0</v>
      </c>
      <c r="G171" s="3">
        <f>'Quantity Table'!$E171*'Quantity Table'!$F171</f>
        <v>0</v>
      </c>
      <c r="H171" s="3">
        <f>_xlfn.IFNA(VLOOKUP(Quantitytable[[#This Row],[Ingredient ]],Shoppingtable[[Item Name]:[BALANCE Cash]],5,FALSE),0)*Quantitytable[[#This Row],[NeededQuantity]]</f>
        <v>0</v>
      </c>
      <c r="I171" s="3">
        <f>SUMIF(Quantitytable[Dish],Quantitytable[[#This Row],[Dish]],Quantitytable[Cost Per Dish Per Item])</f>
        <v>0</v>
      </c>
      <c r="J171" s="18" t="s">
        <v>502</v>
      </c>
    </row>
    <row r="172" spans="2:10" x14ac:dyDescent="0.25">
      <c r="B172" s="13" t="s">
        <v>293</v>
      </c>
      <c r="C172" s="13" t="s">
        <v>25</v>
      </c>
      <c r="D172" s="13"/>
      <c r="E172" s="3">
        <f>IF(Quantitytable[[#This Row],[Units]]=0,0,SUMIFS(Quantitytable[NeededQuantity],Quantitytable[Dish],Quantitytable[[#This Row],[Dish]],Quantitytable[[Ingredient ]],Quantitytable[[#This Row],[Ingredient ]]))</f>
        <v>0</v>
      </c>
      <c r="F172" s="3">
        <f>SUMIFS(salestable[Quantity Sold],salestable[Item Name],Quantitytable[[#This Row],[Dish]])</f>
        <v>0</v>
      </c>
      <c r="G172" s="3">
        <f>'Quantity Table'!$E172*'Quantity Table'!$F172</f>
        <v>0</v>
      </c>
      <c r="H172" s="3">
        <f>_xlfn.IFNA(VLOOKUP(Quantitytable[[#This Row],[Ingredient ]],Shoppingtable[[Item Name]:[BALANCE Cash]],5,FALSE),0)*Quantitytable[[#This Row],[NeededQuantity]]</f>
        <v>0</v>
      </c>
      <c r="I172" s="3">
        <f>SUMIF(Quantitytable[Dish],Quantitytable[[#This Row],[Dish]],Quantitytable[Cost Per Dish Per Item])</f>
        <v>0</v>
      </c>
      <c r="J172" s="18" t="s">
        <v>502</v>
      </c>
    </row>
    <row r="173" spans="2:10" x14ac:dyDescent="0.25">
      <c r="B173" s="13" t="s">
        <v>163</v>
      </c>
      <c r="C173" s="13" t="s">
        <v>26</v>
      </c>
      <c r="D173" s="13">
        <v>500</v>
      </c>
      <c r="E173" s="3">
        <f>IF(Quantitytable[[#This Row],[Units]]=0,0,SUMIFS(Quantitytable[NeededQuantity],Quantitytable[Dish],Quantitytable[[#This Row],[Dish]],Quantitytable[[Ingredient ]],Quantitytable[[#This Row],[Ingredient ]]))</f>
        <v>0</v>
      </c>
      <c r="F173" s="3">
        <f>SUMIFS(salestable[Quantity Sold],salestable[Item Name],Quantitytable[[#This Row],[Dish]])</f>
        <v>0</v>
      </c>
      <c r="G173" s="3">
        <f>'Quantity Table'!$E173*'Quantity Table'!$F173</f>
        <v>0</v>
      </c>
      <c r="H173" s="3">
        <f>_xlfn.IFNA(VLOOKUP(Quantitytable[[#This Row],[Ingredient ]],Shoppingtable[[Item Name]:[BALANCE Cash]],5,FALSE),0)*Quantitytable[[#This Row],[NeededQuantity]]</f>
        <v>200</v>
      </c>
      <c r="I173" s="3">
        <f>SUMIF(Quantitytable[Dish],Quantitytable[[#This Row],[Dish]],Quantitytable[Cost Per Dish Per Item])</f>
        <v>276.56826384399909</v>
      </c>
      <c r="J173" s="18" t="s">
        <v>502</v>
      </c>
    </row>
    <row r="174" spans="2:10" x14ac:dyDescent="0.25">
      <c r="B174" s="13" t="s">
        <v>163</v>
      </c>
      <c r="C174" s="13" t="s">
        <v>77</v>
      </c>
      <c r="D174" s="13">
        <v>200</v>
      </c>
      <c r="E174" s="3">
        <f>IF(Quantitytable[[#This Row],[Units]]=0,0,SUMIFS(Quantitytable[NeededQuantity],Quantitytable[Dish],Quantitytable[[#This Row],[Dish]],Quantitytable[[Ingredient ]],Quantitytable[[#This Row],[Ingredient ]]))</f>
        <v>0</v>
      </c>
      <c r="F174" s="3">
        <f>SUMIFS(salestable[Quantity Sold],salestable[Item Name],Quantitytable[[#This Row],[Dish]])</f>
        <v>0</v>
      </c>
      <c r="G174" s="3">
        <f>'Quantity Table'!$E174*'Quantity Table'!$F174</f>
        <v>0</v>
      </c>
      <c r="H174" s="3">
        <f>_xlfn.IFNA(VLOOKUP(Quantitytable[[#This Row],[Ingredient ]],Shoppingtable[[Item Name]:[BALANCE Cash]],5,FALSE),0)*Quantitytable[[#This Row],[NeededQuantity]]</f>
        <v>8.3000000000000007</v>
      </c>
      <c r="I174" s="3">
        <f>SUMIF(Quantitytable[Dish],Quantitytable[[#This Row],[Dish]],Quantitytable[Cost Per Dish Per Item])</f>
        <v>276.56826384399909</v>
      </c>
      <c r="J174" s="18" t="s">
        <v>502</v>
      </c>
    </row>
    <row r="175" spans="2:10" x14ac:dyDescent="0.25">
      <c r="B175" s="13" t="s">
        <v>163</v>
      </c>
      <c r="C175" s="13" t="s">
        <v>104</v>
      </c>
      <c r="D175" s="13">
        <v>100</v>
      </c>
      <c r="E175" s="3">
        <f>IF(Quantitytable[[#This Row],[Units]]=0,0,SUMIFS(Quantitytable[NeededQuantity],Quantitytable[Dish],Quantitytable[[#This Row],[Dish]],Quantitytable[[Ingredient ]],Quantitytable[[#This Row],[Ingredient ]]))</f>
        <v>0</v>
      </c>
      <c r="F175" s="3">
        <f>SUMIFS(salestable[Quantity Sold],salestable[Item Name],Quantitytable[[#This Row],[Dish]])</f>
        <v>0</v>
      </c>
      <c r="G175" s="3">
        <f>'Quantity Table'!$E175*'Quantity Table'!$F175</f>
        <v>0</v>
      </c>
      <c r="H175" s="3">
        <f>_xlfn.IFNA(VLOOKUP(Quantitytable[[#This Row],[Ingredient ]],Shoppingtable[[Item Name]:[BALANCE Cash]],5,FALSE),0)*Quantitytable[[#This Row],[NeededQuantity]]</f>
        <v>3</v>
      </c>
      <c r="I175" s="3">
        <f>SUMIF(Quantitytable[Dish],Quantitytable[[#This Row],[Dish]],Quantitytable[Cost Per Dish Per Item])</f>
        <v>276.56826384399909</v>
      </c>
      <c r="J175" s="18" t="s">
        <v>502</v>
      </c>
    </row>
    <row r="176" spans="2:10" x14ac:dyDescent="0.25">
      <c r="B176" s="13" t="s">
        <v>163</v>
      </c>
      <c r="C176" s="13" t="s">
        <v>75</v>
      </c>
      <c r="D176" s="13">
        <v>100</v>
      </c>
      <c r="E176" s="3">
        <f>IF(Quantitytable[[#This Row],[Units]]=0,0,SUMIFS(Quantitytable[NeededQuantity],Quantitytable[Dish],Quantitytable[[#This Row],[Dish]],Quantitytable[[Ingredient ]],Quantitytable[[#This Row],[Ingredient ]]))</f>
        <v>0</v>
      </c>
      <c r="F176" s="3">
        <f>SUMIFS(salestable[Quantity Sold],salestable[Item Name],Quantitytable[[#This Row],[Dish]])</f>
        <v>0</v>
      </c>
      <c r="G176" s="3">
        <f>'Quantity Table'!$E176*'Quantity Table'!$F176</f>
        <v>0</v>
      </c>
      <c r="H176" s="3">
        <f>_xlfn.IFNA(VLOOKUP(Quantitytable[[#This Row],[Ingredient ]],Shoppingtable[[Item Name]:[BALANCE Cash]],5,FALSE),0)*Quantitytable[[#This Row],[NeededQuantity]]</f>
        <v>14.6</v>
      </c>
      <c r="I176" s="3">
        <f>SUMIF(Quantitytable[Dish],Quantitytable[[#This Row],[Dish]],Quantitytable[Cost Per Dish Per Item])</f>
        <v>276.56826384399909</v>
      </c>
      <c r="J176" s="18" t="s">
        <v>502</v>
      </c>
    </row>
    <row r="177" spans="2:10" x14ac:dyDescent="0.25">
      <c r="B177" s="13" t="s">
        <v>163</v>
      </c>
      <c r="C177" s="13" t="s">
        <v>420</v>
      </c>
      <c r="D177" s="13">
        <v>1</v>
      </c>
      <c r="E177" s="3">
        <f>IF(Quantitytable[[#This Row],[Units]]=0,0,SUMIFS(Quantitytable[NeededQuantity],Quantitytable[Dish],Quantitytable[[#This Row],[Dish]],Quantitytable[[Ingredient ]],Quantitytable[[#This Row],[Ingredient ]]))</f>
        <v>0</v>
      </c>
      <c r="F177" s="3">
        <f>SUMIFS(salestable[Quantity Sold],salestable[Item Name],Quantitytable[[#This Row],[Dish]])</f>
        <v>0</v>
      </c>
      <c r="G177" s="3">
        <f>'Quantity Table'!$E177*'Quantity Table'!$F177</f>
        <v>0</v>
      </c>
      <c r="H177" s="3">
        <f>_xlfn.IFNA(VLOOKUP(Quantitytable[[#This Row],[Ingredient ]],Shoppingtable[[Item Name]:[BALANCE Cash]],5,FALSE),0)*Quantitytable[[#This Row],[NeededQuantity]]</f>
        <v>0</v>
      </c>
      <c r="I177" s="3">
        <f>SUMIF(Quantitytable[Dish],Quantitytable[[#This Row],[Dish]],Quantitytable[Cost Per Dish Per Item])</f>
        <v>276.56826384399909</v>
      </c>
      <c r="J177" s="18" t="s">
        <v>502</v>
      </c>
    </row>
    <row r="178" spans="2:10" x14ac:dyDescent="0.25">
      <c r="B178" s="13" t="s">
        <v>163</v>
      </c>
      <c r="C178" s="13" t="s">
        <v>492</v>
      </c>
      <c r="D178" s="13">
        <v>1</v>
      </c>
      <c r="E178" s="3">
        <f>IF(Quantitytable[[#This Row],[Units]]=0,0,SUMIFS(Quantitytable[NeededQuantity],Quantitytable[Dish],Quantitytable[[#This Row],[Dish]],Quantitytable[[Ingredient ]],Quantitytable[[#This Row],[Ingredient ]]))</f>
        <v>0</v>
      </c>
      <c r="F178" s="3">
        <f>SUMIFS(salestable[Quantity Sold],salestable[Item Name],Quantitytable[[#This Row],[Dish]])</f>
        <v>0</v>
      </c>
      <c r="G178" s="3">
        <f>'Quantity Table'!$E178*'Quantity Table'!$F178</f>
        <v>0</v>
      </c>
      <c r="H178" s="3">
        <f>_xlfn.IFNA(VLOOKUP(Quantitytable[[#This Row],[Ingredient ]],Shoppingtable[[Item Name]:[BALANCE Cash]],5,FALSE),0)*Quantitytable[[#This Row],[NeededQuantity]]</f>
        <v>0.1875</v>
      </c>
      <c r="I178" s="3">
        <f>SUMIF(Quantitytable[Dish],Quantitytable[[#This Row],[Dish]],Quantitytable[Cost Per Dish Per Item])</f>
        <v>276.56826384399909</v>
      </c>
      <c r="J178" s="18" t="s">
        <v>502</v>
      </c>
    </row>
    <row r="179" spans="2:10" x14ac:dyDescent="0.25">
      <c r="B179" s="13" t="s">
        <v>163</v>
      </c>
      <c r="C179" s="13" t="s">
        <v>421</v>
      </c>
      <c r="D179" s="13">
        <v>2</v>
      </c>
      <c r="E179" s="3">
        <f>IF(Quantitytable[[#This Row],[Units]]=0,0,SUMIFS(Quantitytable[NeededQuantity],Quantitytable[Dish],Quantitytable[[#This Row],[Dish]],Quantitytable[[Ingredient ]],Quantitytable[[#This Row],[Ingredient ]]))</f>
        <v>0</v>
      </c>
      <c r="F179" s="3">
        <f>SUMIFS(salestable[Quantity Sold],salestable[Item Name],Quantitytable[[#This Row],[Dish]])</f>
        <v>0</v>
      </c>
      <c r="G179" s="3">
        <f>'Quantity Table'!$E179*'Quantity Table'!$F179</f>
        <v>0</v>
      </c>
      <c r="H179" s="3">
        <f>_xlfn.IFNA(VLOOKUP(Quantitytable[[#This Row],[Ingredient ]],Shoppingtable[[Item Name]:[BALANCE Cash]],5,FALSE),0)*Quantitytable[[#This Row],[NeededQuantity]]</f>
        <v>1</v>
      </c>
      <c r="I179" s="3">
        <f>SUMIF(Quantitytable[Dish],Quantitytable[[#This Row],[Dish]],Quantitytable[Cost Per Dish Per Item])</f>
        <v>276.56826384399909</v>
      </c>
      <c r="J179" s="18" t="s">
        <v>502</v>
      </c>
    </row>
    <row r="180" spans="2:10" x14ac:dyDescent="0.25">
      <c r="B180" s="13" t="s">
        <v>163</v>
      </c>
      <c r="C180" s="13" t="s">
        <v>484</v>
      </c>
      <c r="D180" s="13">
        <v>1</v>
      </c>
      <c r="E180" s="3">
        <f>IF(Quantitytable[[#This Row],[Units]]=0,0,SUMIFS(Quantitytable[NeededQuantity],Quantitytable[Dish],Quantitytable[[#This Row],[Dish]],Quantitytable[[Ingredient ]],Quantitytable[[#This Row],[Ingredient ]]))</f>
        <v>0</v>
      </c>
      <c r="F180" s="3">
        <f>SUMIFS(salestable[Quantity Sold],salestable[Item Name],Quantitytable[[#This Row],[Dish]])</f>
        <v>0</v>
      </c>
      <c r="G180" s="3">
        <f>'Quantity Table'!$E180*'Quantity Table'!$F180</f>
        <v>0</v>
      </c>
      <c r="H180" s="3">
        <f>_xlfn.IFNA(VLOOKUP(Quantitytable[[#This Row],[Ingredient ]],Shoppingtable[[Item Name]:[BALANCE Cash]],5,FALSE),0)*Quantitytable[[#This Row],[NeededQuantity]]</f>
        <v>0.21428571428571427</v>
      </c>
      <c r="I180" s="3">
        <f>SUMIF(Quantitytable[Dish],Quantitytable[[#This Row],[Dish]],Quantitytable[Cost Per Dish Per Item])</f>
        <v>276.56826384399909</v>
      </c>
      <c r="J180" s="18" t="s">
        <v>502</v>
      </c>
    </row>
    <row r="181" spans="2:10" x14ac:dyDescent="0.25">
      <c r="B181" s="13" t="s">
        <v>163</v>
      </c>
      <c r="C181" s="13" t="s">
        <v>514</v>
      </c>
      <c r="D181" s="13">
        <v>1</v>
      </c>
      <c r="E181" s="3">
        <f>IF(Quantitytable[[#This Row],[Units]]=0,0,SUMIFS(Quantitytable[NeededQuantity],Quantitytable[Dish],Quantitytable[[#This Row],[Dish]],Quantitytable[[Ingredient ]],Quantitytable[[#This Row],[Ingredient ]]))</f>
        <v>0</v>
      </c>
      <c r="F181" s="3">
        <f>SUMIFS(salestable[Quantity Sold],salestable[Item Name],Quantitytable[[#This Row],[Dish]])</f>
        <v>0</v>
      </c>
      <c r="G181" s="3">
        <f>'Quantity Table'!$E181*'Quantity Table'!$F181</f>
        <v>0</v>
      </c>
      <c r="H181" s="3">
        <f>_xlfn.IFNA(VLOOKUP(Quantitytable[[#This Row],[Ingredient ]],Shoppingtable[[Item Name]:[BALANCE Cash]],5,FALSE),0)*Quantitytable[[#This Row],[NeededQuantity]]</f>
        <v>0.15</v>
      </c>
      <c r="I181" s="3">
        <f>SUMIF(Quantitytable[Dish],Quantitytable[[#This Row],[Dish]],Quantitytable[Cost Per Dish Per Item])</f>
        <v>276.56826384399909</v>
      </c>
      <c r="J181" s="18" t="s">
        <v>502</v>
      </c>
    </row>
    <row r="182" spans="2:10" x14ac:dyDescent="0.25">
      <c r="B182" s="13" t="s">
        <v>163</v>
      </c>
      <c r="C182" s="13" t="s">
        <v>538</v>
      </c>
      <c r="D182" s="13">
        <v>50</v>
      </c>
      <c r="E182" s="3">
        <f>IF(Quantitytable[[#This Row],[Units]]=0,0,SUMIFS(Quantitytable[NeededQuantity],Quantitytable[Dish],Quantitytable[[#This Row],[Dish]],Quantitytable[[Ingredient ]],Quantitytable[[#This Row],[Ingredient ]]))</f>
        <v>0</v>
      </c>
      <c r="F182" s="3">
        <f>SUMIFS(salestable[Quantity Sold],salestable[Item Name],Quantitytable[[#This Row],[Dish]])</f>
        <v>0</v>
      </c>
      <c r="G182" s="3">
        <f>'Quantity Table'!$E182*'Quantity Table'!$F182</f>
        <v>0</v>
      </c>
      <c r="H182" s="3">
        <f>_xlfn.IFNA(VLOOKUP(Quantitytable[[#This Row],[Ingredient ]],Shoppingtable[[Item Name]:[BALANCE Cash]],5,FALSE),0)*Quantitytable[[#This Row],[NeededQuantity]]</f>
        <v>10</v>
      </c>
      <c r="I182" s="3">
        <f>SUMIF(Quantitytable[Dish],Quantitytable[[#This Row],[Dish]],Quantitytable[Cost Per Dish Per Item])</f>
        <v>276.56826384399909</v>
      </c>
      <c r="J182" s="18" t="s">
        <v>502</v>
      </c>
    </row>
    <row r="183" spans="2:10" x14ac:dyDescent="0.25">
      <c r="B183" s="13" t="s">
        <v>163</v>
      </c>
      <c r="C183" s="13" t="s">
        <v>423</v>
      </c>
      <c r="D183" s="13">
        <v>45</v>
      </c>
      <c r="E183" s="3">
        <f>IF(Quantitytable[[#This Row],[Units]]=0,0,SUMIFS(Quantitytable[NeededQuantity],Quantitytable[Dish],Quantitytable[[#This Row],[Dish]],Quantitytable[[Ingredient ]],Quantitytable[[#This Row],[Ingredient ]]))</f>
        <v>0</v>
      </c>
      <c r="F183" s="3">
        <f>SUMIFS(salestable[Quantity Sold],salestable[Item Name],Quantitytable[[#This Row],[Dish]])</f>
        <v>0</v>
      </c>
      <c r="G183" s="3">
        <f>'Quantity Table'!$E183*'Quantity Table'!$F183</f>
        <v>0</v>
      </c>
      <c r="H183" s="3">
        <f>_xlfn.IFNA(VLOOKUP(Quantitytable[[#This Row],[Ingredient ]],Shoppingtable[[Item Name]:[BALANCE Cash]],5,FALSE),0)*Quantitytable[[#This Row],[NeededQuantity]]</f>
        <v>16.875</v>
      </c>
      <c r="I183" s="3">
        <f>SUMIF(Quantitytable[Dish],Quantitytable[[#This Row],[Dish]],Quantitytable[Cost Per Dish Per Item])</f>
        <v>276.56826384399909</v>
      </c>
      <c r="J183" s="18" t="s">
        <v>502</v>
      </c>
    </row>
    <row r="184" spans="2:10" x14ac:dyDescent="0.25">
      <c r="B184" s="13" t="s">
        <v>163</v>
      </c>
      <c r="C184" s="13" t="s">
        <v>303</v>
      </c>
      <c r="D184" s="13">
        <v>10</v>
      </c>
      <c r="E184" s="3">
        <f>IF(Quantitytable[[#This Row],[Units]]=0,0,SUMIFS(Quantitytable[NeededQuantity],Quantitytable[Dish],Quantitytable[[#This Row],[Dish]],Quantitytable[[Ingredient ]],Quantitytable[[#This Row],[Ingredient ]]))</f>
        <v>0</v>
      </c>
      <c r="F184" s="3">
        <f>SUMIFS(salestable[Quantity Sold],salestable[Item Name],Quantitytable[[#This Row],[Dish]])</f>
        <v>0</v>
      </c>
      <c r="G184" s="3">
        <f>'Quantity Table'!$E184*'Quantity Table'!$F184</f>
        <v>0</v>
      </c>
      <c r="H184" s="3">
        <f>_xlfn.IFNA(VLOOKUP(Quantitytable[[#This Row],[Ingredient ]],Shoppingtable[[Item Name]:[BALANCE Cash]],5,FALSE),0)*Quantitytable[[#This Row],[NeededQuantity]]</f>
        <v>3</v>
      </c>
      <c r="I184" s="3">
        <f>SUMIF(Quantitytable[Dish],Quantitytable[[#This Row],[Dish]],Quantitytable[Cost Per Dish Per Item])</f>
        <v>276.56826384399909</v>
      </c>
      <c r="J184" s="18" t="s">
        <v>502</v>
      </c>
    </row>
    <row r="185" spans="2:10" x14ac:dyDescent="0.25">
      <c r="B185" s="13" t="s">
        <v>163</v>
      </c>
      <c r="C185" s="13" t="s">
        <v>524</v>
      </c>
      <c r="D185" s="13">
        <v>10</v>
      </c>
      <c r="E185" s="3">
        <f>IF(Quantitytable[[#This Row],[Units]]=0,0,SUMIFS(Quantitytable[NeededQuantity],Quantitytable[Dish],Quantitytable[[#This Row],[Dish]],Quantitytable[[Ingredient ]],Quantitytable[[#This Row],[Ingredient ]]))</f>
        <v>0</v>
      </c>
      <c r="F185" s="3">
        <f>SUMIFS(salestable[Quantity Sold],salestable[Item Name],Quantitytable[[#This Row],[Dish]])</f>
        <v>0</v>
      </c>
      <c r="G185" s="3">
        <f>'Quantity Table'!$E185*'Quantity Table'!$F185</f>
        <v>0</v>
      </c>
      <c r="H185" s="3">
        <f>_xlfn.IFNA(VLOOKUP(Quantitytable[[#This Row],[Ingredient ]],Shoppingtable[[Item Name]:[BALANCE Cash]],5,FALSE),0)*Quantitytable[[#This Row],[NeededQuantity]]</f>
        <v>2.8000000000000003</v>
      </c>
      <c r="I185" s="3">
        <f>SUMIF(Quantitytable[Dish],Quantitytable[[#This Row],[Dish]],Quantitytable[Cost Per Dish Per Item])</f>
        <v>276.56826384399909</v>
      </c>
      <c r="J185" s="18" t="s">
        <v>502</v>
      </c>
    </row>
    <row r="186" spans="2:10" x14ac:dyDescent="0.25">
      <c r="B186" s="13" t="s">
        <v>163</v>
      </c>
      <c r="C186" s="13" t="s">
        <v>487</v>
      </c>
      <c r="D186" s="13">
        <v>10</v>
      </c>
      <c r="E186" s="3">
        <f>IF(Quantitytable[[#This Row],[Units]]=0,0,SUMIFS(Quantitytable[NeededQuantity],Quantitytable[Dish],Quantitytable[[#This Row],[Dish]],Quantitytable[[Ingredient ]],Quantitytable[[#This Row],[Ingredient ]]))</f>
        <v>0</v>
      </c>
      <c r="F186" s="3">
        <f>SUMIFS(salestable[Quantity Sold],salestable[Item Name],Quantitytable[[#This Row],[Dish]])</f>
        <v>0</v>
      </c>
      <c r="G186" s="3">
        <f>'Quantity Table'!$E186*'Quantity Table'!$F186</f>
        <v>0</v>
      </c>
      <c r="H186" s="3">
        <f>_xlfn.IFNA(VLOOKUP(Quantitytable[[#This Row],[Ingredient ]],Shoppingtable[[Item Name]:[BALANCE Cash]],5,FALSE),0)*Quantitytable[[#This Row],[NeededQuantity]]</f>
        <v>10.5</v>
      </c>
      <c r="I186" s="3">
        <f>SUMIF(Quantitytable[Dish],Quantitytable[[#This Row],[Dish]],Quantitytable[Cost Per Dish Per Item])</f>
        <v>276.56826384399909</v>
      </c>
      <c r="J186" s="18" t="s">
        <v>502</v>
      </c>
    </row>
    <row r="187" spans="2:10" x14ac:dyDescent="0.25">
      <c r="B187" s="13" t="s">
        <v>163</v>
      </c>
      <c r="C187" s="13" t="s">
        <v>486</v>
      </c>
      <c r="D187" s="13">
        <v>5</v>
      </c>
      <c r="E187" s="3">
        <f>IF(Quantitytable[[#This Row],[Units]]=0,0,SUMIFS(Quantitytable[NeededQuantity],Quantitytable[Dish],Quantitytable[[#This Row],[Dish]],Quantitytable[[Ingredient ]],Quantitytable[[#This Row],[Ingredient ]]))</f>
        <v>0</v>
      </c>
      <c r="F187" s="3">
        <f>SUMIFS(salestable[Quantity Sold],salestable[Item Name],Quantitytable[[#This Row],[Dish]])</f>
        <v>0</v>
      </c>
      <c r="G187" s="3">
        <f>'Quantity Table'!$E187*'Quantity Table'!$F187</f>
        <v>0</v>
      </c>
      <c r="H187" s="3">
        <f>_xlfn.IFNA(VLOOKUP(Quantitytable[[#This Row],[Ingredient ]],Shoppingtable[[Item Name]:[BALANCE Cash]],5,FALSE),0)*Quantitytable[[#This Row],[NeededQuantity]]</f>
        <v>1.8235294117647058</v>
      </c>
      <c r="I187" s="3">
        <f>SUMIF(Quantitytable[Dish],Quantitytable[[#This Row],[Dish]],Quantitytable[Cost Per Dish Per Item])</f>
        <v>276.56826384399909</v>
      </c>
      <c r="J187" s="18" t="s">
        <v>502</v>
      </c>
    </row>
    <row r="188" spans="2:10" x14ac:dyDescent="0.25">
      <c r="B188" s="13" t="s">
        <v>163</v>
      </c>
      <c r="C188" s="13" t="s">
        <v>577</v>
      </c>
      <c r="D188" s="13">
        <v>50</v>
      </c>
      <c r="E188" s="3">
        <f>IF(Quantitytable[[#This Row],[Units]]=0,0,SUMIFS(Quantitytable[NeededQuantity],Quantitytable[Dish],Quantitytable[[#This Row],[Dish]],Quantitytable[[Ingredient ]],Quantitytable[[#This Row],[Ingredient ]]))</f>
        <v>0</v>
      </c>
      <c r="F188" s="3">
        <f>SUMIFS(salestable[Quantity Sold],salestable[Item Name],Quantitytable[[#This Row],[Dish]])</f>
        <v>0</v>
      </c>
      <c r="G188" s="3">
        <f>'Quantity Table'!$E188*'Quantity Table'!$F188</f>
        <v>0</v>
      </c>
      <c r="H188" s="3">
        <f>_xlfn.IFNA(VLOOKUP(Quantitytable[[#This Row],[Ingredient ]],Shoppingtable[[Item Name]:[BALANCE Cash]],5,FALSE),0)*Quantitytable[[#This Row],[NeededQuantity]]</f>
        <v>2.8846153846153846</v>
      </c>
      <c r="I188" s="3">
        <f>SUMIF(Quantitytable[Dish],Quantitytable[[#This Row],[Dish]],Quantitytable[Cost Per Dish Per Item])</f>
        <v>276.56826384399909</v>
      </c>
      <c r="J188" s="18" t="s">
        <v>502</v>
      </c>
    </row>
    <row r="189" spans="2:10" x14ac:dyDescent="0.25">
      <c r="B189" s="13" t="s">
        <v>163</v>
      </c>
      <c r="C189" s="13" t="s">
        <v>516</v>
      </c>
      <c r="D189" s="13">
        <v>5</v>
      </c>
      <c r="E189" s="3">
        <f>IF(Quantitytable[[#This Row],[Units]]=0,0,SUMIFS(Quantitytable[NeededQuantity],Quantitytable[Dish],Quantitytable[[#This Row],[Dish]],Quantitytable[[Ingredient ]],Quantitytable[[#This Row],[Ingredient ]]))</f>
        <v>0</v>
      </c>
      <c r="F189" s="3">
        <f>SUMIFS(salestable[Quantity Sold],salestable[Item Name],Quantitytable[[#This Row],[Dish]])</f>
        <v>0</v>
      </c>
      <c r="G189" s="3">
        <f>'Quantity Table'!$E189*'Quantity Table'!$F189</f>
        <v>0</v>
      </c>
      <c r="H189" s="3">
        <f>_xlfn.IFNA(VLOOKUP(Quantitytable[[#This Row],[Ingredient ]],Shoppingtable[[Item Name]:[BALANCE Cash]],5,FALSE),0)*Quantitytable[[#This Row],[NeededQuantity]]</f>
        <v>0.83333333333333326</v>
      </c>
      <c r="I189" s="3">
        <f>SUMIF(Quantitytable[Dish],Quantitytable[[#This Row],[Dish]],Quantitytable[Cost Per Dish Per Item])</f>
        <v>276.56826384399909</v>
      </c>
      <c r="J189" s="18" t="s">
        <v>502</v>
      </c>
    </row>
    <row r="190" spans="2:10" x14ac:dyDescent="0.25">
      <c r="B190" s="13" t="s">
        <v>163</v>
      </c>
      <c r="C190" s="13" t="s">
        <v>485</v>
      </c>
      <c r="D190" s="13">
        <v>2</v>
      </c>
      <c r="E190" s="3">
        <f>IF(Quantitytable[[#This Row],[Units]]=0,0,SUMIFS(Quantitytable[NeededQuantity],Quantitytable[Dish],Quantitytable[[#This Row],[Dish]],Quantitytable[[Ingredient ]],Quantitytable[[#This Row],[Ingredient ]]))</f>
        <v>0</v>
      </c>
      <c r="F190" s="3">
        <f>SUMIFS(salestable[Quantity Sold],salestable[Item Name],Quantitytable[[#This Row],[Dish]])</f>
        <v>0</v>
      </c>
      <c r="G190" s="3">
        <f>'Quantity Table'!$E190*'Quantity Table'!$F190</f>
        <v>0</v>
      </c>
      <c r="H190" s="3">
        <f>_xlfn.IFNA(VLOOKUP(Quantitytable[[#This Row],[Ingredient ]],Shoppingtable[[Item Name]:[BALANCE Cash]],5,FALSE),0)*Quantitytable[[#This Row],[NeededQuantity]]</f>
        <v>0.4</v>
      </c>
      <c r="I190" s="3">
        <f>SUMIF(Quantitytable[Dish],Quantitytable[[#This Row],[Dish]],Quantitytable[Cost Per Dish Per Item])</f>
        <v>276.56826384399909</v>
      </c>
      <c r="J190" s="18" t="s">
        <v>502</v>
      </c>
    </row>
    <row r="191" spans="2:10" x14ac:dyDescent="0.25">
      <c r="B191" s="13" t="s">
        <v>626</v>
      </c>
      <c r="C191" s="13" t="s">
        <v>625</v>
      </c>
      <c r="D191" s="13">
        <v>250</v>
      </c>
      <c r="E191" s="3">
        <f>IF(Quantitytable[[#This Row],[Units]]=0,0,SUMIFS(Quantitytable[NeededQuantity],Quantitytable[Dish],Quantitytable[[#This Row],[Dish]],Quantitytable[[Ingredient ]],Quantitytable[[#This Row],[Ingredient ]]))</f>
        <v>0</v>
      </c>
      <c r="F191" s="3">
        <f>SUMIFS(salestable[Quantity Sold],salestable[Item Name],Quantitytable[[#This Row],[Dish]])</f>
        <v>0</v>
      </c>
      <c r="G191" s="3">
        <f>'Quantity Table'!$E191*'Quantity Table'!$F191</f>
        <v>0</v>
      </c>
      <c r="H191" s="3">
        <f>_xlfn.IFNA(VLOOKUP(Quantitytable[[#This Row],[Ingredient ]],Shoppingtable[[Item Name]:[BALANCE Cash]],5,FALSE),0)*Quantitytable[[#This Row],[NeededQuantity]]</f>
        <v>55.199999999999996</v>
      </c>
      <c r="I191" s="3">
        <f>SUMIF(Quantitytable[Dish],Quantitytable[[#This Row],[Dish]],Quantitytable[Cost Per Dish Per Item])</f>
        <v>55.199999999999996</v>
      </c>
      <c r="J191" s="18" t="s">
        <v>502</v>
      </c>
    </row>
    <row r="192" spans="2:10" x14ac:dyDescent="0.25">
      <c r="B192" s="13" t="s">
        <v>135</v>
      </c>
      <c r="C192" s="13" t="s">
        <v>478</v>
      </c>
      <c r="D192" s="13">
        <v>2</v>
      </c>
      <c r="E192" s="3">
        <f>IF(Quantitytable[[#This Row],[Units]]=0,0,SUMIFS(Quantitytable[NeededQuantity],Quantitytable[Dish],Quantitytable[[#This Row],[Dish]],Quantitytable[[Ingredient ]],Quantitytable[[#This Row],[Ingredient ]]))</f>
        <v>0</v>
      </c>
      <c r="F192" s="3">
        <f>SUMIFS(salestable[Quantity Sold],salestable[Item Name],Quantitytable[[#This Row],[Dish]])</f>
        <v>0</v>
      </c>
      <c r="G192" s="3">
        <f>'Quantity Table'!$E192*'Quantity Table'!$F192</f>
        <v>0</v>
      </c>
      <c r="H192" s="3">
        <f>_xlfn.IFNA(VLOOKUP(Quantitytable[[#This Row],[Ingredient ]],Shoppingtable[[Item Name]:[BALANCE Cash]],5,FALSE),0)*Quantitytable[[#This Row],[NeededQuantity]]</f>
        <v>0.5</v>
      </c>
      <c r="I192" s="3">
        <f>SUMIF(Quantitytable[Dish],Quantitytable[[#This Row],[Dish]],Quantitytable[Cost Per Dish Per Item])</f>
        <v>38.879940237092192</v>
      </c>
      <c r="J192" s="18" t="s">
        <v>502</v>
      </c>
    </row>
    <row r="193" spans="2:10" x14ac:dyDescent="0.25">
      <c r="B193" s="13" t="s">
        <v>135</v>
      </c>
      <c r="C193" s="13" t="s">
        <v>418</v>
      </c>
      <c r="D193" s="13">
        <v>5</v>
      </c>
      <c r="E193" s="3">
        <f>IF(Quantitytable[[#This Row],[Units]]=0,0,SUMIFS(Quantitytable[NeededQuantity],Quantitytable[Dish],Quantitytable[[#This Row],[Dish]],Quantitytable[[Ingredient ]],Quantitytable[[#This Row],[Ingredient ]]))</f>
        <v>0</v>
      </c>
      <c r="F193" s="3">
        <f>SUMIFS(salestable[Quantity Sold],salestable[Item Name],Quantitytable[[#This Row],[Dish]])</f>
        <v>0</v>
      </c>
      <c r="G193" s="3">
        <f>'Quantity Table'!$E193*'Quantity Table'!$F193</f>
        <v>0</v>
      </c>
      <c r="H193" s="3">
        <f>_xlfn.IFNA(VLOOKUP(Quantitytable[[#This Row],[Ingredient ]],Shoppingtable[[Item Name]:[BALANCE Cash]],5,FALSE),0)*Quantitytable[[#This Row],[NeededQuantity]]</f>
        <v>0.75</v>
      </c>
      <c r="I193" s="3">
        <f>SUMIF(Quantitytable[Dish],Quantitytable[[#This Row],[Dish]],Quantitytable[Cost Per Dish Per Item])</f>
        <v>38.879940237092192</v>
      </c>
      <c r="J193" s="18" t="s">
        <v>502</v>
      </c>
    </row>
    <row r="194" spans="2:10" x14ac:dyDescent="0.25">
      <c r="B194" s="13" t="s">
        <v>135</v>
      </c>
      <c r="C194" s="13" t="s">
        <v>472</v>
      </c>
      <c r="D194" s="13">
        <v>8</v>
      </c>
      <c r="E194" s="3">
        <f>IF(Quantitytable[[#This Row],[Units]]=0,0,SUMIFS(Quantitytable[NeededQuantity],Quantitytable[Dish],Quantitytable[[#This Row],[Dish]],Quantitytable[[Ingredient ]],Quantitytable[[#This Row],[Ingredient ]]))</f>
        <v>0</v>
      </c>
      <c r="F194" s="3">
        <f>SUMIFS(salestable[Quantity Sold],salestable[Item Name],Quantitytable[[#This Row],[Dish]])</f>
        <v>0</v>
      </c>
      <c r="G194" s="3">
        <f>'Quantity Table'!$E194*'Quantity Table'!$F194</f>
        <v>0</v>
      </c>
      <c r="H194" s="3">
        <f>_xlfn.IFNA(VLOOKUP(Quantitytable[[#This Row],[Ingredient ]],Shoppingtable[[Item Name]:[BALANCE Cash]],5,FALSE),0)*Quantitytable[[#This Row],[NeededQuantity]]</f>
        <v>0.92485549132947975</v>
      </c>
      <c r="I194" s="3">
        <f>SUMIF(Quantitytable[Dish],Quantitytable[[#This Row],[Dish]],Quantitytable[Cost Per Dish Per Item])</f>
        <v>38.879940237092192</v>
      </c>
      <c r="J194" s="18" t="s">
        <v>502</v>
      </c>
    </row>
    <row r="195" spans="2:10" x14ac:dyDescent="0.25">
      <c r="B195" s="13" t="s">
        <v>135</v>
      </c>
      <c r="C195" s="13" t="s">
        <v>413</v>
      </c>
      <c r="D195" s="13">
        <v>25</v>
      </c>
      <c r="E195" s="3">
        <f>IF(Quantitytable[[#This Row],[Units]]=0,0,SUMIFS(Quantitytable[NeededQuantity],Quantitytable[Dish],Quantitytable[[#This Row],[Dish]],Quantitytable[[Ingredient ]],Quantitytable[[#This Row],[Ingredient ]]))</f>
        <v>0</v>
      </c>
      <c r="F195" s="3">
        <f>SUMIFS(salestable[Quantity Sold],salestable[Item Name],Quantitytable[[#This Row],[Dish]])</f>
        <v>0</v>
      </c>
      <c r="G195" s="3">
        <f>'Quantity Table'!$E195*'Quantity Table'!$F195</f>
        <v>0</v>
      </c>
      <c r="H195" s="3">
        <f>_xlfn.IFNA(VLOOKUP(Quantitytable[[#This Row],[Ingredient ]],Shoppingtable[[Item Name]:[BALANCE Cash]],5,FALSE),0)*Quantitytable[[#This Row],[NeededQuantity]]</f>
        <v>3.65</v>
      </c>
      <c r="I195" s="3">
        <f>SUMIF(Quantitytable[Dish],Quantitytable[[#This Row],[Dish]],Quantitytable[Cost Per Dish Per Item])</f>
        <v>38.879940237092192</v>
      </c>
      <c r="J195" s="18" t="s">
        <v>502</v>
      </c>
    </row>
    <row r="196" spans="2:10" x14ac:dyDescent="0.25">
      <c r="B196" s="13" t="s">
        <v>135</v>
      </c>
      <c r="C196" s="13" t="s">
        <v>482</v>
      </c>
      <c r="D196" s="13">
        <v>70</v>
      </c>
      <c r="E196" s="3">
        <f>IF(Quantitytable[[#This Row],[Units]]=0,0,SUMIFS(Quantitytable[NeededQuantity],Quantitytable[Dish],Quantitytable[[#This Row],[Dish]],Quantitytable[[Ingredient ]],Quantitytable[[#This Row],[Ingredient ]]))</f>
        <v>0</v>
      </c>
      <c r="F196" s="3">
        <f>SUMIFS(salestable[Quantity Sold],salestable[Item Name],Quantitytable[[#This Row],[Dish]])</f>
        <v>0</v>
      </c>
      <c r="G196" s="3">
        <f>'Quantity Table'!$E196*'Quantity Table'!$F196</f>
        <v>0</v>
      </c>
      <c r="H196" s="3">
        <f>_xlfn.IFNA(VLOOKUP(Quantitytable[[#This Row],[Ingredient ]],Shoppingtable[[Item Name]:[BALANCE Cash]],5,FALSE),0)*Quantitytable[[#This Row],[NeededQuantity]]</f>
        <v>17.055084745762713</v>
      </c>
      <c r="I196" s="3">
        <f>SUMIF(Quantitytable[Dish],Quantitytable[[#This Row],[Dish]],Quantitytable[Cost Per Dish Per Item])</f>
        <v>38.879940237092192</v>
      </c>
      <c r="J196" s="18" t="s">
        <v>502</v>
      </c>
    </row>
    <row r="197" spans="2:10" x14ac:dyDescent="0.25">
      <c r="B197" s="13" t="s">
        <v>135</v>
      </c>
      <c r="C197" s="13" t="s">
        <v>33</v>
      </c>
      <c r="D197" s="13">
        <v>120</v>
      </c>
      <c r="E197" s="3">
        <f>IF(Quantitytable[[#This Row],[Units]]=0,0,SUMIFS(Quantitytable[NeededQuantity],Quantitytable[Dish],Quantitytable[[#This Row],[Dish]],Quantitytable[[Ingredient ]],Quantitytable[[#This Row],[Ingredient ]]))</f>
        <v>0</v>
      </c>
      <c r="F197" s="3">
        <f>SUMIFS(salestable[Quantity Sold],salestable[Item Name],Quantitytable[[#This Row],[Dish]])</f>
        <v>0</v>
      </c>
      <c r="G197" s="3">
        <f>'Quantity Table'!$E197*'Quantity Table'!$F197</f>
        <v>0</v>
      </c>
      <c r="H197" s="3">
        <f>_xlfn.IFNA(VLOOKUP(Quantitytable[[#This Row],[Ingredient ]],Shoppingtable[[Item Name]:[BALANCE Cash]],5,FALSE),0)*Quantitytable[[#This Row],[NeededQuantity]]</f>
        <v>16</v>
      </c>
      <c r="I197" s="3">
        <f>SUMIF(Quantitytable[Dish],Quantitytable[[#This Row],[Dish]],Quantitytable[Cost Per Dish Per Item])</f>
        <v>38.879940237092192</v>
      </c>
      <c r="J197" s="18" t="s">
        <v>502</v>
      </c>
    </row>
    <row r="198" spans="2:10" x14ac:dyDescent="0.25">
      <c r="B198" s="13" t="s">
        <v>430</v>
      </c>
      <c r="C198" s="13" t="s">
        <v>401</v>
      </c>
      <c r="D198" s="13">
        <v>3</v>
      </c>
      <c r="E198" s="3">
        <f>IF(Quantitytable[[#This Row],[Units]]=0,0,SUMIFS(Quantitytable[NeededQuantity],Quantitytable[Dish],Quantitytable[[#This Row],[Dish]],Quantitytable[[Ingredient ]],Quantitytable[[#This Row],[Ingredient ]]))</f>
        <v>0</v>
      </c>
      <c r="F198" s="3">
        <f>SUMIFS(salestable[Quantity Sold],salestable[Item Name],Quantitytable[[#This Row],[Dish]])</f>
        <v>0</v>
      </c>
      <c r="G198" s="3">
        <f>'Quantity Table'!$E198*'Quantity Table'!$F198</f>
        <v>0</v>
      </c>
      <c r="H198" s="3">
        <f>_xlfn.IFNA(VLOOKUP(Quantitytable[[#This Row],[Ingredient ]],Shoppingtable[[Item Name]:[BALANCE Cash]],5,FALSE),0)*Quantitytable[[#This Row],[NeededQuantity]]</f>
        <v>0.78947368421052633</v>
      </c>
      <c r="I198" s="3">
        <f>SUMIF(Quantitytable[Dish],Quantitytable[[#This Row],[Dish]],Quantitytable[Cost Per Dish Per Item])</f>
        <v>31.810000991178512</v>
      </c>
      <c r="J198" s="18" t="s">
        <v>502</v>
      </c>
    </row>
    <row r="199" spans="2:10" x14ac:dyDescent="0.25">
      <c r="B199" s="13" t="s">
        <v>430</v>
      </c>
      <c r="C199" s="13" t="s">
        <v>508</v>
      </c>
      <c r="D199" s="13">
        <v>5</v>
      </c>
      <c r="E199" s="3">
        <f>IF(Quantitytable[[#This Row],[Units]]=0,0,SUMIFS(Quantitytable[NeededQuantity],Quantitytable[Dish],Quantitytable[[#This Row],[Dish]],Quantitytable[[Ingredient ]],Quantitytable[[#This Row],[Ingredient ]]))</f>
        <v>0</v>
      </c>
      <c r="F199" s="3">
        <f>SUMIFS(salestable[Quantity Sold],salestable[Item Name],Quantitytable[[#This Row],[Dish]])</f>
        <v>0</v>
      </c>
      <c r="G199" s="3">
        <f>'Quantity Table'!$E199*'Quantity Table'!$F199</f>
        <v>0</v>
      </c>
      <c r="H199" s="3">
        <f>_xlfn.IFNA(VLOOKUP(Quantitytable[[#This Row],[Ingredient ]],Shoppingtable[[Item Name]:[BALANCE Cash]],5,FALSE),0)*Quantitytable[[#This Row],[NeededQuantity]]</f>
        <v>1.5555555555555556</v>
      </c>
      <c r="I199" s="3">
        <f>SUMIF(Quantitytable[Dish],Quantitytable[[#This Row],[Dish]],Quantitytable[Cost Per Dish Per Item])</f>
        <v>31.810000991178512</v>
      </c>
      <c r="J199" s="18" t="s">
        <v>502</v>
      </c>
    </row>
    <row r="200" spans="2:10" x14ac:dyDescent="0.25">
      <c r="B200" s="13" t="s">
        <v>430</v>
      </c>
      <c r="C200" s="13" t="s">
        <v>507</v>
      </c>
      <c r="D200" s="13">
        <v>5</v>
      </c>
      <c r="E200" s="3">
        <f>IF(Quantitytable[[#This Row],[Units]]=0,0,SUMIFS(Quantitytable[NeededQuantity],Quantitytable[Dish],Quantitytable[[#This Row],[Dish]],Quantitytable[[Ingredient ]],Quantitytable[[#This Row],[Ingredient ]]))</f>
        <v>0</v>
      </c>
      <c r="F200" s="3">
        <f>SUMIFS(salestable[Quantity Sold],salestable[Item Name],Quantitytable[[#This Row],[Dish]])</f>
        <v>0</v>
      </c>
      <c r="G200" s="3">
        <f>'Quantity Table'!$E200*'Quantity Table'!$F200</f>
        <v>0</v>
      </c>
      <c r="H200" s="3">
        <f>_xlfn.IFNA(VLOOKUP(Quantitytable[[#This Row],[Ingredient ]],Shoppingtable[[Item Name]:[BALANCE Cash]],5,FALSE),0)*Quantitytable[[#This Row],[NeededQuantity]]</f>
        <v>0.56497175141242939</v>
      </c>
      <c r="I200" s="3">
        <f>SUMIF(Quantitytable[Dish],Quantitytable[[#This Row],[Dish]],Quantitytable[Cost Per Dish Per Item])</f>
        <v>31.810000991178512</v>
      </c>
      <c r="J200" s="18" t="s">
        <v>502</v>
      </c>
    </row>
    <row r="201" spans="2:10" x14ac:dyDescent="0.25">
      <c r="B201" s="13" t="s">
        <v>430</v>
      </c>
      <c r="C201" s="13" t="s">
        <v>418</v>
      </c>
      <c r="D201" s="13">
        <v>10</v>
      </c>
      <c r="E201" s="3">
        <f>IF(Quantitytable[[#This Row],[Units]]=0,0,SUMIFS(Quantitytable[NeededQuantity],Quantitytable[Dish],Quantitytable[[#This Row],[Dish]],Quantitytable[[Ingredient ]],Quantitytable[[#This Row],[Ingredient ]]))</f>
        <v>0</v>
      </c>
      <c r="F201" s="3">
        <f>SUMIFS(salestable[Quantity Sold],salestable[Item Name],Quantitytable[[#This Row],[Dish]])</f>
        <v>0</v>
      </c>
      <c r="G201" s="3">
        <f>'Quantity Table'!$E201*'Quantity Table'!$F201</f>
        <v>0</v>
      </c>
      <c r="H201" s="3">
        <f>_xlfn.IFNA(VLOOKUP(Quantitytable[[#This Row],[Ingredient ]],Shoppingtable[[Item Name]:[BALANCE Cash]],5,FALSE),0)*Quantitytable[[#This Row],[NeededQuantity]]</f>
        <v>1.5</v>
      </c>
      <c r="I201" s="3">
        <f>SUMIF(Quantitytable[Dish],Quantitytable[[#This Row],[Dish]],Quantitytable[Cost Per Dish Per Item])</f>
        <v>31.810000991178512</v>
      </c>
      <c r="J201" s="18" t="s">
        <v>502</v>
      </c>
    </row>
    <row r="202" spans="2:10" x14ac:dyDescent="0.25">
      <c r="B202" s="13" t="s">
        <v>430</v>
      </c>
      <c r="C202" s="13" t="s">
        <v>496</v>
      </c>
      <c r="D202" s="13">
        <v>100</v>
      </c>
      <c r="E202" s="3">
        <f>IF(Quantitytable[[#This Row],[Units]]=0,0,SUMIFS(Quantitytable[NeededQuantity],Quantitytable[Dish],Quantitytable[[#This Row],[Dish]],Quantitytable[[Ingredient ]],Quantitytable[[#This Row],[Ingredient ]]))</f>
        <v>0</v>
      </c>
      <c r="F202" s="3">
        <f>SUMIFS(salestable[Quantity Sold],salestable[Item Name],Quantitytable[[#This Row],[Dish]])</f>
        <v>0</v>
      </c>
      <c r="G202" s="3">
        <f>'Quantity Table'!$E202*'Quantity Table'!$F202</f>
        <v>0</v>
      </c>
      <c r="H202" s="3">
        <f>_xlfn.IFNA(VLOOKUP(Quantitytable[[#This Row],[Ingredient ]],Shoppingtable[[Item Name]:[BALANCE Cash]],5,FALSE),0)*Quantitytable[[#This Row],[NeededQuantity]]</f>
        <v>7.3999999999999995</v>
      </c>
      <c r="I202" s="3">
        <f>SUMIF(Quantitytable[Dish],Quantitytable[[#This Row],[Dish]],Quantitytable[Cost Per Dish Per Item])</f>
        <v>31.810000991178512</v>
      </c>
      <c r="J202" s="18" t="s">
        <v>502</v>
      </c>
    </row>
    <row r="203" spans="2:10" x14ac:dyDescent="0.25">
      <c r="B203" s="13" t="s">
        <v>430</v>
      </c>
      <c r="C203" s="13" t="s">
        <v>424</v>
      </c>
      <c r="D203" s="13">
        <v>150</v>
      </c>
      <c r="E203" s="3">
        <f>IF(Quantitytable[[#This Row],[Units]]=0,0,SUMIFS(Quantitytable[NeededQuantity],Quantitytable[Dish],Quantitytable[[#This Row],[Dish]],Quantitytable[[Ingredient ]],Quantitytable[[#This Row],[Ingredient ]]))</f>
        <v>0</v>
      </c>
      <c r="F203" s="3">
        <f>SUMIFS(salestable[Quantity Sold],salestable[Item Name],Quantitytable[[#This Row],[Dish]])</f>
        <v>0</v>
      </c>
      <c r="G203" s="3">
        <f>'Quantity Table'!$E203*'Quantity Table'!$F203</f>
        <v>0</v>
      </c>
      <c r="H203" s="3">
        <f>_xlfn.IFNA(VLOOKUP(Quantitytable[[#This Row],[Ingredient ]],Shoppingtable[[Item Name]:[BALANCE Cash]],5,FALSE),0)*Quantitytable[[#This Row],[NeededQuantity]]</f>
        <v>20</v>
      </c>
      <c r="I203" s="3">
        <f>SUMIF(Quantitytable[Dish],Quantitytable[[#This Row],[Dish]],Quantitytable[Cost Per Dish Per Item])</f>
        <v>31.810000991178512</v>
      </c>
      <c r="J203" s="18" t="s">
        <v>502</v>
      </c>
    </row>
    <row r="204" spans="2:10" x14ac:dyDescent="0.25">
      <c r="B204" s="13" t="s">
        <v>144</v>
      </c>
      <c r="C204" s="13" t="s">
        <v>36</v>
      </c>
      <c r="D204" s="13">
        <v>5</v>
      </c>
      <c r="E204" s="3">
        <f>IF(Quantitytable[[#This Row],[Units]]=0,0,SUMIFS(Quantitytable[NeededQuantity],Quantitytable[Dish],Quantitytable[[#This Row],[Dish]],Quantitytable[[Ingredient ]],Quantitytable[[#This Row],[Ingredient ]]))</f>
        <v>0</v>
      </c>
      <c r="F204" s="3">
        <f>SUMIFS(salestable[Quantity Sold],salestable[Item Name],Quantitytable[[#This Row],[Dish]])</f>
        <v>0</v>
      </c>
      <c r="G204" s="3">
        <f>'Quantity Table'!$E204*'Quantity Table'!$F204</f>
        <v>0</v>
      </c>
      <c r="H204" s="3">
        <f>_xlfn.IFNA(VLOOKUP(Quantitytable[[#This Row],[Ingredient ]],Shoppingtable[[Item Name]:[BALANCE Cash]],5,FALSE),0)*Quantitytable[[#This Row],[NeededQuantity]]</f>
        <v>2.5</v>
      </c>
      <c r="I204" s="3">
        <f>SUMIF(Quantitytable[Dish],Quantitytable[[#This Row],[Dish]],Quantitytable[Cost Per Dish Per Item])</f>
        <v>16.299999999999997</v>
      </c>
      <c r="J204" s="18" t="s">
        <v>502</v>
      </c>
    </row>
    <row r="205" spans="2:10" x14ac:dyDescent="0.25">
      <c r="B205" s="13" t="s">
        <v>144</v>
      </c>
      <c r="C205" s="13" t="s">
        <v>102</v>
      </c>
      <c r="D205" s="13">
        <v>10</v>
      </c>
      <c r="E205" s="3">
        <f>IF(Quantitytable[[#This Row],[Units]]=0,0,SUMIFS(Quantitytable[NeededQuantity],Quantitytable[Dish],Quantitytable[[#This Row],[Dish]],Quantitytable[[Ingredient ]],Quantitytable[[#This Row],[Ingredient ]]))</f>
        <v>0</v>
      </c>
      <c r="F205" s="3">
        <f>SUMIFS(salestable[Quantity Sold],salestable[Item Name],Quantitytable[[#This Row],[Dish]])</f>
        <v>0</v>
      </c>
      <c r="G205" s="3">
        <f>'Quantity Table'!$E205*'Quantity Table'!$F205</f>
        <v>0</v>
      </c>
      <c r="H205" s="3">
        <f>_xlfn.IFNA(VLOOKUP(Quantitytable[[#This Row],[Ingredient ]],Shoppingtable[[Item Name]:[BALANCE Cash]],5,FALSE),0)*Quantitytable[[#This Row],[NeededQuantity]]</f>
        <v>0.5</v>
      </c>
      <c r="I205" s="3">
        <f>SUMIF(Quantitytable[Dish],Quantitytable[[#This Row],[Dish]],Quantitytable[Cost Per Dish Per Item])</f>
        <v>16.299999999999997</v>
      </c>
      <c r="J205" s="18" t="s">
        <v>502</v>
      </c>
    </row>
    <row r="206" spans="2:10" x14ac:dyDescent="0.25">
      <c r="B206" s="13" t="s">
        <v>144</v>
      </c>
      <c r="C206" s="13" t="s">
        <v>67</v>
      </c>
      <c r="D206" s="13">
        <v>175</v>
      </c>
      <c r="E206" s="3">
        <f>IF(Quantitytable[[#This Row],[Units]]=0,0,SUMIFS(Quantitytable[NeededQuantity],Quantitytable[Dish],Quantitytable[[#This Row],[Dish]],Quantitytable[[Ingredient ]],Quantitytable[[#This Row],[Ingredient ]]))</f>
        <v>0</v>
      </c>
      <c r="F206" s="3">
        <f>SUMIFS(salestable[Quantity Sold],salestable[Item Name],Quantitytable[[#This Row],[Dish]])</f>
        <v>0</v>
      </c>
      <c r="G206" s="3">
        <f>'Quantity Table'!$E206*'Quantity Table'!$F206</f>
        <v>0</v>
      </c>
      <c r="H206" s="3">
        <f>_xlfn.IFNA(VLOOKUP(Quantitytable[[#This Row],[Ingredient ]],Shoppingtable[[Item Name]:[BALANCE Cash]],5,FALSE),0)*Quantitytable[[#This Row],[NeededQuantity]]</f>
        <v>13.299999999999999</v>
      </c>
      <c r="I206" s="3">
        <f>SUMIF(Quantitytable[Dish],Quantitytable[[#This Row],[Dish]],Quantitytable[Cost Per Dish Per Item])</f>
        <v>16.299999999999997</v>
      </c>
      <c r="J206" s="18" t="s">
        <v>502</v>
      </c>
    </row>
    <row r="207" spans="2:10" x14ac:dyDescent="0.25">
      <c r="B207" s="13" t="s">
        <v>581</v>
      </c>
      <c r="C207" s="13" t="s">
        <v>496</v>
      </c>
      <c r="D207" s="13">
        <v>300</v>
      </c>
      <c r="E207" s="3">
        <f>IF(Quantitytable[[#This Row],[Units]]=0,0,SUMIFS(Quantitytable[NeededQuantity],Quantitytable[Dish],Quantitytable[[#This Row],[Dish]],Quantitytable[[Ingredient ]],Quantitytable[[#This Row],[Ingredient ]]))</f>
        <v>0</v>
      </c>
      <c r="F207" s="3">
        <f>SUMIFS(salestable[Quantity Sold],salestable[Item Name],Quantitytable[[#This Row],[Dish]])</f>
        <v>0</v>
      </c>
      <c r="G207" s="3">
        <f>'Quantity Table'!$E207*'Quantity Table'!$F207</f>
        <v>0</v>
      </c>
      <c r="H207" s="3">
        <f>_xlfn.IFNA(VLOOKUP(Quantitytable[[#This Row],[Ingredient ]],Shoppingtable[[Item Name]:[BALANCE Cash]],5,FALSE),0)*Quantitytable[[#This Row],[NeededQuantity]]</f>
        <v>22.2</v>
      </c>
      <c r="I207" s="3">
        <f>SUMIF(Quantitytable[Dish],Quantitytable[[#This Row],[Dish]],Quantitytable[Cost Per Dish Per Item])</f>
        <v>44.4</v>
      </c>
      <c r="J207" s="18" t="s">
        <v>502</v>
      </c>
    </row>
    <row r="208" spans="2:10" x14ac:dyDescent="0.25">
      <c r="B208" s="13" t="s">
        <v>581</v>
      </c>
      <c r="C208" s="13" t="s">
        <v>496</v>
      </c>
      <c r="D208" s="13">
        <v>300</v>
      </c>
      <c r="E208" s="3">
        <f>IF(Quantitytable[[#This Row],[Units]]=0,0,SUMIFS(Quantitytable[NeededQuantity],Quantitytable[Dish],Quantitytable[[#This Row],[Dish]],Quantitytable[[Ingredient ]],Quantitytable[[#This Row],[Ingredient ]]))</f>
        <v>0</v>
      </c>
      <c r="F208" s="3">
        <f>SUMIFS(salestable[Quantity Sold],salestable[Item Name],Quantitytable[[#This Row],[Dish]])</f>
        <v>0</v>
      </c>
      <c r="G208" s="3">
        <f>'Quantity Table'!$E208*'Quantity Table'!$F208</f>
        <v>0</v>
      </c>
      <c r="H208" s="3">
        <f>_xlfn.IFNA(VLOOKUP(Quantitytable[[#This Row],[Ingredient ]],Shoppingtable[[Item Name]:[BALANCE Cash]],5,FALSE),0)*Quantitytable[[#This Row],[NeededQuantity]]</f>
        <v>22.2</v>
      </c>
      <c r="I208" s="3">
        <f>SUMIF(Quantitytable[Dish],Quantitytable[[#This Row],[Dish]],Quantitytable[Cost Per Dish Per Item])</f>
        <v>44.4</v>
      </c>
      <c r="J208" s="18" t="s">
        <v>502</v>
      </c>
    </row>
    <row r="209" spans="2:10" x14ac:dyDescent="0.25">
      <c r="B209" s="13" t="s">
        <v>158</v>
      </c>
      <c r="C209" s="13" t="s">
        <v>478</v>
      </c>
      <c r="D209" s="13">
        <v>2</v>
      </c>
      <c r="E209" s="3">
        <f>IF(Quantitytable[[#This Row],[Units]]=0,0,SUMIFS(Quantitytable[NeededQuantity],Quantitytable[Dish],Quantitytable[[#This Row],[Dish]],Quantitytable[[Ingredient ]],Quantitytable[[#This Row],[Ingredient ]]))</f>
        <v>0</v>
      </c>
      <c r="F209" s="3">
        <f>SUMIFS(salestable[Quantity Sold],salestable[Item Name],Quantitytable[[#This Row],[Dish]])</f>
        <v>0</v>
      </c>
      <c r="G209" s="3">
        <f>'Quantity Table'!$E209*'Quantity Table'!$F209</f>
        <v>0</v>
      </c>
      <c r="H209" s="3">
        <f>_xlfn.IFNA(VLOOKUP(Quantitytable[[#This Row],[Ingredient ]],Shoppingtable[[Item Name]:[BALANCE Cash]],5,FALSE),0)*Quantitytable[[#This Row],[NeededQuantity]]</f>
        <v>0.5</v>
      </c>
      <c r="I209" s="3">
        <f>SUMIF(Quantitytable[Dish],Quantitytable[[#This Row],[Dish]],Quantitytable[Cost Per Dish Per Item])</f>
        <v>17.808182809360328</v>
      </c>
      <c r="J209" s="18" t="s">
        <v>502</v>
      </c>
    </row>
    <row r="210" spans="2:10" x14ac:dyDescent="0.25">
      <c r="B210" s="13" t="s">
        <v>158</v>
      </c>
      <c r="C210" s="13" t="s">
        <v>49</v>
      </c>
      <c r="D210" s="13">
        <v>3</v>
      </c>
      <c r="E210" s="3">
        <f>IF(Quantitytable[[#This Row],[Units]]=0,0,SUMIFS(Quantitytable[NeededQuantity],Quantitytable[Dish],Quantitytable[[#This Row],[Dish]],Quantitytable[[Ingredient ]],Quantitytable[[#This Row],[Ingredient ]]))</f>
        <v>0</v>
      </c>
      <c r="F210" s="3">
        <f>SUMIFS(salestable[Quantity Sold],salestable[Item Name],Quantitytable[[#This Row],[Dish]])</f>
        <v>0</v>
      </c>
      <c r="G210" s="3">
        <f>'Quantity Table'!$E210*'Quantity Table'!$F210</f>
        <v>0</v>
      </c>
      <c r="H210" s="3">
        <f>_xlfn.IFNA(VLOOKUP(Quantitytable[[#This Row],[Ingredient ]],Shoppingtable[[Item Name]:[BALANCE Cash]],5,FALSE),0)*Quantitytable[[#This Row],[NeededQuantity]]</f>
        <v>0.78947368421052633</v>
      </c>
      <c r="I210" s="3">
        <f>SUMIF(Quantitytable[Dish],Quantitytable[[#This Row],[Dish]],Quantitytable[Cost Per Dish Per Item])</f>
        <v>17.808182809360328</v>
      </c>
      <c r="J210" s="18" t="s">
        <v>502</v>
      </c>
    </row>
    <row r="211" spans="2:10" x14ac:dyDescent="0.25">
      <c r="B211" s="13" t="s">
        <v>158</v>
      </c>
      <c r="C211" s="13" t="s">
        <v>508</v>
      </c>
      <c r="D211" s="13">
        <v>5</v>
      </c>
      <c r="E211" s="3">
        <f>IF(Quantitytable[[#This Row],[Units]]=0,0,SUMIFS(Quantitytable[NeededQuantity],Quantitytable[Dish],Quantitytable[[#This Row],[Dish]],Quantitytable[[Ingredient ]],Quantitytable[[#This Row],[Ingredient ]]))</f>
        <v>0</v>
      </c>
      <c r="F211" s="3">
        <f>SUMIFS(salestable[Quantity Sold],salestable[Item Name],Quantitytable[[#This Row],[Dish]])</f>
        <v>0</v>
      </c>
      <c r="G211" s="3">
        <f>'Quantity Table'!$E211*'Quantity Table'!$F211</f>
        <v>0</v>
      </c>
      <c r="H211" s="3">
        <f>_xlfn.IFNA(VLOOKUP(Quantitytable[[#This Row],[Ingredient ]],Shoppingtable[[Item Name]:[BALANCE Cash]],5,FALSE),0)*Quantitytable[[#This Row],[NeededQuantity]]</f>
        <v>1.5555555555555556</v>
      </c>
      <c r="I211" s="3">
        <f>SUMIF(Quantitytable[Dish],Quantitytable[[#This Row],[Dish]],Quantitytable[Cost Per Dish Per Item])</f>
        <v>17.808182809360328</v>
      </c>
      <c r="J211" s="18" t="s">
        <v>502</v>
      </c>
    </row>
    <row r="212" spans="2:10" x14ac:dyDescent="0.25">
      <c r="B212" s="13" t="s">
        <v>158</v>
      </c>
      <c r="C212" s="13" t="s">
        <v>418</v>
      </c>
      <c r="D212" s="13">
        <v>5</v>
      </c>
      <c r="E212" s="3">
        <f>IF(Quantitytable[[#This Row],[Units]]=0,0,SUMIFS(Quantitytable[NeededQuantity],Quantitytable[Dish],Quantitytable[[#This Row],[Dish]],Quantitytable[[Ingredient ]],Quantitytable[[#This Row],[Ingredient ]]))</f>
        <v>0</v>
      </c>
      <c r="F212" s="3">
        <f>SUMIFS(salestable[Quantity Sold],salestable[Item Name],Quantitytable[[#This Row],[Dish]])</f>
        <v>0</v>
      </c>
      <c r="G212" s="3">
        <f>'Quantity Table'!$E212*'Quantity Table'!$F212</f>
        <v>0</v>
      </c>
      <c r="H212" s="3">
        <f>_xlfn.IFNA(VLOOKUP(Quantitytable[[#This Row],[Ingredient ]],Shoppingtable[[Item Name]:[BALANCE Cash]],5,FALSE),0)*Quantitytable[[#This Row],[NeededQuantity]]</f>
        <v>0.75</v>
      </c>
      <c r="I212" s="3">
        <f>SUMIF(Quantitytable[Dish],Quantitytable[[#This Row],[Dish]],Quantitytable[Cost Per Dish Per Item])</f>
        <v>17.808182809360328</v>
      </c>
      <c r="J212" s="18" t="s">
        <v>502</v>
      </c>
    </row>
    <row r="213" spans="2:10" x14ac:dyDescent="0.25">
      <c r="B213" s="13" t="s">
        <v>158</v>
      </c>
      <c r="C213" s="13" t="s">
        <v>413</v>
      </c>
      <c r="D213" s="13">
        <v>5</v>
      </c>
      <c r="E213" s="3">
        <f>IF(Quantitytable[[#This Row],[Units]]=0,0,SUMIFS(Quantitytable[NeededQuantity],Quantitytable[Dish],Quantitytable[[#This Row],[Dish]],Quantitytable[[Ingredient ]],Quantitytable[[#This Row],[Ingredient ]]))</f>
        <v>0</v>
      </c>
      <c r="F213" s="3">
        <f>SUMIFS(salestable[Quantity Sold],salestable[Item Name],Quantitytable[[#This Row],[Dish]])</f>
        <v>0</v>
      </c>
      <c r="G213" s="3">
        <f>'Quantity Table'!$E213*'Quantity Table'!$F213</f>
        <v>0</v>
      </c>
      <c r="H213" s="3">
        <f>_xlfn.IFNA(VLOOKUP(Quantitytable[[#This Row],[Ingredient ]],Shoppingtable[[Item Name]:[BALANCE Cash]],5,FALSE),0)*Quantitytable[[#This Row],[NeededQuantity]]</f>
        <v>0.73</v>
      </c>
      <c r="I213" s="3">
        <f>SUMIF(Quantitytable[Dish],Quantitytable[[#This Row],[Dish]],Quantitytable[Cost Per Dish Per Item])</f>
        <v>17.808182809360328</v>
      </c>
      <c r="J213" s="18" t="s">
        <v>502</v>
      </c>
    </row>
    <row r="214" spans="2:10" x14ac:dyDescent="0.25">
      <c r="B214" s="13" t="s">
        <v>158</v>
      </c>
      <c r="C214" s="13" t="s">
        <v>419</v>
      </c>
      <c r="D214" s="13">
        <v>5</v>
      </c>
      <c r="E214" s="3">
        <f>IF(Quantitytable[[#This Row],[Units]]=0,0,SUMIFS(Quantitytable[NeededQuantity],Quantitytable[Dish],Quantitytable[[#This Row],[Dish]],Quantitytable[[Ingredient ]],Quantitytable[[#This Row],[Ingredient ]]))</f>
        <v>0</v>
      </c>
      <c r="F214" s="3">
        <f>SUMIFS(salestable[Quantity Sold],salestable[Item Name],Quantitytable[[#This Row],[Dish]])</f>
        <v>0</v>
      </c>
      <c r="G214" s="3">
        <f>'Quantity Table'!$E214*'Quantity Table'!$F214</f>
        <v>0</v>
      </c>
      <c r="H214" s="3">
        <f>_xlfn.IFNA(VLOOKUP(Quantitytable[[#This Row],[Ingredient ]],Shoppingtable[[Item Name]:[BALANCE Cash]],5,FALSE),0)*Quantitytable[[#This Row],[NeededQuantity]]</f>
        <v>0.56818181818181812</v>
      </c>
      <c r="I214" s="3">
        <f>SUMIF(Quantitytable[Dish],Quantitytable[[#This Row],[Dish]],Quantitytable[Cost Per Dish Per Item])</f>
        <v>17.808182809360328</v>
      </c>
      <c r="J214" s="18" t="s">
        <v>502</v>
      </c>
    </row>
    <row r="215" spans="2:10" x14ac:dyDescent="0.25">
      <c r="B215" s="13" t="s">
        <v>158</v>
      </c>
      <c r="C215" s="13" t="s">
        <v>507</v>
      </c>
      <c r="D215" s="13">
        <v>5</v>
      </c>
      <c r="E215" s="3">
        <f>IF(Quantitytable[[#This Row],[Units]]=0,0,SUMIFS(Quantitytable[NeededQuantity],Quantitytable[Dish],Quantitytable[[#This Row],[Dish]],Quantitytable[[Ingredient ]],Quantitytable[[#This Row],[Ingredient ]]))</f>
        <v>0</v>
      </c>
      <c r="F215" s="3">
        <f>SUMIFS(salestable[Quantity Sold],salestable[Item Name],Quantitytable[[#This Row],[Dish]])</f>
        <v>0</v>
      </c>
      <c r="G215" s="3">
        <f>'Quantity Table'!$E215*'Quantity Table'!$F215</f>
        <v>0</v>
      </c>
      <c r="H215" s="3">
        <f>_xlfn.IFNA(VLOOKUP(Quantitytable[[#This Row],[Ingredient ]],Shoppingtable[[Item Name]:[BALANCE Cash]],5,FALSE),0)*Quantitytable[[#This Row],[NeededQuantity]]</f>
        <v>0.56497175141242939</v>
      </c>
      <c r="I215" s="3">
        <f>SUMIF(Quantitytable[Dish],Quantitytable[[#This Row],[Dish]],Quantitytable[Cost Per Dish Per Item])</f>
        <v>17.808182809360328</v>
      </c>
      <c r="J215" s="18" t="s">
        <v>502</v>
      </c>
    </row>
    <row r="216" spans="2:10" x14ac:dyDescent="0.25">
      <c r="B216" s="13" t="s">
        <v>158</v>
      </c>
      <c r="C216" s="13" t="s">
        <v>560</v>
      </c>
      <c r="D216" s="13">
        <v>250</v>
      </c>
      <c r="E216" s="3">
        <f>IF(Quantitytable[[#This Row],[Units]]=0,0,SUMIFS(Quantitytable[NeededQuantity],Quantitytable[Dish],Quantitytable[[#This Row],[Dish]],Quantitytable[[Ingredient ]],Quantitytable[[#This Row],[Ingredient ]]))</f>
        <v>0</v>
      </c>
      <c r="F216" s="3">
        <f>SUMIFS(salestable[Quantity Sold],salestable[Item Name],Quantitytable[[#This Row],[Dish]])</f>
        <v>0</v>
      </c>
      <c r="G216" s="3">
        <f>'Quantity Table'!$E216*'Quantity Table'!$F216</f>
        <v>0</v>
      </c>
      <c r="H216" s="3">
        <f>_xlfn.IFNA(VLOOKUP(Quantitytable[[#This Row],[Ingredient ]],Shoppingtable[[Item Name]:[BALANCE Cash]],5,FALSE),0)*Quantitytable[[#This Row],[NeededQuantity]]</f>
        <v>5.55</v>
      </c>
      <c r="I216" s="3">
        <f>SUMIF(Quantitytable[Dish],Quantitytable[[#This Row],[Dish]],Quantitytable[Cost Per Dish Per Item])</f>
        <v>17.808182809360328</v>
      </c>
      <c r="J216" s="18" t="s">
        <v>502</v>
      </c>
    </row>
    <row r="217" spans="2:10" x14ac:dyDescent="0.25">
      <c r="B217" s="13" t="s">
        <v>158</v>
      </c>
      <c r="C217" s="13" t="s">
        <v>42</v>
      </c>
      <c r="D217" s="13">
        <v>100</v>
      </c>
      <c r="E217" s="3">
        <f>IF(Quantitytable[[#This Row],[Units]]=0,0,SUMIFS(Quantitytable[NeededQuantity],Quantitytable[Dish],Quantitytable[[#This Row],[Dish]],Quantitytable[[Ingredient ]],Quantitytable[[#This Row],[Ingredient ]]))</f>
        <v>0</v>
      </c>
      <c r="F217" s="3">
        <f>SUMIFS(salestable[Quantity Sold],salestable[Item Name],Quantitytable[[#This Row],[Dish]])</f>
        <v>0</v>
      </c>
      <c r="G217" s="3">
        <f>'Quantity Table'!$E217*'Quantity Table'!$F217</f>
        <v>0</v>
      </c>
      <c r="H217" s="3">
        <f>_xlfn.IFNA(VLOOKUP(Quantitytable[[#This Row],[Ingredient ]],Shoppingtable[[Item Name]:[BALANCE Cash]],5,FALSE),0)*Quantitytable[[#This Row],[NeededQuantity]]</f>
        <v>6.8000000000000007</v>
      </c>
      <c r="I217" s="3">
        <f>SUMIF(Quantitytable[Dish],Quantitytable[[#This Row],[Dish]],Quantitytable[Cost Per Dish Per Item])</f>
        <v>17.808182809360328</v>
      </c>
      <c r="J217" s="18" t="s">
        <v>502</v>
      </c>
    </row>
    <row r="218" spans="2:10" x14ac:dyDescent="0.25">
      <c r="B218" s="13" t="s">
        <v>120</v>
      </c>
      <c r="C218" s="13" t="s">
        <v>75</v>
      </c>
      <c r="D218" s="13">
        <v>20</v>
      </c>
      <c r="E218" s="3">
        <f>IF(Quantitytable[[#This Row],[Units]]=0,0,SUMIFS(Quantitytable[NeededQuantity],Quantitytable[Dish],Quantitytable[[#This Row],[Dish]],Quantitytable[[Ingredient ]],Quantitytable[[#This Row],[Ingredient ]]))</f>
        <v>0</v>
      </c>
      <c r="F218" s="3">
        <f>SUMIFS(salestable[Quantity Sold],salestable[Item Name],Quantitytable[[#This Row],[Dish]])</f>
        <v>0</v>
      </c>
      <c r="G218" s="3">
        <f>'Quantity Table'!$E218*'Quantity Table'!$F218</f>
        <v>0</v>
      </c>
      <c r="H218" s="3">
        <f>_xlfn.IFNA(VLOOKUP(Quantitytable[[#This Row],[Ingredient ]],Shoppingtable[[Item Name]:[BALANCE Cash]],5,FALSE),0)*Quantitytable[[#This Row],[NeededQuantity]]</f>
        <v>2.92</v>
      </c>
      <c r="I218" s="3">
        <f>SUMIF(Quantitytable[Dish],Quantitytable[[#This Row],[Dish]],Quantitytable[Cost Per Dish Per Item])</f>
        <v>15.911758241758243</v>
      </c>
      <c r="J218" s="18" t="s">
        <v>502</v>
      </c>
    </row>
    <row r="219" spans="2:10" x14ac:dyDescent="0.25">
      <c r="B219" s="13" t="s">
        <v>120</v>
      </c>
      <c r="C219" s="13" t="s">
        <v>577</v>
      </c>
      <c r="D219" s="13">
        <v>50</v>
      </c>
      <c r="E219" s="3">
        <f>IF(Quantitytable[[#This Row],[Units]]=0,0,SUMIFS(Quantitytable[NeededQuantity],Quantitytable[Dish],Quantitytable[[#This Row],[Dish]],Quantitytable[[Ingredient ]],Quantitytable[[#This Row],[Ingredient ]]))</f>
        <v>0</v>
      </c>
      <c r="F219" s="3">
        <f>SUMIFS(salestable[Quantity Sold],salestable[Item Name],Quantitytable[[#This Row],[Dish]])</f>
        <v>0</v>
      </c>
      <c r="G219" s="3">
        <f>'Quantity Table'!$E219*'Quantity Table'!$F219</f>
        <v>0</v>
      </c>
      <c r="H219" s="3">
        <f>_xlfn.IFNA(VLOOKUP(Quantitytable[[#This Row],[Ingredient ]],Shoppingtable[[Item Name]:[BALANCE Cash]],5,FALSE),0)*Quantitytable[[#This Row],[NeededQuantity]]</f>
        <v>2.8846153846153846</v>
      </c>
      <c r="I219" s="3">
        <f>SUMIF(Quantitytable[Dish],Quantitytable[[#This Row],[Dish]],Quantitytable[Cost Per Dish Per Item])</f>
        <v>15.911758241758243</v>
      </c>
      <c r="J219" s="18" t="s">
        <v>502</v>
      </c>
    </row>
    <row r="220" spans="2:10" x14ac:dyDescent="0.25">
      <c r="B220" s="13" t="s">
        <v>120</v>
      </c>
      <c r="C220" s="13" t="s">
        <v>576</v>
      </c>
      <c r="D220" s="13">
        <v>50</v>
      </c>
      <c r="E220" s="3">
        <f>IF(Quantitytable[[#This Row],[Units]]=0,0,SUMIFS(Quantitytable[NeededQuantity],Quantitytable[Dish],Quantitytable[[#This Row],[Dish]],Quantitytable[[Ingredient ]],Quantitytable[[#This Row],[Ingredient ]]))</f>
        <v>0</v>
      </c>
      <c r="F220" s="3">
        <f>SUMIFS(salestable[Quantity Sold],salestable[Item Name],Quantitytable[[#This Row],[Dish]])</f>
        <v>0</v>
      </c>
      <c r="G220" s="3">
        <f>'Quantity Table'!$E220*'Quantity Table'!$F220</f>
        <v>0</v>
      </c>
      <c r="H220" s="3">
        <f>_xlfn.IFNA(VLOOKUP(Quantitytable[[#This Row],[Ingredient ]],Shoppingtable[[Item Name]:[BALANCE Cash]],5,FALSE),0)*Quantitytable[[#This Row],[NeededQuantity]]</f>
        <v>2.9166666666666665</v>
      </c>
      <c r="I220" s="3">
        <f>SUMIF(Quantitytable[Dish],Quantitytable[[#This Row],[Dish]],Quantitytable[Cost Per Dish Per Item])</f>
        <v>15.911758241758243</v>
      </c>
      <c r="J220" s="18" t="s">
        <v>502</v>
      </c>
    </row>
    <row r="221" spans="2:10" x14ac:dyDescent="0.25">
      <c r="B221" s="13" t="s">
        <v>120</v>
      </c>
      <c r="C221" s="13" t="s">
        <v>98</v>
      </c>
      <c r="D221" s="13">
        <v>80</v>
      </c>
      <c r="E221" s="3">
        <f>IF(Quantitytable[[#This Row],[Units]]=0,0,SUMIFS(Quantitytable[NeededQuantity],Quantitytable[Dish],Quantitytable[[#This Row],[Dish]],Quantitytable[[Ingredient ]],Quantitytable[[#This Row],[Ingredient ]]))</f>
        <v>0</v>
      </c>
      <c r="F221" s="3">
        <f>SUMIFS(salestable[Quantity Sold],salestable[Item Name],Quantitytable[[#This Row],[Dish]])</f>
        <v>0</v>
      </c>
      <c r="G221" s="3">
        <f>'Quantity Table'!$E221*'Quantity Table'!$F221</f>
        <v>0</v>
      </c>
      <c r="H221" s="3">
        <f>_xlfn.IFNA(VLOOKUP(Quantitytable[[#This Row],[Ingredient ]],Shoppingtable[[Item Name]:[BALANCE Cash]],5,FALSE),0)*Quantitytable[[#This Row],[NeededQuantity]]</f>
        <v>4.3333333333333339</v>
      </c>
      <c r="I221" s="3">
        <f>SUMIF(Quantitytable[Dish],Quantitytable[[#This Row],[Dish]],Quantitytable[Cost Per Dish Per Item])</f>
        <v>15.911758241758243</v>
      </c>
      <c r="J221" s="18" t="s">
        <v>502</v>
      </c>
    </row>
    <row r="222" spans="2:10" x14ac:dyDescent="0.25">
      <c r="B222" s="13" t="s">
        <v>120</v>
      </c>
      <c r="C222" s="13" t="s">
        <v>44</v>
      </c>
      <c r="D222" s="13">
        <v>100</v>
      </c>
      <c r="E222" s="3">
        <f>IF(Quantitytable[[#This Row],[Units]]=0,0,SUMIFS(Quantitytable[NeededQuantity],Quantitytable[Dish],Quantitytable[[#This Row],[Dish]],Quantitytable[[Ingredient ]],Quantitytable[[#This Row],[Ingredient ]]))</f>
        <v>0</v>
      </c>
      <c r="F222" s="3">
        <f>SUMIFS(salestable[Quantity Sold],salestable[Item Name],Quantitytable[[#This Row],[Dish]])</f>
        <v>0</v>
      </c>
      <c r="G222" s="3">
        <f>'Quantity Table'!$E222*'Quantity Table'!$F222</f>
        <v>0</v>
      </c>
      <c r="H222" s="3">
        <f>_xlfn.IFNA(VLOOKUP(Quantitytable[[#This Row],[Ingredient ]],Shoppingtable[[Item Name]:[BALANCE Cash]],5,FALSE),0)*Quantitytable[[#This Row],[NeededQuantity]]</f>
        <v>2.8571428571428572</v>
      </c>
      <c r="I222" s="3">
        <f>SUMIF(Quantitytable[Dish],Quantitytable[[#This Row],[Dish]],Quantitytable[Cost Per Dish Per Item])</f>
        <v>15.911758241758243</v>
      </c>
      <c r="J222" s="18" t="s">
        <v>502</v>
      </c>
    </row>
    <row r="223" spans="2:10" x14ac:dyDescent="0.25">
      <c r="B223" s="13" t="s">
        <v>639</v>
      </c>
      <c r="C223" s="13" t="s">
        <v>75</v>
      </c>
      <c r="D223" s="13">
        <v>20</v>
      </c>
      <c r="E223" s="3">
        <f>IF(Quantitytable[[#This Row],[Units]]=0,0,SUMIFS(Quantitytable[NeededQuantity],Quantitytable[Dish],Quantitytable[[#This Row],[Dish]],Quantitytable[[Ingredient ]],Quantitytable[[#This Row],[Ingredient ]]))</f>
        <v>0</v>
      </c>
      <c r="F223" s="3">
        <f>SUMIFS(salestable[Quantity Sold],salestable[Item Name],Quantitytable[[#This Row],[Dish]])</f>
        <v>0</v>
      </c>
      <c r="G223" s="3">
        <f>'Quantity Table'!$E223*'Quantity Table'!$F223</f>
        <v>0</v>
      </c>
      <c r="H223" s="3">
        <f>_xlfn.IFNA(VLOOKUP(Quantitytable[[#This Row],[Ingredient ]],Shoppingtable[[Item Name]:[BALANCE Cash]],5,FALSE),0)*Quantitytable[[#This Row],[NeededQuantity]]</f>
        <v>2.92</v>
      </c>
      <c r="I223" s="3">
        <f>SUMIF(Quantitytable[Dish],Quantitytable[[#This Row],[Dish]],Quantitytable[Cost Per Dish Per Item])</f>
        <v>29.285714285714285</v>
      </c>
      <c r="J223" s="18" t="s">
        <v>502</v>
      </c>
    </row>
    <row r="224" spans="2:10" x14ac:dyDescent="0.25">
      <c r="B224" s="13" t="s">
        <v>639</v>
      </c>
      <c r="C224" s="13" t="s">
        <v>163</v>
      </c>
      <c r="D224" s="13">
        <v>100</v>
      </c>
      <c r="E224" s="3">
        <f>IF(Quantitytable[[#This Row],[Units]]=0,0,SUMIFS(Quantitytable[NeededQuantity],Quantitytable[Dish],Quantitytable[[#This Row],[Dish]],Quantitytable[[Ingredient ]],Quantitytable[[#This Row],[Ingredient ]]))</f>
        <v>0</v>
      </c>
      <c r="F224" s="3">
        <f>SUMIFS(salestable[Quantity Sold],salestable[Item Name],Quantitytable[[#This Row],[Dish]])</f>
        <v>0</v>
      </c>
      <c r="G224" s="3">
        <f>'Quantity Table'!$E224*'Quantity Table'!$F224</f>
        <v>0</v>
      </c>
      <c r="H224" s="3">
        <f>_xlfn.IFNA(VLOOKUP(Quantitytable[[#This Row],[Ingredient ]],Shoppingtable[[Item Name]:[BALANCE Cash]],5,FALSE),0)*Quantitytable[[#This Row],[NeededQuantity]]</f>
        <v>22.08</v>
      </c>
      <c r="I224" s="3">
        <f>SUMIF(Quantitytable[Dish],Quantitytable[[#This Row],[Dish]],Quantitytable[Cost Per Dish Per Item])</f>
        <v>29.285714285714285</v>
      </c>
      <c r="J224" s="18" t="s">
        <v>502</v>
      </c>
    </row>
    <row r="225" spans="2:10" x14ac:dyDescent="0.25">
      <c r="B225" s="13" t="s">
        <v>639</v>
      </c>
      <c r="C225" s="13" t="s">
        <v>44</v>
      </c>
      <c r="D225" s="13">
        <v>150</v>
      </c>
      <c r="E225" s="3">
        <f>IF(Quantitytable[[#This Row],[Units]]=0,0,SUMIFS(Quantitytable[NeededQuantity],Quantitytable[Dish],Quantitytable[[#This Row],[Dish]],Quantitytable[[Ingredient ]],Quantitytable[[#This Row],[Ingredient ]]))</f>
        <v>0</v>
      </c>
      <c r="F225" s="3">
        <f>SUMIFS(salestable[Quantity Sold],salestable[Item Name],Quantitytable[[#This Row],[Dish]])</f>
        <v>0</v>
      </c>
      <c r="G225" s="3">
        <f>'Quantity Table'!$E225*'Quantity Table'!$F225</f>
        <v>0</v>
      </c>
      <c r="H225" s="3">
        <f>_xlfn.IFNA(VLOOKUP(Quantitytable[[#This Row],[Ingredient ]],Shoppingtable[[Item Name]:[BALANCE Cash]],5,FALSE),0)*Quantitytable[[#This Row],[NeededQuantity]]</f>
        <v>4.2857142857142856</v>
      </c>
      <c r="I225" s="3">
        <f>SUMIF(Quantitytable[Dish],Quantitytable[[#This Row],[Dish]],Quantitytable[Cost Per Dish Per Item])</f>
        <v>29.285714285714285</v>
      </c>
      <c r="J225" s="18" t="s">
        <v>502</v>
      </c>
    </row>
    <row r="226" spans="2:10" x14ac:dyDescent="0.25">
      <c r="B226" s="13" t="s">
        <v>662</v>
      </c>
      <c r="C226" s="13" t="s">
        <v>75</v>
      </c>
      <c r="D226" s="13">
        <v>20</v>
      </c>
      <c r="E226" s="3">
        <f>IF(Quantitytable[[#This Row],[Units]]=0,0,SUMIFS(Quantitytable[NeededQuantity],Quantitytable[Dish],Quantitytable[[#This Row],[Dish]],Quantitytable[[Ingredient ]],Quantitytable[[#This Row],[Ingredient ]]))</f>
        <v>0</v>
      </c>
      <c r="F226" s="3">
        <f>SUMIFS(salestable[Quantity Sold],salestable[Item Name],Quantitytable[[#This Row],[Dish]])</f>
        <v>0</v>
      </c>
      <c r="G226" s="3">
        <f>'Quantity Table'!$E226*'Quantity Table'!$F226</f>
        <v>0</v>
      </c>
      <c r="H226" s="3">
        <f>_xlfn.IFNA(VLOOKUP(Quantitytable[[#This Row],[Ingredient ]],Shoppingtable[[Item Name]:[BALANCE Cash]],5,FALSE),0)*Quantitytable[[#This Row],[NeededQuantity]]</f>
        <v>2.92</v>
      </c>
      <c r="I226" s="3">
        <f>SUMIF(Quantitytable[Dish],Quantitytable[[#This Row],[Dish]],Quantitytable[Cost Per Dish Per Item])</f>
        <v>20.518214285714286</v>
      </c>
      <c r="J226" s="18" t="s">
        <v>502</v>
      </c>
    </row>
    <row r="227" spans="2:10" x14ac:dyDescent="0.25">
      <c r="B227" s="13" t="s">
        <v>662</v>
      </c>
      <c r="C227" s="13" t="s">
        <v>600</v>
      </c>
      <c r="D227" s="13">
        <v>150</v>
      </c>
      <c r="E227" s="3">
        <f>IF(Quantitytable[[#This Row],[Units]]=0,0,SUMIFS(Quantitytable[NeededQuantity],Quantitytable[Dish],Quantitytable[[#This Row],[Dish]],Quantitytable[[Ingredient ]],Quantitytable[[#This Row],[Ingredient ]]))</f>
        <v>0</v>
      </c>
      <c r="F227" s="3">
        <f>SUMIFS(salestable[Quantity Sold],salestable[Item Name],Quantitytable[[#This Row],[Dish]])</f>
        <v>0</v>
      </c>
      <c r="G227" s="3">
        <f>'Quantity Table'!$E227*'Quantity Table'!$F227</f>
        <v>0</v>
      </c>
      <c r="H227" s="3">
        <f>_xlfn.IFNA(VLOOKUP(Quantitytable[[#This Row],[Ingredient ]],Shoppingtable[[Item Name]:[BALANCE Cash]],5,FALSE),0)*Quantitytable[[#This Row],[NeededQuantity]]</f>
        <v>13.3125</v>
      </c>
      <c r="I227" s="3">
        <f>SUMIF(Quantitytable[Dish],Quantitytable[[#This Row],[Dish]],Quantitytable[Cost Per Dish Per Item])</f>
        <v>20.518214285714286</v>
      </c>
      <c r="J227" s="18" t="s">
        <v>502</v>
      </c>
    </row>
    <row r="228" spans="2:10" x14ac:dyDescent="0.25">
      <c r="B228" s="13" t="s">
        <v>662</v>
      </c>
      <c r="C228" s="13" t="s">
        <v>44</v>
      </c>
      <c r="D228" s="13">
        <v>150</v>
      </c>
      <c r="E228" s="3">
        <f>IF(Quantitytable[[#This Row],[Units]]=0,0,SUMIFS(Quantitytable[NeededQuantity],Quantitytable[Dish],Quantitytable[[#This Row],[Dish]],Quantitytable[[Ingredient ]],Quantitytable[[#This Row],[Ingredient ]]))</f>
        <v>0</v>
      </c>
      <c r="F228" s="3">
        <f>SUMIFS(salestable[Quantity Sold],salestable[Item Name],Quantitytable[[#This Row],[Dish]])</f>
        <v>0</v>
      </c>
      <c r="G228" s="3">
        <f>'Quantity Table'!$E228*'Quantity Table'!$F228</f>
        <v>0</v>
      </c>
      <c r="H228" s="3">
        <f>_xlfn.IFNA(VLOOKUP(Quantitytable[[#This Row],[Ingredient ]],Shoppingtable[[Item Name]:[BALANCE Cash]],5,FALSE),0)*Quantitytable[[#This Row],[NeededQuantity]]</f>
        <v>4.2857142857142856</v>
      </c>
      <c r="I228" s="3">
        <f>SUMIF(Quantitytable[Dish],Quantitytable[[#This Row],[Dish]],Quantitytable[Cost Per Dish Per Item])</f>
        <v>20.518214285714286</v>
      </c>
      <c r="J228" s="18" t="s">
        <v>502</v>
      </c>
    </row>
    <row r="229" spans="2:10" x14ac:dyDescent="0.25">
      <c r="B229" s="13" t="s">
        <v>308</v>
      </c>
      <c r="C229" s="13" t="s">
        <v>45</v>
      </c>
      <c r="D229" s="13">
        <v>2</v>
      </c>
      <c r="E229" s="3">
        <f>IF(Quantitytable[[#This Row],[Units]]=0,0,SUMIFS(Quantitytable[NeededQuantity],Quantitytable[Dish],Quantitytable[[#This Row],[Dish]],Quantitytable[[Ingredient ]],Quantitytable[[#This Row],[Ingredient ]]))</f>
        <v>0</v>
      </c>
      <c r="F229" s="3">
        <f>SUMIFS(salestable[Quantity Sold],salestable[Item Name],Quantitytable[[#This Row],[Dish]])</f>
        <v>0</v>
      </c>
      <c r="G229" s="3">
        <f>'Quantity Table'!$E229*'Quantity Table'!$F229</f>
        <v>0</v>
      </c>
      <c r="H229" s="3">
        <f>_xlfn.IFNA(VLOOKUP(Quantitytable[[#This Row],[Ingredient ]],Shoppingtable[[Item Name]:[BALANCE Cash]],5,FALSE),0)*Quantitytable[[#This Row],[NeededQuantity]]</f>
        <v>14</v>
      </c>
      <c r="I229" s="3">
        <f>SUMIF(Quantitytable[Dish],Quantitytable[[#This Row],[Dish]],Quantitytable[Cost Per Dish Per Item])</f>
        <v>16.8</v>
      </c>
      <c r="J229" s="18" t="s">
        <v>502</v>
      </c>
    </row>
    <row r="230" spans="2:10" x14ac:dyDescent="0.25">
      <c r="B230" s="13" t="s">
        <v>308</v>
      </c>
      <c r="C230" s="3" t="s">
        <v>84</v>
      </c>
      <c r="D230" s="13">
        <v>4</v>
      </c>
      <c r="E230" s="3">
        <f>IF(Quantitytable[[#This Row],[Units]]=0,0,SUMIFS(Quantitytable[NeededQuantity],Quantitytable[Dish],Quantitytable[[#This Row],[Dish]],Quantitytable[[Ingredient ]],Quantitytable[[#This Row],[Ingredient ]]))</f>
        <v>0</v>
      </c>
      <c r="F230" s="3">
        <f>SUMIFS(salestable[Quantity Sold],salestable[Item Name],Quantitytable[[#This Row],[Dish]])</f>
        <v>0</v>
      </c>
      <c r="G230" s="3">
        <f>'Quantity Table'!$E230*'Quantity Table'!$F230</f>
        <v>0</v>
      </c>
      <c r="H230" s="3">
        <f>_xlfn.IFNA(VLOOKUP(Quantitytable[[#This Row],[Ingredient ]],Shoppingtable[[Item Name]:[BALANCE Cash]],5,FALSE),0)*Quantitytable[[#This Row],[NeededQuantity]]</f>
        <v>2.8</v>
      </c>
      <c r="I230" s="3">
        <f>SUMIF(Quantitytable[Dish],Quantitytable[[#This Row],[Dish]],Quantitytable[Cost Per Dish Per Item])</f>
        <v>16.8</v>
      </c>
      <c r="J230" s="18" t="s">
        <v>502</v>
      </c>
    </row>
    <row r="231" spans="2:10" x14ac:dyDescent="0.25">
      <c r="B231" s="13" t="s">
        <v>171</v>
      </c>
      <c r="C231" s="13" t="s">
        <v>45</v>
      </c>
      <c r="D231" s="13"/>
      <c r="E231" s="3">
        <f>IF(Quantitytable[[#This Row],[Units]]=0,0,SUMIFS(Quantitytable[NeededQuantity],Quantitytable[Dish],Quantitytable[[#This Row],[Dish]],Quantitytable[[Ingredient ]],Quantitytable[[#This Row],[Ingredient ]]))</f>
        <v>0</v>
      </c>
      <c r="F231" s="3">
        <f>SUMIFS(salestable[Quantity Sold],salestable[Item Name],Quantitytable[[#This Row],[Dish]])</f>
        <v>0</v>
      </c>
      <c r="G231" s="3">
        <f>'Quantity Table'!$E231*'Quantity Table'!$F231</f>
        <v>0</v>
      </c>
      <c r="H231" s="3">
        <f>_xlfn.IFNA(VLOOKUP(Quantitytable[[#This Row],[Ingredient ]],Shoppingtable[[Item Name]:[BALANCE Cash]],5,FALSE),0)*Quantitytable[[#This Row],[NeededQuantity]]</f>
        <v>0</v>
      </c>
      <c r="I231" s="3">
        <f>SUMIF(Quantitytable[Dish],Quantitytable[[#This Row],[Dish]],Quantitytable[Cost Per Dish Per Item])</f>
        <v>0</v>
      </c>
      <c r="J231" s="18" t="s">
        <v>502</v>
      </c>
    </row>
    <row r="232" spans="2:10" x14ac:dyDescent="0.25">
      <c r="B232" s="13" t="s">
        <v>171</v>
      </c>
      <c r="C232" s="13" t="s">
        <v>77</v>
      </c>
      <c r="D232" s="13"/>
      <c r="E232" s="3">
        <f>IF(Quantitytable[[#This Row],[Units]]=0,0,SUMIFS(Quantitytable[NeededQuantity],Quantitytable[Dish],Quantitytable[[#This Row],[Dish]],Quantitytable[[Ingredient ]],Quantitytable[[#This Row],[Ingredient ]]))</f>
        <v>0</v>
      </c>
      <c r="F232" s="3">
        <f>SUMIFS(salestable[Quantity Sold],salestable[Item Name],Quantitytable[[#This Row],[Dish]])</f>
        <v>0</v>
      </c>
      <c r="G232" s="3">
        <f>'Quantity Table'!$E232*'Quantity Table'!$F232</f>
        <v>0</v>
      </c>
      <c r="H232" s="3">
        <f>_xlfn.IFNA(VLOOKUP(Quantitytable[[#This Row],[Ingredient ]],Shoppingtable[[Item Name]:[BALANCE Cash]],5,FALSE),0)*Quantitytable[[#This Row],[NeededQuantity]]</f>
        <v>0</v>
      </c>
      <c r="I232" s="3">
        <f>SUMIF(Quantitytable[Dish],Quantitytable[[#This Row],[Dish]],Quantitytable[Cost Per Dish Per Item])</f>
        <v>0</v>
      </c>
      <c r="J232" s="18" t="s">
        <v>502</v>
      </c>
    </row>
    <row r="233" spans="2:10" x14ac:dyDescent="0.25">
      <c r="B233" s="13" t="s">
        <v>171</v>
      </c>
      <c r="C233" s="13" t="s">
        <v>25</v>
      </c>
      <c r="D233" s="13"/>
      <c r="E233" s="3">
        <f>IF(Quantitytable[[#This Row],[Units]]=0,0,SUMIFS(Quantitytable[NeededQuantity],Quantitytable[Dish],Quantitytable[[#This Row],[Dish]],Quantitytable[[Ingredient ]],Quantitytable[[#This Row],[Ingredient ]]))</f>
        <v>0</v>
      </c>
      <c r="F233" s="3">
        <f>SUMIFS(salestable[Quantity Sold],salestable[Item Name],Quantitytable[[#This Row],[Dish]])</f>
        <v>0</v>
      </c>
      <c r="G233" s="3">
        <f>'Quantity Table'!$E233*'Quantity Table'!$F233</f>
        <v>0</v>
      </c>
      <c r="H233" s="3">
        <f>_xlfn.IFNA(VLOOKUP(Quantitytable[[#This Row],[Ingredient ]],Shoppingtable[[Item Name]:[BALANCE Cash]],5,FALSE),0)*Quantitytable[[#This Row],[NeededQuantity]]</f>
        <v>0</v>
      </c>
      <c r="I233" s="3">
        <f>SUMIF(Quantitytable[Dish],Quantitytable[[#This Row],[Dish]],Quantitytable[Cost Per Dish Per Item])</f>
        <v>0</v>
      </c>
      <c r="J233" s="18" t="s">
        <v>502</v>
      </c>
    </row>
    <row r="234" spans="2:10" x14ac:dyDescent="0.25">
      <c r="B234" s="13" t="s">
        <v>332</v>
      </c>
      <c r="C234" s="13" t="s">
        <v>45</v>
      </c>
      <c r="D234" s="13"/>
      <c r="E234" s="3">
        <f>IF(Quantitytable[[#This Row],[Units]]=0,0,SUMIFS(Quantitytable[NeededQuantity],Quantitytable[Dish],Quantitytable[[#This Row],[Dish]],Quantitytable[[Ingredient ]],Quantitytable[[#This Row],[Ingredient ]]))</f>
        <v>0</v>
      </c>
      <c r="F234" s="3">
        <f>SUMIFS(salestable[Quantity Sold],salestable[Item Name],Quantitytable[[#This Row],[Dish]])</f>
        <v>0</v>
      </c>
      <c r="G234" s="3">
        <f>'Quantity Table'!$E234*'Quantity Table'!$F234</f>
        <v>0</v>
      </c>
      <c r="H234" s="3">
        <f>_xlfn.IFNA(VLOOKUP(Quantitytable[[#This Row],[Ingredient ]],Shoppingtable[[Item Name]:[BALANCE Cash]],5,FALSE),0)*Quantitytable[[#This Row],[NeededQuantity]]</f>
        <v>0</v>
      </c>
      <c r="I234" s="3">
        <f>SUMIF(Quantitytable[Dish],Quantitytable[[#This Row],[Dish]],Quantitytable[Cost Per Dish Per Item])</f>
        <v>0</v>
      </c>
      <c r="J234" s="18" t="s">
        <v>502</v>
      </c>
    </row>
    <row r="235" spans="2:10" x14ac:dyDescent="0.25">
      <c r="B235" s="13" t="s">
        <v>332</v>
      </c>
      <c r="C235" s="13" t="s">
        <v>50</v>
      </c>
      <c r="D235" s="13"/>
      <c r="E235" s="3">
        <f>IF(Quantitytable[[#This Row],[Units]]=0,0,SUMIFS(Quantitytable[NeededQuantity],Quantitytable[Dish],Quantitytable[[#This Row],[Dish]],Quantitytable[[Ingredient ]],Quantitytable[[#This Row],[Ingredient ]]))</f>
        <v>0</v>
      </c>
      <c r="F235" s="3">
        <f>SUMIFS(salestable[Quantity Sold],salestable[Item Name],Quantitytable[[#This Row],[Dish]])</f>
        <v>0</v>
      </c>
      <c r="G235" s="3">
        <f>'Quantity Table'!$E235*'Quantity Table'!$F235</f>
        <v>0</v>
      </c>
      <c r="H235" s="3">
        <f>_xlfn.IFNA(VLOOKUP(Quantitytable[[#This Row],[Ingredient ]],Shoppingtable[[Item Name]:[BALANCE Cash]],5,FALSE),0)*Quantitytable[[#This Row],[NeededQuantity]]</f>
        <v>0</v>
      </c>
      <c r="I235" s="3">
        <f>SUMIF(Quantitytable[Dish],Quantitytable[[#This Row],[Dish]],Quantitytable[Cost Per Dish Per Item])</f>
        <v>0</v>
      </c>
      <c r="J235" s="18" t="s">
        <v>502</v>
      </c>
    </row>
    <row r="236" spans="2:10" x14ac:dyDescent="0.25">
      <c r="B236" s="13" t="s">
        <v>332</v>
      </c>
      <c r="C236" s="13" t="s">
        <v>25</v>
      </c>
      <c r="D236" s="13"/>
      <c r="E236" s="3">
        <f>IF(Quantitytable[[#This Row],[Units]]=0,0,SUMIFS(Quantitytable[NeededQuantity],Quantitytable[Dish],Quantitytable[[#This Row],[Dish]],Quantitytable[[Ingredient ]],Quantitytable[[#This Row],[Ingredient ]]))</f>
        <v>0</v>
      </c>
      <c r="F236" s="3">
        <f>SUMIFS(salestable[Quantity Sold],salestable[Item Name],Quantitytable[[#This Row],[Dish]])</f>
        <v>0</v>
      </c>
      <c r="G236" s="3">
        <f>'Quantity Table'!$E236*'Quantity Table'!$F236</f>
        <v>0</v>
      </c>
      <c r="H236" s="3">
        <f>_xlfn.IFNA(VLOOKUP(Quantitytable[[#This Row],[Ingredient ]],Shoppingtable[[Item Name]:[BALANCE Cash]],5,FALSE),0)*Quantitytable[[#This Row],[NeededQuantity]]</f>
        <v>0</v>
      </c>
      <c r="I236" s="3">
        <f>SUMIF(Quantitytable[Dish],Quantitytable[[#This Row],[Dish]],Quantitytable[Cost Per Dish Per Item])</f>
        <v>0</v>
      </c>
      <c r="J236" s="18" t="s">
        <v>502</v>
      </c>
    </row>
    <row r="237" spans="2:10" x14ac:dyDescent="0.25">
      <c r="B237" s="13" t="s">
        <v>238</v>
      </c>
      <c r="C237" s="13" t="s">
        <v>45</v>
      </c>
      <c r="D237" s="13">
        <v>2</v>
      </c>
      <c r="E237" s="3">
        <f>IF(Quantitytable[[#This Row],[Units]]=0,0,SUMIFS(Quantitytable[NeededQuantity],Quantitytable[Dish],Quantitytable[[#This Row],[Dish]],Quantitytable[[Ingredient ]],Quantitytable[[#This Row],[Ingredient ]]))</f>
        <v>0</v>
      </c>
      <c r="F237" s="3">
        <f>SUMIFS(salestable[Quantity Sold],salestable[Item Name],Quantitytable[[#This Row],[Dish]])</f>
        <v>0</v>
      </c>
      <c r="G237" s="3">
        <f>'Quantity Table'!$E237*'Quantity Table'!$F237</f>
        <v>0</v>
      </c>
      <c r="H237" s="3">
        <f>_xlfn.IFNA(VLOOKUP(Quantitytable[[#This Row],[Ingredient ]],Shoppingtable[[Item Name]:[BALANCE Cash]],5,FALSE),0)*Quantitytable[[#This Row],[NeededQuantity]]</f>
        <v>14</v>
      </c>
      <c r="I237" s="3">
        <f>SUMIF(Quantitytable[Dish],Quantitytable[[#This Row],[Dish]],Quantitytable[Cost Per Dish Per Item])</f>
        <v>29.540567765567765</v>
      </c>
      <c r="J237" s="18" t="s">
        <v>502</v>
      </c>
    </row>
    <row r="238" spans="2:10" x14ac:dyDescent="0.25">
      <c r="B238" s="13" t="s">
        <v>238</v>
      </c>
      <c r="C238" s="13" t="s">
        <v>577</v>
      </c>
      <c r="D238" s="13">
        <v>50</v>
      </c>
      <c r="E238" s="3">
        <f>IF(Quantitytable[[#This Row],[Units]]=0,0,SUMIFS(Quantitytable[NeededQuantity],Quantitytable[Dish],Quantitytable[[#This Row],[Dish]],Quantitytable[[Ingredient ]],Quantitytable[[#This Row],[Ingredient ]]))</f>
        <v>0</v>
      </c>
      <c r="F238" s="3">
        <f>SUMIFS(salestable[Quantity Sold],salestable[Item Name],Quantitytable[[#This Row],[Dish]])</f>
        <v>0</v>
      </c>
      <c r="G238" s="3">
        <f>'Quantity Table'!$E238*'Quantity Table'!$F238</f>
        <v>0</v>
      </c>
      <c r="H238" s="3">
        <f>_xlfn.IFNA(VLOOKUP(Quantitytable[[#This Row],[Ingredient ]],Shoppingtable[[Item Name]:[BALANCE Cash]],5,FALSE),0)*Quantitytable[[#This Row],[NeededQuantity]]</f>
        <v>2.8846153846153846</v>
      </c>
      <c r="I238" s="3">
        <f>SUMIF(Quantitytable[Dish],Quantitytable[[#This Row],[Dish]],Quantitytable[Cost Per Dish Per Item])</f>
        <v>29.540567765567765</v>
      </c>
      <c r="J238" s="18" t="s">
        <v>502</v>
      </c>
    </row>
    <row r="239" spans="2:10" x14ac:dyDescent="0.25">
      <c r="B239" s="13" t="s">
        <v>238</v>
      </c>
      <c r="C239" s="13" t="s">
        <v>576</v>
      </c>
      <c r="D239" s="13">
        <v>50</v>
      </c>
      <c r="E239" s="3">
        <f>IF(Quantitytable[[#This Row],[Units]]=0,0,SUMIFS(Quantitytable[NeededQuantity],Quantitytable[Dish],Quantitytable[[#This Row],[Dish]],Quantitytable[[Ingredient ]],Quantitytable[[#This Row],[Ingredient ]]))</f>
        <v>0</v>
      </c>
      <c r="F239" s="3">
        <f>SUMIFS(salestable[Quantity Sold],salestable[Item Name],Quantitytable[[#This Row],[Dish]])</f>
        <v>0</v>
      </c>
      <c r="G239" s="3">
        <f>'Quantity Table'!$E239*'Quantity Table'!$F239</f>
        <v>0</v>
      </c>
      <c r="H239" s="3">
        <f>_xlfn.IFNA(VLOOKUP(Quantitytable[[#This Row],[Ingredient ]],Shoppingtable[[Item Name]:[BALANCE Cash]],5,FALSE),0)*Quantitytable[[#This Row],[NeededQuantity]]</f>
        <v>2.9166666666666665</v>
      </c>
      <c r="I239" s="3">
        <f>SUMIF(Quantitytable[Dish],Quantitytable[[#This Row],[Dish]],Quantitytable[Cost Per Dish Per Item])</f>
        <v>29.540567765567765</v>
      </c>
      <c r="J239" s="18" t="s">
        <v>502</v>
      </c>
    </row>
    <row r="240" spans="2:10" x14ac:dyDescent="0.25">
      <c r="B240" s="13" t="s">
        <v>238</v>
      </c>
      <c r="C240" s="13" t="s">
        <v>491</v>
      </c>
      <c r="D240" s="13">
        <v>2</v>
      </c>
      <c r="E240" s="3">
        <f>IF(Quantitytable[[#This Row],[Units]]=0,0,SUMIFS(Quantitytable[NeededQuantity],Quantitytable[Dish],Quantitytable[[#This Row],[Dish]],Quantitytable[[Ingredient ]],Quantitytable[[#This Row],[Ingredient ]]))</f>
        <v>0</v>
      </c>
      <c r="F240" s="3">
        <f>SUMIFS(salestable[Quantity Sold],salestable[Item Name],Quantitytable[[#This Row],[Dish]])</f>
        <v>0</v>
      </c>
      <c r="G240" s="3">
        <f>'Quantity Table'!$E240*'Quantity Table'!$F240</f>
        <v>0</v>
      </c>
      <c r="H240" s="3">
        <f>_xlfn.IFNA(VLOOKUP(Quantitytable[[#This Row],[Ingredient ]],Shoppingtable[[Item Name]:[BALANCE Cash]],5,FALSE),0)*Quantitytable[[#This Row],[NeededQuantity]]</f>
        <v>0.375</v>
      </c>
      <c r="I240" s="3">
        <f>SUMIF(Quantitytable[Dish],Quantitytable[[#This Row],[Dish]],Quantitytable[Cost Per Dish Per Item])</f>
        <v>29.540567765567765</v>
      </c>
      <c r="J240" s="18" t="s">
        <v>502</v>
      </c>
    </row>
    <row r="241" spans="2:10" x14ac:dyDescent="0.25">
      <c r="B241" s="13" t="s">
        <v>238</v>
      </c>
      <c r="C241" s="13" t="s">
        <v>75</v>
      </c>
      <c r="D241" s="13">
        <v>25</v>
      </c>
      <c r="E241" s="3">
        <f>IF(Quantitytable[[#This Row],[Units]]=0,0,SUMIFS(Quantitytable[NeededQuantity],Quantitytable[Dish],Quantitytable[[#This Row],[Dish]],Quantitytable[[Ingredient ]],Quantitytable[[#This Row],[Ingredient ]]))</f>
        <v>0</v>
      </c>
      <c r="F241" s="3">
        <f>SUMIFS(salestable[Quantity Sold],salestable[Item Name],Quantitytable[[#This Row],[Dish]])</f>
        <v>0</v>
      </c>
      <c r="G241" s="3">
        <f>'Quantity Table'!$E241*'Quantity Table'!$F241</f>
        <v>0</v>
      </c>
      <c r="H241" s="3">
        <f>_xlfn.IFNA(VLOOKUP(Quantitytable[[#This Row],[Ingredient ]],Shoppingtable[[Item Name]:[BALANCE Cash]],5,FALSE),0)*Quantitytable[[#This Row],[NeededQuantity]]</f>
        <v>3.65</v>
      </c>
      <c r="I241" s="3">
        <f>SUMIF(Quantitytable[Dish],Quantitytable[[#This Row],[Dish]],Quantitytable[Cost Per Dish Per Item])</f>
        <v>29.540567765567765</v>
      </c>
      <c r="J241" s="18" t="s">
        <v>502</v>
      </c>
    </row>
    <row r="242" spans="2:10" x14ac:dyDescent="0.25">
      <c r="B242" s="13" t="s">
        <v>238</v>
      </c>
      <c r="C242" s="13" t="s">
        <v>44</v>
      </c>
      <c r="D242" s="13">
        <v>200</v>
      </c>
      <c r="E242" s="3">
        <f>IF(Quantitytable[[#This Row],[Units]]=0,0,SUMIFS(Quantitytable[NeededQuantity],Quantitytable[Dish],Quantitytable[[#This Row],[Dish]],Quantitytable[[Ingredient ]],Quantitytable[[#This Row],[Ingredient ]]))</f>
        <v>0</v>
      </c>
      <c r="F242" s="3">
        <f>SUMIFS(salestable[Quantity Sold],salestable[Item Name],Quantitytable[[#This Row],[Dish]])</f>
        <v>0</v>
      </c>
      <c r="G242" s="3">
        <f>'Quantity Table'!$E242*'Quantity Table'!$F242</f>
        <v>0</v>
      </c>
      <c r="H242" s="3">
        <f>_xlfn.IFNA(VLOOKUP(Quantitytable[[#This Row],[Ingredient ]],Shoppingtable[[Item Name]:[BALANCE Cash]],5,FALSE),0)*Quantitytable[[#This Row],[NeededQuantity]]</f>
        <v>5.7142857142857144</v>
      </c>
      <c r="I242" s="3">
        <f>SUMIF(Quantitytable[Dish],Quantitytable[[#This Row],[Dish]],Quantitytable[Cost Per Dish Per Item])</f>
        <v>29.540567765567765</v>
      </c>
      <c r="J242" s="18" t="s">
        <v>502</v>
      </c>
    </row>
    <row r="243" spans="2:10" x14ac:dyDescent="0.25">
      <c r="B243" s="13" t="s">
        <v>640</v>
      </c>
      <c r="C243" s="13" t="s">
        <v>45</v>
      </c>
      <c r="D243" s="13">
        <v>2</v>
      </c>
      <c r="E243" s="3">
        <f>IF(Quantitytable[[#This Row],[Units]]=0,0,SUMIFS(Quantitytable[NeededQuantity],Quantitytable[Dish],Quantitytable[[#This Row],[Dish]],Quantitytable[[Ingredient ]],Quantitytable[[#This Row],[Ingredient ]]))</f>
        <v>0</v>
      </c>
      <c r="F243" s="3">
        <f>SUMIFS(salestable[Quantity Sold],salestable[Item Name],Quantitytable[[#This Row],[Dish]])</f>
        <v>0</v>
      </c>
      <c r="G243" s="3">
        <f>'Quantity Table'!$E243*'Quantity Table'!$F243</f>
        <v>0</v>
      </c>
      <c r="H243" s="3">
        <f>_xlfn.IFNA(VLOOKUP(Quantitytable[[#This Row],[Ingredient ]],Shoppingtable[[Item Name]:[BALANCE Cash]],5,FALSE),0)*Quantitytable[[#This Row],[NeededQuantity]]</f>
        <v>14</v>
      </c>
      <c r="I243" s="3">
        <f>SUMIF(Quantitytable[Dish],Quantitytable[[#This Row],[Dish]],Quantitytable[Cost Per Dish Per Item])</f>
        <v>44.104999999999997</v>
      </c>
      <c r="J243" s="18" t="s">
        <v>502</v>
      </c>
    </row>
    <row r="244" spans="2:10" x14ac:dyDescent="0.25">
      <c r="B244" s="13" t="s">
        <v>640</v>
      </c>
      <c r="C244" s="13" t="s">
        <v>491</v>
      </c>
      <c r="D244" s="13">
        <v>2</v>
      </c>
      <c r="E244" s="3">
        <f>IF(Quantitytable[[#This Row],[Units]]=0,0,SUMIFS(Quantitytable[NeededQuantity],Quantitytable[Dish],Quantitytable[[#This Row],[Dish]],Quantitytable[[Ingredient ]],Quantitytable[[#This Row],[Ingredient ]]))</f>
        <v>0</v>
      </c>
      <c r="F244" s="3">
        <f>SUMIFS(salestable[Quantity Sold],salestable[Item Name],Quantitytable[[#This Row],[Dish]])</f>
        <v>0</v>
      </c>
      <c r="G244" s="3">
        <f>'Quantity Table'!$E244*'Quantity Table'!$F244</f>
        <v>0</v>
      </c>
      <c r="H244" s="3">
        <f>_xlfn.IFNA(VLOOKUP(Quantitytable[[#This Row],[Ingredient ]],Shoppingtable[[Item Name]:[BALANCE Cash]],5,FALSE),0)*Quantitytable[[#This Row],[NeededQuantity]]</f>
        <v>0.375</v>
      </c>
      <c r="I244" s="3">
        <f>SUMIF(Quantitytable[Dish],Quantitytable[[#This Row],[Dish]],Quantitytable[Cost Per Dish Per Item])</f>
        <v>44.104999999999997</v>
      </c>
      <c r="J244" s="18" t="s">
        <v>502</v>
      </c>
    </row>
    <row r="245" spans="2:10" x14ac:dyDescent="0.25">
      <c r="B245" s="13" t="s">
        <v>640</v>
      </c>
      <c r="C245" s="13" t="s">
        <v>44</v>
      </c>
      <c r="D245" s="13">
        <v>140</v>
      </c>
      <c r="E245" s="3">
        <f>IF(Quantitytable[[#This Row],[Units]]=0,0,SUMIFS(Quantitytable[NeededQuantity],Quantitytable[Dish],Quantitytable[[#This Row],[Dish]],Quantitytable[[Ingredient ]],Quantitytable[[#This Row],[Ingredient ]]))</f>
        <v>0</v>
      </c>
      <c r="F245" s="3">
        <f>SUMIFS(salestable[Quantity Sold],salestable[Item Name],Quantitytable[[#This Row],[Dish]])</f>
        <v>0</v>
      </c>
      <c r="G245" s="3">
        <f>'Quantity Table'!$E245*'Quantity Table'!$F245</f>
        <v>0</v>
      </c>
      <c r="H245" s="3">
        <f>_xlfn.IFNA(VLOOKUP(Quantitytable[[#This Row],[Ingredient ]],Shoppingtable[[Item Name]:[BALANCE Cash]],5,FALSE),0)*Quantitytable[[#This Row],[NeededQuantity]]</f>
        <v>4</v>
      </c>
      <c r="I245" s="3">
        <f>SUMIF(Quantitytable[Dish],Quantitytable[[#This Row],[Dish]],Quantitytable[Cost Per Dish Per Item])</f>
        <v>44.104999999999997</v>
      </c>
      <c r="J245" s="18" t="s">
        <v>502</v>
      </c>
    </row>
    <row r="246" spans="2:10" x14ac:dyDescent="0.25">
      <c r="B246" s="13" t="s">
        <v>640</v>
      </c>
      <c r="C246" s="13" t="s">
        <v>163</v>
      </c>
      <c r="D246" s="13">
        <v>100</v>
      </c>
      <c r="E246" s="3">
        <f>IF(Quantitytable[[#This Row],[Units]]=0,0,SUMIFS(Quantitytable[NeededQuantity],Quantitytable[Dish],Quantitytable[[#This Row],[Dish]],Quantitytable[[Ingredient ]],Quantitytable[[#This Row],[Ingredient ]]))</f>
        <v>0</v>
      </c>
      <c r="F246" s="3">
        <f>SUMIFS(salestable[Quantity Sold],salestable[Item Name],Quantitytable[[#This Row],[Dish]])</f>
        <v>0</v>
      </c>
      <c r="G246" s="3">
        <f>'Quantity Table'!$E246*'Quantity Table'!$F246</f>
        <v>0</v>
      </c>
      <c r="H246" s="3">
        <f>_xlfn.IFNA(VLOOKUP(Quantitytable[[#This Row],[Ingredient ]],Shoppingtable[[Item Name]:[BALANCE Cash]],5,FALSE),0)*Quantitytable[[#This Row],[NeededQuantity]]</f>
        <v>22.08</v>
      </c>
      <c r="I246" s="3">
        <f>SUMIF(Quantitytable[Dish],Quantitytable[[#This Row],[Dish]],Quantitytable[Cost Per Dish Per Item])</f>
        <v>44.104999999999997</v>
      </c>
      <c r="J246" s="18" t="s">
        <v>502</v>
      </c>
    </row>
    <row r="247" spans="2:10" x14ac:dyDescent="0.25">
      <c r="B247" s="13" t="s">
        <v>640</v>
      </c>
      <c r="C247" s="13" t="s">
        <v>75</v>
      </c>
      <c r="D247" s="13">
        <v>25</v>
      </c>
      <c r="E247" s="3">
        <f>IF(Quantitytable[[#This Row],[Units]]=0,0,SUMIFS(Quantitytable[NeededQuantity],Quantitytable[Dish],Quantitytable[[#This Row],[Dish]],Quantitytable[[Ingredient ]],Quantitytable[[#This Row],[Ingredient ]]))</f>
        <v>0</v>
      </c>
      <c r="F247" s="3">
        <f>SUMIFS(salestable[Quantity Sold],salestable[Item Name],Quantitytable[[#This Row],[Dish]])</f>
        <v>0</v>
      </c>
      <c r="G247" s="3">
        <f>'Quantity Table'!$E247*'Quantity Table'!$F247</f>
        <v>0</v>
      </c>
      <c r="H247" s="3">
        <f>_xlfn.IFNA(VLOOKUP(Quantitytable[[#This Row],[Ingredient ]],Shoppingtable[[Item Name]:[BALANCE Cash]],5,FALSE),0)*Quantitytable[[#This Row],[NeededQuantity]]</f>
        <v>3.65</v>
      </c>
      <c r="I247" s="3">
        <f>SUMIF(Quantitytable[Dish],Quantitytable[[#This Row],[Dish]],Quantitytable[Cost Per Dish Per Item])</f>
        <v>44.104999999999997</v>
      </c>
      <c r="J247" s="18" t="s">
        <v>502</v>
      </c>
    </row>
    <row r="248" spans="2:10" x14ac:dyDescent="0.25">
      <c r="B248" s="13" t="s">
        <v>663</v>
      </c>
      <c r="C248" s="13" t="s">
        <v>45</v>
      </c>
      <c r="D248" s="13">
        <v>2</v>
      </c>
      <c r="E248" s="3">
        <f>IF(Quantitytable[[#This Row],[Units]]=0,0,SUMIFS(Quantitytable[NeededQuantity],Quantitytable[Dish],Quantitytable[[#This Row],[Dish]],Quantitytable[[Ingredient ]],Quantitytable[[#This Row],[Ingredient ]]))</f>
        <v>0</v>
      </c>
      <c r="F248" s="3">
        <f>SUMIFS(salestable[Quantity Sold],salestable[Item Name],Quantitytable[[#This Row],[Dish]])</f>
        <v>0</v>
      </c>
      <c r="G248" s="3">
        <f>'Quantity Table'!$E248*'Quantity Table'!$F248</f>
        <v>0</v>
      </c>
      <c r="H248" s="3">
        <f>_xlfn.IFNA(VLOOKUP(Quantitytable[[#This Row],[Ingredient ]],Shoppingtable[[Item Name]:[BALANCE Cash]],5,FALSE),0)*Quantitytable[[#This Row],[NeededQuantity]]</f>
        <v>14</v>
      </c>
      <c r="I248" s="3">
        <f>SUMIF(Quantitytable[Dish],Quantitytable[[#This Row],[Dish]],Quantitytable[Cost Per Dish Per Item])</f>
        <v>18.024999999999999</v>
      </c>
      <c r="J248" s="18" t="s">
        <v>502</v>
      </c>
    </row>
    <row r="249" spans="2:10" x14ac:dyDescent="0.25">
      <c r="B249" s="13" t="s">
        <v>663</v>
      </c>
      <c r="C249" s="13" t="s">
        <v>491</v>
      </c>
      <c r="D249" s="13">
        <v>2</v>
      </c>
      <c r="E249" s="3">
        <f>IF(Quantitytable[[#This Row],[Units]]=0,0,SUMIFS(Quantitytable[NeededQuantity],Quantitytable[Dish],Quantitytable[[#This Row],[Dish]],Quantitytable[[Ingredient ]],Quantitytable[[#This Row],[Ingredient ]]))</f>
        <v>0</v>
      </c>
      <c r="F249" s="3">
        <f>SUMIFS(salestable[Quantity Sold],salestable[Item Name],Quantitytable[[#This Row],[Dish]])</f>
        <v>0</v>
      </c>
      <c r="G249" s="3">
        <f>'Quantity Table'!$E249*'Quantity Table'!$F249</f>
        <v>0</v>
      </c>
      <c r="H249" s="3">
        <f>_xlfn.IFNA(VLOOKUP(Quantitytable[[#This Row],[Ingredient ]],Shoppingtable[[Item Name]:[BALANCE Cash]],5,FALSE),0)*Quantitytable[[#This Row],[NeededQuantity]]</f>
        <v>0.375</v>
      </c>
      <c r="I249" s="3">
        <f>SUMIF(Quantitytable[Dish],Quantitytable[[#This Row],[Dish]],Quantitytable[Cost Per Dish Per Item])</f>
        <v>18.024999999999999</v>
      </c>
      <c r="J249" s="18" t="s">
        <v>502</v>
      </c>
    </row>
    <row r="250" spans="2:10" x14ac:dyDescent="0.25">
      <c r="B250" s="13" t="s">
        <v>663</v>
      </c>
      <c r="C250" s="13" t="s">
        <v>44</v>
      </c>
      <c r="D250" s="13"/>
      <c r="E250" s="3">
        <f>IF(Quantitytable[[#This Row],[Units]]=0,0,SUMIFS(Quantitytable[NeededQuantity],Quantitytable[Dish],Quantitytable[[#This Row],[Dish]],Quantitytable[[Ingredient ]],Quantitytable[[#This Row],[Ingredient ]]))</f>
        <v>0</v>
      </c>
      <c r="F250" s="3">
        <f>SUMIFS(salestable[Quantity Sold],salestable[Item Name],Quantitytable[[#This Row],[Dish]])</f>
        <v>0</v>
      </c>
      <c r="G250" s="3">
        <f>'Quantity Table'!$E250*'Quantity Table'!$F250</f>
        <v>0</v>
      </c>
      <c r="H250" s="3">
        <f>_xlfn.IFNA(VLOOKUP(Quantitytable[[#This Row],[Ingredient ]],Shoppingtable[[Item Name]:[BALANCE Cash]],5,FALSE),0)*Quantitytable[[#This Row],[NeededQuantity]]</f>
        <v>0</v>
      </c>
      <c r="I250" s="3">
        <f>SUMIF(Quantitytable[Dish],Quantitytable[[#This Row],[Dish]],Quantitytable[Cost Per Dish Per Item])</f>
        <v>18.024999999999999</v>
      </c>
      <c r="J250" s="18" t="s">
        <v>502</v>
      </c>
    </row>
    <row r="251" spans="2:10" x14ac:dyDescent="0.25">
      <c r="B251" s="13" t="s">
        <v>663</v>
      </c>
      <c r="C251" s="13" t="s">
        <v>600</v>
      </c>
      <c r="D251" s="13"/>
      <c r="E251" s="3">
        <f>IF(Quantitytable[[#This Row],[Units]]=0,0,SUMIFS(Quantitytable[NeededQuantity],Quantitytable[Dish],Quantitytable[[#This Row],[Dish]],Quantitytable[[Ingredient ]],Quantitytable[[#This Row],[Ingredient ]]))</f>
        <v>0</v>
      </c>
      <c r="F251" s="3">
        <f>SUMIFS(salestable[Quantity Sold],salestable[Item Name],Quantitytable[[#This Row],[Dish]])</f>
        <v>0</v>
      </c>
      <c r="G251" s="3">
        <f>'Quantity Table'!$E251*'Quantity Table'!$F251</f>
        <v>0</v>
      </c>
      <c r="H251" s="3">
        <f>_xlfn.IFNA(VLOOKUP(Quantitytable[[#This Row],[Ingredient ]],Shoppingtable[[Item Name]:[BALANCE Cash]],5,FALSE),0)*Quantitytable[[#This Row],[NeededQuantity]]</f>
        <v>0</v>
      </c>
      <c r="I251" s="3">
        <f>SUMIF(Quantitytable[Dish],Quantitytable[[#This Row],[Dish]],Quantitytable[Cost Per Dish Per Item])</f>
        <v>18.024999999999999</v>
      </c>
      <c r="J251" s="18" t="s">
        <v>502</v>
      </c>
    </row>
    <row r="252" spans="2:10" x14ac:dyDescent="0.25">
      <c r="B252" s="13" t="s">
        <v>663</v>
      </c>
      <c r="C252" s="13" t="s">
        <v>75</v>
      </c>
      <c r="D252" s="13">
        <v>25</v>
      </c>
      <c r="E252" s="3">
        <f>IF(Quantitytable[[#This Row],[Units]]=0,0,SUMIFS(Quantitytable[NeededQuantity],Quantitytable[Dish],Quantitytable[[#This Row],[Dish]],Quantitytable[[Ingredient ]],Quantitytable[[#This Row],[Ingredient ]]))</f>
        <v>0</v>
      </c>
      <c r="F252" s="3">
        <f>SUMIFS(salestable[Quantity Sold],salestable[Item Name],Quantitytable[[#This Row],[Dish]])</f>
        <v>0</v>
      </c>
      <c r="G252" s="3">
        <f>'Quantity Table'!$E252*'Quantity Table'!$F252</f>
        <v>0</v>
      </c>
      <c r="H252" s="3">
        <f>_xlfn.IFNA(VLOOKUP(Quantitytable[[#This Row],[Ingredient ]],Shoppingtable[[Item Name]:[BALANCE Cash]],5,FALSE),0)*Quantitytable[[#This Row],[NeededQuantity]]</f>
        <v>3.65</v>
      </c>
      <c r="I252" s="3">
        <f>SUMIF(Quantitytable[Dish],Quantitytable[[#This Row],[Dish]],Quantitytable[Cost Per Dish Per Item])</f>
        <v>18.024999999999999</v>
      </c>
      <c r="J252" s="18" t="s">
        <v>502</v>
      </c>
    </row>
    <row r="253" spans="2:10" x14ac:dyDescent="0.25">
      <c r="B253" s="13" t="s">
        <v>234</v>
      </c>
      <c r="C253" s="13" t="s">
        <v>45</v>
      </c>
      <c r="D253" s="13"/>
      <c r="E253" s="3">
        <f>IF(Quantitytable[[#This Row],[Units]]=0,0,SUMIFS(Quantitytable[NeededQuantity],Quantitytable[Dish],Quantitytable[[#This Row],[Dish]],Quantitytable[[Ingredient ]],Quantitytable[[#This Row],[Ingredient ]]))</f>
        <v>0</v>
      </c>
      <c r="F253" s="3">
        <f>SUMIFS(salestable[Quantity Sold],salestable[Item Name],Quantitytable[[#This Row],[Dish]])</f>
        <v>0</v>
      </c>
      <c r="G253" s="3">
        <f>'Quantity Table'!$E253*'Quantity Table'!$F253</f>
        <v>0</v>
      </c>
      <c r="H253" s="3">
        <f>_xlfn.IFNA(VLOOKUP(Quantitytable[[#This Row],[Ingredient ]],Shoppingtable[[Item Name]:[BALANCE Cash]],5,FALSE),0)*Quantitytable[[#This Row],[NeededQuantity]]</f>
        <v>0</v>
      </c>
      <c r="I253" s="3">
        <f>SUMIF(Quantitytable[Dish],Quantitytable[[#This Row],[Dish]],Quantitytable[Cost Per Dish Per Item])</f>
        <v>0</v>
      </c>
      <c r="J253" s="18" t="s">
        <v>502</v>
      </c>
    </row>
    <row r="254" spans="2:10" x14ac:dyDescent="0.25">
      <c r="B254" s="13" t="s">
        <v>234</v>
      </c>
      <c r="C254" s="13" t="s">
        <v>75</v>
      </c>
      <c r="D254" s="13"/>
      <c r="E254" s="3">
        <f>IF(Quantitytable[[#This Row],[Units]]=0,0,SUMIFS(Quantitytable[NeededQuantity],Quantitytable[Dish],Quantitytable[[#This Row],[Dish]],Quantitytable[[Ingredient ]],Quantitytable[[#This Row],[Ingredient ]]))</f>
        <v>0</v>
      </c>
      <c r="F254" s="3">
        <f>SUMIFS(salestable[Quantity Sold],salestable[Item Name],Quantitytable[[#This Row],[Dish]])</f>
        <v>0</v>
      </c>
      <c r="G254" s="3">
        <f>'Quantity Table'!$E254*'Quantity Table'!$F254</f>
        <v>0</v>
      </c>
      <c r="H254" s="3">
        <f>_xlfn.IFNA(VLOOKUP(Quantitytable[[#This Row],[Ingredient ]],Shoppingtable[[Item Name]:[BALANCE Cash]],5,FALSE),0)*Quantitytable[[#This Row],[NeededQuantity]]</f>
        <v>0</v>
      </c>
      <c r="I254" s="3">
        <f>SUMIF(Quantitytable[Dish],Quantitytable[[#This Row],[Dish]],Quantitytable[Cost Per Dish Per Item])</f>
        <v>0</v>
      </c>
      <c r="J254" s="18" t="s">
        <v>502</v>
      </c>
    </row>
    <row r="255" spans="2:10" x14ac:dyDescent="0.25">
      <c r="B255" s="13" t="s">
        <v>234</v>
      </c>
      <c r="C255" s="13" t="s">
        <v>25</v>
      </c>
      <c r="D255" s="13"/>
      <c r="E255" s="3">
        <f>IF(Quantitytable[[#This Row],[Units]]=0,0,SUMIFS(Quantitytable[NeededQuantity],Quantitytable[Dish],Quantitytable[[#This Row],[Dish]],Quantitytable[[Ingredient ]],Quantitytable[[#This Row],[Ingredient ]]))</f>
        <v>0</v>
      </c>
      <c r="F255" s="3">
        <f>SUMIFS(salestable[Quantity Sold],salestable[Item Name],Quantitytable[[#This Row],[Dish]])</f>
        <v>0</v>
      </c>
      <c r="G255" s="3">
        <f>'Quantity Table'!$E255*'Quantity Table'!$F255</f>
        <v>0</v>
      </c>
      <c r="H255" s="3">
        <f>_xlfn.IFNA(VLOOKUP(Quantitytable[[#This Row],[Ingredient ]],Shoppingtable[[Item Name]:[BALANCE Cash]],5,FALSE),0)*Quantitytable[[#This Row],[NeededQuantity]]</f>
        <v>0</v>
      </c>
      <c r="I255" s="3">
        <f>SUMIF(Quantitytable[Dish],Quantitytable[[#This Row],[Dish]],Quantitytable[Cost Per Dish Per Item])</f>
        <v>0</v>
      </c>
      <c r="J255" s="18" t="s">
        <v>502</v>
      </c>
    </row>
    <row r="256" spans="2:10" x14ac:dyDescent="0.25">
      <c r="B256" s="13" t="s">
        <v>330</v>
      </c>
      <c r="C256" s="13" t="s">
        <v>45</v>
      </c>
      <c r="D256" s="13"/>
      <c r="E256" s="3">
        <f>IF(Quantitytable[[#This Row],[Units]]=0,0,SUMIFS(Quantitytable[NeededQuantity],Quantitytable[Dish],Quantitytable[[#This Row],[Dish]],Quantitytable[[Ingredient ]],Quantitytable[[#This Row],[Ingredient ]]))</f>
        <v>0</v>
      </c>
      <c r="F256" s="3">
        <f>SUMIFS(salestable[Quantity Sold],salestable[Item Name],Quantitytable[[#This Row],[Dish]])</f>
        <v>0</v>
      </c>
      <c r="G256" s="3">
        <f>'Quantity Table'!$E256*'Quantity Table'!$F256</f>
        <v>0</v>
      </c>
      <c r="H256" s="3">
        <f>_xlfn.IFNA(VLOOKUP(Quantitytable[[#This Row],[Ingredient ]],Shoppingtable[[Item Name]:[BALANCE Cash]],5,FALSE),0)*Quantitytable[[#This Row],[NeededQuantity]]</f>
        <v>0</v>
      </c>
      <c r="I256" s="3">
        <f>SUMIF(Quantitytable[Dish],Quantitytable[[#This Row],[Dish]],Quantitytable[Cost Per Dish Per Item])</f>
        <v>0</v>
      </c>
      <c r="J256" s="18" t="s">
        <v>502</v>
      </c>
    </row>
    <row r="257" spans="2:10" x14ac:dyDescent="0.25">
      <c r="B257" s="13" t="s">
        <v>330</v>
      </c>
      <c r="C257" s="13" t="s">
        <v>25</v>
      </c>
      <c r="D257" s="13"/>
      <c r="E257" s="3">
        <f>IF(Quantitytable[[#This Row],[Units]]=0,0,SUMIFS(Quantitytable[NeededQuantity],Quantitytable[Dish],Quantitytable[[#This Row],[Dish]],Quantitytable[[Ingredient ]],Quantitytable[[#This Row],[Ingredient ]]))</f>
        <v>0</v>
      </c>
      <c r="F257" s="3">
        <f>SUMIFS(salestable[Quantity Sold],salestable[Item Name],Quantitytable[[#This Row],[Dish]])</f>
        <v>0</v>
      </c>
      <c r="G257" s="3">
        <f>'Quantity Table'!$E257*'Quantity Table'!$F257</f>
        <v>0</v>
      </c>
      <c r="H257" s="3">
        <f>_xlfn.IFNA(VLOOKUP(Quantitytable[[#This Row],[Ingredient ]],Shoppingtable[[Item Name]:[BALANCE Cash]],5,FALSE),0)*Quantitytable[[#This Row],[NeededQuantity]]</f>
        <v>0</v>
      </c>
      <c r="I257" s="3">
        <f>SUMIF(Quantitytable[Dish],Quantitytable[[#This Row],[Dish]],Quantitytable[Cost Per Dish Per Item])</f>
        <v>0</v>
      </c>
      <c r="J257" s="18" t="s">
        <v>502</v>
      </c>
    </row>
    <row r="258" spans="2:10" x14ac:dyDescent="0.25">
      <c r="B258" s="13" t="s">
        <v>620</v>
      </c>
      <c r="C258" s="13" t="s">
        <v>75</v>
      </c>
      <c r="D258" s="13">
        <v>25</v>
      </c>
      <c r="E258" s="3">
        <f>IF(Quantitytable[[#This Row],[Units]]=0,0,SUMIFS(Quantitytable[NeededQuantity],Quantitytable[Dish],Quantitytable[[#This Row],[Dish]],Quantitytable[[Ingredient ]],Quantitytable[[#This Row],[Ingredient ]]))</f>
        <v>0</v>
      </c>
      <c r="F258" s="3">
        <f>SUMIFS(salestable[Quantity Sold],salestable[Item Name],Quantitytable[[#This Row],[Dish]])</f>
        <v>0</v>
      </c>
      <c r="G258" s="3">
        <f>'Quantity Table'!$E258*'Quantity Table'!$F258</f>
        <v>0</v>
      </c>
      <c r="H258" s="3">
        <f>_xlfn.IFNA(VLOOKUP(Quantitytable[[#This Row],[Ingredient ]],Shoppingtable[[Item Name]:[BALANCE Cash]],5,FALSE),0)*Quantitytable[[#This Row],[NeededQuantity]]</f>
        <v>3.65</v>
      </c>
      <c r="I258" s="3">
        <f>SUMIF(Quantitytable[Dish],Quantitytable[[#This Row],[Dish]],Quantitytable[Cost Per Dish Per Item])</f>
        <v>23.648034682080926</v>
      </c>
      <c r="J258" s="18" t="s">
        <v>502</v>
      </c>
    </row>
    <row r="259" spans="2:10" x14ac:dyDescent="0.25">
      <c r="B259" s="13" t="s">
        <v>620</v>
      </c>
      <c r="C259" s="13" t="s">
        <v>77</v>
      </c>
      <c r="D259" s="13">
        <v>80</v>
      </c>
      <c r="E259" s="3">
        <f>IF(Quantitytable[[#This Row],[Units]]=0,0,SUMIFS(Quantitytable[NeededQuantity],Quantitytable[Dish],Quantitytable[[#This Row],[Dish]],Quantitytable[[Ingredient ]],Quantitytable[[#This Row],[Ingredient ]]))</f>
        <v>0</v>
      </c>
      <c r="F259" s="3">
        <f>SUMIFS(salestable[Quantity Sold],salestable[Item Name],Quantitytable[[#This Row],[Dish]])</f>
        <v>0</v>
      </c>
      <c r="G259" s="3">
        <f>'Quantity Table'!$E259*'Quantity Table'!$F259</f>
        <v>0</v>
      </c>
      <c r="H259" s="3">
        <f>_xlfn.IFNA(VLOOKUP(Quantitytable[[#This Row],[Ingredient ]],Shoppingtable[[Item Name]:[BALANCE Cash]],5,FALSE),0)*Quantitytable[[#This Row],[NeededQuantity]]</f>
        <v>3.3200000000000003</v>
      </c>
      <c r="I259" s="3">
        <f>SUMIF(Quantitytable[Dish],Quantitytable[[#This Row],[Dish]],Quantitytable[Cost Per Dish Per Item])</f>
        <v>23.648034682080926</v>
      </c>
      <c r="J259" s="18" t="s">
        <v>502</v>
      </c>
    </row>
    <row r="260" spans="2:10" x14ac:dyDescent="0.25">
      <c r="B260" s="13" t="s">
        <v>620</v>
      </c>
      <c r="C260" s="13" t="s">
        <v>472</v>
      </c>
      <c r="D260" s="13">
        <v>5</v>
      </c>
      <c r="E260" s="3">
        <f>IF(Quantitytable[[#This Row],[Units]]=0,0,SUMIFS(Quantitytable[NeededQuantity],Quantitytable[Dish],Quantitytable[[#This Row],[Dish]],Quantitytable[[Ingredient ]],Quantitytable[[#This Row],[Ingredient ]]))</f>
        <v>0</v>
      </c>
      <c r="F260" s="3">
        <f>SUMIFS(salestable[Quantity Sold],salestable[Item Name],Quantitytable[[#This Row],[Dish]])</f>
        <v>0</v>
      </c>
      <c r="G260" s="3">
        <f>'Quantity Table'!$E260*'Quantity Table'!$F260</f>
        <v>0</v>
      </c>
      <c r="H260" s="3">
        <f>_xlfn.IFNA(VLOOKUP(Quantitytable[[#This Row],[Ingredient ]],Shoppingtable[[Item Name]:[BALANCE Cash]],5,FALSE),0)*Quantitytable[[#This Row],[NeededQuantity]]</f>
        <v>0.57803468208092479</v>
      </c>
      <c r="I260" s="3">
        <f>SUMIF(Quantitytable[Dish],Quantitytable[[#This Row],[Dish]],Quantitytable[Cost Per Dish Per Item])</f>
        <v>23.648034682080926</v>
      </c>
      <c r="J260" s="18" t="s">
        <v>502</v>
      </c>
    </row>
    <row r="261" spans="2:10" x14ac:dyDescent="0.25">
      <c r="B261" s="13" t="s">
        <v>620</v>
      </c>
      <c r="C261" s="13" t="s">
        <v>45</v>
      </c>
      <c r="D261" s="13">
        <v>2</v>
      </c>
      <c r="E261" s="3">
        <f>IF(Quantitytable[[#This Row],[Units]]=0,0,SUMIFS(Quantitytable[NeededQuantity],Quantitytable[Dish],Quantitytable[[#This Row],[Dish]],Quantitytable[[Ingredient ]],Quantitytable[[#This Row],[Ingredient ]]))</f>
        <v>0</v>
      </c>
      <c r="F261" s="3">
        <f>SUMIFS(salestable[Quantity Sold],salestable[Item Name],Quantitytable[[#This Row],[Dish]])</f>
        <v>0</v>
      </c>
      <c r="G261" s="3">
        <f>'Quantity Table'!$E261*'Quantity Table'!$F261</f>
        <v>0</v>
      </c>
      <c r="H261" s="3">
        <f>_xlfn.IFNA(VLOOKUP(Quantitytable[[#This Row],[Ingredient ]],Shoppingtable[[Item Name]:[BALANCE Cash]],5,FALSE),0)*Quantitytable[[#This Row],[NeededQuantity]]</f>
        <v>14</v>
      </c>
      <c r="I261" s="3">
        <f>SUMIF(Quantitytable[Dish],Quantitytable[[#This Row],[Dish]],Quantitytable[Cost Per Dish Per Item])</f>
        <v>23.648034682080926</v>
      </c>
      <c r="J261" s="18" t="s">
        <v>502</v>
      </c>
    </row>
    <row r="262" spans="2:10" x14ac:dyDescent="0.25">
      <c r="B262" s="13" t="s">
        <v>620</v>
      </c>
      <c r="C262" s="13" t="s">
        <v>84</v>
      </c>
      <c r="D262" s="13">
        <v>3</v>
      </c>
      <c r="E262" s="3">
        <f>IF(Quantitytable[[#This Row],[Units]]=0,0,SUMIFS(Quantitytable[NeededQuantity],Quantitytable[Dish],Quantitytable[[#This Row],[Dish]],Quantitytable[[Ingredient ]],Quantitytable[[#This Row],[Ingredient ]]))</f>
        <v>0</v>
      </c>
      <c r="F262" s="3">
        <f>SUMIFS(salestable[Quantity Sold],salestable[Item Name],Quantitytable[[#This Row],[Dish]])</f>
        <v>0</v>
      </c>
      <c r="G262" s="3">
        <f>'Quantity Table'!$E262*'Quantity Table'!$F262</f>
        <v>0</v>
      </c>
      <c r="H262" s="3">
        <f>_xlfn.IFNA(VLOOKUP(Quantitytable[[#This Row],[Ingredient ]],Shoppingtable[[Item Name]:[BALANCE Cash]],5,FALSE),0)*Quantitytable[[#This Row],[NeededQuantity]]</f>
        <v>2.0999999999999996</v>
      </c>
      <c r="I262" s="3">
        <f>SUMIF(Quantitytable[Dish],Quantitytable[[#This Row],[Dish]],Quantitytable[Cost Per Dish Per Item])</f>
        <v>23.648034682080926</v>
      </c>
      <c r="J262" s="18" t="s">
        <v>502</v>
      </c>
    </row>
    <row r="263" spans="2:10" x14ac:dyDescent="0.25">
      <c r="B263" s="13" t="s">
        <v>600</v>
      </c>
      <c r="C263" s="13" t="s">
        <v>77</v>
      </c>
      <c r="D263" s="13">
        <v>200</v>
      </c>
      <c r="E263" s="3">
        <f>IF(Quantitytable[[#This Row],[Units]]=0,0,SUMIFS(Quantitytable[NeededQuantity],Quantitytable[Dish],Quantitytable[[#This Row],[Dish]],Quantitytable[[Ingredient ]],Quantitytable[[#This Row],[Ingredient ]]))</f>
        <v>0</v>
      </c>
      <c r="F263" s="3">
        <f>SUMIFS(salestable[Quantity Sold],salestable[Item Name],Quantitytable[[#This Row],[Dish]])</f>
        <v>0</v>
      </c>
      <c r="G263" s="3">
        <f>'Quantity Table'!$E263*'Quantity Table'!$F263</f>
        <v>0</v>
      </c>
      <c r="H263" s="3">
        <f>_xlfn.IFNA(VLOOKUP(Quantitytable[[#This Row],[Ingredient ]],Shoppingtable[[Item Name]:[BALANCE Cash]],5,FALSE),0)*Quantitytable[[#This Row],[NeededQuantity]]</f>
        <v>8.3000000000000007</v>
      </c>
      <c r="I263" s="3">
        <f>SUMIF(Quantitytable[Dish],Quantitytable[[#This Row],[Dish]],Quantitytable[Cost Per Dish Per Item])</f>
        <v>138.15106936416186</v>
      </c>
      <c r="J263" s="18" t="s">
        <v>502</v>
      </c>
    </row>
    <row r="264" spans="2:10" x14ac:dyDescent="0.25">
      <c r="B264" s="13" t="s">
        <v>600</v>
      </c>
      <c r="C264" s="13" t="s">
        <v>104</v>
      </c>
      <c r="D264" s="13">
        <v>150</v>
      </c>
      <c r="E264" s="3">
        <f>IF(Quantitytable[[#This Row],[Units]]=0,0,SUMIFS(Quantitytable[NeededQuantity],Quantitytable[Dish],Quantitytable[[#This Row],[Dish]],Quantitytable[[Ingredient ]],Quantitytable[[#This Row],[Ingredient ]]))</f>
        <v>0</v>
      </c>
      <c r="F264" s="3">
        <f>SUMIFS(salestable[Quantity Sold],salestable[Item Name],Quantitytable[[#This Row],[Dish]])</f>
        <v>0</v>
      </c>
      <c r="G264" s="3">
        <f>'Quantity Table'!$E264*'Quantity Table'!$F264</f>
        <v>0</v>
      </c>
      <c r="H264" s="3">
        <f>_xlfn.IFNA(VLOOKUP(Quantitytable[[#This Row],[Ingredient ]],Shoppingtable[[Item Name]:[BALANCE Cash]],5,FALSE),0)*Quantitytable[[#This Row],[NeededQuantity]]</f>
        <v>4.5</v>
      </c>
      <c r="I264" s="3">
        <f>SUMIF(Quantitytable[Dish],Quantitytable[[#This Row],[Dish]],Quantitytable[Cost Per Dish Per Item])</f>
        <v>138.15106936416186</v>
      </c>
      <c r="J264" s="18" t="s">
        <v>502</v>
      </c>
    </row>
    <row r="265" spans="2:10" x14ac:dyDescent="0.25">
      <c r="B265" s="13" t="s">
        <v>600</v>
      </c>
      <c r="C265" s="13" t="s">
        <v>47</v>
      </c>
      <c r="D265" s="13">
        <v>15</v>
      </c>
      <c r="E265" s="3">
        <f>IF(Quantitytable[[#This Row],[Units]]=0,0,SUMIFS(Quantitytable[NeededQuantity],Quantitytable[Dish],Quantitytable[[#This Row],[Dish]],Quantitytable[[Ingredient ]],Quantitytable[[#This Row],[Ingredient ]]))</f>
        <v>0</v>
      </c>
      <c r="F265" s="3">
        <f>SUMIFS(salestable[Quantity Sold],salestable[Item Name],Quantitytable[[#This Row],[Dish]])</f>
        <v>0</v>
      </c>
      <c r="G265" s="3">
        <f>'Quantity Table'!$E265*'Quantity Table'!$F265</f>
        <v>0</v>
      </c>
      <c r="H265" s="3">
        <f>_xlfn.IFNA(VLOOKUP(Quantitytable[[#This Row],[Ingredient ]],Shoppingtable[[Item Name]:[BALANCE Cash]],5,FALSE),0)*Quantitytable[[#This Row],[NeededQuantity]]</f>
        <v>3</v>
      </c>
      <c r="I265" s="3">
        <f>SUMIF(Quantitytable[Dish],Quantitytable[[#This Row],[Dish]],Quantitytable[Cost Per Dish Per Item])</f>
        <v>138.15106936416186</v>
      </c>
      <c r="J265" s="18" t="s">
        <v>502</v>
      </c>
    </row>
    <row r="266" spans="2:10" x14ac:dyDescent="0.25">
      <c r="B266" s="13" t="s">
        <v>600</v>
      </c>
      <c r="C266" s="13" t="s">
        <v>493</v>
      </c>
      <c r="D266" s="13">
        <v>50</v>
      </c>
      <c r="E266" s="3">
        <f>IF(Quantitytable[[#This Row],[Units]]=0,0,SUMIFS(Quantitytable[NeededQuantity],Quantitytable[Dish],Quantitytable[[#This Row],[Dish]],Quantitytable[[Ingredient ]],Quantitytable[[#This Row],[Ingredient ]]))</f>
        <v>0</v>
      </c>
      <c r="F266" s="3">
        <f>SUMIFS(salestable[Quantity Sold],salestable[Item Name],Quantitytable[[#This Row],[Dish]])</f>
        <v>0</v>
      </c>
      <c r="G266" s="3">
        <f>'Quantity Table'!$E266*'Quantity Table'!$F266</f>
        <v>0</v>
      </c>
      <c r="H266" s="3">
        <f>_xlfn.IFNA(VLOOKUP(Quantitytable[[#This Row],[Ingredient ]],Shoppingtable[[Item Name]:[BALANCE Cash]],5,FALSE),0)*Quantitytable[[#This Row],[NeededQuantity]]</f>
        <v>18</v>
      </c>
      <c r="I266" s="3">
        <f>SUMIF(Quantitytable[Dish],Quantitytable[[#This Row],[Dish]],Quantitytable[Cost Per Dish Per Item])</f>
        <v>138.15106936416186</v>
      </c>
      <c r="J266" s="18" t="s">
        <v>502</v>
      </c>
    </row>
    <row r="267" spans="2:10" x14ac:dyDescent="0.25">
      <c r="B267" s="13" t="s">
        <v>600</v>
      </c>
      <c r="C267" s="13" t="s">
        <v>472</v>
      </c>
      <c r="D267" s="13">
        <v>10</v>
      </c>
      <c r="E267" s="3">
        <f>IF(Quantitytable[[#This Row],[Units]]=0,0,SUMIFS(Quantitytable[NeededQuantity],Quantitytable[Dish],Quantitytable[[#This Row],[Dish]],Quantitytable[[Ingredient ]],Quantitytable[[#This Row],[Ingredient ]]))</f>
        <v>0</v>
      </c>
      <c r="F267" s="3">
        <f>SUMIFS(salestable[Quantity Sold],salestable[Item Name],Quantitytable[[#This Row],[Dish]])</f>
        <v>0</v>
      </c>
      <c r="G267" s="3">
        <f>'Quantity Table'!$E267*'Quantity Table'!$F267</f>
        <v>0</v>
      </c>
      <c r="H267" s="3">
        <f>_xlfn.IFNA(VLOOKUP(Quantitytable[[#This Row],[Ingredient ]],Shoppingtable[[Item Name]:[BALANCE Cash]],5,FALSE),0)*Quantitytable[[#This Row],[NeededQuantity]]</f>
        <v>1.1560693641618496</v>
      </c>
      <c r="I267" s="3">
        <f>SUMIF(Quantitytable[Dish],Quantitytable[[#This Row],[Dish]],Quantitytable[Cost Per Dish Per Item])</f>
        <v>138.15106936416186</v>
      </c>
      <c r="J267" s="18" t="s">
        <v>502</v>
      </c>
    </row>
    <row r="268" spans="2:10" x14ac:dyDescent="0.25">
      <c r="B268" s="13" t="s">
        <v>600</v>
      </c>
      <c r="C268" s="13" t="s">
        <v>423</v>
      </c>
      <c r="D268" s="13">
        <v>70</v>
      </c>
      <c r="E268" s="3">
        <f>IF(Quantitytable[[#This Row],[Units]]=0,0,SUMIFS(Quantitytable[NeededQuantity],Quantitytable[Dish],Quantitytable[[#This Row],[Dish]],Quantitytable[[Ingredient ]],Quantitytable[[#This Row],[Ingredient ]]))</f>
        <v>0</v>
      </c>
      <c r="F268" s="3">
        <f>SUMIFS(salestable[Quantity Sold],salestable[Item Name],Quantitytable[[#This Row],[Dish]])</f>
        <v>0</v>
      </c>
      <c r="G268" s="3">
        <f>'Quantity Table'!$E268*'Quantity Table'!$F268</f>
        <v>0</v>
      </c>
      <c r="H268" s="3">
        <f>_xlfn.IFNA(VLOOKUP(Quantitytable[[#This Row],[Ingredient ]],Shoppingtable[[Item Name]:[BALANCE Cash]],5,FALSE),0)*Quantitytable[[#This Row],[NeededQuantity]]</f>
        <v>26.25</v>
      </c>
      <c r="I268" s="3">
        <f>SUMIF(Quantitytable[Dish],Quantitytable[[#This Row],[Dish]],Quantitytable[Cost Per Dish Per Item])</f>
        <v>138.15106936416186</v>
      </c>
      <c r="J268" s="18" t="s">
        <v>502</v>
      </c>
    </row>
    <row r="269" spans="2:10" x14ac:dyDescent="0.25">
      <c r="B269" s="13" t="s">
        <v>600</v>
      </c>
      <c r="C269" s="13" t="s">
        <v>75</v>
      </c>
      <c r="D269" s="13">
        <v>70</v>
      </c>
      <c r="E269" s="3">
        <f>IF(Quantitytable[[#This Row],[Units]]=0,0,SUMIFS(Quantitytable[NeededQuantity],Quantitytable[Dish],Quantitytable[[#This Row],[Dish]],Quantitytable[[Ingredient ]],Quantitytable[[#This Row],[Ingredient ]]))</f>
        <v>0</v>
      </c>
      <c r="F269" s="3">
        <f>SUMIFS(salestable[Quantity Sold],salestable[Item Name],Quantitytable[[#This Row],[Dish]])</f>
        <v>0</v>
      </c>
      <c r="G269" s="3">
        <f>'Quantity Table'!$E269*'Quantity Table'!$F269</f>
        <v>0</v>
      </c>
      <c r="H269" s="3">
        <f>_xlfn.IFNA(VLOOKUP(Quantitytable[[#This Row],[Ingredient ]],Shoppingtable[[Item Name]:[BALANCE Cash]],5,FALSE),0)*Quantitytable[[#This Row],[NeededQuantity]]</f>
        <v>10.219999999999999</v>
      </c>
      <c r="I269" s="3">
        <f>SUMIF(Quantitytable[Dish],Quantitytable[[#This Row],[Dish]],Quantitytable[Cost Per Dish Per Item])</f>
        <v>138.15106936416186</v>
      </c>
      <c r="J269" s="18" t="s">
        <v>502</v>
      </c>
    </row>
    <row r="270" spans="2:10" x14ac:dyDescent="0.25">
      <c r="B270" s="13" t="s">
        <v>600</v>
      </c>
      <c r="C270" s="13" t="s">
        <v>478</v>
      </c>
      <c r="D270" s="13">
        <v>2</v>
      </c>
      <c r="E270" s="3">
        <f>IF(Quantitytable[[#This Row],[Units]]=0,0,SUMIFS(Quantitytable[NeededQuantity],Quantitytable[Dish],Quantitytable[[#This Row],[Dish]],Quantitytable[[Ingredient ]],Quantitytable[[#This Row],[Ingredient ]]))</f>
        <v>0</v>
      </c>
      <c r="F270" s="3">
        <f>SUMIFS(salestable[Quantity Sold],salestable[Item Name],Quantitytable[[#This Row],[Dish]])</f>
        <v>0</v>
      </c>
      <c r="G270" s="3">
        <f>'Quantity Table'!$E270*'Quantity Table'!$F270</f>
        <v>0</v>
      </c>
      <c r="H270" s="3">
        <f>_xlfn.IFNA(VLOOKUP(Quantitytable[[#This Row],[Ingredient ]],Shoppingtable[[Item Name]:[BALANCE Cash]],5,FALSE),0)*Quantitytable[[#This Row],[NeededQuantity]]</f>
        <v>0.5</v>
      </c>
      <c r="I270" s="3">
        <f>SUMIF(Quantitytable[Dish],Quantitytable[[#This Row],[Dish]],Quantitytable[Cost Per Dish Per Item])</f>
        <v>138.15106936416186</v>
      </c>
      <c r="J270" s="18" t="s">
        <v>502</v>
      </c>
    </row>
    <row r="271" spans="2:10" x14ac:dyDescent="0.25">
      <c r="B271" s="13" t="s">
        <v>600</v>
      </c>
      <c r="C271" s="13" t="s">
        <v>418</v>
      </c>
      <c r="D271" s="13">
        <v>4</v>
      </c>
      <c r="E271" s="3">
        <f>IF(Quantitytable[[#This Row],[Units]]=0,0,SUMIFS(Quantitytable[NeededQuantity],Quantitytable[Dish],Quantitytable[[#This Row],[Dish]],Quantitytable[[Ingredient ]],Quantitytable[[#This Row],[Ingredient ]]))</f>
        <v>0</v>
      </c>
      <c r="F271" s="3">
        <f>SUMIFS(salestable[Quantity Sold],salestable[Item Name],Quantitytable[[#This Row],[Dish]])</f>
        <v>0</v>
      </c>
      <c r="G271" s="3">
        <f>'Quantity Table'!$E271*'Quantity Table'!$F271</f>
        <v>0</v>
      </c>
      <c r="H271" s="3">
        <f>_xlfn.IFNA(VLOOKUP(Quantitytable[[#This Row],[Ingredient ]],Shoppingtable[[Item Name]:[BALANCE Cash]],5,FALSE),0)*Quantitytable[[#This Row],[NeededQuantity]]</f>
        <v>0.6</v>
      </c>
      <c r="I271" s="3">
        <f>SUMIF(Quantitytable[Dish],Quantitytable[[#This Row],[Dish]],Quantitytable[Cost Per Dish Per Item])</f>
        <v>138.15106936416186</v>
      </c>
      <c r="J271" s="18" t="s">
        <v>502</v>
      </c>
    </row>
    <row r="272" spans="2:10" x14ac:dyDescent="0.25">
      <c r="B272" s="13" t="s">
        <v>600</v>
      </c>
      <c r="C272" s="13" t="s">
        <v>601</v>
      </c>
      <c r="D272" s="13">
        <v>6</v>
      </c>
      <c r="E272" s="3">
        <f>IF(Quantitytable[[#This Row],[Units]]=0,0,SUMIFS(Quantitytable[NeededQuantity],Quantitytable[Dish],Quantitytable[[#This Row],[Dish]],Quantitytable[[Ingredient ]],Quantitytable[[#This Row],[Ingredient ]]))</f>
        <v>0</v>
      </c>
      <c r="F272" s="3">
        <f>SUMIFS(salestable[Quantity Sold],salestable[Item Name],Quantitytable[[#This Row],[Dish]])</f>
        <v>0</v>
      </c>
      <c r="G272" s="3">
        <f>'Quantity Table'!$E272*'Quantity Table'!$F272</f>
        <v>0</v>
      </c>
      <c r="H272" s="3">
        <f>_xlfn.IFNA(VLOOKUP(Quantitytable[[#This Row],[Ingredient ]],Shoppingtable[[Item Name]:[BALANCE Cash]],5,FALSE),0)*Quantitytable[[#This Row],[NeededQuantity]]</f>
        <v>65.625</v>
      </c>
      <c r="I272" s="3">
        <f>SUMIF(Quantitytable[Dish],Quantitytable[[#This Row],[Dish]],Quantitytable[Cost Per Dish Per Item])</f>
        <v>138.15106936416186</v>
      </c>
      <c r="J272" s="18" t="s">
        <v>502</v>
      </c>
    </row>
    <row r="273" spans="2:10" x14ac:dyDescent="0.25">
      <c r="B273" s="13" t="s">
        <v>309</v>
      </c>
      <c r="C273" s="13" t="s">
        <v>45</v>
      </c>
      <c r="D273" s="13"/>
      <c r="E273" s="3">
        <f>IF(Quantitytable[[#This Row],[Units]]=0,0,SUMIFS(Quantitytable[NeededQuantity],Quantitytable[Dish],Quantitytable[[#This Row],[Dish]],Quantitytable[[Ingredient ]],Quantitytable[[#This Row],[Ingredient ]]))</f>
        <v>0</v>
      </c>
      <c r="F273" s="3">
        <f>SUMIFS(salestable[Quantity Sold],salestable[Item Name],Quantitytable[[#This Row],[Dish]])</f>
        <v>0</v>
      </c>
      <c r="G273" s="3">
        <f>'Quantity Table'!$E273*'Quantity Table'!$F273</f>
        <v>0</v>
      </c>
      <c r="H273" s="3">
        <f>_xlfn.IFNA(VLOOKUP(Quantitytable[[#This Row],[Ingredient ]],Shoppingtable[[Item Name]:[BALANCE Cash]],5,FALSE),0)*Quantitytable[[#This Row],[NeededQuantity]]</f>
        <v>0</v>
      </c>
      <c r="I273" s="3">
        <f>SUMIF(Quantitytable[Dish],Quantitytable[[#This Row],[Dish]],Quantitytable[Cost Per Dish Per Item])</f>
        <v>0</v>
      </c>
      <c r="J273" s="18" t="s">
        <v>502</v>
      </c>
    </row>
    <row r="274" spans="2:10" x14ac:dyDescent="0.25">
      <c r="B274" s="13" t="s">
        <v>309</v>
      </c>
      <c r="C274" s="13" t="s">
        <v>47</v>
      </c>
      <c r="D274" s="13"/>
      <c r="E274" s="3">
        <f>IF(Quantitytable[[#This Row],[Units]]=0,0,SUMIFS(Quantitytable[NeededQuantity],Quantitytable[Dish],Quantitytable[[#This Row],[Dish]],Quantitytable[[Ingredient ]],Quantitytable[[#This Row],[Ingredient ]]))</f>
        <v>0</v>
      </c>
      <c r="F274" s="3">
        <f>SUMIFS(salestable[Quantity Sold],salestable[Item Name],Quantitytable[[#This Row],[Dish]])</f>
        <v>0</v>
      </c>
      <c r="G274" s="3">
        <f>'Quantity Table'!$E274*'Quantity Table'!$F274</f>
        <v>0</v>
      </c>
      <c r="H274" s="3">
        <f>_xlfn.IFNA(VLOOKUP(Quantitytable[[#This Row],[Ingredient ]],Shoppingtable[[Item Name]:[BALANCE Cash]],5,FALSE),0)*Quantitytable[[#This Row],[NeededQuantity]]</f>
        <v>0</v>
      </c>
      <c r="I274" s="3">
        <f>SUMIF(Quantitytable[Dish],Quantitytable[[#This Row],[Dish]],Quantitytable[Cost Per Dish Per Item])</f>
        <v>0</v>
      </c>
      <c r="J274" s="18" t="s">
        <v>502</v>
      </c>
    </row>
    <row r="275" spans="2:10" x14ac:dyDescent="0.25">
      <c r="B275" s="13" t="s">
        <v>309</v>
      </c>
      <c r="C275" s="13" t="s">
        <v>25</v>
      </c>
      <c r="D275" s="13"/>
      <c r="E275" s="3">
        <f>IF(Quantitytable[[#This Row],[Units]]=0,0,SUMIFS(Quantitytable[NeededQuantity],Quantitytable[Dish],Quantitytable[[#This Row],[Dish]],Quantitytable[[Ingredient ]],Quantitytable[[#This Row],[Ingredient ]]))</f>
        <v>0</v>
      </c>
      <c r="F275" s="3">
        <f>SUMIFS(salestable[Quantity Sold],salestable[Item Name],Quantitytable[[#This Row],[Dish]])</f>
        <v>0</v>
      </c>
      <c r="G275" s="3">
        <f>'Quantity Table'!$E275*'Quantity Table'!$F275</f>
        <v>0</v>
      </c>
      <c r="H275" s="3">
        <f>_xlfn.IFNA(VLOOKUP(Quantitytable[[#This Row],[Ingredient ]],Shoppingtable[[Item Name]:[BALANCE Cash]],5,FALSE),0)*Quantitytable[[#This Row],[NeededQuantity]]</f>
        <v>0</v>
      </c>
      <c r="I275" s="3">
        <f>SUMIF(Quantitytable[Dish],Quantitytable[[#This Row],[Dish]],Quantitytable[Cost Per Dish Per Item])</f>
        <v>0</v>
      </c>
      <c r="J275" s="18" t="s">
        <v>502</v>
      </c>
    </row>
    <row r="276" spans="2:10" x14ac:dyDescent="0.25">
      <c r="B276" s="13" t="s">
        <v>316</v>
      </c>
      <c r="C276" s="13" t="s">
        <v>45</v>
      </c>
      <c r="D276" s="13"/>
      <c r="E276" s="3">
        <f>IF(Quantitytable[[#This Row],[Units]]=0,0,SUMIFS(Quantitytable[NeededQuantity],Quantitytable[Dish],Quantitytable[[#This Row],[Dish]],Quantitytable[[Ingredient ]],Quantitytable[[#This Row],[Ingredient ]]))</f>
        <v>0</v>
      </c>
      <c r="F276" s="3">
        <f>SUMIFS(salestable[Quantity Sold],salestable[Item Name],Quantitytable[[#This Row],[Dish]])</f>
        <v>0</v>
      </c>
      <c r="G276" s="3">
        <f>'Quantity Table'!$E276*'Quantity Table'!$F276</f>
        <v>0</v>
      </c>
      <c r="H276" s="3">
        <f>_xlfn.IFNA(VLOOKUP(Quantitytable[[#This Row],[Ingredient ]],Shoppingtable[[Item Name]:[BALANCE Cash]],5,FALSE),0)*Quantitytable[[#This Row],[NeededQuantity]]</f>
        <v>0</v>
      </c>
      <c r="I276" s="3">
        <f>SUMIF(Quantitytable[Dish],Quantitytable[[#This Row],[Dish]],Quantitytable[Cost Per Dish Per Item])</f>
        <v>0</v>
      </c>
      <c r="J276" s="18" t="s">
        <v>502</v>
      </c>
    </row>
    <row r="277" spans="2:10" x14ac:dyDescent="0.25">
      <c r="B277" s="13" t="s">
        <v>316</v>
      </c>
      <c r="C277" s="13" t="s">
        <v>47</v>
      </c>
      <c r="D277" s="13"/>
      <c r="E277" s="3">
        <f>IF(Quantitytable[[#This Row],[Units]]=0,0,SUMIFS(Quantitytable[NeededQuantity],Quantitytable[Dish],Quantitytable[[#This Row],[Dish]],Quantitytable[[Ingredient ]],Quantitytable[[#This Row],[Ingredient ]]))</f>
        <v>0</v>
      </c>
      <c r="F277" s="3">
        <f>SUMIFS(salestable[Quantity Sold],salestable[Item Name],Quantitytable[[#This Row],[Dish]])</f>
        <v>0</v>
      </c>
      <c r="G277" s="3">
        <f>'Quantity Table'!$E277*'Quantity Table'!$F277</f>
        <v>0</v>
      </c>
      <c r="H277" s="3">
        <f>_xlfn.IFNA(VLOOKUP(Quantitytable[[#This Row],[Ingredient ]],Shoppingtable[[Item Name]:[BALANCE Cash]],5,FALSE),0)*Quantitytable[[#This Row],[NeededQuantity]]</f>
        <v>0</v>
      </c>
      <c r="I277" s="3">
        <f>SUMIF(Quantitytable[Dish],Quantitytable[[#This Row],[Dish]],Quantitytable[Cost Per Dish Per Item])</f>
        <v>0</v>
      </c>
      <c r="J277" s="18" t="s">
        <v>502</v>
      </c>
    </row>
    <row r="278" spans="2:10" x14ac:dyDescent="0.25">
      <c r="B278" s="13" t="s">
        <v>316</v>
      </c>
      <c r="C278" s="13" t="s">
        <v>50</v>
      </c>
      <c r="D278" s="13"/>
      <c r="E278" s="3">
        <f>IF(Quantitytable[[#This Row],[Units]]=0,0,SUMIFS(Quantitytable[NeededQuantity],Quantitytable[Dish],Quantitytable[[#This Row],[Dish]],Quantitytable[[Ingredient ]],Quantitytable[[#This Row],[Ingredient ]]))</f>
        <v>0</v>
      </c>
      <c r="F278" s="3">
        <f>SUMIFS(salestable[Quantity Sold],salestable[Item Name],Quantitytable[[#This Row],[Dish]])</f>
        <v>0</v>
      </c>
      <c r="G278" s="3">
        <f>'Quantity Table'!$E278*'Quantity Table'!$F278</f>
        <v>0</v>
      </c>
      <c r="H278" s="3">
        <f>_xlfn.IFNA(VLOOKUP(Quantitytable[[#This Row],[Ingredient ]],Shoppingtable[[Item Name]:[BALANCE Cash]],5,FALSE),0)*Quantitytable[[#This Row],[NeededQuantity]]</f>
        <v>0</v>
      </c>
      <c r="I278" s="3">
        <f>SUMIF(Quantitytable[Dish],Quantitytable[[#This Row],[Dish]],Quantitytable[Cost Per Dish Per Item])</f>
        <v>0</v>
      </c>
      <c r="J278" s="18" t="s">
        <v>502</v>
      </c>
    </row>
    <row r="279" spans="2:10" x14ac:dyDescent="0.25">
      <c r="B279" s="13" t="s">
        <v>126</v>
      </c>
      <c r="C279" s="13" t="s">
        <v>48</v>
      </c>
      <c r="D279" s="13">
        <v>10</v>
      </c>
      <c r="E279" s="3">
        <f>IF(Quantitytable[[#This Row],[Units]]=0,0,SUMIFS(Quantitytable[NeededQuantity],Quantitytable[Dish],Quantitytable[[#This Row],[Dish]],Quantitytable[[Ingredient ]],Quantitytable[[#This Row],[Ingredient ]]))</f>
        <v>0</v>
      </c>
      <c r="F279" s="3">
        <f>SUMIFS(salestable[Quantity Sold],salestable[Item Name],Quantitytable[[#This Row],[Dish]])</f>
        <v>0</v>
      </c>
      <c r="G279" s="3">
        <f>'Quantity Table'!$E279*'Quantity Table'!$F279</f>
        <v>0</v>
      </c>
      <c r="H279" s="3">
        <f>_xlfn.IFNA(VLOOKUP(Quantitytable[[#This Row],[Ingredient ]],Shoppingtable[[Item Name]:[BALANCE Cash]],5,FALSE),0)*Quantitytable[[#This Row],[NeededQuantity]]</f>
        <v>7.4</v>
      </c>
      <c r="I279" s="3">
        <f>SUMIF(Quantitytable[Dish],Quantitytable[[#This Row],[Dish]],Quantitytable[Cost Per Dish Per Item])</f>
        <v>25.248901098901101</v>
      </c>
      <c r="J279" s="18" t="s">
        <v>502</v>
      </c>
    </row>
    <row r="280" spans="2:10" x14ac:dyDescent="0.25">
      <c r="B280" s="13" t="s">
        <v>126</v>
      </c>
      <c r="C280" s="13" t="s">
        <v>576</v>
      </c>
      <c r="D280" s="13">
        <v>50</v>
      </c>
      <c r="E280" s="3">
        <f>IF(Quantitytable[[#This Row],[Units]]=0,0,SUMIFS(Quantitytable[NeededQuantity],Quantitytable[Dish],Quantitytable[[#This Row],[Dish]],Quantitytable[[Ingredient ]],Quantitytable[[#This Row],[Ingredient ]]))</f>
        <v>0</v>
      </c>
      <c r="F280" s="3">
        <f>SUMIFS(salestable[Quantity Sold],salestable[Item Name],Quantitytable[[#This Row],[Dish]])</f>
        <v>0</v>
      </c>
      <c r="G280" s="3">
        <f>'Quantity Table'!$E280*'Quantity Table'!$F280</f>
        <v>0</v>
      </c>
      <c r="H280" s="3">
        <f>_xlfn.IFNA(VLOOKUP(Quantitytable[[#This Row],[Ingredient ]],Shoppingtable[[Item Name]:[BALANCE Cash]],5,FALSE),0)*Quantitytable[[#This Row],[NeededQuantity]]</f>
        <v>2.9166666666666665</v>
      </c>
      <c r="I280" s="3">
        <f>SUMIF(Quantitytable[Dish],Quantitytable[[#This Row],[Dish]],Quantitytable[Cost Per Dish Per Item])</f>
        <v>25.248901098901101</v>
      </c>
      <c r="J280" s="18" t="s">
        <v>502</v>
      </c>
    </row>
    <row r="281" spans="2:10" x14ac:dyDescent="0.25">
      <c r="B281" s="13" t="s">
        <v>126</v>
      </c>
      <c r="C281" s="13" t="s">
        <v>577</v>
      </c>
      <c r="D281" s="13">
        <v>50</v>
      </c>
      <c r="E281" s="3">
        <f>IF(Quantitytable[[#This Row],[Units]]=0,0,SUMIFS(Quantitytable[NeededQuantity],Quantitytable[Dish],Quantitytable[[#This Row],[Dish]],Quantitytable[[Ingredient ]],Quantitytable[[#This Row],[Ingredient ]]))</f>
        <v>0</v>
      </c>
      <c r="F281" s="3">
        <f>SUMIFS(salestable[Quantity Sold],salestable[Item Name],Quantitytable[[#This Row],[Dish]])</f>
        <v>0</v>
      </c>
      <c r="G281" s="3">
        <f>'Quantity Table'!$E281*'Quantity Table'!$F281</f>
        <v>0</v>
      </c>
      <c r="H281" s="3">
        <f>_xlfn.IFNA(VLOOKUP(Quantitytable[[#This Row],[Ingredient ]],Shoppingtable[[Item Name]:[BALANCE Cash]],5,FALSE),0)*Quantitytable[[#This Row],[NeededQuantity]]</f>
        <v>2.8846153846153846</v>
      </c>
      <c r="I281" s="3">
        <f>SUMIF(Quantitytable[Dish],Quantitytable[[#This Row],[Dish]],Quantitytable[Cost Per Dish Per Item])</f>
        <v>25.248901098901101</v>
      </c>
      <c r="J281" s="18" t="s">
        <v>502</v>
      </c>
    </row>
    <row r="282" spans="2:10" x14ac:dyDescent="0.25">
      <c r="B282" s="13" t="s">
        <v>126</v>
      </c>
      <c r="C282" s="13" t="s">
        <v>98</v>
      </c>
      <c r="D282" s="13">
        <v>80</v>
      </c>
      <c r="E282" s="3">
        <f>IF(Quantitytable[[#This Row],[Units]]=0,0,SUMIFS(Quantitytable[NeededQuantity],Quantitytable[Dish],Quantitytable[[#This Row],[Dish]],Quantitytable[[Ingredient ]],Quantitytable[[#This Row],[Ingredient ]]))</f>
        <v>0</v>
      </c>
      <c r="F282" s="3">
        <f>SUMIFS(salestable[Quantity Sold],salestable[Item Name],Quantitytable[[#This Row],[Dish]])</f>
        <v>0</v>
      </c>
      <c r="G282" s="3">
        <f>'Quantity Table'!$E282*'Quantity Table'!$F282</f>
        <v>0</v>
      </c>
      <c r="H282" s="3">
        <f>_xlfn.IFNA(VLOOKUP(Quantitytable[[#This Row],[Ingredient ]],Shoppingtable[[Item Name]:[BALANCE Cash]],5,FALSE),0)*Quantitytable[[#This Row],[NeededQuantity]]</f>
        <v>4.3333333333333339</v>
      </c>
      <c r="I282" s="3">
        <f>SUMIF(Quantitytable[Dish],Quantitytable[[#This Row],[Dish]],Quantitytable[Cost Per Dish Per Item])</f>
        <v>25.248901098901101</v>
      </c>
      <c r="J282" s="18" t="s">
        <v>502</v>
      </c>
    </row>
    <row r="283" spans="2:10" x14ac:dyDescent="0.25">
      <c r="B283" s="13" t="s">
        <v>126</v>
      </c>
      <c r="C283" s="13" t="s">
        <v>44</v>
      </c>
      <c r="D283" s="13">
        <v>270</v>
      </c>
      <c r="E283" s="3">
        <f>IF(Quantitytable[[#This Row],[Units]]=0,0,SUMIFS(Quantitytable[NeededQuantity],Quantitytable[Dish],Quantitytable[[#This Row],[Dish]],Quantitytable[[Ingredient ]],Quantitytable[[#This Row],[Ingredient ]]))</f>
        <v>0</v>
      </c>
      <c r="F283" s="3">
        <f>SUMIFS(salestable[Quantity Sold],salestable[Item Name],Quantitytable[[#This Row],[Dish]])</f>
        <v>0</v>
      </c>
      <c r="G283" s="3">
        <f>'Quantity Table'!$E283*'Quantity Table'!$F283</f>
        <v>0</v>
      </c>
      <c r="H283" s="3">
        <f>_xlfn.IFNA(VLOOKUP(Quantitytable[[#This Row],[Ingredient ]],Shoppingtable[[Item Name]:[BALANCE Cash]],5,FALSE),0)*Quantitytable[[#This Row],[NeededQuantity]]</f>
        <v>7.7142857142857144</v>
      </c>
      <c r="I283" s="3">
        <f>SUMIF(Quantitytable[Dish],Quantitytable[[#This Row],[Dish]],Quantitytable[Cost Per Dish Per Item])</f>
        <v>25.248901098901101</v>
      </c>
      <c r="J283" s="18" t="s">
        <v>502</v>
      </c>
    </row>
    <row r="284" spans="2:10" x14ac:dyDescent="0.25">
      <c r="B284" s="13" t="s">
        <v>641</v>
      </c>
      <c r="C284" s="13" t="s">
        <v>48</v>
      </c>
      <c r="D284" s="13">
        <v>10</v>
      </c>
      <c r="E284" s="3">
        <f>IF(Quantitytable[[#This Row],[Units]]=0,0,SUMIFS(Quantitytable[NeededQuantity],Quantitytable[Dish],Quantitytable[[#This Row],[Dish]],Quantitytable[[Ingredient ]],Quantitytable[[#This Row],[Ingredient ]]))</f>
        <v>0</v>
      </c>
      <c r="F284" s="3">
        <f>SUMIFS(salestable[Quantity Sold],salestable[Item Name],Quantitytable[[#This Row],[Dish]])</f>
        <v>0</v>
      </c>
      <c r="G284" s="3">
        <f>'Quantity Table'!$E284*'Quantity Table'!$F284</f>
        <v>0</v>
      </c>
      <c r="H284" s="3">
        <f>_xlfn.IFNA(VLOOKUP(Quantitytable[[#This Row],[Ingredient ]],Shoppingtable[[Item Name]:[BALANCE Cash]],5,FALSE),0)*Quantitytable[[#This Row],[NeededQuantity]]</f>
        <v>7.4</v>
      </c>
      <c r="I284" s="3">
        <f>SUMIF(Quantitytable[Dish],Quantitytable[[#This Row],[Dish]],Quantitytable[Cost Per Dish Per Item])</f>
        <v>37.194285714285712</v>
      </c>
      <c r="J284" s="18" t="s">
        <v>502</v>
      </c>
    </row>
    <row r="285" spans="2:10" x14ac:dyDescent="0.25">
      <c r="B285" s="13" t="s">
        <v>641</v>
      </c>
      <c r="C285" s="13" t="s">
        <v>163</v>
      </c>
      <c r="D285" s="13">
        <v>100</v>
      </c>
      <c r="E285" s="3">
        <f>IF(Quantitytable[[#This Row],[Units]]=0,0,SUMIFS(Quantitytable[NeededQuantity],Quantitytable[Dish],Quantitytable[[#This Row],[Dish]],Quantitytable[[Ingredient ]],Quantitytable[[#This Row],[Ingredient ]]))</f>
        <v>0</v>
      </c>
      <c r="F285" s="3">
        <f>SUMIFS(salestable[Quantity Sold],salestable[Item Name],Quantitytable[[#This Row],[Dish]])</f>
        <v>0</v>
      </c>
      <c r="G285" s="3">
        <f>'Quantity Table'!$E285*'Quantity Table'!$F285</f>
        <v>0</v>
      </c>
      <c r="H285" s="3">
        <f>_xlfn.IFNA(VLOOKUP(Quantitytable[[#This Row],[Ingredient ]],Shoppingtable[[Item Name]:[BALANCE Cash]],5,FALSE),0)*Quantitytable[[#This Row],[NeededQuantity]]</f>
        <v>22.08</v>
      </c>
      <c r="I285" s="3">
        <f>SUMIF(Quantitytable[Dish],Quantitytable[[#This Row],[Dish]],Quantitytable[Cost Per Dish Per Item])</f>
        <v>37.194285714285712</v>
      </c>
      <c r="J285" s="18" t="s">
        <v>502</v>
      </c>
    </row>
    <row r="286" spans="2:10" x14ac:dyDescent="0.25">
      <c r="B286" s="13" t="s">
        <v>641</v>
      </c>
      <c r="C286" s="13" t="s">
        <v>44</v>
      </c>
      <c r="D286" s="13">
        <v>270</v>
      </c>
      <c r="E286" s="3">
        <f>IF(Quantitytable[[#This Row],[Units]]=0,0,SUMIFS(Quantitytable[NeededQuantity],Quantitytable[Dish],Quantitytable[[#This Row],[Dish]],Quantitytable[[Ingredient ]],Quantitytable[[#This Row],[Ingredient ]]))</f>
        <v>0</v>
      </c>
      <c r="F286" s="3">
        <f>SUMIFS(salestable[Quantity Sold],salestable[Item Name],Quantitytable[[#This Row],[Dish]])</f>
        <v>0</v>
      </c>
      <c r="G286" s="3">
        <f>'Quantity Table'!$E286*'Quantity Table'!$F286</f>
        <v>0</v>
      </c>
      <c r="H286" s="3">
        <f>_xlfn.IFNA(VLOOKUP(Quantitytable[[#This Row],[Ingredient ]],Shoppingtable[[Item Name]:[BALANCE Cash]],5,FALSE),0)*Quantitytable[[#This Row],[NeededQuantity]]</f>
        <v>7.7142857142857144</v>
      </c>
      <c r="I286" s="3">
        <f>SUMIF(Quantitytable[Dish],Quantitytable[[#This Row],[Dish]],Quantitytable[Cost Per Dish Per Item])</f>
        <v>37.194285714285712</v>
      </c>
      <c r="J286" s="18" t="s">
        <v>502</v>
      </c>
    </row>
    <row r="287" spans="2:10" x14ac:dyDescent="0.25">
      <c r="B287" s="13" t="s">
        <v>664</v>
      </c>
      <c r="C287" s="13" t="s">
        <v>48</v>
      </c>
      <c r="D287" s="13">
        <v>10</v>
      </c>
      <c r="E287" s="3">
        <f>IF(Quantitytable[[#This Row],[Units]]=0,0,SUMIFS(Quantitytable[NeededQuantity],Quantitytable[Dish],Quantitytable[[#This Row],[Dish]],Quantitytable[[Ingredient ]],Quantitytable[[#This Row],[Ingredient ]]))</f>
        <v>0</v>
      </c>
      <c r="F287" s="3">
        <f>SUMIFS(salestable[Quantity Sold],salestable[Item Name],Quantitytable[[#This Row],[Dish]])</f>
        <v>0</v>
      </c>
      <c r="G287" s="3">
        <f>'Quantity Table'!$E287*'Quantity Table'!$F287</f>
        <v>0</v>
      </c>
      <c r="H287" s="3">
        <f>_xlfn.IFNA(VLOOKUP(Quantitytable[[#This Row],[Ingredient ]],Shoppingtable[[Item Name]:[BALANCE Cash]],5,FALSE),0)*Quantitytable[[#This Row],[NeededQuantity]]</f>
        <v>7.4</v>
      </c>
      <c r="I287" s="3">
        <f>SUMIF(Quantitytable[Dish],Quantitytable[[#This Row],[Dish]],Quantitytable[Cost Per Dish Per Item])</f>
        <v>19.551785714285714</v>
      </c>
      <c r="J287" s="18" t="s">
        <v>502</v>
      </c>
    </row>
    <row r="288" spans="2:10" x14ac:dyDescent="0.25">
      <c r="B288" s="13" t="s">
        <v>664</v>
      </c>
      <c r="C288" s="13" t="s">
        <v>600</v>
      </c>
      <c r="D288" s="13">
        <v>50</v>
      </c>
      <c r="E288" s="3">
        <f>IF(Quantitytable[[#This Row],[Units]]=0,0,SUMIFS(Quantitytable[NeededQuantity],Quantitytable[Dish],Quantitytable[[#This Row],[Dish]],Quantitytable[[Ingredient ]],Quantitytable[[#This Row],[Ingredient ]]))</f>
        <v>0</v>
      </c>
      <c r="F288" s="3">
        <f>SUMIFS(salestable[Quantity Sold],salestable[Item Name],Quantitytable[[#This Row],[Dish]])</f>
        <v>0</v>
      </c>
      <c r="G288" s="3">
        <f>'Quantity Table'!$E288*'Quantity Table'!$F288</f>
        <v>0</v>
      </c>
      <c r="H288" s="3">
        <f>_xlfn.IFNA(VLOOKUP(Quantitytable[[#This Row],[Ingredient ]],Shoppingtable[[Item Name]:[BALANCE Cash]],5,FALSE),0)*Quantitytable[[#This Row],[NeededQuantity]]</f>
        <v>4.4375</v>
      </c>
      <c r="I288" s="3">
        <f>SUMIF(Quantitytable[Dish],Quantitytable[[#This Row],[Dish]],Quantitytable[Cost Per Dish Per Item])</f>
        <v>19.551785714285714</v>
      </c>
      <c r="J288" s="18" t="s">
        <v>502</v>
      </c>
    </row>
    <row r="289" spans="2:10" x14ac:dyDescent="0.25">
      <c r="B289" s="13" t="s">
        <v>664</v>
      </c>
      <c r="C289" s="13" t="s">
        <v>44</v>
      </c>
      <c r="D289" s="13">
        <v>270</v>
      </c>
      <c r="E289" s="3">
        <f>IF(Quantitytable[[#This Row],[Units]]=0,0,SUMIFS(Quantitytable[NeededQuantity],Quantitytable[Dish],Quantitytable[[#This Row],[Dish]],Quantitytable[[Ingredient ]],Quantitytable[[#This Row],[Ingredient ]]))</f>
        <v>0</v>
      </c>
      <c r="F289" s="3">
        <f>SUMIFS(salestable[Quantity Sold],salestable[Item Name],Quantitytable[[#This Row],[Dish]])</f>
        <v>0</v>
      </c>
      <c r="G289" s="3">
        <f>'Quantity Table'!$E289*'Quantity Table'!$F289</f>
        <v>0</v>
      </c>
      <c r="H289" s="3">
        <f>_xlfn.IFNA(VLOOKUP(Quantitytable[[#This Row],[Ingredient ]],Shoppingtable[[Item Name]:[BALANCE Cash]],5,FALSE),0)*Quantitytable[[#This Row],[NeededQuantity]]</f>
        <v>7.7142857142857144</v>
      </c>
      <c r="I289" s="3">
        <f>SUMIF(Quantitytable[Dish],Quantitytable[[#This Row],[Dish]],Quantitytable[Cost Per Dish Per Item])</f>
        <v>19.551785714285714</v>
      </c>
      <c r="J289" s="18" t="s">
        <v>502</v>
      </c>
    </row>
    <row r="290" spans="2:10" x14ac:dyDescent="0.25">
      <c r="B290" s="13" t="s">
        <v>543</v>
      </c>
      <c r="C290" s="13" t="s">
        <v>48</v>
      </c>
      <c r="D290" s="13">
        <v>12</v>
      </c>
      <c r="E290" s="3">
        <f>IF(Quantitytable[[#This Row],[Units]]=0,0,SUMIFS(Quantitytable[NeededQuantity],Quantitytable[Dish],Quantitytable[[#This Row],[Dish]],Quantitytable[[Ingredient ]],Quantitytable[[#This Row],[Ingredient ]]))</f>
        <v>0</v>
      </c>
      <c r="F290" s="3">
        <f>SUMIFS(salestable[Quantity Sold],salestable[Item Name],Quantitytable[[#This Row],[Dish]])</f>
        <v>0</v>
      </c>
      <c r="G290" s="3">
        <f>'Quantity Table'!$E290*'Quantity Table'!$F290</f>
        <v>0</v>
      </c>
      <c r="H290" s="3">
        <f>_xlfn.IFNA(VLOOKUP(Quantitytable[[#This Row],[Ingredient ]],Shoppingtable[[Item Name]:[BALANCE Cash]],5,FALSE),0)*Quantitytable[[#This Row],[NeededQuantity]]</f>
        <v>8.879999999999999</v>
      </c>
      <c r="I290" s="3">
        <f>SUMIF(Quantitytable[Dish],Quantitytable[[#This Row],[Dish]],Quantitytable[Cost Per Dish Per Item])</f>
        <v>23.014615384615382</v>
      </c>
      <c r="J290" s="18" t="s">
        <v>502</v>
      </c>
    </row>
    <row r="291" spans="2:10" x14ac:dyDescent="0.25">
      <c r="B291" s="13" t="s">
        <v>543</v>
      </c>
      <c r="C291" s="13" t="s">
        <v>577</v>
      </c>
      <c r="D291" s="13">
        <v>50</v>
      </c>
      <c r="E291" s="3">
        <f>IF(Quantitytable[[#This Row],[Units]]=0,0,SUMIFS(Quantitytable[NeededQuantity],Quantitytable[Dish],Quantitytable[[#This Row],[Dish]],Quantitytable[[Ingredient ]],Quantitytable[[#This Row],[Ingredient ]]))</f>
        <v>0</v>
      </c>
      <c r="F291" s="3">
        <f>SUMIFS(salestable[Quantity Sold],salestable[Item Name],Quantitytable[[#This Row],[Dish]])</f>
        <v>0</v>
      </c>
      <c r="G291" s="3">
        <f>'Quantity Table'!$E291*'Quantity Table'!$F291</f>
        <v>0</v>
      </c>
      <c r="H291" s="3">
        <f>_xlfn.IFNA(VLOOKUP(Quantitytable[[#This Row],[Ingredient ]],Shoppingtable[[Item Name]:[BALANCE Cash]],5,FALSE),0)*Quantitytable[[#This Row],[NeededQuantity]]</f>
        <v>2.8846153846153846</v>
      </c>
      <c r="I291" s="3">
        <f>SUMIF(Quantitytable[Dish],Quantitytable[[#This Row],[Dish]],Quantitytable[Cost Per Dish Per Item])</f>
        <v>23.014615384615382</v>
      </c>
      <c r="J291" s="18" t="s">
        <v>502</v>
      </c>
    </row>
    <row r="292" spans="2:10" x14ac:dyDescent="0.25">
      <c r="B292" s="13" t="s">
        <v>543</v>
      </c>
      <c r="C292" s="13" t="s">
        <v>576</v>
      </c>
      <c r="D292" s="13">
        <v>50</v>
      </c>
      <c r="E292" s="3">
        <f>IF(Quantitytable[[#This Row],[Units]]=0,0,SUMIFS(Quantitytable[NeededQuantity],Quantitytable[Dish],Quantitytable[[#This Row],[Dish]],Quantitytable[[Ingredient ]],Quantitytable[[#This Row],[Ingredient ]]))</f>
        <v>0</v>
      </c>
      <c r="F292" s="3">
        <f>SUMIFS(salestable[Quantity Sold],salestable[Item Name],Quantitytable[[#This Row],[Dish]])</f>
        <v>0</v>
      </c>
      <c r="G292" s="3">
        <f>'Quantity Table'!$E292*'Quantity Table'!$F292</f>
        <v>0</v>
      </c>
      <c r="H292" s="3">
        <f>_xlfn.IFNA(VLOOKUP(Quantitytable[[#This Row],[Ingredient ]],Shoppingtable[[Item Name]:[BALANCE Cash]],5,FALSE),0)*Quantitytable[[#This Row],[NeededQuantity]]</f>
        <v>2.9166666666666665</v>
      </c>
      <c r="I292" s="3">
        <f>SUMIF(Quantitytable[Dish],Quantitytable[[#This Row],[Dish]],Quantitytable[Cost Per Dish Per Item])</f>
        <v>23.014615384615382</v>
      </c>
      <c r="J292" s="18" t="s">
        <v>502</v>
      </c>
    </row>
    <row r="293" spans="2:10" x14ac:dyDescent="0.25">
      <c r="B293" s="13" t="s">
        <v>543</v>
      </c>
      <c r="C293" s="13" t="s">
        <v>98</v>
      </c>
      <c r="D293" s="13">
        <v>80</v>
      </c>
      <c r="E293" s="3">
        <f>IF(Quantitytable[[#This Row],[Units]]=0,0,SUMIFS(Quantitytable[NeededQuantity],Quantitytable[Dish],Quantitytable[[#This Row],[Dish]],Quantitytable[[Ingredient ]],Quantitytable[[#This Row],[Ingredient ]]))</f>
        <v>0</v>
      </c>
      <c r="F293" s="3">
        <f>SUMIFS(salestable[Quantity Sold],salestable[Item Name],Quantitytable[[#This Row],[Dish]])</f>
        <v>0</v>
      </c>
      <c r="G293" s="3">
        <f>'Quantity Table'!$E293*'Quantity Table'!$F293</f>
        <v>0</v>
      </c>
      <c r="H293" s="3">
        <f>_xlfn.IFNA(VLOOKUP(Quantitytable[[#This Row],[Ingredient ]],Shoppingtable[[Item Name]:[BALANCE Cash]],5,FALSE),0)*Quantitytable[[#This Row],[NeededQuantity]]</f>
        <v>4.3333333333333339</v>
      </c>
      <c r="I293" s="3">
        <f>SUMIF(Quantitytable[Dish],Quantitytable[[#This Row],[Dish]],Quantitytable[Cost Per Dish Per Item])</f>
        <v>23.014615384615382</v>
      </c>
      <c r="J293" s="18" t="s">
        <v>502</v>
      </c>
    </row>
    <row r="294" spans="2:10" x14ac:dyDescent="0.25">
      <c r="B294" s="13" t="s">
        <v>543</v>
      </c>
      <c r="C294" s="13" t="s">
        <v>44</v>
      </c>
      <c r="D294" s="13">
        <v>140</v>
      </c>
      <c r="E294" s="3">
        <f>IF(Quantitytable[[#This Row],[Units]]=0,0,SUMIFS(Quantitytable[NeededQuantity],Quantitytable[Dish],Quantitytable[[#This Row],[Dish]],Quantitytable[[Ingredient ]],Quantitytable[[#This Row],[Ingredient ]]))</f>
        <v>0</v>
      </c>
      <c r="F294" s="3">
        <f>SUMIFS(salestable[Quantity Sold],salestable[Item Name],Quantitytable[[#This Row],[Dish]])</f>
        <v>0</v>
      </c>
      <c r="G294" s="3">
        <f>'Quantity Table'!$E294*'Quantity Table'!$F294</f>
        <v>0</v>
      </c>
      <c r="H294" s="3">
        <f>_xlfn.IFNA(VLOOKUP(Quantitytable[[#This Row],[Ingredient ]],Shoppingtable[[Item Name]:[BALANCE Cash]],5,FALSE),0)*Quantitytable[[#This Row],[NeededQuantity]]</f>
        <v>4</v>
      </c>
      <c r="I294" s="3">
        <f>SUMIF(Quantitytable[Dish],Quantitytable[[#This Row],[Dish]],Quantitytable[Cost Per Dish Per Item])</f>
        <v>23.014615384615382</v>
      </c>
      <c r="J294" s="18" t="s">
        <v>502</v>
      </c>
    </row>
    <row r="295" spans="2:10" x14ac:dyDescent="0.25">
      <c r="B295" s="13" t="s">
        <v>642</v>
      </c>
      <c r="C295" s="13" t="s">
        <v>48</v>
      </c>
      <c r="D295" s="13">
        <v>12</v>
      </c>
      <c r="E295" s="3">
        <f>IF(Quantitytable[[#This Row],[Units]]=0,0,SUMIFS(Quantitytable[NeededQuantity],Quantitytable[Dish],Quantitytable[[#This Row],[Dish]],Quantitytable[[Ingredient ]],Quantitytable[[#This Row],[Ingredient ]]))</f>
        <v>0</v>
      </c>
      <c r="F295" s="3">
        <f>SUMIFS(salestable[Quantity Sold],salestable[Item Name],Quantitytable[[#This Row],[Dish]])</f>
        <v>0</v>
      </c>
      <c r="G295" s="3">
        <f>'Quantity Table'!$E295*'Quantity Table'!$F295</f>
        <v>0</v>
      </c>
      <c r="H295" s="3">
        <f>_xlfn.IFNA(VLOOKUP(Quantitytable[[#This Row],[Ingredient ]],Shoppingtable[[Item Name]:[BALANCE Cash]],5,FALSE),0)*Quantitytable[[#This Row],[NeededQuantity]]</f>
        <v>8.879999999999999</v>
      </c>
      <c r="I295" s="3">
        <f>SUMIF(Quantitytable[Dish],Quantitytable[[#This Row],[Dish]],Quantitytable[Cost Per Dish Per Item])</f>
        <v>34.959999999999994</v>
      </c>
      <c r="J295" s="18" t="s">
        <v>502</v>
      </c>
    </row>
    <row r="296" spans="2:10" x14ac:dyDescent="0.25">
      <c r="B296" s="13" t="s">
        <v>642</v>
      </c>
      <c r="C296" s="13" t="s">
        <v>163</v>
      </c>
      <c r="D296" s="13">
        <v>100</v>
      </c>
      <c r="E296" s="3">
        <f>IF(Quantitytable[[#This Row],[Units]]=0,0,SUMIFS(Quantitytable[NeededQuantity],Quantitytable[Dish],Quantitytable[[#This Row],[Dish]],Quantitytable[[Ingredient ]],Quantitytable[[#This Row],[Ingredient ]]))</f>
        <v>0</v>
      </c>
      <c r="F296" s="3">
        <f>SUMIFS(salestable[Quantity Sold],salestable[Item Name],Quantitytable[[#This Row],[Dish]])</f>
        <v>0</v>
      </c>
      <c r="G296" s="3">
        <f>'Quantity Table'!$E296*'Quantity Table'!$F296</f>
        <v>0</v>
      </c>
      <c r="H296" s="3">
        <f>_xlfn.IFNA(VLOOKUP(Quantitytable[[#This Row],[Ingredient ]],Shoppingtable[[Item Name]:[BALANCE Cash]],5,FALSE),0)*Quantitytable[[#This Row],[NeededQuantity]]</f>
        <v>22.08</v>
      </c>
      <c r="I296" s="3">
        <f>SUMIF(Quantitytable[Dish],Quantitytable[[#This Row],[Dish]],Quantitytable[Cost Per Dish Per Item])</f>
        <v>34.959999999999994</v>
      </c>
      <c r="J296" s="18" t="s">
        <v>502</v>
      </c>
    </row>
    <row r="297" spans="2:10" x14ac:dyDescent="0.25">
      <c r="B297" s="13" t="s">
        <v>642</v>
      </c>
      <c r="C297" s="13" t="s">
        <v>44</v>
      </c>
      <c r="D297" s="13">
        <v>140</v>
      </c>
      <c r="E297" s="3">
        <f>IF(Quantitytable[[#This Row],[Units]]=0,0,SUMIFS(Quantitytable[NeededQuantity],Quantitytable[Dish],Quantitytable[[#This Row],[Dish]],Quantitytable[[Ingredient ]],Quantitytable[[#This Row],[Ingredient ]]))</f>
        <v>0</v>
      </c>
      <c r="F297" s="3">
        <f>SUMIFS(salestable[Quantity Sold],salestable[Item Name],Quantitytable[[#This Row],[Dish]])</f>
        <v>0</v>
      </c>
      <c r="G297" s="3">
        <f>'Quantity Table'!$E297*'Quantity Table'!$F297</f>
        <v>0</v>
      </c>
      <c r="H297" s="3">
        <f>_xlfn.IFNA(VLOOKUP(Quantitytable[[#This Row],[Ingredient ]],Shoppingtable[[Item Name]:[BALANCE Cash]],5,FALSE),0)*Quantitytable[[#This Row],[NeededQuantity]]</f>
        <v>4</v>
      </c>
      <c r="I297" s="3">
        <f>SUMIF(Quantitytable[Dish],Quantitytable[[#This Row],[Dish]],Quantitytable[Cost Per Dish Per Item])</f>
        <v>34.959999999999994</v>
      </c>
      <c r="J297" s="18" t="s">
        <v>502</v>
      </c>
    </row>
    <row r="298" spans="2:10" x14ac:dyDescent="0.25">
      <c r="B298" s="13" t="s">
        <v>665</v>
      </c>
      <c r="C298" s="13" t="s">
        <v>48</v>
      </c>
      <c r="D298" s="13">
        <v>12</v>
      </c>
      <c r="E298" s="3">
        <f>IF(Quantitytable[[#This Row],[Units]]=0,0,SUMIFS(Quantitytable[NeededQuantity],Quantitytable[Dish],Quantitytable[[#This Row],[Dish]],Quantitytable[[Ingredient ]],Quantitytable[[#This Row],[Ingredient ]]))</f>
        <v>0</v>
      </c>
      <c r="F298" s="3">
        <f>SUMIFS(salestable[Quantity Sold],salestable[Item Name],Quantitytable[[#This Row],[Dish]])</f>
        <v>0</v>
      </c>
      <c r="G298" s="3">
        <f>'Quantity Table'!$E298*'Quantity Table'!$F298</f>
        <v>0</v>
      </c>
      <c r="H298" s="3">
        <f>_xlfn.IFNA(VLOOKUP(Quantitytable[[#This Row],[Ingredient ]],Shoppingtable[[Item Name]:[BALANCE Cash]],5,FALSE),0)*Quantitytable[[#This Row],[NeededQuantity]]</f>
        <v>8.879999999999999</v>
      </c>
      <c r="I298" s="3">
        <f>SUMIF(Quantitytable[Dish],Quantitytable[[#This Row],[Dish]],Quantitytable[Cost Per Dish Per Item])</f>
        <v>26.192499999999999</v>
      </c>
      <c r="J298" s="18" t="s">
        <v>502</v>
      </c>
    </row>
    <row r="299" spans="2:10" x14ac:dyDescent="0.25">
      <c r="B299" s="13" t="s">
        <v>665</v>
      </c>
      <c r="C299" s="13" t="s">
        <v>600</v>
      </c>
      <c r="D299" s="13">
        <v>150</v>
      </c>
      <c r="E299" s="3">
        <f>IF(Quantitytable[[#This Row],[Units]]=0,0,SUMIFS(Quantitytable[NeededQuantity],Quantitytable[Dish],Quantitytable[[#This Row],[Dish]],Quantitytable[[Ingredient ]],Quantitytable[[#This Row],[Ingredient ]]))</f>
        <v>0</v>
      </c>
      <c r="F299" s="3">
        <f>SUMIFS(salestable[Quantity Sold],salestable[Item Name],Quantitytable[[#This Row],[Dish]])</f>
        <v>0</v>
      </c>
      <c r="G299" s="3">
        <f>'Quantity Table'!$E299*'Quantity Table'!$F299</f>
        <v>0</v>
      </c>
      <c r="H299" s="3">
        <f>_xlfn.IFNA(VLOOKUP(Quantitytable[[#This Row],[Ingredient ]],Shoppingtable[[Item Name]:[BALANCE Cash]],5,FALSE),0)*Quantitytable[[#This Row],[NeededQuantity]]</f>
        <v>13.3125</v>
      </c>
      <c r="I299" s="3">
        <f>SUMIF(Quantitytable[Dish],Quantitytable[[#This Row],[Dish]],Quantitytable[Cost Per Dish Per Item])</f>
        <v>26.192499999999999</v>
      </c>
      <c r="J299" s="18" t="s">
        <v>502</v>
      </c>
    </row>
    <row r="300" spans="2:10" x14ac:dyDescent="0.25">
      <c r="B300" s="13" t="s">
        <v>665</v>
      </c>
      <c r="C300" s="13" t="s">
        <v>44</v>
      </c>
      <c r="D300" s="13">
        <v>140</v>
      </c>
      <c r="E300" s="3">
        <f>IF(Quantitytable[[#This Row],[Units]]=0,0,SUMIFS(Quantitytable[NeededQuantity],Quantitytable[Dish],Quantitytable[[#This Row],[Dish]],Quantitytable[[Ingredient ]],Quantitytable[[#This Row],[Ingredient ]]))</f>
        <v>0</v>
      </c>
      <c r="F300" s="3">
        <f>SUMIFS(salestable[Quantity Sold],salestable[Item Name],Quantitytable[[#This Row],[Dish]])</f>
        <v>0</v>
      </c>
      <c r="G300" s="3">
        <f>'Quantity Table'!$E300*'Quantity Table'!$F300</f>
        <v>0</v>
      </c>
      <c r="H300" s="3">
        <f>_xlfn.IFNA(VLOOKUP(Quantitytable[[#This Row],[Ingredient ]],Shoppingtable[[Item Name]:[BALANCE Cash]],5,FALSE),0)*Quantitytable[[#This Row],[NeededQuantity]]</f>
        <v>4</v>
      </c>
      <c r="I300" s="3">
        <f>SUMIF(Quantitytable[Dish],Quantitytable[[#This Row],[Dish]],Quantitytable[Cost Per Dish Per Item])</f>
        <v>26.192499999999999</v>
      </c>
      <c r="J300" s="18" t="s">
        <v>502</v>
      </c>
    </row>
    <row r="301" spans="2:10" x14ac:dyDescent="0.25">
      <c r="B301" s="13" t="s">
        <v>254</v>
      </c>
      <c r="C301" s="13" t="s">
        <v>48</v>
      </c>
      <c r="D301" s="13">
        <v>20</v>
      </c>
      <c r="E301" s="3">
        <f>IF(Quantitytable[[#This Row],[Units]]=0,0,SUMIFS(Quantitytable[NeededQuantity],Quantitytable[Dish],Quantitytable[[#This Row],[Dish]],Quantitytable[[Ingredient ]],Quantitytable[[#This Row],[Ingredient ]]))</f>
        <v>0</v>
      </c>
      <c r="F301" s="3">
        <f>SUMIFS(salestable[Quantity Sold],salestable[Item Name],Quantitytable[[#This Row],[Dish]])</f>
        <v>0</v>
      </c>
      <c r="G301" s="3">
        <f>'Quantity Table'!$E301*'Quantity Table'!$F301</f>
        <v>0</v>
      </c>
      <c r="H301" s="3">
        <f>_xlfn.IFNA(VLOOKUP(Quantitytable[[#This Row],[Ingredient ]],Shoppingtable[[Item Name]:[BALANCE Cash]],5,FALSE),0)*Quantitytable[[#This Row],[NeededQuantity]]</f>
        <v>14.8</v>
      </c>
      <c r="I301" s="3">
        <f>SUMIF(Quantitytable[Dish],Quantitytable[[#This Row],[Dish]],Quantitytable[Cost Per Dish Per Item])</f>
        <v>37.6</v>
      </c>
      <c r="J301" s="18" t="s">
        <v>502</v>
      </c>
    </row>
    <row r="302" spans="2:10" x14ac:dyDescent="0.25">
      <c r="B302" s="13" t="s">
        <v>254</v>
      </c>
      <c r="C302" s="13" t="s">
        <v>44</v>
      </c>
      <c r="D302" s="13">
        <v>140</v>
      </c>
      <c r="E302" s="3">
        <f>IF(Quantitytable[[#This Row],[Units]]=0,0,SUMIFS(Quantitytable[NeededQuantity],Quantitytable[Dish],Quantitytable[[#This Row],[Dish]],Quantitytable[[Ingredient ]],Quantitytable[[#This Row],[Ingredient ]]))</f>
        <v>0</v>
      </c>
      <c r="F302" s="3">
        <f>SUMIFS(salestable[Quantity Sold],salestable[Item Name],Quantitytable[[#This Row],[Dish]])</f>
        <v>0</v>
      </c>
      <c r="G302" s="3">
        <f>'Quantity Table'!$E302*'Quantity Table'!$F302</f>
        <v>0</v>
      </c>
      <c r="H302" s="3">
        <f>_xlfn.IFNA(VLOOKUP(Quantitytable[[#This Row],[Ingredient ]],Shoppingtable[[Item Name]:[BALANCE Cash]],5,FALSE),0)*Quantitytable[[#This Row],[NeededQuantity]]</f>
        <v>4</v>
      </c>
      <c r="I302" s="3">
        <f>SUMIF(Quantitytable[Dish],Quantitytable[[#This Row],[Dish]],Quantitytable[Cost Per Dish Per Item])</f>
        <v>37.6</v>
      </c>
      <c r="J302" s="18" t="s">
        <v>502</v>
      </c>
    </row>
    <row r="303" spans="2:10" x14ac:dyDescent="0.25">
      <c r="B303" s="13" t="s">
        <v>254</v>
      </c>
      <c r="C303" s="13" t="s">
        <v>48</v>
      </c>
      <c r="D303" s="13">
        <v>20</v>
      </c>
      <c r="E303" s="3">
        <f>IF(Quantitytable[[#This Row],[Units]]=0,0,SUMIFS(Quantitytable[NeededQuantity],Quantitytable[Dish],Quantitytable[[#This Row],[Dish]],Quantitytable[[Ingredient ]],Quantitytable[[#This Row],[Ingredient ]]))</f>
        <v>0</v>
      </c>
      <c r="F303" s="3">
        <f>SUMIFS(salestable[Quantity Sold],salestable[Item Name],Quantitytable[[#This Row],[Dish]])</f>
        <v>0</v>
      </c>
      <c r="G303" s="3">
        <f>'Quantity Table'!$E303*'Quantity Table'!$F303</f>
        <v>0</v>
      </c>
      <c r="H303" s="3">
        <f>_xlfn.IFNA(VLOOKUP(Quantitytable[[#This Row],[Ingredient ]],Shoppingtable[[Item Name]:[BALANCE Cash]],5,FALSE),0)*Quantitytable[[#This Row],[NeededQuantity]]</f>
        <v>14.8</v>
      </c>
      <c r="I303" s="3">
        <f>SUMIF(Quantitytable[Dish],Quantitytable[[#This Row],[Dish]],Quantitytable[Cost Per Dish Per Item])</f>
        <v>37.6</v>
      </c>
      <c r="J303" s="18" t="s">
        <v>502</v>
      </c>
    </row>
    <row r="304" spans="2:10" x14ac:dyDescent="0.25">
      <c r="B304" s="13" t="s">
        <v>254</v>
      </c>
      <c r="C304" s="13" t="s">
        <v>44</v>
      </c>
      <c r="D304" s="13">
        <v>140</v>
      </c>
      <c r="E304" s="3">
        <f>IF(Quantitytable[[#This Row],[Units]]=0,0,SUMIFS(Quantitytable[NeededQuantity],Quantitytable[Dish],Quantitytable[[#This Row],[Dish]],Quantitytable[[Ingredient ]],Quantitytable[[#This Row],[Ingredient ]]))</f>
        <v>0</v>
      </c>
      <c r="F304" s="3">
        <f>SUMIFS(salestable[Quantity Sold],salestable[Item Name],Quantitytable[[#This Row],[Dish]])</f>
        <v>0</v>
      </c>
      <c r="G304" s="3">
        <f>'Quantity Table'!$E304*'Quantity Table'!$F304</f>
        <v>0</v>
      </c>
      <c r="H304" s="3">
        <f>_xlfn.IFNA(VLOOKUP(Quantitytable[[#This Row],[Ingredient ]],Shoppingtable[[Item Name]:[BALANCE Cash]],5,FALSE),0)*Quantitytable[[#This Row],[NeededQuantity]]</f>
        <v>4</v>
      </c>
      <c r="I304" s="3">
        <f>SUMIF(Quantitytable[Dish],Quantitytable[[#This Row],[Dish]],Quantitytable[Cost Per Dish Per Item])</f>
        <v>37.6</v>
      </c>
      <c r="J304" s="18" t="s">
        <v>502</v>
      </c>
    </row>
    <row r="305" spans="2:10" x14ac:dyDescent="0.25">
      <c r="B305" s="13" t="s">
        <v>141</v>
      </c>
      <c r="C305" s="13" t="s">
        <v>492</v>
      </c>
      <c r="D305" s="13">
        <v>2</v>
      </c>
      <c r="E305" s="3">
        <f>IF(Quantitytable[[#This Row],[Units]]=0,0,SUMIFS(Quantitytable[NeededQuantity],Quantitytable[Dish],Quantitytable[[#This Row],[Dish]],Quantitytable[[Ingredient ]],Quantitytable[[#This Row],[Ingredient ]]))</f>
        <v>0</v>
      </c>
      <c r="F305" s="3">
        <f>SUMIFS(salestable[Quantity Sold],salestable[Item Name],Quantitytable[[#This Row],[Dish]])</f>
        <v>0</v>
      </c>
      <c r="G305" s="3">
        <f>'Quantity Table'!$E305*'Quantity Table'!$F305</f>
        <v>0</v>
      </c>
      <c r="H305" s="3">
        <f>_xlfn.IFNA(VLOOKUP(Quantitytable[[#This Row],[Ingredient ]],Shoppingtable[[Item Name]:[BALANCE Cash]],5,FALSE),0)*Quantitytable[[#This Row],[NeededQuantity]]</f>
        <v>0.375</v>
      </c>
      <c r="I305" s="3">
        <f>SUMIF(Quantitytable[Dish],Quantitytable[[#This Row],[Dish]],Quantitytable[Cost Per Dish Per Item])</f>
        <v>10.54078947368421</v>
      </c>
      <c r="J305" s="18" t="s">
        <v>502</v>
      </c>
    </row>
    <row r="306" spans="2:10" x14ac:dyDescent="0.25">
      <c r="B306" s="13" t="s">
        <v>141</v>
      </c>
      <c r="C306" s="13" t="s">
        <v>49</v>
      </c>
      <c r="D306" s="13">
        <v>5</v>
      </c>
      <c r="E306" s="3">
        <f>IF(Quantitytable[[#This Row],[Units]]=0,0,SUMIFS(Quantitytable[NeededQuantity],Quantitytable[Dish],Quantitytable[[#This Row],[Dish]],Quantitytable[[Ingredient ]],Quantitytable[[#This Row],[Ingredient ]]))</f>
        <v>0</v>
      </c>
      <c r="F306" s="3">
        <f>SUMIFS(salestable[Quantity Sold],salestable[Item Name],Quantitytable[[#This Row],[Dish]])</f>
        <v>0</v>
      </c>
      <c r="G306" s="3">
        <f>'Quantity Table'!$E306*'Quantity Table'!$F306</f>
        <v>0</v>
      </c>
      <c r="H306" s="3">
        <f>_xlfn.IFNA(VLOOKUP(Quantitytable[[#This Row],[Ingredient ]],Shoppingtable[[Item Name]:[BALANCE Cash]],5,FALSE),0)*Quantitytable[[#This Row],[NeededQuantity]]</f>
        <v>1.3157894736842104</v>
      </c>
      <c r="I306" s="3">
        <f>SUMIF(Quantitytable[Dish],Quantitytable[[#This Row],[Dish]],Quantitytable[Cost Per Dish Per Item])</f>
        <v>10.54078947368421</v>
      </c>
      <c r="J306" s="18" t="s">
        <v>502</v>
      </c>
    </row>
    <row r="307" spans="2:10" x14ac:dyDescent="0.25">
      <c r="B307" s="13" t="s">
        <v>141</v>
      </c>
      <c r="C307" s="13" t="s">
        <v>425</v>
      </c>
      <c r="D307" s="13">
        <v>5</v>
      </c>
      <c r="E307" s="3">
        <f>IF(Quantitytable[[#This Row],[Units]]=0,0,SUMIFS(Quantitytable[NeededQuantity],Quantitytable[Dish],Quantitytable[[#This Row],[Dish]],Quantitytable[[Ingredient ]],Quantitytable[[#This Row],[Ingredient ]]))</f>
        <v>0</v>
      </c>
      <c r="F307" s="3">
        <f>SUMIFS(salestable[Quantity Sold],salestable[Item Name],Quantitytable[[#This Row],[Dish]])</f>
        <v>0</v>
      </c>
      <c r="G307" s="3">
        <f>'Quantity Table'!$E307*'Quantity Table'!$F307</f>
        <v>0</v>
      </c>
      <c r="H307" s="3">
        <f>_xlfn.IFNA(VLOOKUP(Quantitytable[[#This Row],[Ingredient ]],Shoppingtable[[Item Name]:[BALANCE Cash]],5,FALSE),0)*Quantitytable[[#This Row],[NeededQuantity]]</f>
        <v>0.75</v>
      </c>
      <c r="I307" s="3">
        <f>SUMIF(Quantitytable[Dish],Quantitytable[[#This Row],[Dish]],Quantitytable[Cost Per Dish Per Item])</f>
        <v>10.54078947368421</v>
      </c>
      <c r="J307" s="18" t="s">
        <v>502</v>
      </c>
    </row>
    <row r="308" spans="2:10" x14ac:dyDescent="0.25">
      <c r="B308" s="13" t="s">
        <v>141</v>
      </c>
      <c r="C308" s="13" t="s">
        <v>102</v>
      </c>
      <c r="D308" s="13">
        <v>10</v>
      </c>
      <c r="E308" s="3">
        <f>IF(Quantitytable[[#This Row],[Units]]=0,0,SUMIFS(Quantitytable[NeededQuantity],Quantitytable[Dish],Quantitytable[[#This Row],[Dish]],Quantitytable[[Ingredient ]],Quantitytable[[#This Row],[Ingredient ]]))</f>
        <v>0</v>
      </c>
      <c r="F308" s="3">
        <f>SUMIFS(salestable[Quantity Sold],salestable[Item Name],Quantitytable[[#This Row],[Dish]])</f>
        <v>0</v>
      </c>
      <c r="G308" s="3">
        <f>'Quantity Table'!$E308*'Quantity Table'!$F308</f>
        <v>0</v>
      </c>
      <c r="H308" s="3">
        <f>_xlfn.IFNA(VLOOKUP(Quantitytable[[#This Row],[Ingredient ]],Shoppingtable[[Item Name]:[BALANCE Cash]],5,FALSE),0)*Quantitytable[[#This Row],[NeededQuantity]]</f>
        <v>0.5</v>
      </c>
      <c r="I308" s="3">
        <f>SUMIF(Quantitytable[Dish],Quantitytable[[#This Row],[Dish]],Quantitytable[Cost Per Dish Per Item])</f>
        <v>10.54078947368421</v>
      </c>
      <c r="J308" s="18" t="s">
        <v>502</v>
      </c>
    </row>
    <row r="309" spans="2:10" x14ac:dyDescent="0.25">
      <c r="B309" s="13" t="s">
        <v>141</v>
      </c>
      <c r="C309" s="13" t="s">
        <v>426</v>
      </c>
      <c r="D309" s="13">
        <v>100</v>
      </c>
      <c r="E309" s="3">
        <f>IF(Quantitytable[[#This Row],[Units]]=0,0,SUMIFS(Quantitytable[NeededQuantity],Quantitytable[Dish],Quantitytable[[#This Row],[Dish]],Quantitytable[[Ingredient ]],Quantitytable[[#This Row],[Ingredient ]]))</f>
        <v>0</v>
      </c>
      <c r="F309" s="3">
        <f>SUMIFS(salestable[Quantity Sold],salestable[Item Name],Quantitytable[[#This Row],[Dish]])</f>
        <v>0</v>
      </c>
      <c r="G309" s="3">
        <f>'Quantity Table'!$E309*'Quantity Table'!$F309</f>
        <v>0</v>
      </c>
      <c r="H309" s="3">
        <f>_xlfn.IFNA(VLOOKUP(Quantitytable[[#This Row],[Ingredient ]],Shoppingtable[[Item Name]:[BALANCE Cash]],5,FALSE),0)*Quantitytable[[#This Row],[NeededQuantity]]</f>
        <v>7.6</v>
      </c>
      <c r="I309" s="3">
        <f>SUMIF(Quantitytable[Dish],Quantitytable[[#This Row],[Dish]],Quantitytable[Cost Per Dish Per Item])</f>
        <v>10.54078947368421</v>
      </c>
      <c r="J309" s="18" t="s">
        <v>502</v>
      </c>
    </row>
    <row r="310" spans="2:10" x14ac:dyDescent="0.25">
      <c r="B310" s="13" t="s">
        <v>147</v>
      </c>
      <c r="C310" s="13" t="s">
        <v>55</v>
      </c>
      <c r="D310" s="13">
        <v>20</v>
      </c>
      <c r="E310" s="3">
        <f>IF(Quantitytable[[#This Row],[Units]]=0,0,SUMIFS(Quantitytable[NeededQuantity],Quantitytable[Dish],Quantitytable[[#This Row],[Dish]],Quantitytable[[Ingredient ]],Quantitytable[[#This Row],[Ingredient ]]))</f>
        <v>0</v>
      </c>
      <c r="F310" s="3">
        <f>SUMIFS(salestable[Quantity Sold],salestable[Item Name],Quantitytable[[#This Row],[Dish]])</f>
        <v>0</v>
      </c>
      <c r="G310" s="3">
        <f>'Quantity Table'!$E310*'Quantity Table'!$F310</f>
        <v>0</v>
      </c>
      <c r="H310" s="3">
        <f>_xlfn.IFNA(VLOOKUP(Quantitytable[[#This Row],[Ingredient ]],Shoppingtable[[Item Name]:[BALANCE Cash]],5,FALSE),0)*Quantitytable[[#This Row],[NeededQuantity]]</f>
        <v>0</v>
      </c>
      <c r="I310" s="3">
        <f>SUMIF(Quantitytable[Dish],Quantitytable[[#This Row],[Dish]],Quantitytable[Cost Per Dish Per Item])</f>
        <v>0</v>
      </c>
      <c r="J310" s="18" t="s">
        <v>502</v>
      </c>
    </row>
    <row r="311" spans="2:10" x14ac:dyDescent="0.25">
      <c r="B311" s="13" t="s">
        <v>146</v>
      </c>
      <c r="C311" s="13" t="s">
        <v>146</v>
      </c>
      <c r="D311" s="13">
        <v>1</v>
      </c>
      <c r="E311" s="3">
        <f>IF(Quantitytable[[#This Row],[Units]]=0,0,SUMIFS(Quantitytable[NeededQuantity],Quantitytable[Dish],Quantitytable[[#This Row],[Dish]],Quantitytable[[Ingredient ]],Quantitytable[[#This Row],[Ingredient ]]))</f>
        <v>0</v>
      </c>
      <c r="F311" s="3">
        <f>SUMIFS(salestable[Quantity Sold],salestable[Item Name],Quantitytable[[#This Row],[Dish]])</f>
        <v>0</v>
      </c>
      <c r="G311" s="3">
        <f>'Quantity Table'!$E311*'Quantity Table'!$F311</f>
        <v>0</v>
      </c>
      <c r="H311" s="3">
        <f>_xlfn.IFNA(VLOOKUP(Quantitytable[[#This Row],[Ingredient ]],Shoppingtable[[Item Name]:[BALANCE Cash]],5,FALSE),0)*Quantitytable[[#This Row],[NeededQuantity]]</f>
        <v>5</v>
      </c>
      <c r="I311" s="3">
        <f>SUMIF(Quantitytable[Dish],Quantitytable[[#This Row],[Dish]],Quantitytable[Cost Per Dish Per Item])</f>
        <v>16.899999999999999</v>
      </c>
      <c r="J311" s="18" t="s">
        <v>502</v>
      </c>
    </row>
    <row r="312" spans="2:10" x14ac:dyDescent="0.25">
      <c r="B312" s="13" t="s">
        <v>146</v>
      </c>
      <c r="C312" s="13" t="s">
        <v>102</v>
      </c>
      <c r="D312" s="13">
        <v>10</v>
      </c>
      <c r="E312" s="3">
        <f>IF(Quantitytable[[#This Row],[Units]]=0,0,SUMIFS(Quantitytable[NeededQuantity],Quantitytable[Dish],Quantitytable[[#This Row],[Dish]],Quantitytable[[Ingredient ]],Quantitytable[[#This Row],[Ingredient ]]))</f>
        <v>0</v>
      </c>
      <c r="F312" s="3">
        <f>SUMIFS(salestable[Quantity Sold],salestable[Item Name],Quantitytable[[#This Row],[Dish]])</f>
        <v>0</v>
      </c>
      <c r="G312" s="3">
        <f>'Quantity Table'!$E312*'Quantity Table'!$F312</f>
        <v>0</v>
      </c>
      <c r="H312" s="3">
        <f>_xlfn.IFNA(VLOOKUP(Quantitytable[[#This Row],[Ingredient ]],Shoppingtable[[Item Name]:[BALANCE Cash]],5,FALSE),0)*Quantitytable[[#This Row],[NeededQuantity]]</f>
        <v>0.5</v>
      </c>
      <c r="I312" s="3">
        <f>SUMIF(Quantitytable[Dish],Quantitytable[[#This Row],[Dish]],Quantitytable[Cost Per Dish Per Item])</f>
        <v>16.899999999999999</v>
      </c>
      <c r="J312" s="18" t="s">
        <v>502</v>
      </c>
    </row>
    <row r="313" spans="2:10" x14ac:dyDescent="0.25">
      <c r="B313" s="13" t="s">
        <v>146</v>
      </c>
      <c r="C313" s="13" t="s">
        <v>67</v>
      </c>
      <c r="D313" s="13">
        <v>150</v>
      </c>
      <c r="E313" s="3">
        <f>IF(Quantitytable[[#This Row],[Units]]=0,0,SUMIFS(Quantitytable[NeededQuantity],Quantitytable[Dish],Quantitytable[[#This Row],[Dish]],Quantitytable[[Ingredient ]],Quantitytable[[#This Row],[Ingredient ]]))</f>
        <v>0</v>
      </c>
      <c r="F313" s="3">
        <f>SUMIFS(salestable[Quantity Sold],salestable[Item Name],Quantitytable[[#This Row],[Dish]])</f>
        <v>0</v>
      </c>
      <c r="G313" s="3">
        <f>'Quantity Table'!$E313*'Quantity Table'!$F313</f>
        <v>0</v>
      </c>
      <c r="H313" s="3">
        <f>_xlfn.IFNA(VLOOKUP(Quantitytable[[#This Row],[Ingredient ]],Shoppingtable[[Item Name]:[BALANCE Cash]],5,FALSE),0)*Quantitytable[[#This Row],[NeededQuantity]]</f>
        <v>11.4</v>
      </c>
      <c r="I313" s="3">
        <f>SUMIF(Quantitytable[Dish],Quantitytable[[#This Row],[Dish]],Quantitytable[Cost Per Dish Per Item])</f>
        <v>16.899999999999999</v>
      </c>
      <c r="J313" s="18" t="s">
        <v>502</v>
      </c>
    </row>
    <row r="314" spans="2:10" x14ac:dyDescent="0.25">
      <c r="B314" s="13" t="s">
        <v>133</v>
      </c>
      <c r="C314" s="13" t="s">
        <v>303</v>
      </c>
      <c r="D314" s="13">
        <v>2</v>
      </c>
      <c r="E314" s="3">
        <f>IF(Quantitytable[[#This Row],[Units]]=0,0,SUMIFS(Quantitytable[NeededQuantity],Quantitytable[Dish],Quantitytable[[#This Row],[Dish]],Quantitytable[[Ingredient ]],Quantitytable[[#This Row],[Ingredient ]]))</f>
        <v>0</v>
      </c>
      <c r="F314" s="3">
        <f>SUMIFS(salestable[Quantity Sold],salestable[Item Name],Quantitytable[[#This Row],[Dish]])</f>
        <v>0</v>
      </c>
      <c r="G314" s="3">
        <f>'Quantity Table'!$E314*'Quantity Table'!$F314</f>
        <v>0</v>
      </c>
      <c r="H314" s="3">
        <f>_xlfn.IFNA(VLOOKUP(Quantitytable[[#This Row],[Ingredient ]],Shoppingtable[[Item Name]:[BALANCE Cash]],5,FALSE),0)*Quantitytable[[#This Row],[NeededQuantity]]</f>
        <v>0.6</v>
      </c>
      <c r="I314" s="3">
        <f>SUMIF(Quantitytable[Dish],Quantitytable[[#This Row],[Dish]],Quantitytable[Cost Per Dish Per Item])</f>
        <v>28.581367643102439</v>
      </c>
      <c r="J314" s="18" t="s">
        <v>502</v>
      </c>
    </row>
    <row r="315" spans="2:10" x14ac:dyDescent="0.25">
      <c r="B315" s="13" t="s">
        <v>133</v>
      </c>
      <c r="C315" s="13" t="s">
        <v>524</v>
      </c>
      <c r="D315" s="13">
        <v>2</v>
      </c>
      <c r="E315" s="3">
        <f>IF(Quantitytable[[#This Row],[Units]]=0,0,SUMIFS(Quantitytable[NeededQuantity],Quantitytable[Dish],Quantitytable[[#This Row],[Dish]],Quantitytable[[Ingredient ]],Quantitytable[[#This Row],[Ingredient ]]))</f>
        <v>0</v>
      </c>
      <c r="F315" s="3">
        <f>SUMIFS(salestable[Quantity Sold],salestable[Item Name],Quantitytable[[#This Row],[Dish]])</f>
        <v>0</v>
      </c>
      <c r="G315" s="3">
        <f>'Quantity Table'!$E315*'Quantity Table'!$F315</f>
        <v>0</v>
      </c>
      <c r="H315" s="3">
        <f>_xlfn.IFNA(VLOOKUP(Quantitytable[[#This Row],[Ingredient ]],Shoppingtable[[Item Name]:[BALANCE Cash]],5,FALSE),0)*Quantitytable[[#This Row],[NeededQuantity]]</f>
        <v>0.56000000000000005</v>
      </c>
      <c r="I315" s="3">
        <f>SUMIF(Quantitytable[Dish],Quantitytable[[#This Row],[Dish]],Quantitytable[Cost Per Dish Per Item])</f>
        <v>28.581367643102439</v>
      </c>
      <c r="J315" s="18" t="s">
        <v>502</v>
      </c>
    </row>
    <row r="316" spans="2:10" x14ac:dyDescent="0.25">
      <c r="B316" s="13" t="s">
        <v>133</v>
      </c>
      <c r="C316" s="13" t="s">
        <v>478</v>
      </c>
      <c r="D316" s="13">
        <v>2</v>
      </c>
      <c r="E316" s="3">
        <f>IF(Quantitytable[[#This Row],[Units]]=0,0,SUMIFS(Quantitytable[NeededQuantity],Quantitytable[Dish],Quantitytable[[#This Row],[Dish]],Quantitytable[[Ingredient ]],Quantitytable[[#This Row],[Ingredient ]]))</f>
        <v>0</v>
      </c>
      <c r="F316" s="3">
        <f>SUMIFS(salestable[Quantity Sold],salestable[Item Name],Quantitytable[[#This Row],[Dish]])</f>
        <v>0</v>
      </c>
      <c r="G316" s="3">
        <f>'Quantity Table'!$E316*'Quantity Table'!$F316</f>
        <v>0</v>
      </c>
      <c r="H316" s="3">
        <f>_xlfn.IFNA(VLOOKUP(Quantitytable[[#This Row],[Ingredient ]],Shoppingtable[[Item Name]:[BALANCE Cash]],5,FALSE),0)*Quantitytable[[#This Row],[NeededQuantity]]</f>
        <v>0.5</v>
      </c>
      <c r="I316" s="3">
        <f>SUMIF(Quantitytable[Dish],Quantitytable[[#This Row],[Dish]],Quantitytable[Cost Per Dish Per Item])</f>
        <v>28.581367643102439</v>
      </c>
      <c r="J316" s="18" t="s">
        <v>502</v>
      </c>
    </row>
    <row r="317" spans="2:10" x14ac:dyDescent="0.25">
      <c r="B317" s="13" t="s">
        <v>133</v>
      </c>
      <c r="C317" s="13" t="s">
        <v>486</v>
      </c>
      <c r="D317" s="13">
        <v>2</v>
      </c>
      <c r="E317" s="3">
        <f>IF(Quantitytable[[#This Row],[Units]]=0,0,SUMIFS(Quantitytable[NeededQuantity],Quantitytable[Dish],Quantitytable[[#This Row],[Dish]],Quantitytable[[Ingredient ]],Quantitytable[[#This Row],[Ingredient ]]))</f>
        <v>0</v>
      </c>
      <c r="F317" s="3">
        <f>SUMIFS(salestable[Quantity Sold],salestable[Item Name],Quantitytable[[#This Row],[Dish]])</f>
        <v>0</v>
      </c>
      <c r="G317" s="3">
        <f>'Quantity Table'!$E317*'Quantity Table'!$F317</f>
        <v>0</v>
      </c>
      <c r="H317" s="3">
        <f>_xlfn.IFNA(VLOOKUP(Quantitytable[[#This Row],[Ingredient ]],Shoppingtable[[Item Name]:[BALANCE Cash]],5,FALSE),0)*Quantitytable[[#This Row],[NeededQuantity]]</f>
        <v>0.72941176470588232</v>
      </c>
      <c r="I317" s="3">
        <f>SUMIF(Quantitytable[Dish],Quantitytable[[#This Row],[Dish]],Quantitytable[Cost Per Dish Per Item])</f>
        <v>28.581367643102439</v>
      </c>
      <c r="J317" s="18" t="s">
        <v>502</v>
      </c>
    </row>
    <row r="318" spans="2:10" x14ac:dyDescent="0.25">
      <c r="B318" s="13" t="s">
        <v>133</v>
      </c>
      <c r="C318" s="13" t="s">
        <v>411</v>
      </c>
      <c r="D318" s="13">
        <v>2</v>
      </c>
      <c r="E318" s="3">
        <f>IF(Quantitytable[[#This Row],[Units]]=0,0,SUMIFS(Quantitytable[NeededQuantity],Quantitytable[Dish],Quantitytable[[#This Row],[Dish]],Quantitytable[[Ingredient ]],Quantitytable[[#This Row],[Ingredient ]]))</f>
        <v>0</v>
      </c>
      <c r="F318" s="3">
        <f>SUMIFS(salestable[Quantity Sold],salestable[Item Name],Quantitytable[[#This Row],[Dish]])</f>
        <v>0</v>
      </c>
      <c r="G318" s="3">
        <f>'Quantity Table'!$E318*'Quantity Table'!$F318</f>
        <v>0</v>
      </c>
      <c r="H318" s="3">
        <f>_xlfn.IFNA(VLOOKUP(Quantitytable[[#This Row],[Ingredient ]],Shoppingtable[[Item Name]:[BALANCE Cash]],5,FALSE),0)*Quantitytable[[#This Row],[NeededQuantity]]</f>
        <v>2.1</v>
      </c>
      <c r="I318" s="3">
        <f>SUMIF(Quantitytable[Dish],Quantitytable[[#This Row],[Dish]],Quantitytable[Cost Per Dish Per Item])</f>
        <v>28.581367643102439</v>
      </c>
      <c r="J318" s="18" t="s">
        <v>502</v>
      </c>
    </row>
    <row r="319" spans="2:10" x14ac:dyDescent="0.25">
      <c r="B319" s="13" t="s">
        <v>133</v>
      </c>
      <c r="C319" s="13" t="s">
        <v>96</v>
      </c>
      <c r="D319" s="13">
        <v>3</v>
      </c>
      <c r="E319" s="3">
        <f>IF(Quantitytable[[#This Row],[Units]]=0,0,SUMIFS(Quantitytable[NeededQuantity],Quantitytable[Dish],Quantitytable[[#This Row],[Dish]],Quantitytable[[Ingredient ]],Quantitytable[[#This Row],[Ingredient ]]))</f>
        <v>0</v>
      </c>
      <c r="F319" s="3">
        <f>SUMIFS(salestable[Quantity Sold],salestable[Item Name],Quantitytable[[#This Row],[Dish]])</f>
        <v>0</v>
      </c>
      <c r="G319" s="3">
        <f>'Quantity Table'!$E319*'Quantity Table'!$F319</f>
        <v>0</v>
      </c>
      <c r="H319" s="3">
        <f>_xlfn.IFNA(VLOOKUP(Quantitytable[[#This Row],[Ingredient ]],Shoppingtable[[Item Name]:[BALANCE Cash]],5,FALSE),0)*Quantitytable[[#This Row],[NeededQuantity]]</f>
        <v>0.15000000000000002</v>
      </c>
      <c r="I319" s="3">
        <f>SUMIF(Quantitytable[Dish],Quantitytable[[#This Row],[Dish]],Quantitytable[Cost Per Dish Per Item])</f>
        <v>28.581367643102439</v>
      </c>
      <c r="J319" s="18" t="s">
        <v>502</v>
      </c>
    </row>
    <row r="320" spans="2:10" x14ac:dyDescent="0.25">
      <c r="B320" s="13" t="s">
        <v>133</v>
      </c>
      <c r="C320" s="13" t="s">
        <v>508</v>
      </c>
      <c r="D320" s="13">
        <v>5</v>
      </c>
      <c r="E320" s="3">
        <f>IF(Quantitytable[[#This Row],[Units]]=0,0,SUMIFS(Quantitytable[NeededQuantity],Quantitytable[Dish],Quantitytable[[#This Row],[Dish]],Quantitytable[[Ingredient ]],Quantitytable[[#This Row],[Ingredient ]]))</f>
        <v>0</v>
      </c>
      <c r="F320" s="3">
        <f>SUMIFS(salestable[Quantity Sold],salestable[Item Name],Quantitytable[[#This Row],[Dish]])</f>
        <v>0</v>
      </c>
      <c r="G320" s="3">
        <f>'Quantity Table'!$E320*'Quantity Table'!$F320</f>
        <v>0</v>
      </c>
      <c r="H320" s="3">
        <f>_xlfn.IFNA(VLOOKUP(Quantitytable[[#This Row],[Ingredient ]],Shoppingtable[[Item Name]:[BALANCE Cash]],5,FALSE),0)*Quantitytable[[#This Row],[NeededQuantity]]</f>
        <v>1.5555555555555556</v>
      </c>
      <c r="I320" s="3">
        <f>SUMIF(Quantitytable[Dish],Quantitytable[[#This Row],[Dish]],Quantitytable[Cost Per Dish Per Item])</f>
        <v>28.581367643102439</v>
      </c>
      <c r="J320" s="18" t="s">
        <v>502</v>
      </c>
    </row>
    <row r="321" spans="2:10" x14ac:dyDescent="0.25">
      <c r="B321" s="13" t="s">
        <v>133</v>
      </c>
      <c r="C321" s="13" t="s">
        <v>418</v>
      </c>
      <c r="D321" s="13">
        <v>5</v>
      </c>
      <c r="E321" s="3">
        <f>IF(Quantitytable[[#This Row],[Units]]=0,0,SUMIFS(Quantitytable[NeededQuantity],Quantitytable[Dish],Quantitytable[[#This Row],[Dish]],Quantitytable[[Ingredient ]],Quantitytable[[#This Row],[Ingredient ]]))</f>
        <v>0</v>
      </c>
      <c r="F321" s="3">
        <f>SUMIFS(salestable[Quantity Sold],salestable[Item Name],Quantitytable[[#This Row],[Dish]])</f>
        <v>0</v>
      </c>
      <c r="G321" s="3">
        <f>'Quantity Table'!$E321*'Quantity Table'!$F321</f>
        <v>0</v>
      </c>
      <c r="H321" s="3">
        <f>_xlfn.IFNA(VLOOKUP(Quantitytable[[#This Row],[Ingredient ]],Shoppingtable[[Item Name]:[BALANCE Cash]],5,FALSE),0)*Quantitytable[[#This Row],[NeededQuantity]]</f>
        <v>0.75</v>
      </c>
      <c r="I321" s="3">
        <f>SUMIF(Quantitytable[Dish],Quantitytable[[#This Row],[Dish]],Quantitytable[Cost Per Dish Per Item])</f>
        <v>28.581367643102439</v>
      </c>
      <c r="J321" s="18" t="s">
        <v>502</v>
      </c>
    </row>
    <row r="322" spans="2:10" x14ac:dyDescent="0.25">
      <c r="B322" s="13" t="s">
        <v>133</v>
      </c>
      <c r="C322" s="13" t="s">
        <v>507</v>
      </c>
      <c r="D322" s="13">
        <v>5</v>
      </c>
      <c r="E322" s="3">
        <f>IF(Quantitytable[[#This Row],[Units]]=0,0,SUMIFS(Quantitytable[NeededQuantity],Quantitytable[Dish],Quantitytable[[#This Row],[Dish]],Quantitytable[[Ingredient ]],Quantitytable[[#This Row],[Ingredient ]]))</f>
        <v>0</v>
      </c>
      <c r="F322" s="3">
        <f>SUMIFS(salestable[Quantity Sold],salestable[Item Name],Quantitytable[[#This Row],[Dish]])</f>
        <v>0</v>
      </c>
      <c r="G322" s="3">
        <f>'Quantity Table'!$E322*'Quantity Table'!$F322</f>
        <v>0</v>
      </c>
      <c r="H322" s="3">
        <f>_xlfn.IFNA(VLOOKUP(Quantitytable[[#This Row],[Ingredient ]],Shoppingtable[[Item Name]:[BALANCE Cash]],5,FALSE),0)*Quantitytable[[#This Row],[NeededQuantity]]</f>
        <v>0.56497175141242939</v>
      </c>
      <c r="I322" s="3">
        <f>SUMIF(Quantitytable[Dish],Quantitytable[[#This Row],[Dish]],Quantitytable[Cost Per Dish Per Item])</f>
        <v>28.581367643102439</v>
      </c>
      <c r="J322" s="18" t="s">
        <v>502</v>
      </c>
    </row>
    <row r="323" spans="2:10" x14ac:dyDescent="0.25">
      <c r="B323" s="13" t="s">
        <v>133</v>
      </c>
      <c r="C323" s="13" t="s">
        <v>400</v>
      </c>
      <c r="D323" s="13">
        <v>35</v>
      </c>
      <c r="E323" s="3">
        <f>IF(Quantitytable[[#This Row],[Units]]=0,0,SUMIFS(Quantitytable[NeededQuantity],Quantitytable[Dish],Quantitytable[[#This Row],[Dish]],Quantitytable[[Ingredient ]],Quantitytable[[#This Row],[Ingredient ]]))</f>
        <v>0</v>
      </c>
      <c r="F323" s="3">
        <f>SUMIFS(salestable[Quantity Sold],salestable[Item Name],Quantitytable[[#This Row],[Dish]])</f>
        <v>0</v>
      </c>
      <c r="G323" s="3">
        <f>'Quantity Table'!$E323*'Quantity Table'!$F323</f>
        <v>0</v>
      </c>
      <c r="H323" s="3">
        <f>_xlfn.IFNA(VLOOKUP(Quantitytable[[#This Row],[Ingredient ]],Shoppingtable[[Item Name]:[BALANCE Cash]],5,FALSE),0)*Quantitytable[[#This Row],[NeededQuantity]]</f>
        <v>1.05</v>
      </c>
      <c r="I323" s="3">
        <f>SUMIF(Quantitytable[Dish],Quantitytable[[#This Row],[Dish]],Quantitytable[Cost Per Dish Per Item])</f>
        <v>28.581367643102439</v>
      </c>
      <c r="J323" s="18" t="s">
        <v>502</v>
      </c>
    </row>
    <row r="324" spans="2:10" x14ac:dyDescent="0.25">
      <c r="B324" s="13" t="s">
        <v>133</v>
      </c>
      <c r="C324" s="13" t="s">
        <v>413</v>
      </c>
      <c r="D324" s="13">
        <v>50</v>
      </c>
      <c r="E324" s="3">
        <f>IF(Quantitytable[[#This Row],[Units]]=0,0,SUMIFS(Quantitytable[NeededQuantity],Quantitytable[Dish],Quantitytable[[#This Row],[Dish]],Quantitytable[[Ingredient ]],Quantitytable[[#This Row],[Ingredient ]]))</f>
        <v>0</v>
      </c>
      <c r="F324" s="3">
        <f>SUMIFS(salestable[Quantity Sold],salestable[Item Name],Quantitytable[[#This Row],[Dish]])</f>
        <v>0</v>
      </c>
      <c r="G324" s="3">
        <f>'Quantity Table'!$E324*'Quantity Table'!$F324</f>
        <v>0</v>
      </c>
      <c r="H324" s="3">
        <f>_xlfn.IFNA(VLOOKUP(Quantitytable[[#This Row],[Ingredient ]],Shoppingtable[[Item Name]:[BALANCE Cash]],5,FALSE),0)*Quantitytable[[#This Row],[NeededQuantity]]</f>
        <v>7.3</v>
      </c>
      <c r="I324" s="3">
        <f>SUMIF(Quantitytable[Dish],Quantitytable[[#This Row],[Dish]],Quantitytable[Cost Per Dish Per Item])</f>
        <v>28.581367643102439</v>
      </c>
      <c r="J324" s="18" t="s">
        <v>502</v>
      </c>
    </row>
    <row r="325" spans="2:10" x14ac:dyDescent="0.25">
      <c r="B325" s="13" t="s">
        <v>133</v>
      </c>
      <c r="C325" s="13" t="s">
        <v>77</v>
      </c>
      <c r="D325" s="13">
        <v>100</v>
      </c>
      <c r="E325" s="3">
        <f>IF(Quantitytable[[#This Row],[Units]]=0,0,SUMIFS(Quantitytable[NeededQuantity],Quantitytable[Dish],Quantitytable[[#This Row],[Dish]],Quantitytable[[Ingredient ]],Quantitytable[[#This Row],[Ingredient ]]))</f>
        <v>0</v>
      </c>
      <c r="F325" s="3">
        <f>SUMIFS(salestable[Quantity Sold],salestable[Item Name],Quantitytable[[#This Row],[Dish]])</f>
        <v>0</v>
      </c>
      <c r="G325" s="3">
        <f>'Quantity Table'!$E325*'Quantity Table'!$F325</f>
        <v>0</v>
      </c>
      <c r="H325" s="3">
        <f>_xlfn.IFNA(VLOOKUP(Quantitytable[[#This Row],[Ingredient ]],Shoppingtable[[Item Name]:[BALANCE Cash]],5,FALSE),0)*Quantitytable[[#This Row],[NeededQuantity]]</f>
        <v>4.1500000000000004</v>
      </c>
      <c r="I325" s="3">
        <f>SUMIF(Quantitytable[Dish],Quantitytable[[#This Row],[Dish]],Quantitytable[Cost Per Dish Per Item])</f>
        <v>28.581367643102439</v>
      </c>
      <c r="J325" s="18" t="s">
        <v>502</v>
      </c>
    </row>
    <row r="326" spans="2:10" x14ac:dyDescent="0.25">
      <c r="B326" s="13" t="s">
        <v>133</v>
      </c>
      <c r="C326" s="13" t="s">
        <v>44</v>
      </c>
      <c r="D326" s="13">
        <v>300</v>
      </c>
      <c r="E326" s="3">
        <f>IF(Quantitytable[[#This Row],[Units]]=0,0,SUMIFS(Quantitytable[NeededQuantity],Quantitytable[Dish],Quantitytable[[#This Row],[Dish]],Quantitytable[[Ingredient ]],Quantitytable[[#This Row],[Ingredient ]]))</f>
        <v>0</v>
      </c>
      <c r="F326" s="3">
        <f>SUMIFS(salestable[Quantity Sold],salestable[Item Name],Quantitytable[[#This Row],[Dish]])</f>
        <v>0</v>
      </c>
      <c r="G326" s="3">
        <f>'Quantity Table'!$E326*'Quantity Table'!$F326</f>
        <v>0</v>
      </c>
      <c r="H326" s="3">
        <f>_xlfn.IFNA(VLOOKUP(Quantitytable[[#This Row],[Ingredient ]],Shoppingtable[[Item Name]:[BALANCE Cash]],5,FALSE),0)*Quantitytable[[#This Row],[NeededQuantity]]</f>
        <v>8.5714285714285712</v>
      </c>
      <c r="I326" s="3">
        <f>SUMIF(Quantitytable[Dish],Quantitytable[[#This Row],[Dish]],Quantitytable[Cost Per Dish Per Item])</f>
        <v>28.581367643102439</v>
      </c>
      <c r="J326" s="18" t="s">
        <v>502</v>
      </c>
    </row>
    <row r="327" spans="2:10" x14ac:dyDescent="0.25">
      <c r="B327" s="13" t="s">
        <v>343</v>
      </c>
      <c r="C327" s="13" t="s">
        <v>432</v>
      </c>
      <c r="D327" s="13">
        <v>2</v>
      </c>
      <c r="E327" s="3">
        <f>IF(Quantitytable[[#This Row],[Units]]=0,0,SUMIFS(Quantitytable[NeededQuantity],Quantitytable[Dish],Quantitytable[[#This Row],[Dish]],Quantitytable[[Ingredient ]],Quantitytable[[#This Row],[Ingredient ]]))</f>
        <v>0</v>
      </c>
      <c r="F327" s="3">
        <f>SUMIFS(salestable[Quantity Sold],salestable[Item Name],Quantitytable[[#This Row],[Dish]])</f>
        <v>0</v>
      </c>
      <c r="G327" s="3">
        <f>'Quantity Table'!$E327*'Quantity Table'!$F327</f>
        <v>0</v>
      </c>
      <c r="H327" s="3">
        <f>_xlfn.IFNA(VLOOKUP(Quantitytable[[#This Row],[Ingredient ]],Shoppingtable[[Item Name]:[BALANCE Cash]],5,FALSE),0)*Quantitytable[[#This Row],[NeededQuantity]]</f>
        <v>0.6</v>
      </c>
      <c r="I327" s="3">
        <f>SUMIF(Quantitytable[Dish],Quantitytable[[#This Row],[Dish]],Quantitytable[Cost Per Dish Per Item])</f>
        <v>16.978571428571428</v>
      </c>
      <c r="J327" s="18" t="s">
        <v>502</v>
      </c>
    </row>
    <row r="328" spans="2:10" x14ac:dyDescent="0.25">
      <c r="B328" s="13" t="s">
        <v>343</v>
      </c>
      <c r="C328" s="13" t="s">
        <v>478</v>
      </c>
      <c r="D328" s="13">
        <v>2</v>
      </c>
      <c r="E328" s="3">
        <f>IF(Quantitytable[[#This Row],[Units]]=0,0,SUMIFS(Quantitytable[NeededQuantity],Quantitytable[Dish],Quantitytable[[#This Row],[Dish]],Quantitytable[[Ingredient ]],Quantitytable[[#This Row],[Ingredient ]]))</f>
        <v>0</v>
      </c>
      <c r="F328" s="3">
        <f>SUMIFS(salestable[Quantity Sold],salestable[Item Name],Quantitytable[[#This Row],[Dish]])</f>
        <v>0</v>
      </c>
      <c r="G328" s="3">
        <f>'Quantity Table'!$E328*'Quantity Table'!$F328</f>
        <v>0</v>
      </c>
      <c r="H328" s="3">
        <f>_xlfn.IFNA(VLOOKUP(Quantitytable[[#This Row],[Ingredient ]],Shoppingtable[[Item Name]:[BALANCE Cash]],5,FALSE),0)*Quantitytable[[#This Row],[NeededQuantity]]</f>
        <v>0.5</v>
      </c>
      <c r="I328" s="3">
        <f>SUMIF(Quantitytable[Dish],Quantitytable[[#This Row],[Dish]],Quantitytable[Cost Per Dish Per Item])</f>
        <v>16.978571428571428</v>
      </c>
      <c r="J328" s="18" t="s">
        <v>502</v>
      </c>
    </row>
    <row r="329" spans="2:10" x14ac:dyDescent="0.25">
      <c r="B329" s="13" t="s">
        <v>343</v>
      </c>
      <c r="C329" s="13" t="s">
        <v>478</v>
      </c>
      <c r="D329" s="13">
        <v>2</v>
      </c>
      <c r="E329" s="3">
        <f>IF(Quantitytable[[#This Row],[Units]]=0,0,SUMIFS(Quantitytable[NeededQuantity],Quantitytable[Dish],Quantitytable[[#This Row],[Dish]],Quantitytable[[Ingredient ]],Quantitytable[[#This Row],[Ingredient ]]))</f>
        <v>0</v>
      </c>
      <c r="F329" s="3">
        <f>SUMIFS(salestable[Quantity Sold],salestable[Item Name],Quantitytable[[#This Row],[Dish]])</f>
        <v>0</v>
      </c>
      <c r="G329" s="3">
        <f>'Quantity Table'!$E329*'Quantity Table'!$F329</f>
        <v>0</v>
      </c>
      <c r="H329" s="3">
        <f>_xlfn.IFNA(VLOOKUP(Quantitytable[[#This Row],[Ingredient ]],Shoppingtable[[Item Name]:[BALANCE Cash]],5,FALSE),0)*Quantitytable[[#This Row],[NeededQuantity]]</f>
        <v>0.5</v>
      </c>
      <c r="I329" s="3">
        <f>SUMIF(Quantitytable[Dish],Quantitytable[[#This Row],[Dish]],Quantitytable[Cost Per Dish Per Item])</f>
        <v>16.978571428571428</v>
      </c>
      <c r="J329" s="18" t="s">
        <v>502</v>
      </c>
    </row>
    <row r="330" spans="2:10" x14ac:dyDescent="0.25">
      <c r="B330" s="13" t="s">
        <v>343</v>
      </c>
      <c r="C330" s="13" t="s">
        <v>418</v>
      </c>
      <c r="D330" s="13">
        <v>2</v>
      </c>
      <c r="E330" s="3">
        <f>IF(Quantitytable[[#This Row],[Units]]=0,0,SUMIFS(Quantitytable[NeededQuantity],Quantitytable[Dish],Quantitytable[[#This Row],[Dish]],Quantitytable[[Ingredient ]],Quantitytable[[#This Row],[Ingredient ]]))</f>
        <v>0</v>
      </c>
      <c r="F330" s="3">
        <f>SUMIFS(salestable[Quantity Sold],salestable[Item Name],Quantitytable[[#This Row],[Dish]])</f>
        <v>0</v>
      </c>
      <c r="G330" s="3">
        <f>'Quantity Table'!$E330*'Quantity Table'!$F330</f>
        <v>0</v>
      </c>
      <c r="H330" s="3">
        <f>_xlfn.IFNA(VLOOKUP(Quantitytable[[#This Row],[Ingredient ]],Shoppingtable[[Item Name]:[BALANCE Cash]],5,FALSE),0)*Quantitytable[[#This Row],[NeededQuantity]]</f>
        <v>0.3</v>
      </c>
      <c r="I330" s="3">
        <f>SUMIF(Quantitytable[Dish],Quantitytable[[#This Row],[Dish]],Quantitytable[Cost Per Dish Per Item])</f>
        <v>16.978571428571428</v>
      </c>
      <c r="J330" s="18" t="s">
        <v>502</v>
      </c>
    </row>
    <row r="331" spans="2:10" x14ac:dyDescent="0.25">
      <c r="B331" s="13" t="s">
        <v>343</v>
      </c>
      <c r="C331" s="13" t="s">
        <v>75</v>
      </c>
      <c r="D331" s="13">
        <v>25</v>
      </c>
      <c r="E331" s="3">
        <f>IF(Quantitytable[[#This Row],[Units]]=0,0,SUMIFS(Quantitytable[NeededQuantity],Quantitytable[Dish],Quantitytable[[#This Row],[Dish]],Quantitytable[[Ingredient ]],Quantitytable[[#This Row],[Ingredient ]]))</f>
        <v>0</v>
      </c>
      <c r="F331" s="3">
        <f>SUMIFS(salestable[Quantity Sold],salestable[Item Name],Quantitytable[[#This Row],[Dish]])</f>
        <v>0</v>
      </c>
      <c r="G331" s="3">
        <f>'Quantity Table'!$E331*'Quantity Table'!$F331</f>
        <v>0</v>
      </c>
      <c r="H331" s="3">
        <f>_xlfn.IFNA(VLOOKUP(Quantitytable[[#This Row],[Ingredient ]],Shoppingtable[[Item Name]:[BALANCE Cash]],5,FALSE),0)*Quantitytable[[#This Row],[NeededQuantity]]</f>
        <v>3.65</v>
      </c>
      <c r="I331" s="3">
        <f>SUMIF(Quantitytable[Dish],Quantitytable[[#This Row],[Dish]],Quantitytable[Cost Per Dish Per Item])</f>
        <v>16.978571428571428</v>
      </c>
      <c r="J331" s="18" t="s">
        <v>502</v>
      </c>
    </row>
    <row r="332" spans="2:10" x14ac:dyDescent="0.25">
      <c r="B332" s="13" t="s">
        <v>343</v>
      </c>
      <c r="C332" s="13" t="s">
        <v>44</v>
      </c>
      <c r="D332" s="13">
        <v>400</v>
      </c>
      <c r="E332" s="3">
        <f>IF(Quantitytable[[#This Row],[Units]]=0,0,SUMIFS(Quantitytable[NeededQuantity],Quantitytable[Dish],Quantitytable[[#This Row],[Dish]],Quantitytable[[Ingredient ]],Quantitytable[[#This Row],[Ingredient ]]))</f>
        <v>0</v>
      </c>
      <c r="F332" s="3">
        <f>SUMIFS(salestable[Quantity Sold],salestable[Item Name],Quantitytable[[#This Row],[Dish]])</f>
        <v>0</v>
      </c>
      <c r="G332" s="3">
        <f>'Quantity Table'!$E332*'Quantity Table'!$F332</f>
        <v>0</v>
      </c>
      <c r="H332" s="3">
        <f>_xlfn.IFNA(VLOOKUP(Quantitytable[[#This Row],[Ingredient ]],Shoppingtable[[Item Name]:[BALANCE Cash]],5,FALSE),0)*Quantitytable[[#This Row],[NeededQuantity]]</f>
        <v>11.428571428571429</v>
      </c>
      <c r="I332" s="3">
        <f>SUMIF(Quantitytable[Dish],Quantitytable[[#This Row],[Dish]],Quantitytable[Cost Per Dish Per Item])</f>
        <v>16.978571428571428</v>
      </c>
      <c r="J332" s="18" t="s">
        <v>502</v>
      </c>
    </row>
    <row r="333" spans="2:10" x14ac:dyDescent="0.25">
      <c r="B333" s="13" t="s">
        <v>548</v>
      </c>
      <c r="C333" s="13" t="s">
        <v>577</v>
      </c>
      <c r="D333" s="13">
        <v>50</v>
      </c>
      <c r="E333" s="3">
        <f>IF(Quantitytable[[#This Row],[Units]]=0,0,SUMIFS(Quantitytable[NeededQuantity],Quantitytable[Dish],Quantitytable[[#This Row],[Dish]],Quantitytable[[Ingredient ]],Quantitytable[[#This Row],[Ingredient ]]))</f>
        <v>50</v>
      </c>
      <c r="F333" s="3">
        <f>SUMIFS(salestable[Quantity Sold],salestable[Item Name],Quantitytable[[#This Row],[Dish]])</f>
        <v>1</v>
      </c>
      <c r="G333" s="3">
        <f>'Quantity Table'!$E333*'Quantity Table'!$F333</f>
        <v>50</v>
      </c>
      <c r="H333" s="3">
        <f>_xlfn.IFNA(VLOOKUP(Quantitytable[[#This Row],[Ingredient ]],Shoppingtable[[Item Name]:[BALANCE Cash]],5,FALSE),0)*Quantitytable[[#This Row],[NeededQuantity]]</f>
        <v>2.8846153846153846</v>
      </c>
      <c r="I333" s="3">
        <f>SUMIF(Quantitytable[Dish],Quantitytable[[#This Row],[Dish]],Quantitytable[Cost Per Dish Per Item])</f>
        <v>12.991758241758243</v>
      </c>
      <c r="J333" s="18" t="s">
        <v>502</v>
      </c>
    </row>
    <row r="334" spans="2:10" x14ac:dyDescent="0.25">
      <c r="B334" s="13" t="s">
        <v>548</v>
      </c>
      <c r="C334" s="13" t="s">
        <v>576</v>
      </c>
      <c r="D334" s="13">
        <v>50</v>
      </c>
      <c r="E334" s="3">
        <f>IF(Quantitytable[[#This Row],[Units]]=0,0,SUMIFS(Quantitytable[NeededQuantity],Quantitytable[Dish],Quantitytable[[#This Row],[Dish]],Quantitytable[[Ingredient ]],Quantitytable[[#This Row],[Ingredient ]]))</f>
        <v>50</v>
      </c>
      <c r="F334" s="3">
        <f>SUMIFS(salestable[Quantity Sold],salestable[Item Name],Quantitytable[[#This Row],[Dish]])</f>
        <v>1</v>
      </c>
      <c r="G334" s="3">
        <f>'Quantity Table'!$E334*'Quantity Table'!$F334</f>
        <v>50</v>
      </c>
      <c r="H334" s="3">
        <f>_xlfn.IFNA(VLOOKUP(Quantitytable[[#This Row],[Ingredient ]],Shoppingtable[[Item Name]:[BALANCE Cash]],5,FALSE),0)*Quantitytable[[#This Row],[NeededQuantity]]</f>
        <v>2.9166666666666665</v>
      </c>
      <c r="I334" s="3">
        <f>SUMIF(Quantitytable[Dish],Quantitytable[[#This Row],[Dish]],Quantitytable[Cost Per Dish Per Item])</f>
        <v>12.991758241758243</v>
      </c>
      <c r="J334" s="18" t="s">
        <v>502</v>
      </c>
    </row>
    <row r="335" spans="2:10" x14ac:dyDescent="0.25">
      <c r="B335" s="13" t="s">
        <v>548</v>
      </c>
      <c r="C335" s="13" t="s">
        <v>98</v>
      </c>
      <c r="D335" s="13">
        <v>80</v>
      </c>
      <c r="E335" s="3">
        <f>IF(Quantitytable[[#This Row],[Units]]=0,0,SUMIFS(Quantitytable[NeededQuantity],Quantitytable[Dish],Quantitytable[[#This Row],[Dish]],Quantitytable[[Ingredient ]],Quantitytable[[#This Row],[Ingredient ]]))</f>
        <v>80</v>
      </c>
      <c r="F335" s="3">
        <f>SUMIFS(salestable[Quantity Sold],salestable[Item Name],Quantitytable[[#This Row],[Dish]])</f>
        <v>1</v>
      </c>
      <c r="G335" s="3">
        <f>'Quantity Table'!$E335*'Quantity Table'!$F335</f>
        <v>80</v>
      </c>
      <c r="H335" s="3">
        <f>_xlfn.IFNA(VLOOKUP(Quantitytable[[#This Row],[Ingredient ]],Shoppingtable[[Item Name]:[BALANCE Cash]],5,FALSE),0)*Quantitytable[[#This Row],[NeededQuantity]]</f>
        <v>4.3333333333333339</v>
      </c>
      <c r="I335" s="3">
        <f>SUMIF(Quantitytable[Dish],Quantitytable[[#This Row],[Dish]],Quantitytable[Cost Per Dish Per Item])</f>
        <v>12.991758241758243</v>
      </c>
      <c r="J335" s="18" t="s">
        <v>502</v>
      </c>
    </row>
    <row r="336" spans="2:10" x14ac:dyDescent="0.25">
      <c r="B336" s="13" t="s">
        <v>548</v>
      </c>
      <c r="C336" s="13" t="s">
        <v>407</v>
      </c>
      <c r="D336" s="13">
        <v>100</v>
      </c>
      <c r="E336" s="3">
        <f>IF(Quantitytable[[#This Row],[Units]]=0,0,SUMIFS(Quantitytable[NeededQuantity],Quantitytable[Dish],Quantitytable[[#This Row],[Dish]],Quantitytable[[Ingredient ]],Quantitytable[[#This Row],[Ingredient ]]))</f>
        <v>100</v>
      </c>
      <c r="F336" s="3">
        <f>SUMIFS(salestable[Quantity Sold],salestable[Item Name],Quantitytable[[#This Row],[Dish]])</f>
        <v>1</v>
      </c>
      <c r="G336" s="3">
        <f>'Quantity Table'!$E336*'Quantity Table'!$F336</f>
        <v>100</v>
      </c>
      <c r="H336" s="3">
        <f>_xlfn.IFNA(VLOOKUP(Quantitytable[[#This Row],[Ingredient ]],Shoppingtable[[Item Name]:[BALANCE Cash]],5,FALSE),0)*Quantitytable[[#This Row],[NeededQuantity]]</f>
        <v>2.8571428571428572</v>
      </c>
      <c r="I336" s="3">
        <f>SUMIF(Quantitytable[Dish],Quantitytable[[#This Row],[Dish]],Quantitytable[Cost Per Dish Per Item])</f>
        <v>12.991758241758243</v>
      </c>
      <c r="J336" s="18" t="s">
        <v>502</v>
      </c>
    </row>
    <row r="337" spans="2:10" x14ac:dyDescent="0.25">
      <c r="B337" s="13" t="s">
        <v>643</v>
      </c>
      <c r="C337" s="13" t="s">
        <v>163</v>
      </c>
      <c r="D337" s="13">
        <v>100</v>
      </c>
      <c r="E337" s="3">
        <f>IF(Quantitytable[[#This Row],[Units]]=0,0,SUMIFS(Quantitytable[NeededQuantity],Quantitytable[Dish],Quantitytable[[#This Row],[Dish]],Quantitytable[[Ingredient ]],Quantitytable[[#This Row],[Ingredient ]]))</f>
        <v>0</v>
      </c>
      <c r="F337" s="3">
        <f>SUMIFS(salestable[Quantity Sold],salestable[Item Name],Quantitytable[[#This Row],[Dish]])</f>
        <v>0</v>
      </c>
      <c r="G337" s="3">
        <f>'Quantity Table'!$E337*'Quantity Table'!$F337</f>
        <v>0</v>
      </c>
      <c r="H337" s="3">
        <f>_xlfn.IFNA(VLOOKUP(Quantitytable[[#This Row],[Ingredient ]],Shoppingtable[[Item Name]:[BALANCE Cash]],5,FALSE),0)*Quantitytable[[#This Row],[NeededQuantity]]</f>
        <v>22.08</v>
      </c>
      <c r="I337" s="3">
        <f>SUMIF(Quantitytable[Dish],Quantitytable[[#This Row],[Dish]],Quantitytable[Cost Per Dish Per Item])</f>
        <v>24.937142857142856</v>
      </c>
      <c r="J337" s="18" t="s">
        <v>502</v>
      </c>
    </row>
    <row r="338" spans="2:10" x14ac:dyDescent="0.25">
      <c r="B338" s="13" t="s">
        <v>643</v>
      </c>
      <c r="C338" s="13" t="s">
        <v>407</v>
      </c>
      <c r="D338" s="13">
        <v>100</v>
      </c>
      <c r="E338" s="3">
        <f>IF(Quantitytable[[#This Row],[Units]]=0,0,SUMIFS(Quantitytable[NeededQuantity],Quantitytable[Dish],Quantitytable[[#This Row],[Dish]],Quantitytable[[Ingredient ]],Quantitytable[[#This Row],[Ingredient ]]))</f>
        <v>0</v>
      </c>
      <c r="F338" s="3">
        <f>SUMIFS(salestable[Quantity Sold],salestable[Item Name],Quantitytable[[#This Row],[Dish]])</f>
        <v>0</v>
      </c>
      <c r="G338" s="3">
        <f>'Quantity Table'!$E338*'Quantity Table'!$F338</f>
        <v>0</v>
      </c>
      <c r="H338" s="3">
        <f>_xlfn.IFNA(VLOOKUP(Quantitytable[[#This Row],[Ingredient ]],Shoppingtable[[Item Name]:[BALANCE Cash]],5,FALSE),0)*Quantitytable[[#This Row],[NeededQuantity]]</f>
        <v>2.8571428571428572</v>
      </c>
      <c r="I338" s="3">
        <f>SUMIF(Quantitytable[Dish],Quantitytable[[#This Row],[Dish]],Quantitytable[Cost Per Dish Per Item])</f>
        <v>24.937142857142856</v>
      </c>
      <c r="J338" s="18" t="s">
        <v>502</v>
      </c>
    </row>
    <row r="339" spans="2:10" x14ac:dyDescent="0.25">
      <c r="B339" s="13" t="s">
        <v>666</v>
      </c>
      <c r="C339" s="13" t="s">
        <v>600</v>
      </c>
      <c r="D339" s="13">
        <v>150</v>
      </c>
      <c r="E339" s="3">
        <f>IF(Quantitytable[[#This Row],[Units]]=0,0,SUMIFS(Quantitytable[NeededQuantity],Quantitytable[Dish],Quantitytable[[#This Row],[Dish]],Quantitytable[[Ingredient ]],Quantitytable[[#This Row],[Ingredient ]]))</f>
        <v>0</v>
      </c>
      <c r="F339" s="3">
        <f>SUMIFS(salestable[Quantity Sold],salestable[Item Name],Quantitytable[[#This Row],[Dish]])</f>
        <v>0</v>
      </c>
      <c r="G339" s="3">
        <f>'Quantity Table'!$E339*'Quantity Table'!$F339</f>
        <v>0</v>
      </c>
      <c r="H339" s="3">
        <f>_xlfn.IFNA(VLOOKUP(Quantitytable[[#This Row],[Ingredient ]],Shoppingtable[[Item Name]:[BALANCE Cash]],5,FALSE),0)*Quantitytable[[#This Row],[NeededQuantity]]</f>
        <v>13.3125</v>
      </c>
      <c r="I339" s="3">
        <f>SUMIF(Quantitytable[Dish],Quantitytable[[#This Row],[Dish]],Quantitytable[Cost Per Dish Per Item])</f>
        <v>16.169642857142858</v>
      </c>
      <c r="J339" s="18" t="s">
        <v>502</v>
      </c>
    </row>
    <row r="340" spans="2:10" x14ac:dyDescent="0.25">
      <c r="B340" s="13" t="s">
        <v>666</v>
      </c>
      <c r="C340" s="13" t="s">
        <v>407</v>
      </c>
      <c r="D340" s="13">
        <v>100</v>
      </c>
      <c r="E340" s="3">
        <f>IF(Quantitytable[[#This Row],[Units]]=0,0,SUMIFS(Quantitytable[NeededQuantity],Quantitytable[Dish],Quantitytable[[#This Row],[Dish]],Quantitytable[[Ingredient ]],Quantitytable[[#This Row],[Ingredient ]]))</f>
        <v>0</v>
      </c>
      <c r="F340" s="3">
        <f>SUMIFS(salestable[Quantity Sold],salestable[Item Name],Quantitytable[[#This Row],[Dish]])</f>
        <v>0</v>
      </c>
      <c r="G340" s="3">
        <f>'Quantity Table'!$E340*'Quantity Table'!$F340</f>
        <v>0</v>
      </c>
      <c r="H340" s="3">
        <f>_xlfn.IFNA(VLOOKUP(Quantitytable[[#This Row],[Ingredient ]],Shoppingtable[[Item Name]:[BALANCE Cash]],5,FALSE),0)*Quantitytable[[#This Row],[NeededQuantity]]</f>
        <v>2.8571428571428572</v>
      </c>
      <c r="I340" s="3">
        <f>SUMIF(Quantitytable[Dish],Quantitytable[[#This Row],[Dish]],Quantitytable[Cost Per Dish Per Item])</f>
        <v>16.169642857142858</v>
      </c>
      <c r="J340" s="18" t="s">
        <v>502</v>
      </c>
    </row>
    <row r="341" spans="2:10" x14ac:dyDescent="0.25">
      <c r="B341" s="13" t="s">
        <v>169</v>
      </c>
      <c r="C341" s="13" t="s">
        <v>44</v>
      </c>
      <c r="D341" s="13">
        <v>500</v>
      </c>
      <c r="E341" s="3">
        <f>IF(Quantitytable[[#This Row],[Units]]=0,0,SUMIFS(Quantitytable[NeededQuantity],Quantitytable[Dish],Quantitytable[[#This Row],[Dish]],Quantitytable[[Ingredient ]],Quantitytable[[#This Row],[Ingredient ]]))</f>
        <v>0</v>
      </c>
      <c r="F341" s="3">
        <f>SUMIFS(salestable[Quantity Sold],salestable[Item Name],Quantitytable[[#This Row],[Dish]])</f>
        <v>0</v>
      </c>
      <c r="G341" s="3">
        <f>'Quantity Table'!$E341*'Quantity Table'!$F341</f>
        <v>0</v>
      </c>
      <c r="H341" s="3">
        <f>_xlfn.IFNA(VLOOKUP(Quantitytable[[#This Row],[Ingredient ]],Shoppingtable[[Item Name]:[BALANCE Cash]],5,FALSE),0)*Quantitytable[[#This Row],[NeededQuantity]]</f>
        <v>14.285714285714285</v>
      </c>
      <c r="I341" s="3">
        <f>SUMIF(Quantitytable[Dish],Quantitytable[[#This Row],[Dish]],Quantitytable[Cost Per Dish Per Item])</f>
        <v>14.285714285714285</v>
      </c>
      <c r="J341" s="18" t="s">
        <v>502</v>
      </c>
    </row>
    <row r="342" spans="2:10" x14ac:dyDescent="0.25">
      <c r="B342" s="13" t="s">
        <v>644</v>
      </c>
      <c r="C342" s="13" t="s">
        <v>163</v>
      </c>
      <c r="D342" s="13">
        <v>100</v>
      </c>
      <c r="E342" s="3">
        <f>IF(Quantitytable[[#This Row],[Units]]=0,0,SUMIFS(Quantitytable[NeededQuantity],Quantitytable[Dish],Quantitytable[[#This Row],[Dish]],Quantitytable[[Ingredient ]],Quantitytable[[#This Row],[Ingredient ]]))</f>
        <v>0</v>
      </c>
      <c r="F342" s="3">
        <f>SUMIFS(salestable[Quantity Sold],salestable[Item Name],Quantitytable[[#This Row],[Dish]])</f>
        <v>0</v>
      </c>
      <c r="G342" s="3">
        <f>'Quantity Table'!$E342*'Quantity Table'!$F342</f>
        <v>0</v>
      </c>
      <c r="H342" s="3">
        <f>_xlfn.IFNA(VLOOKUP(Quantitytable[[#This Row],[Ingredient ]],Shoppingtable[[Item Name]:[BALANCE Cash]],5,FALSE),0)*Quantitytable[[#This Row],[NeededQuantity]]</f>
        <v>22.08</v>
      </c>
      <c r="I342" s="3">
        <f>SUMIF(Quantitytable[Dish],Quantitytable[[#This Row],[Dish]],Quantitytable[Cost Per Dish Per Item])</f>
        <v>36.365714285714283</v>
      </c>
      <c r="J342" s="18" t="s">
        <v>502</v>
      </c>
    </row>
    <row r="343" spans="2:10" x14ac:dyDescent="0.25">
      <c r="B343" s="13" t="s">
        <v>644</v>
      </c>
      <c r="C343" s="13" t="s">
        <v>44</v>
      </c>
      <c r="D343" s="13">
        <v>500</v>
      </c>
      <c r="E343" s="3">
        <f>IF(Quantitytable[[#This Row],[Units]]=0,0,SUMIFS(Quantitytable[NeededQuantity],Quantitytable[Dish],Quantitytable[[#This Row],[Dish]],Quantitytable[[Ingredient ]],Quantitytable[[#This Row],[Ingredient ]]))</f>
        <v>0</v>
      </c>
      <c r="F343" s="3">
        <f>SUMIFS(salestable[Quantity Sold],salestable[Item Name],Quantitytable[[#This Row],[Dish]])</f>
        <v>0</v>
      </c>
      <c r="G343" s="3">
        <f>'Quantity Table'!$E343*'Quantity Table'!$F343</f>
        <v>0</v>
      </c>
      <c r="H343" s="3">
        <f>_xlfn.IFNA(VLOOKUP(Quantitytable[[#This Row],[Ingredient ]],Shoppingtable[[Item Name]:[BALANCE Cash]],5,FALSE),0)*Quantitytable[[#This Row],[NeededQuantity]]</f>
        <v>14.285714285714285</v>
      </c>
      <c r="I343" s="3">
        <f>SUMIF(Quantitytable[Dish],Quantitytable[[#This Row],[Dish]],Quantitytable[Cost Per Dish Per Item])</f>
        <v>36.365714285714283</v>
      </c>
      <c r="J343" s="18" t="s">
        <v>502</v>
      </c>
    </row>
    <row r="344" spans="2:10" x14ac:dyDescent="0.25">
      <c r="B344" s="13" t="s">
        <v>667</v>
      </c>
      <c r="C344" s="13" t="s">
        <v>600</v>
      </c>
      <c r="D344" s="13">
        <v>150</v>
      </c>
      <c r="E344" s="3">
        <f>IF(Quantitytable[[#This Row],[Units]]=0,0,SUMIFS(Quantitytable[NeededQuantity],Quantitytable[Dish],Quantitytable[[#This Row],[Dish]],Quantitytable[[Ingredient ]],Quantitytable[[#This Row],[Ingredient ]]))</f>
        <v>0</v>
      </c>
      <c r="F344" s="3">
        <f>SUMIFS(salestable[Quantity Sold],salestable[Item Name],Quantitytable[[#This Row],[Dish]])</f>
        <v>0</v>
      </c>
      <c r="G344" s="3">
        <f>'Quantity Table'!$E344*'Quantity Table'!$F344</f>
        <v>0</v>
      </c>
      <c r="H344" s="3">
        <f>_xlfn.IFNA(VLOOKUP(Quantitytable[[#This Row],[Ingredient ]],Shoppingtable[[Item Name]:[BALANCE Cash]],5,FALSE),0)*Quantitytable[[#This Row],[NeededQuantity]]</f>
        <v>13.3125</v>
      </c>
      <c r="I344" s="3">
        <f>SUMIF(Quantitytable[Dish],Quantitytable[[#This Row],[Dish]],Quantitytable[Cost Per Dish Per Item])</f>
        <v>27.598214285714285</v>
      </c>
      <c r="J344" s="18" t="s">
        <v>502</v>
      </c>
    </row>
    <row r="345" spans="2:10" x14ac:dyDescent="0.25">
      <c r="B345" s="13" t="s">
        <v>667</v>
      </c>
      <c r="C345" s="13" t="s">
        <v>44</v>
      </c>
      <c r="D345" s="13">
        <v>500</v>
      </c>
      <c r="E345" s="3">
        <f>IF(Quantitytable[[#This Row],[Units]]=0,0,SUMIFS(Quantitytable[NeededQuantity],Quantitytable[Dish],Quantitytable[[#This Row],[Dish]],Quantitytable[[Ingredient ]],Quantitytable[[#This Row],[Ingredient ]]))</f>
        <v>0</v>
      </c>
      <c r="F345" s="3">
        <f>SUMIFS(salestable[Quantity Sold],salestable[Item Name],Quantitytable[[#This Row],[Dish]])</f>
        <v>0</v>
      </c>
      <c r="G345" s="3">
        <f>'Quantity Table'!$E345*'Quantity Table'!$F345</f>
        <v>0</v>
      </c>
      <c r="H345" s="3">
        <f>_xlfn.IFNA(VLOOKUP(Quantitytable[[#This Row],[Ingredient ]],Shoppingtable[[Item Name]:[BALANCE Cash]],5,FALSE),0)*Quantitytable[[#This Row],[NeededQuantity]]</f>
        <v>14.285714285714285</v>
      </c>
      <c r="I345" s="3">
        <f>SUMIF(Quantitytable[Dish],Quantitytable[[#This Row],[Dish]],Quantitytable[Cost Per Dish Per Item])</f>
        <v>27.598214285714285</v>
      </c>
      <c r="J345" s="18" t="s">
        <v>502</v>
      </c>
    </row>
    <row r="346" spans="2:10" x14ac:dyDescent="0.25">
      <c r="B346" s="13" t="s">
        <v>154</v>
      </c>
      <c r="C346" s="13" t="s">
        <v>418</v>
      </c>
      <c r="D346" s="13">
        <v>2</v>
      </c>
      <c r="E346" s="3">
        <f>IF(Quantitytable[[#This Row],[Units]]=0,0,SUMIFS(Quantitytable[NeededQuantity],Quantitytable[Dish],Quantitytable[[#This Row],[Dish]],Quantitytable[[Ingredient ]],Quantitytable[[#This Row],[Ingredient ]]))</f>
        <v>0</v>
      </c>
      <c r="F346" s="3">
        <f>SUMIFS(salestable[Quantity Sold],salestable[Item Name],Quantitytable[[#This Row],[Dish]])</f>
        <v>0</v>
      </c>
      <c r="G346" s="3">
        <f>'Quantity Table'!$E346*'Quantity Table'!$F346</f>
        <v>0</v>
      </c>
      <c r="H346" s="3">
        <f>_xlfn.IFNA(VLOOKUP(Quantitytable[[#This Row],[Ingredient ]],Shoppingtable[[Item Name]:[BALANCE Cash]],5,FALSE),0)*Quantitytable[[#This Row],[NeededQuantity]]</f>
        <v>0.3</v>
      </c>
      <c r="I346" s="3">
        <f>SUMIF(Quantitytable[Dish],Quantitytable[[#This Row],[Dish]],Quantitytable[Cost Per Dish Per Item])</f>
        <v>27.606407186262679</v>
      </c>
      <c r="J346" s="18" t="s">
        <v>502</v>
      </c>
    </row>
    <row r="347" spans="2:10" x14ac:dyDescent="0.25">
      <c r="B347" s="13" t="s">
        <v>154</v>
      </c>
      <c r="C347" s="13" t="s">
        <v>406</v>
      </c>
      <c r="D347" s="13">
        <v>6</v>
      </c>
      <c r="E347" s="3">
        <f>IF(Quantitytable[[#This Row],[Units]]=0,0,SUMIFS(Quantitytable[NeededQuantity],Quantitytable[Dish],Quantitytable[[#This Row],[Dish]],Quantitytable[[Ingredient ]],Quantitytable[[#This Row],[Ingredient ]]))</f>
        <v>0</v>
      </c>
      <c r="F347" s="3">
        <f>SUMIFS(salestable[Quantity Sold],salestable[Item Name],Quantitytable[[#This Row],[Dish]])</f>
        <v>0</v>
      </c>
      <c r="G347" s="3">
        <f>'Quantity Table'!$E347*'Quantity Table'!$F347</f>
        <v>0</v>
      </c>
      <c r="H347" s="3">
        <f>_xlfn.IFNA(VLOOKUP(Quantitytable[[#This Row],[Ingredient ]],Shoppingtable[[Item Name]:[BALANCE Cash]],5,FALSE),0)*Quantitytable[[#This Row],[NeededQuantity]]</f>
        <v>0.69364161849710981</v>
      </c>
      <c r="I347" s="3">
        <f>SUMIF(Quantitytable[Dish],Quantitytable[[#This Row],[Dish]],Quantitytable[Cost Per Dish Per Item])</f>
        <v>27.606407186262679</v>
      </c>
      <c r="J347" s="18" t="s">
        <v>502</v>
      </c>
    </row>
    <row r="348" spans="2:10" x14ac:dyDescent="0.25">
      <c r="B348" s="13" t="s">
        <v>154</v>
      </c>
      <c r="C348" s="13" t="s">
        <v>428</v>
      </c>
      <c r="D348" s="13">
        <v>30</v>
      </c>
      <c r="E348" s="3">
        <f>IF(Quantitytable[[#This Row],[Units]]=0,0,SUMIFS(Quantitytable[NeededQuantity],Quantitytable[Dish],Quantitytable[[#This Row],[Dish]],Quantitytable[[Ingredient ]],Quantitytable[[#This Row],[Ingredient ]]))</f>
        <v>0</v>
      </c>
      <c r="F348" s="3">
        <f>SUMIFS(salestable[Quantity Sold],salestable[Item Name],Quantitytable[[#This Row],[Dish]])</f>
        <v>0</v>
      </c>
      <c r="G348" s="3">
        <f>'Quantity Table'!$E348*'Quantity Table'!$F348</f>
        <v>0</v>
      </c>
      <c r="H348" s="3">
        <f>_xlfn.IFNA(VLOOKUP(Quantitytable[[#This Row],[Ingredient ]],Shoppingtable[[Item Name]:[BALANCE Cash]],5,FALSE),0)*Quantitytable[[#This Row],[NeededQuantity]]</f>
        <v>4.5</v>
      </c>
      <c r="I348" s="3">
        <f>SUMIF(Quantitytable[Dish],Quantitytable[[#This Row],[Dish]],Quantitytable[Cost Per Dish Per Item])</f>
        <v>27.606407186262679</v>
      </c>
      <c r="J348" s="18" t="s">
        <v>502</v>
      </c>
    </row>
    <row r="349" spans="2:10" x14ac:dyDescent="0.25">
      <c r="B349" s="13" t="s">
        <v>154</v>
      </c>
      <c r="C349" s="13" t="s">
        <v>399</v>
      </c>
      <c r="D349" s="13">
        <v>30</v>
      </c>
      <c r="E349" s="3">
        <f>IF(Quantitytable[[#This Row],[Units]]=0,0,SUMIFS(Quantitytable[NeededQuantity],Quantitytable[Dish],Quantitytable[[#This Row],[Dish]],Quantitytable[[Ingredient ]],Quantitytable[[#This Row],[Ingredient ]]))</f>
        <v>0</v>
      </c>
      <c r="F349" s="3">
        <f>SUMIFS(salestable[Quantity Sold],salestable[Item Name],Quantitytable[[#This Row],[Dish]])</f>
        <v>0</v>
      </c>
      <c r="G349" s="3">
        <f>'Quantity Table'!$E349*'Quantity Table'!$F349</f>
        <v>0</v>
      </c>
      <c r="H349" s="3">
        <f>_xlfn.IFNA(VLOOKUP(Quantitytable[[#This Row],[Ingredient ]],Shoppingtable[[Item Name]:[BALANCE Cash]],5,FALSE),0)*Quantitytable[[#This Row],[NeededQuantity]]</f>
        <v>1.2450000000000001</v>
      </c>
      <c r="I349" s="3">
        <f>SUMIF(Quantitytable[Dish],Quantitytable[[#This Row],[Dish]],Quantitytable[Cost Per Dish Per Item])</f>
        <v>27.606407186262679</v>
      </c>
      <c r="J349" s="18" t="s">
        <v>502</v>
      </c>
    </row>
    <row r="350" spans="2:10" x14ac:dyDescent="0.25">
      <c r="B350" s="13" t="s">
        <v>154</v>
      </c>
      <c r="C350" s="13" t="s">
        <v>75</v>
      </c>
      <c r="D350" s="13">
        <v>50</v>
      </c>
      <c r="E350" s="3">
        <f>IF(Quantitytable[[#This Row],[Units]]=0,0,SUMIFS(Quantitytable[NeededQuantity],Quantitytable[Dish],Quantitytable[[#This Row],[Dish]],Quantitytable[[Ingredient ]],Quantitytable[[#This Row],[Ingredient ]]))</f>
        <v>0</v>
      </c>
      <c r="F350" s="3">
        <f>SUMIFS(salestable[Quantity Sold],salestable[Item Name],Quantitytable[[#This Row],[Dish]])</f>
        <v>0</v>
      </c>
      <c r="G350" s="3">
        <f>'Quantity Table'!$E350*'Quantity Table'!$F350</f>
        <v>0</v>
      </c>
      <c r="H350" s="3">
        <f>_xlfn.IFNA(VLOOKUP(Quantitytable[[#This Row],[Ingredient ]],Shoppingtable[[Item Name]:[BALANCE Cash]],5,FALSE),0)*Quantitytable[[#This Row],[NeededQuantity]]</f>
        <v>7.3</v>
      </c>
      <c r="I350" s="3">
        <f>SUMIF(Quantitytable[Dish],Quantitytable[[#This Row],[Dish]],Quantitytable[Cost Per Dish Per Item])</f>
        <v>27.606407186262679</v>
      </c>
      <c r="J350" s="18" t="s">
        <v>502</v>
      </c>
    </row>
    <row r="351" spans="2:10" x14ac:dyDescent="0.25">
      <c r="B351" s="13" t="s">
        <v>154</v>
      </c>
      <c r="C351" s="13" t="s">
        <v>576</v>
      </c>
      <c r="D351" s="13">
        <v>80</v>
      </c>
      <c r="E351" s="3">
        <f>IF(Quantitytable[[#This Row],[Units]]=0,0,SUMIFS(Quantitytable[NeededQuantity],Quantitytable[Dish],Quantitytable[[#This Row],[Dish]],Quantitytable[[Ingredient ]],Quantitytable[[#This Row],[Ingredient ]]))</f>
        <v>0</v>
      </c>
      <c r="F351" s="3">
        <f>SUMIFS(salestable[Quantity Sold],salestable[Item Name],Quantitytable[[#This Row],[Dish]])</f>
        <v>0</v>
      </c>
      <c r="G351" s="3">
        <f>'Quantity Table'!$E351*'Quantity Table'!$F351</f>
        <v>0</v>
      </c>
      <c r="H351" s="3">
        <f>_xlfn.IFNA(VLOOKUP(Quantitytable[[#This Row],[Ingredient ]],Shoppingtable[[Item Name]:[BALANCE Cash]],5,FALSE),0)*Quantitytable[[#This Row],[NeededQuantity]]</f>
        <v>4.666666666666667</v>
      </c>
      <c r="I351" s="3">
        <f>SUMIF(Quantitytable[Dish],Quantitytable[[#This Row],[Dish]],Quantitytable[Cost Per Dish Per Item])</f>
        <v>27.606407186262679</v>
      </c>
      <c r="J351" s="18" t="s">
        <v>502</v>
      </c>
    </row>
    <row r="352" spans="2:10" x14ac:dyDescent="0.25">
      <c r="B352" s="13" t="s">
        <v>154</v>
      </c>
      <c r="C352" s="13" t="s">
        <v>577</v>
      </c>
      <c r="D352" s="13">
        <v>80</v>
      </c>
      <c r="E352" s="3">
        <f>IF(Quantitytable[[#This Row],[Units]]=0,0,SUMIFS(Quantitytable[NeededQuantity],Quantitytable[Dish],Quantitytable[[#This Row],[Dish]],Quantitytable[[Ingredient ]],Quantitytable[[#This Row],[Ingredient ]]))</f>
        <v>0</v>
      </c>
      <c r="F352" s="3">
        <f>SUMIFS(salestable[Quantity Sold],salestable[Item Name],Quantitytable[[#This Row],[Dish]])</f>
        <v>0</v>
      </c>
      <c r="G352" s="3">
        <f>'Quantity Table'!$E352*'Quantity Table'!$F352</f>
        <v>0</v>
      </c>
      <c r="H352" s="3">
        <f>_xlfn.IFNA(VLOOKUP(Quantitytable[[#This Row],[Ingredient ]],Shoppingtable[[Item Name]:[BALANCE Cash]],5,FALSE),0)*Quantitytable[[#This Row],[NeededQuantity]]</f>
        <v>4.6153846153846159</v>
      </c>
      <c r="I352" s="3">
        <f>SUMIF(Quantitytable[Dish],Quantitytable[[#This Row],[Dish]],Quantitytable[Cost Per Dish Per Item])</f>
        <v>27.606407186262679</v>
      </c>
      <c r="J352" s="18" t="s">
        <v>502</v>
      </c>
    </row>
    <row r="353" spans="2:10" x14ac:dyDescent="0.25">
      <c r="B353" s="13" t="s">
        <v>154</v>
      </c>
      <c r="C353" s="13" t="s">
        <v>44</v>
      </c>
      <c r="D353" s="13">
        <v>150</v>
      </c>
      <c r="E353" s="3">
        <f>IF(Quantitytable[[#This Row],[Units]]=0,0,SUMIFS(Quantitytable[NeededQuantity],Quantitytable[Dish],Quantitytable[[#This Row],[Dish]],Quantitytable[[Ingredient ]],Quantitytable[[#This Row],[Ingredient ]]))</f>
        <v>0</v>
      </c>
      <c r="F353" s="3">
        <f>SUMIFS(salestable[Quantity Sold],salestable[Item Name],Quantitytable[[#This Row],[Dish]])</f>
        <v>0</v>
      </c>
      <c r="G353" s="3">
        <f>'Quantity Table'!$E353*'Quantity Table'!$F353</f>
        <v>0</v>
      </c>
      <c r="H353" s="3">
        <f>_xlfn.IFNA(VLOOKUP(Quantitytable[[#This Row],[Ingredient ]],Shoppingtable[[Item Name]:[BALANCE Cash]],5,FALSE),0)*Quantitytable[[#This Row],[NeededQuantity]]</f>
        <v>4.2857142857142856</v>
      </c>
      <c r="I353" s="3">
        <f>SUMIF(Quantitytable[Dish],Quantitytable[[#This Row],[Dish]],Quantitytable[Cost Per Dish Per Item])</f>
        <v>27.606407186262679</v>
      </c>
      <c r="J353" s="18" t="s">
        <v>502</v>
      </c>
    </row>
    <row r="354" spans="2:10" x14ac:dyDescent="0.25">
      <c r="B354" s="13" t="s">
        <v>645</v>
      </c>
      <c r="C354" s="13" t="s">
        <v>418</v>
      </c>
      <c r="D354" s="13">
        <v>2</v>
      </c>
      <c r="E354" s="3">
        <f>IF(Quantitytable[[#This Row],[Units]]=0,0,SUMIFS(Quantitytable[NeededQuantity],Quantitytable[Dish],Quantitytable[[#This Row],[Dish]],Quantitytable[[Ingredient ]],Quantitytable[[#This Row],[Ingredient ]]))</f>
        <v>0</v>
      </c>
      <c r="F354" s="3">
        <f>SUMIFS(salestable[Quantity Sold],salestable[Item Name],Quantitytable[[#This Row],[Dish]])</f>
        <v>0</v>
      </c>
      <c r="G354" s="3">
        <f>'Quantity Table'!$E354*'Quantity Table'!$F354</f>
        <v>0</v>
      </c>
      <c r="H354" s="3">
        <f>_xlfn.IFNA(VLOOKUP(Quantitytable[[#This Row],[Ingredient ]],Shoppingtable[[Item Name]:[BALANCE Cash]],5,FALSE),0)*Quantitytable[[#This Row],[NeededQuantity]]</f>
        <v>0.3</v>
      </c>
      <c r="I354" s="3">
        <f>SUMIF(Quantitytable[Dish],Quantitytable[[#This Row],[Dish]],Quantitytable[Cost Per Dish Per Item])</f>
        <v>40.404355904211393</v>
      </c>
      <c r="J354" s="18" t="s">
        <v>502</v>
      </c>
    </row>
    <row r="355" spans="2:10" x14ac:dyDescent="0.25">
      <c r="B355" s="13" t="s">
        <v>645</v>
      </c>
      <c r="C355" s="13" t="s">
        <v>406</v>
      </c>
      <c r="D355" s="13">
        <v>6</v>
      </c>
      <c r="E355" s="3">
        <f>IF(Quantitytable[[#This Row],[Units]]=0,0,SUMIFS(Quantitytable[NeededQuantity],Quantitytable[Dish],Quantitytable[[#This Row],[Dish]],Quantitytable[[Ingredient ]],Quantitytable[[#This Row],[Ingredient ]]))</f>
        <v>0</v>
      </c>
      <c r="F355" s="3">
        <f>SUMIFS(salestable[Quantity Sold],salestable[Item Name],Quantitytable[[#This Row],[Dish]])</f>
        <v>0</v>
      </c>
      <c r="G355" s="3">
        <f>'Quantity Table'!$E355*'Quantity Table'!$F355</f>
        <v>0</v>
      </c>
      <c r="H355" s="3">
        <f>_xlfn.IFNA(VLOOKUP(Quantitytable[[#This Row],[Ingredient ]],Shoppingtable[[Item Name]:[BALANCE Cash]],5,FALSE),0)*Quantitytable[[#This Row],[NeededQuantity]]</f>
        <v>0.69364161849710981</v>
      </c>
      <c r="I355" s="3">
        <f>SUMIF(Quantitytable[Dish],Quantitytable[[#This Row],[Dish]],Quantitytable[Cost Per Dish Per Item])</f>
        <v>40.404355904211393</v>
      </c>
      <c r="J355" s="18" t="s">
        <v>502</v>
      </c>
    </row>
    <row r="356" spans="2:10" x14ac:dyDescent="0.25">
      <c r="B356" s="13" t="s">
        <v>645</v>
      </c>
      <c r="C356" s="13" t="s">
        <v>428</v>
      </c>
      <c r="D356" s="13">
        <v>30</v>
      </c>
      <c r="E356" s="3">
        <f>IF(Quantitytable[[#This Row],[Units]]=0,0,SUMIFS(Quantitytable[NeededQuantity],Quantitytable[Dish],Quantitytable[[#This Row],[Dish]],Quantitytable[[Ingredient ]],Quantitytable[[#This Row],[Ingredient ]]))</f>
        <v>0</v>
      </c>
      <c r="F356" s="3">
        <f>SUMIFS(salestable[Quantity Sold],salestable[Item Name],Quantitytable[[#This Row],[Dish]])</f>
        <v>0</v>
      </c>
      <c r="G356" s="3">
        <f>'Quantity Table'!$E356*'Quantity Table'!$F356</f>
        <v>0</v>
      </c>
      <c r="H356" s="3">
        <f>_xlfn.IFNA(VLOOKUP(Quantitytable[[#This Row],[Ingredient ]],Shoppingtable[[Item Name]:[BALANCE Cash]],5,FALSE),0)*Quantitytable[[#This Row],[NeededQuantity]]</f>
        <v>4.5</v>
      </c>
      <c r="I356" s="3">
        <f>SUMIF(Quantitytable[Dish],Quantitytable[[#This Row],[Dish]],Quantitytable[Cost Per Dish Per Item])</f>
        <v>40.404355904211393</v>
      </c>
      <c r="J356" s="18" t="s">
        <v>502</v>
      </c>
    </row>
    <row r="357" spans="2:10" x14ac:dyDescent="0.25">
      <c r="B357" s="13" t="s">
        <v>645</v>
      </c>
      <c r="C357" s="13" t="s">
        <v>399</v>
      </c>
      <c r="D357" s="13">
        <v>30</v>
      </c>
      <c r="E357" s="3">
        <f>IF(Quantitytable[[#This Row],[Units]]=0,0,SUMIFS(Quantitytable[NeededQuantity],Quantitytable[Dish],Quantitytable[[#This Row],[Dish]],Quantitytable[[Ingredient ]],Quantitytable[[#This Row],[Ingredient ]]))</f>
        <v>0</v>
      </c>
      <c r="F357" s="3">
        <f>SUMIFS(salestable[Quantity Sold],salestable[Item Name],Quantitytable[[#This Row],[Dish]])</f>
        <v>0</v>
      </c>
      <c r="G357" s="3">
        <f>'Quantity Table'!$E357*'Quantity Table'!$F357</f>
        <v>0</v>
      </c>
      <c r="H357" s="3">
        <f>_xlfn.IFNA(VLOOKUP(Quantitytable[[#This Row],[Ingredient ]],Shoppingtable[[Item Name]:[BALANCE Cash]],5,FALSE),0)*Quantitytable[[#This Row],[NeededQuantity]]</f>
        <v>1.2450000000000001</v>
      </c>
      <c r="I357" s="3">
        <f>SUMIF(Quantitytable[Dish],Quantitytable[[#This Row],[Dish]],Quantitytable[Cost Per Dish Per Item])</f>
        <v>40.404355904211393</v>
      </c>
      <c r="J357" s="18" t="s">
        <v>502</v>
      </c>
    </row>
    <row r="358" spans="2:10" x14ac:dyDescent="0.25">
      <c r="B358" s="13" t="s">
        <v>645</v>
      </c>
      <c r="C358" s="13" t="s">
        <v>75</v>
      </c>
      <c r="D358" s="13">
        <v>50</v>
      </c>
      <c r="E358" s="3">
        <f>IF(Quantitytable[[#This Row],[Units]]=0,0,SUMIFS(Quantitytable[NeededQuantity],Quantitytable[Dish],Quantitytable[[#This Row],[Dish]],Quantitytable[[Ingredient ]],Quantitytable[[#This Row],[Ingredient ]]))</f>
        <v>0</v>
      </c>
      <c r="F358" s="3">
        <f>SUMIFS(salestable[Quantity Sold],salestable[Item Name],Quantitytable[[#This Row],[Dish]])</f>
        <v>0</v>
      </c>
      <c r="G358" s="3">
        <f>'Quantity Table'!$E358*'Quantity Table'!$F358</f>
        <v>0</v>
      </c>
      <c r="H358" s="3">
        <f>_xlfn.IFNA(VLOOKUP(Quantitytable[[#This Row],[Ingredient ]],Shoppingtable[[Item Name]:[BALANCE Cash]],5,FALSE),0)*Quantitytable[[#This Row],[NeededQuantity]]</f>
        <v>7.3</v>
      </c>
      <c r="I358" s="3">
        <f>SUMIF(Quantitytable[Dish],Quantitytable[[#This Row],[Dish]],Quantitytable[Cost Per Dish Per Item])</f>
        <v>40.404355904211393</v>
      </c>
      <c r="J358" s="18" t="s">
        <v>502</v>
      </c>
    </row>
    <row r="359" spans="2:10" x14ac:dyDescent="0.25">
      <c r="B359" s="13" t="s">
        <v>645</v>
      </c>
      <c r="C359" s="13" t="s">
        <v>163</v>
      </c>
      <c r="D359" s="13">
        <v>100</v>
      </c>
      <c r="E359" s="3">
        <f>IF(Quantitytable[[#This Row],[Units]]=0,0,SUMIFS(Quantitytable[NeededQuantity],Quantitytable[Dish],Quantitytable[[#This Row],[Dish]],Quantitytable[[Ingredient ]],Quantitytable[[#This Row],[Ingredient ]]))</f>
        <v>0</v>
      </c>
      <c r="F359" s="3">
        <f>SUMIFS(salestable[Quantity Sold],salestable[Item Name],Quantitytable[[#This Row],[Dish]])</f>
        <v>0</v>
      </c>
      <c r="G359" s="3">
        <f>'Quantity Table'!$E359*'Quantity Table'!$F359</f>
        <v>0</v>
      </c>
      <c r="H359" s="3">
        <f>_xlfn.IFNA(VLOOKUP(Quantitytable[[#This Row],[Ingredient ]],Shoppingtable[[Item Name]:[BALANCE Cash]],5,FALSE),0)*Quantitytable[[#This Row],[NeededQuantity]]</f>
        <v>22.08</v>
      </c>
      <c r="I359" s="3">
        <f>SUMIF(Quantitytable[Dish],Quantitytable[[#This Row],[Dish]],Quantitytable[Cost Per Dish Per Item])</f>
        <v>40.404355904211393</v>
      </c>
      <c r="J359" s="18" t="s">
        <v>502</v>
      </c>
    </row>
    <row r="360" spans="2:10" x14ac:dyDescent="0.25">
      <c r="B360" s="13" t="s">
        <v>645</v>
      </c>
      <c r="C360" s="13" t="s">
        <v>44</v>
      </c>
      <c r="D360" s="13">
        <v>150</v>
      </c>
      <c r="E360" s="3">
        <f>IF(Quantitytable[[#This Row],[Units]]=0,0,SUMIFS(Quantitytable[NeededQuantity],Quantitytable[Dish],Quantitytable[[#This Row],[Dish]],Quantitytable[[Ingredient ]],Quantitytable[[#This Row],[Ingredient ]]))</f>
        <v>0</v>
      </c>
      <c r="F360" s="3">
        <f>SUMIFS(salestable[Quantity Sold],salestable[Item Name],Quantitytable[[#This Row],[Dish]])</f>
        <v>0</v>
      </c>
      <c r="G360" s="3">
        <f>'Quantity Table'!$E360*'Quantity Table'!$F360</f>
        <v>0</v>
      </c>
      <c r="H360" s="3">
        <f>_xlfn.IFNA(VLOOKUP(Quantitytable[[#This Row],[Ingredient ]],Shoppingtable[[Item Name]:[BALANCE Cash]],5,FALSE),0)*Quantitytable[[#This Row],[NeededQuantity]]</f>
        <v>4.2857142857142856</v>
      </c>
      <c r="I360" s="3">
        <f>SUMIF(Quantitytable[Dish],Quantitytable[[#This Row],[Dish]],Quantitytable[Cost Per Dish Per Item])</f>
        <v>40.404355904211393</v>
      </c>
      <c r="J360" s="18" t="s">
        <v>502</v>
      </c>
    </row>
    <row r="361" spans="2:10" x14ac:dyDescent="0.25">
      <c r="B361" s="13" t="s">
        <v>668</v>
      </c>
      <c r="C361" s="13" t="s">
        <v>418</v>
      </c>
      <c r="D361" s="13">
        <v>2</v>
      </c>
      <c r="E361" s="3">
        <f>IF(Quantitytable[[#This Row],[Units]]=0,0,SUMIFS(Quantitytable[NeededQuantity],Quantitytable[Dish],Quantitytable[[#This Row],[Dish]],Quantitytable[[Ingredient ]],Quantitytable[[#This Row],[Ingredient ]]))</f>
        <v>0</v>
      </c>
      <c r="F361" s="3">
        <f>SUMIFS(salestable[Quantity Sold],salestable[Item Name],Quantitytable[[#This Row],[Dish]])</f>
        <v>0</v>
      </c>
      <c r="G361" s="3">
        <f>'Quantity Table'!$E361*'Quantity Table'!$F361</f>
        <v>0</v>
      </c>
      <c r="H361" s="3">
        <f>_xlfn.IFNA(VLOOKUP(Quantitytable[[#This Row],[Ingredient ]],Shoppingtable[[Item Name]:[BALANCE Cash]],5,FALSE),0)*Quantitytable[[#This Row],[NeededQuantity]]</f>
        <v>0.3</v>
      </c>
      <c r="I361" s="3">
        <f>SUMIF(Quantitytable[Dish],Quantitytable[[#This Row],[Dish]],Quantitytable[Cost Per Dish Per Item])</f>
        <v>31.636855904211394</v>
      </c>
      <c r="J361" s="18" t="s">
        <v>502</v>
      </c>
    </row>
    <row r="362" spans="2:10" x14ac:dyDescent="0.25">
      <c r="B362" s="13" t="s">
        <v>668</v>
      </c>
      <c r="C362" s="13" t="s">
        <v>406</v>
      </c>
      <c r="D362" s="13">
        <v>6</v>
      </c>
      <c r="E362" s="3">
        <f>IF(Quantitytable[[#This Row],[Units]]=0,0,SUMIFS(Quantitytable[NeededQuantity],Quantitytable[Dish],Quantitytable[[#This Row],[Dish]],Quantitytable[[Ingredient ]],Quantitytable[[#This Row],[Ingredient ]]))</f>
        <v>0</v>
      </c>
      <c r="F362" s="3">
        <f>SUMIFS(salestable[Quantity Sold],salestable[Item Name],Quantitytable[[#This Row],[Dish]])</f>
        <v>0</v>
      </c>
      <c r="G362" s="3">
        <f>'Quantity Table'!$E362*'Quantity Table'!$F362</f>
        <v>0</v>
      </c>
      <c r="H362" s="3">
        <f>_xlfn.IFNA(VLOOKUP(Quantitytable[[#This Row],[Ingredient ]],Shoppingtable[[Item Name]:[BALANCE Cash]],5,FALSE),0)*Quantitytable[[#This Row],[NeededQuantity]]</f>
        <v>0.69364161849710981</v>
      </c>
      <c r="I362" s="3">
        <f>SUMIF(Quantitytable[Dish],Quantitytable[[#This Row],[Dish]],Quantitytable[Cost Per Dish Per Item])</f>
        <v>31.636855904211394</v>
      </c>
      <c r="J362" s="18" t="s">
        <v>502</v>
      </c>
    </row>
    <row r="363" spans="2:10" x14ac:dyDescent="0.25">
      <c r="B363" s="13" t="s">
        <v>668</v>
      </c>
      <c r="C363" s="13" t="s">
        <v>428</v>
      </c>
      <c r="D363" s="13">
        <v>30</v>
      </c>
      <c r="E363" s="3">
        <f>IF(Quantitytable[[#This Row],[Units]]=0,0,SUMIFS(Quantitytable[NeededQuantity],Quantitytable[Dish],Quantitytable[[#This Row],[Dish]],Quantitytable[[Ingredient ]],Quantitytable[[#This Row],[Ingredient ]]))</f>
        <v>0</v>
      </c>
      <c r="F363" s="3">
        <f>SUMIFS(salestable[Quantity Sold],salestable[Item Name],Quantitytable[[#This Row],[Dish]])</f>
        <v>0</v>
      </c>
      <c r="G363" s="3">
        <f>'Quantity Table'!$E363*'Quantity Table'!$F363</f>
        <v>0</v>
      </c>
      <c r="H363" s="3">
        <f>_xlfn.IFNA(VLOOKUP(Quantitytable[[#This Row],[Ingredient ]],Shoppingtable[[Item Name]:[BALANCE Cash]],5,FALSE),0)*Quantitytable[[#This Row],[NeededQuantity]]</f>
        <v>4.5</v>
      </c>
      <c r="I363" s="3">
        <f>SUMIF(Quantitytable[Dish],Quantitytable[[#This Row],[Dish]],Quantitytable[Cost Per Dish Per Item])</f>
        <v>31.636855904211394</v>
      </c>
      <c r="J363" s="18" t="s">
        <v>502</v>
      </c>
    </row>
    <row r="364" spans="2:10" x14ac:dyDescent="0.25">
      <c r="B364" s="13" t="s">
        <v>668</v>
      </c>
      <c r="C364" s="13" t="s">
        <v>399</v>
      </c>
      <c r="D364" s="13">
        <v>30</v>
      </c>
      <c r="E364" s="3">
        <f>IF(Quantitytable[[#This Row],[Units]]=0,0,SUMIFS(Quantitytable[NeededQuantity],Quantitytable[Dish],Quantitytable[[#This Row],[Dish]],Quantitytable[[Ingredient ]],Quantitytable[[#This Row],[Ingredient ]]))</f>
        <v>0</v>
      </c>
      <c r="F364" s="3">
        <f>SUMIFS(salestable[Quantity Sold],salestable[Item Name],Quantitytable[[#This Row],[Dish]])</f>
        <v>0</v>
      </c>
      <c r="G364" s="3">
        <f>'Quantity Table'!$E364*'Quantity Table'!$F364</f>
        <v>0</v>
      </c>
      <c r="H364" s="3">
        <f>_xlfn.IFNA(VLOOKUP(Quantitytable[[#This Row],[Ingredient ]],Shoppingtable[[Item Name]:[BALANCE Cash]],5,FALSE),0)*Quantitytable[[#This Row],[NeededQuantity]]</f>
        <v>1.2450000000000001</v>
      </c>
      <c r="I364" s="3">
        <f>SUMIF(Quantitytable[Dish],Quantitytable[[#This Row],[Dish]],Quantitytable[Cost Per Dish Per Item])</f>
        <v>31.636855904211394</v>
      </c>
      <c r="J364" s="18" t="s">
        <v>502</v>
      </c>
    </row>
    <row r="365" spans="2:10" x14ac:dyDescent="0.25">
      <c r="B365" s="13" t="s">
        <v>668</v>
      </c>
      <c r="C365" s="13" t="s">
        <v>75</v>
      </c>
      <c r="D365" s="13">
        <v>50</v>
      </c>
      <c r="E365" s="3">
        <f>IF(Quantitytable[[#This Row],[Units]]=0,0,SUMIFS(Quantitytable[NeededQuantity],Quantitytable[Dish],Quantitytable[[#This Row],[Dish]],Quantitytable[[Ingredient ]],Quantitytable[[#This Row],[Ingredient ]]))</f>
        <v>0</v>
      </c>
      <c r="F365" s="3">
        <f>SUMIFS(salestable[Quantity Sold],salestable[Item Name],Quantitytable[[#This Row],[Dish]])</f>
        <v>0</v>
      </c>
      <c r="G365" s="3">
        <f>'Quantity Table'!$E365*'Quantity Table'!$F365</f>
        <v>0</v>
      </c>
      <c r="H365" s="3">
        <f>_xlfn.IFNA(VLOOKUP(Quantitytable[[#This Row],[Ingredient ]],Shoppingtable[[Item Name]:[BALANCE Cash]],5,FALSE),0)*Quantitytable[[#This Row],[NeededQuantity]]</f>
        <v>7.3</v>
      </c>
      <c r="I365" s="3">
        <f>SUMIF(Quantitytable[Dish],Quantitytable[[#This Row],[Dish]],Quantitytable[Cost Per Dish Per Item])</f>
        <v>31.636855904211394</v>
      </c>
      <c r="J365" s="18" t="s">
        <v>502</v>
      </c>
    </row>
    <row r="366" spans="2:10" x14ac:dyDescent="0.25">
      <c r="B366" s="13" t="s">
        <v>668</v>
      </c>
      <c r="C366" s="13" t="s">
        <v>600</v>
      </c>
      <c r="D366" s="13">
        <v>150</v>
      </c>
      <c r="E366" s="3">
        <f>IF(Quantitytable[[#This Row],[Units]]=0,0,SUMIFS(Quantitytable[NeededQuantity],Quantitytable[Dish],Quantitytable[[#This Row],[Dish]],Quantitytable[[Ingredient ]],Quantitytable[[#This Row],[Ingredient ]]))</f>
        <v>0</v>
      </c>
      <c r="F366" s="3">
        <f>SUMIFS(salestable[Quantity Sold],salestable[Item Name],Quantitytable[[#This Row],[Dish]])</f>
        <v>0</v>
      </c>
      <c r="G366" s="3">
        <f>'Quantity Table'!$E366*'Quantity Table'!$F366</f>
        <v>0</v>
      </c>
      <c r="H366" s="3">
        <f>_xlfn.IFNA(VLOOKUP(Quantitytable[[#This Row],[Ingredient ]],Shoppingtable[[Item Name]:[BALANCE Cash]],5,FALSE),0)*Quantitytable[[#This Row],[NeededQuantity]]</f>
        <v>13.3125</v>
      </c>
      <c r="I366" s="3">
        <f>SUMIF(Quantitytable[Dish],Quantitytable[[#This Row],[Dish]],Quantitytable[Cost Per Dish Per Item])</f>
        <v>31.636855904211394</v>
      </c>
      <c r="J366" s="18" t="s">
        <v>502</v>
      </c>
    </row>
    <row r="367" spans="2:10" x14ac:dyDescent="0.25">
      <c r="B367" s="13" t="s">
        <v>668</v>
      </c>
      <c r="C367" s="13" t="s">
        <v>44</v>
      </c>
      <c r="D367" s="13">
        <v>150</v>
      </c>
      <c r="E367" s="3">
        <f>IF(Quantitytable[[#This Row],[Units]]=0,0,SUMIFS(Quantitytable[NeededQuantity],Quantitytable[Dish],Quantitytable[[#This Row],[Dish]],Quantitytable[[Ingredient ]],Quantitytable[[#This Row],[Ingredient ]]))</f>
        <v>0</v>
      </c>
      <c r="F367" s="3">
        <f>SUMIFS(salestable[Quantity Sold],salestable[Item Name],Quantitytable[[#This Row],[Dish]])</f>
        <v>0</v>
      </c>
      <c r="G367" s="3">
        <f>'Quantity Table'!$E367*'Quantity Table'!$F367</f>
        <v>0</v>
      </c>
      <c r="H367" s="3">
        <f>_xlfn.IFNA(VLOOKUP(Quantitytable[[#This Row],[Ingredient ]],Shoppingtable[[Item Name]:[BALANCE Cash]],5,FALSE),0)*Quantitytable[[#This Row],[NeededQuantity]]</f>
        <v>4.2857142857142856</v>
      </c>
      <c r="I367" s="3">
        <f>SUMIF(Quantitytable[Dish],Quantitytable[[#This Row],[Dish]],Quantitytable[Cost Per Dish Per Item])</f>
        <v>31.636855904211394</v>
      </c>
      <c r="J367" s="18" t="s">
        <v>502</v>
      </c>
    </row>
    <row r="368" spans="2:10" x14ac:dyDescent="0.25">
      <c r="B368" s="13" t="s">
        <v>139</v>
      </c>
      <c r="C368" s="13" t="s">
        <v>421</v>
      </c>
      <c r="D368" s="13">
        <v>1</v>
      </c>
      <c r="E368" s="3">
        <f>IF(Quantitytable[[#This Row],[Units]]=0,0,SUMIFS(Quantitytable[NeededQuantity],Quantitytable[Dish],Quantitytable[[#This Row],[Dish]],Quantitytable[[Ingredient ]],Quantitytable[[#This Row],[Ingredient ]]))</f>
        <v>0</v>
      </c>
      <c r="F368" s="3">
        <f>SUMIFS(salestable[Quantity Sold],salestable[Item Name],Quantitytable[[#This Row],[Dish]])</f>
        <v>0</v>
      </c>
      <c r="G368" s="3">
        <f>'Quantity Table'!$E368*'Quantity Table'!$F368</f>
        <v>0</v>
      </c>
      <c r="H368" s="3">
        <f>_xlfn.IFNA(VLOOKUP(Quantitytable[[#This Row],[Ingredient ]],Shoppingtable[[Item Name]:[BALANCE Cash]],5,FALSE),0)*Quantitytable[[#This Row],[NeededQuantity]]</f>
        <v>0.5</v>
      </c>
      <c r="I368" s="3">
        <f>SUMIF(Quantitytable[Dish],Quantitytable[[#This Row],[Dish]],Quantitytable[Cost Per Dish Per Item])</f>
        <v>18.492324561403507</v>
      </c>
      <c r="J368" s="18" t="s">
        <v>502</v>
      </c>
    </row>
    <row r="369" spans="2:10" x14ac:dyDescent="0.25">
      <c r="B369" s="13" t="s">
        <v>139</v>
      </c>
      <c r="C369" s="13" t="s">
        <v>401</v>
      </c>
      <c r="D369" s="13">
        <v>1</v>
      </c>
      <c r="E369" s="3">
        <f>IF(Quantitytable[[#This Row],[Units]]=0,0,SUMIFS(Quantitytable[NeededQuantity],Quantitytable[Dish],Quantitytable[[#This Row],[Dish]],Quantitytable[[Ingredient ]],Quantitytable[[#This Row],[Ingredient ]]))</f>
        <v>0</v>
      </c>
      <c r="F369" s="3">
        <f>SUMIFS(salestable[Quantity Sold],salestable[Item Name],Quantitytable[[#This Row],[Dish]])</f>
        <v>0</v>
      </c>
      <c r="G369" s="3">
        <f>'Quantity Table'!$E369*'Quantity Table'!$F369</f>
        <v>0</v>
      </c>
      <c r="H369" s="3">
        <f>_xlfn.IFNA(VLOOKUP(Quantitytable[[#This Row],[Ingredient ]],Shoppingtable[[Item Name]:[BALANCE Cash]],5,FALSE),0)*Quantitytable[[#This Row],[NeededQuantity]]</f>
        <v>0.26315789473684209</v>
      </c>
      <c r="I369" s="3">
        <f>SUMIF(Quantitytable[Dish],Quantitytable[[#This Row],[Dish]],Quantitytable[Cost Per Dish Per Item])</f>
        <v>18.492324561403507</v>
      </c>
      <c r="J369" s="18" t="s">
        <v>502</v>
      </c>
    </row>
    <row r="370" spans="2:10" x14ac:dyDescent="0.25">
      <c r="B370" s="13" t="s">
        <v>139</v>
      </c>
      <c r="C370" s="13" t="s">
        <v>402</v>
      </c>
      <c r="D370" s="13">
        <v>1</v>
      </c>
      <c r="E370" s="3">
        <f>IF(Quantitytable[[#This Row],[Units]]=0,0,SUMIFS(Quantitytable[NeededQuantity],Quantitytable[Dish],Quantitytable[[#This Row],[Dish]],Quantitytable[[Ingredient ]],Quantitytable[[#This Row],[Ingredient ]]))</f>
        <v>0</v>
      </c>
      <c r="F370" s="3">
        <f>SUMIFS(salestable[Quantity Sold],salestable[Item Name],Quantitytable[[#This Row],[Dish]])</f>
        <v>0</v>
      </c>
      <c r="G370" s="3">
        <f>'Quantity Table'!$E370*'Quantity Table'!$F370</f>
        <v>0</v>
      </c>
      <c r="H370" s="3">
        <f>_xlfn.IFNA(VLOOKUP(Quantitytable[[#This Row],[Ingredient ]],Shoppingtable[[Item Name]:[BALANCE Cash]],5,FALSE),0)*Quantitytable[[#This Row],[NeededQuantity]]</f>
        <v>0.2</v>
      </c>
      <c r="I370" s="3">
        <f>SUMIF(Quantitytable[Dish],Quantitytable[[#This Row],[Dish]],Quantitytable[Cost Per Dish Per Item])</f>
        <v>18.492324561403507</v>
      </c>
      <c r="J370" s="18" t="s">
        <v>502</v>
      </c>
    </row>
    <row r="371" spans="2:10" x14ac:dyDescent="0.25">
      <c r="B371" s="13" t="s">
        <v>139</v>
      </c>
      <c r="C371" s="13" t="s">
        <v>492</v>
      </c>
      <c r="D371" s="13">
        <v>1</v>
      </c>
      <c r="E371" s="3">
        <f>IF(Quantitytable[[#This Row],[Units]]=0,0,SUMIFS(Quantitytable[NeededQuantity],Quantitytable[Dish],Quantitytable[[#This Row],[Dish]],Quantitytable[[Ingredient ]],Quantitytable[[#This Row],[Ingredient ]]))</f>
        <v>0</v>
      </c>
      <c r="F371" s="3">
        <f>SUMIFS(salestable[Quantity Sold],salestable[Item Name],Quantitytable[[#This Row],[Dish]])</f>
        <v>0</v>
      </c>
      <c r="G371" s="3">
        <f>'Quantity Table'!$E371*'Quantity Table'!$F371</f>
        <v>0</v>
      </c>
      <c r="H371" s="3">
        <f>_xlfn.IFNA(VLOOKUP(Quantitytable[[#This Row],[Ingredient ]],Shoppingtable[[Item Name]:[BALANCE Cash]],5,FALSE),0)*Quantitytable[[#This Row],[NeededQuantity]]</f>
        <v>0.1875</v>
      </c>
      <c r="I371" s="3">
        <f>SUMIF(Quantitytable[Dish],Quantitytable[[#This Row],[Dish]],Quantitytable[Cost Per Dish Per Item])</f>
        <v>18.492324561403507</v>
      </c>
      <c r="J371" s="18" t="s">
        <v>502</v>
      </c>
    </row>
    <row r="372" spans="2:10" x14ac:dyDescent="0.25">
      <c r="B372" s="13" t="s">
        <v>139</v>
      </c>
      <c r="C372" s="13" t="s">
        <v>420</v>
      </c>
      <c r="D372" s="13">
        <v>1</v>
      </c>
      <c r="E372" s="3">
        <f>IF(Quantitytable[[#This Row],[Units]]=0,0,SUMIFS(Quantitytable[NeededQuantity],Quantitytable[Dish],Quantitytable[[#This Row],[Dish]],Quantitytable[[Ingredient ]],Quantitytable[[#This Row],[Ingredient ]]))</f>
        <v>0</v>
      </c>
      <c r="F372" s="3">
        <f>SUMIFS(salestable[Quantity Sold],salestable[Item Name],Quantitytable[[#This Row],[Dish]])</f>
        <v>0</v>
      </c>
      <c r="G372" s="3">
        <f>'Quantity Table'!$E372*'Quantity Table'!$F372</f>
        <v>0</v>
      </c>
      <c r="H372" s="3">
        <f>_xlfn.IFNA(VLOOKUP(Quantitytable[[#This Row],[Ingredient ]],Shoppingtable[[Item Name]:[BALANCE Cash]],5,FALSE),0)*Quantitytable[[#This Row],[NeededQuantity]]</f>
        <v>0</v>
      </c>
      <c r="I372" s="3">
        <f>SUMIF(Quantitytable[Dish],Quantitytable[[#This Row],[Dish]],Quantitytable[Cost Per Dish Per Item])</f>
        <v>18.492324561403507</v>
      </c>
      <c r="J372" s="18" t="s">
        <v>502</v>
      </c>
    </row>
    <row r="373" spans="2:10" x14ac:dyDescent="0.25">
      <c r="B373" s="13" t="s">
        <v>139</v>
      </c>
      <c r="C373" s="13" t="s">
        <v>485</v>
      </c>
      <c r="D373" s="13">
        <v>2</v>
      </c>
      <c r="E373" s="3">
        <f>IF(Quantitytable[[#This Row],[Units]]=0,0,SUMIFS(Quantitytable[NeededQuantity],Quantitytable[Dish],Quantitytable[[#This Row],[Dish]],Quantitytable[[Ingredient ]],Quantitytable[[#This Row],[Ingredient ]]))</f>
        <v>0</v>
      </c>
      <c r="F373" s="3">
        <f>SUMIFS(salestable[Quantity Sold],salestable[Item Name],Quantitytable[[#This Row],[Dish]])</f>
        <v>0</v>
      </c>
      <c r="G373" s="3">
        <f>'Quantity Table'!$E373*'Quantity Table'!$F373</f>
        <v>0</v>
      </c>
      <c r="H373" s="3">
        <f>_xlfn.IFNA(VLOOKUP(Quantitytable[[#This Row],[Ingredient ]],Shoppingtable[[Item Name]:[BALANCE Cash]],5,FALSE),0)*Quantitytable[[#This Row],[NeededQuantity]]</f>
        <v>0.4</v>
      </c>
      <c r="I373" s="3">
        <f>SUMIF(Quantitytable[Dish],Quantitytable[[#This Row],[Dish]],Quantitytable[Cost Per Dish Per Item])</f>
        <v>18.492324561403507</v>
      </c>
      <c r="J373" s="18" t="s">
        <v>502</v>
      </c>
    </row>
    <row r="374" spans="2:10" x14ac:dyDescent="0.25">
      <c r="B374" s="13" t="s">
        <v>139</v>
      </c>
      <c r="C374" s="13" t="s">
        <v>411</v>
      </c>
      <c r="D374" s="13">
        <v>2</v>
      </c>
      <c r="E374" s="3">
        <f>IF(Quantitytable[[#This Row],[Units]]=0,0,SUMIFS(Quantitytable[NeededQuantity],Quantitytable[Dish],Quantitytable[[#This Row],[Dish]],Quantitytable[[Ingredient ]],Quantitytable[[#This Row],[Ingredient ]]))</f>
        <v>0</v>
      </c>
      <c r="F374" s="3">
        <f>SUMIFS(salestable[Quantity Sold],salestable[Item Name],Quantitytable[[#This Row],[Dish]])</f>
        <v>0</v>
      </c>
      <c r="G374" s="3">
        <f>'Quantity Table'!$E374*'Quantity Table'!$F374</f>
        <v>0</v>
      </c>
      <c r="H374" s="3">
        <f>_xlfn.IFNA(VLOOKUP(Quantitytable[[#This Row],[Ingredient ]],Shoppingtable[[Item Name]:[BALANCE Cash]],5,FALSE),0)*Quantitytable[[#This Row],[NeededQuantity]]</f>
        <v>2.1</v>
      </c>
      <c r="I374" s="3">
        <f>SUMIF(Quantitytable[Dish],Quantitytable[[#This Row],[Dish]],Quantitytable[Cost Per Dish Per Item])</f>
        <v>18.492324561403507</v>
      </c>
      <c r="J374" s="18" t="s">
        <v>502</v>
      </c>
    </row>
    <row r="375" spans="2:10" x14ac:dyDescent="0.25">
      <c r="B375" s="13" t="s">
        <v>139</v>
      </c>
      <c r="C375" s="13" t="s">
        <v>423</v>
      </c>
      <c r="D375" s="13">
        <v>15</v>
      </c>
      <c r="E375" s="3">
        <f>IF(Quantitytable[[#This Row],[Units]]=0,0,SUMIFS(Quantitytable[NeededQuantity],Quantitytable[Dish],Quantitytable[[#This Row],[Dish]],Quantitytable[[Ingredient ]],Quantitytable[[#This Row],[Ingredient ]]))</f>
        <v>0</v>
      </c>
      <c r="F375" s="3">
        <f>SUMIFS(salestable[Quantity Sold],salestable[Item Name],Quantitytable[[#This Row],[Dish]])</f>
        <v>0</v>
      </c>
      <c r="G375" s="3">
        <f>'Quantity Table'!$E375*'Quantity Table'!$F375</f>
        <v>0</v>
      </c>
      <c r="H375" s="3">
        <f>_xlfn.IFNA(VLOOKUP(Quantitytable[[#This Row],[Ingredient ]],Shoppingtable[[Item Name]:[BALANCE Cash]],5,FALSE),0)*Quantitytable[[#This Row],[NeededQuantity]]</f>
        <v>5.625</v>
      </c>
      <c r="I375" s="3">
        <f>SUMIF(Quantitytable[Dish],Quantitytable[[#This Row],[Dish]],Quantitytable[Cost Per Dish Per Item])</f>
        <v>18.492324561403507</v>
      </c>
      <c r="J375" s="18" t="s">
        <v>502</v>
      </c>
    </row>
    <row r="376" spans="2:10" x14ac:dyDescent="0.25">
      <c r="B376" s="13" t="s">
        <v>139</v>
      </c>
      <c r="C376" s="13" t="s">
        <v>424</v>
      </c>
      <c r="D376" s="13">
        <v>20</v>
      </c>
      <c r="E376" s="3">
        <f>IF(Quantitytable[[#This Row],[Units]]=0,0,SUMIFS(Quantitytable[NeededQuantity],Quantitytable[Dish],Quantitytable[[#This Row],[Dish]],Quantitytable[[Ingredient ]],Quantitytable[[#This Row],[Ingredient ]]))</f>
        <v>0</v>
      </c>
      <c r="F376" s="3">
        <f>SUMIFS(salestable[Quantity Sold],salestable[Item Name],Quantitytable[[#This Row],[Dish]])</f>
        <v>0</v>
      </c>
      <c r="G376" s="3">
        <f>'Quantity Table'!$E376*'Quantity Table'!$F376</f>
        <v>0</v>
      </c>
      <c r="H376" s="3">
        <f>_xlfn.IFNA(VLOOKUP(Quantitytable[[#This Row],[Ingredient ]],Shoppingtable[[Item Name]:[BALANCE Cash]],5,FALSE),0)*Quantitytable[[#This Row],[NeededQuantity]]</f>
        <v>2.6666666666666665</v>
      </c>
      <c r="I376" s="3">
        <f>SUMIF(Quantitytable[Dish],Quantitytable[[#This Row],[Dish]],Quantitytable[Cost Per Dish Per Item])</f>
        <v>18.492324561403507</v>
      </c>
      <c r="J376" s="18" t="s">
        <v>502</v>
      </c>
    </row>
    <row r="377" spans="2:10" x14ac:dyDescent="0.25">
      <c r="B377" s="13" t="s">
        <v>139</v>
      </c>
      <c r="C377" s="13" t="s">
        <v>400</v>
      </c>
      <c r="D377" s="13">
        <v>80</v>
      </c>
      <c r="E377" s="3">
        <f>IF(Quantitytable[[#This Row],[Units]]=0,0,SUMIFS(Quantitytable[NeededQuantity],Quantitytable[Dish],Quantitytable[[#This Row],[Dish]],Quantitytable[[Ingredient ]],Quantitytable[[#This Row],[Ingredient ]]))</f>
        <v>0</v>
      </c>
      <c r="F377" s="3">
        <f>SUMIFS(salestable[Quantity Sold],salestable[Item Name],Quantitytable[[#This Row],[Dish]])</f>
        <v>0</v>
      </c>
      <c r="G377" s="3">
        <f>'Quantity Table'!$E377*'Quantity Table'!$F377</f>
        <v>0</v>
      </c>
      <c r="H377" s="3">
        <f>_xlfn.IFNA(VLOOKUP(Quantitytable[[#This Row],[Ingredient ]],Shoppingtable[[Item Name]:[BALANCE Cash]],5,FALSE),0)*Quantitytable[[#This Row],[NeededQuantity]]</f>
        <v>2.4</v>
      </c>
      <c r="I377" s="3">
        <f>SUMIF(Quantitytable[Dish],Quantitytable[[#This Row],[Dish]],Quantitytable[Cost Per Dish Per Item])</f>
        <v>18.492324561403507</v>
      </c>
      <c r="J377" s="18" t="s">
        <v>502</v>
      </c>
    </row>
    <row r="378" spans="2:10" x14ac:dyDescent="0.25">
      <c r="B378" s="13" t="s">
        <v>139</v>
      </c>
      <c r="C378" s="13" t="s">
        <v>399</v>
      </c>
      <c r="D378" s="13">
        <v>100</v>
      </c>
      <c r="E378" s="3">
        <f>IF(Quantitytable[[#This Row],[Units]]=0,0,SUMIFS(Quantitytable[NeededQuantity],Quantitytable[Dish],Quantitytable[[#This Row],[Dish]],Quantitytable[[Ingredient ]],Quantitytable[[#This Row],[Ingredient ]]))</f>
        <v>0</v>
      </c>
      <c r="F378" s="3">
        <f>SUMIFS(salestable[Quantity Sold],salestable[Item Name],Quantitytable[[#This Row],[Dish]])</f>
        <v>0</v>
      </c>
      <c r="G378" s="3">
        <f>'Quantity Table'!$E378*'Quantity Table'!$F378</f>
        <v>0</v>
      </c>
      <c r="H378" s="3">
        <f>_xlfn.IFNA(VLOOKUP(Quantitytable[[#This Row],[Ingredient ]],Shoppingtable[[Item Name]:[BALANCE Cash]],5,FALSE),0)*Quantitytable[[#This Row],[NeededQuantity]]</f>
        <v>4.1500000000000004</v>
      </c>
      <c r="I378" s="3">
        <f>SUMIF(Quantitytable[Dish],Quantitytable[[#This Row],[Dish]],Quantitytable[Cost Per Dish Per Item])</f>
        <v>18.492324561403507</v>
      </c>
      <c r="J378" s="18" t="s">
        <v>502</v>
      </c>
    </row>
    <row r="379" spans="2:10" x14ac:dyDescent="0.25">
      <c r="B379" s="13" t="s">
        <v>155</v>
      </c>
      <c r="C379" s="13" t="s">
        <v>64</v>
      </c>
      <c r="D379" s="13">
        <v>1</v>
      </c>
      <c r="E379" s="3">
        <f>IF(Quantitytable[[#This Row],[Units]]=0,0,SUMIFS(Quantitytable[NeededQuantity],Quantitytable[Dish],Quantitytable[[#This Row],[Dish]],Quantitytable[[Ingredient ]],Quantitytable[[#This Row],[Ingredient ]]))</f>
        <v>0</v>
      </c>
      <c r="F379" s="3">
        <f>SUMIFS(salestable[Quantity Sold],salestable[Item Name],Quantitytable[[#This Row],[Dish]])</f>
        <v>0</v>
      </c>
      <c r="G379" s="3">
        <f>'Quantity Table'!$E379*'Quantity Table'!$F379</f>
        <v>0</v>
      </c>
      <c r="H379" s="3">
        <f>_xlfn.IFNA(VLOOKUP(Quantitytable[[#This Row],[Ingredient ]],Shoppingtable[[Item Name]:[BALANCE Cash]],5,FALSE),0)*Quantitytable[[#This Row],[NeededQuantity]]</f>
        <v>5</v>
      </c>
      <c r="I379" s="3">
        <f>SUMIF(Quantitytable[Dish],Quantitytable[[#This Row],[Dish]],Quantitytable[Cost Per Dish Per Item])</f>
        <v>15.797483610961976</v>
      </c>
      <c r="J379" s="18" t="s">
        <v>502</v>
      </c>
    </row>
    <row r="380" spans="2:10" x14ac:dyDescent="0.25">
      <c r="B380" s="13" t="s">
        <v>155</v>
      </c>
      <c r="C380" s="13" t="s">
        <v>508</v>
      </c>
      <c r="D380" s="13">
        <v>5</v>
      </c>
      <c r="E380" s="3">
        <f>IF(Quantitytable[[#This Row],[Units]]=0,0,SUMIFS(Quantitytable[NeededQuantity],Quantitytable[Dish],Quantitytable[[#This Row],[Dish]],Quantitytable[[Ingredient ]],Quantitytable[[#This Row],[Ingredient ]]))</f>
        <v>0</v>
      </c>
      <c r="F380" s="3">
        <f>SUMIFS(salestable[Quantity Sold],salestable[Item Name],Quantitytable[[#This Row],[Dish]])</f>
        <v>0</v>
      </c>
      <c r="G380" s="3">
        <f>'Quantity Table'!$E380*'Quantity Table'!$F380</f>
        <v>0</v>
      </c>
      <c r="H380" s="3">
        <f>_xlfn.IFNA(VLOOKUP(Quantitytable[[#This Row],[Ingredient ]],Shoppingtable[[Item Name]:[BALANCE Cash]],5,FALSE),0)*Quantitytable[[#This Row],[NeededQuantity]]</f>
        <v>1.5555555555555556</v>
      </c>
      <c r="I380" s="3">
        <f>SUMIF(Quantitytable[Dish],Quantitytable[[#This Row],[Dish]],Quantitytable[Cost Per Dish Per Item])</f>
        <v>15.797483610961976</v>
      </c>
      <c r="J380" s="18" t="s">
        <v>502</v>
      </c>
    </row>
    <row r="381" spans="2:10" x14ac:dyDescent="0.25">
      <c r="B381" s="13" t="s">
        <v>155</v>
      </c>
      <c r="C381" s="13" t="s">
        <v>505</v>
      </c>
      <c r="D381" s="13">
        <v>5</v>
      </c>
      <c r="E381" s="3">
        <f>IF(Quantitytable[[#This Row],[Units]]=0,0,SUMIFS(Quantitytable[NeededQuantity],Quantitytable[Dish],Quantitytable[[#This Row],[Dish]],Quantitytable[[Ingredient ]],Quantitytable[[#This Row],[Ingredient ]]))</f>
        <v>0</v>
      </c>
      <c r="F381" s="3">
        <f>SUMIFS(salestable[Quantity Sold],salestable[Item Name],Quantitytable[[#This Row],[Dish]])</f>
        <v>0</v>
      </c>
      <c r="G381" s="3">
        <f>'Quantity Table'!$E381*'Quantity Table'!$F381</f>
        <v>0</v>
      </c>
      <c r="H381" s="3">
        <f>_xlfn.IFNA(VLOOKUP(Quantitytable[[#This Row],[Ingredient ]],Shoppingtable[[Item Name]:[BALANCE Cash]],5,FALSE),0)*Quantitytable[[#This Row],[NeededQuantity]]</f>
        <v>0.91836734693877553</v>
      </c>
      <c r="I381" s="3">
        <f>SUMIF(Quantitytable[Dish],Quantitytable[[#This Row],[Dish]],Quantitytable[Cost Per Dish Per Item])</f>
        <v>15.797483610961976</v>
      </c>
      <c r="J381" s="18" t="s">
        <v>502</v>
      </c>
    </row>
    <row r="382" spans="2:10" x14ac:dyDescent="0.25">
      <c r="B382" s="13" t="s">
        <v>155</v>
      </c>
      <c r="C382" s="13" t="s">
        <v>507</v>
      </c>
      <c r="D382" s="13">
        <v>5</v>
      </c>
      <c r="E382" s="3">
        <f>IF(Quantitytable[[#This Row],[Units]]=0,0,SUMIFS(Quantitytable[NeededQuantity],Quantitytable[Dish],Quantitytable[[#This Row],[Dish]],Quantitytable[[Ingredient ]],Quantitytable[[#This Row],[Ingredient ]]))</f>
        <v>0</v>
      </c>
      <c r="F382" s="3">
        <f>SUMIFS(salestable[Quantity Sold],salestable[Item Name],Quantitytable[[#This Row],[Dish]])</f>
        <v>0</v>
      </c>
      <c r="G382" s="3">
        <f>'Quantity Table'!$E382*'Quantity Table'!$F382</f>
        <v>0</v>
      </c>
      <c r="H382" s="3">
        <f>_xlfn.IFNA(VLOOKUP(Quantitytable[[#This Row],[Ingredient ]],Shoppingtable[[Item Name]:[BALANCE Cash]],5,FALSE),0)*Quantitytable[[#This Row],[NeededQuantity]]</f>
        <v>0.56497175141242939</v>
      </c>
      <c r="I382" s="3">
        <f>SUMIF(Quantitytable[Dish],Quantitytable[[#This Row],[Dish]],Quantitytable[Cost Per Dish Per Item])</f>
        <v>15.797483610961976</v>
      </c>
      <c r="J382" s="18" t="s">
        <v>502</v>
      </c>
    </row>
    <row r="383" spans="2:10" x14ac:dyDescent="0.25">
      <c r="B383" s="13" t="s">
        <v>155</v>
      </c>
      <c r="C383" s="13" t="s">
        <v>82</v>
      </c>
      <c r="D383" s="13">
        <v>10</v>
      </c>
      <c r="E383" s="3">
        <f>IF(Quantitytable[[#This Row],[Units]]=0,0,SUMIFS(Quantitytable[NeededQuantity],Quantitytable[Dish],Quantitytable[[#This Row],[Dish]],Quantitytable[[Ingredient ]],Quantitytable[[#This Row],[Ingredient ]]))</f>
        <v>0</v>
      </c>
      <c r="F383" s="3">
        <f>SUMIFS(salestable[Quantity Sold],salestable[Item Name],Quantitytable[[#This Row],[Dish]])</f>
        <v>0</v>
      </c>
      <c r="G383" s="3">
        <f>'Quantity Table'!$E383*'Quantity Table'!$F383</f>
        <v>0</v>
      </c>
      <c r="H383" s="3">
        <f>_xlfn.IFNA(VLOOKUP(Quantitytable[[#This Row],[Ingredient ]],Shoppingtable[[Item Name]:[BALANCE Cash]],5,FALSE),0)*Quantitytable[[#This Row],[NeededQuantity]]</f>
        <v>2.2085889570552149</v>
      </c>
      <c r="I383" s="3">
        <f>SUMIF(Quantitytable[Dish],Quantitytable[[#This Row],[Dish]],Quantitytable[Cost Per Dish Per Item])</f>
        <v>15.797483610961976</v>
      </c>
      <c r="J383" s="18" t="s">
        <v>502</v>
      </c>
    </row>
    <row r="384" spans="2:10" x14ac:dyDescent="0.25">
      <c r="B384" s="13" t="s">
        <v>155</v>
      </c>
      <c r="C384" s="13" t="s">
        <v>560</v>
      </c>
      <c r="D384" s="13">
        <v>250</v>
      </c>
      <c r="E384" s="3">
        <f>IF(Quantitytable[[#This Row],[Units]]=0,0,SUMIFS(Quantitytable[NeededQuantity],Quantitytable[Dish],Quantitytable[[#This Row],[Dish]],Quantitytable[[Ingredient ]],Quantitytable[[#This Row],[Ingredient ]]))</f>
        <v>0</v>
      </c>
      <c r="F384" s="3">
        <f>SUMIFS(salestable[Quantity Sold],salestable[Item Name],Quantitytable[[#This Row],[Dish]])</f>
        <v>0</v>
      </c>
      <c r="G384" s="3">
        <f>'Quantity Table'!$E384*'Quantity Table'!$F384</f>
        <v>0</v>
      </c>
      <c r="H384" s="3">
        <f>_xlfn.IFNA(VLOOKUP(Quantitytable[[#This Row],[Ingredient ]],Shoppingtable[[Item Name]:[BALANCE Cash]],5,FALSE),0)*Quantitytable[[#This Row],[NeededQuantity]]</f>
        <v>5.55</v>
      </c>
      <c r="I384" s="3">
        <f>SUMIF(Quantitytable[Dish],Quantitytable[[#This Row],[Dish]],Quantitytable[Cost Per Dish Per Item])</f>
        <v>15.797483610961976</v>
      </c>
      <c r="J384" s="18" t="s">
        <v>502</v>
      </c>
    </row>
    <row r="385" spans="2:10" x14ac:dyDescent="0.25">
      <c r="B385" s="13" t="s">
        <v>123</v>
      </c>
      <c r="C385" s="13" t="s">
        <v>432</v>
      </c>
      <c r="D385" s="13">
        <v>1</v>
      </c>
      <c r="E385" s="3">
        <f>IF(Quantitytable[[#This Row],[Units]]=0,0,SUMIFS(Quantitytable[NeededQuantity],Quantitytable[Dish],Quantitytable[[#This Row],[Dish]],Quantitytable[[Ingredient ]],Quantitytable[[#This Row],[Ingredient ]]))</f>
        <v>0</v>
      </c>
      <c r="F385" s="3">
        <f>SUMIFS(salestable[Quantity Sold],salestable[Item Name],Quantitytable[[#This Row],[Dish]])</f>
        <v>0</v>
      </c>
      <c r="G385" s="3">
        <f>'Quantity Table'!$E385*'Quantity Table'!$F385</f>
        <v>0</v>
      </c>
      <c r="H385" s="3">
        <f>_xlfn.IFNA(VLOOKUP(Quantitytable[[#This Row],[Ingredient ]],Shoppingtable[[Item Name]:[BALANCE Cash]],5,FALSE),0)*Quantitytable[[#This Row],[NeededQuantity]]</f>
        <v>0.3</v>
      </c>
      <c r="I385" s="3">
        <f>SUMIF(Quantitytable[Dish],Quantitytable[[#This Row],[Dish]],Quantitytable[Cost Per Dish Per Item])</f>
        <v>32.702793627664015</v>
      </c>
      <c r="J385" s="18" t="s">
        <v>502</v>
      </c>
    </row>
    <row r="386" spans="2:10" x14ac:dyDescent="0.25">
      <c r="B386" s="13" t="s">
        <v>123</v>
      </c>
      <c r="C386" s="13" t="s">
        <v>508</v>
      </c>
      <c r="D386" s="13">
        <v>1</v>
      </c>
      <c r="E386" s="3">
        <f>IF(Quantitytable[[#This Row],[Units]]=0,0,SUMIFS(Quantitytable[NeededQuantity],Quantitytable[Dish],Quantitytable[[#This Row],[Dish]],Quantitytable[[Ingredient ]],Quantitytable[[#This Row],[Ingredient ]]))</f>
        <v>0</v>
      </c>
      <c r="F386" s="3">
        <f>SUMIFS(salestable[Quantity Sold],salestable[Item Name],Quantitytable[[#This Row],[Dish]])</f>
        <v>0</v>
      </c>
      <c r="G386" s="3">
        <f>'Quantity Table'!$E386*'Quantity Table'!$F386</f>
        <v>0</v>
      </c>
      <c r="H386" s="3">
        <f>_xlfn.IFNA(VLOOKUP(Quantitytable[[#This Row],[Ingredient ]],Shoppingtable[[Item Name]:[BALANCE Cash]],5,FALSE),0)*Quantitytable[[#This Row],[NeededQuantity]]</f>
        <v>0.31111111111111112</v>
      </c>
      <c r="I386" s="3">
        <f>SUMIF(Quantitytable[Dish],Quantitytable[[#This Row],[Dish]],Quantitytable[Cost Per Dish Per Item])</f>
        <v>32.702793627664015</v>
      </c>
      <c r="J386" s="18" t="s">
        <v>502</v>
      </c>
    </row>
    <row r="387" spans="2:10" x14ac:dyDescent="0.25">
      <c r="B387" s="13" t="s">
        <v>123</v>
      </c>
      <c r="C387" s="13" t="s">
        <v>303</v>
      </c>
      <c r="D387" s="13">
        <v>1</v>
      </c>
      <c r="E387" s="3">
        <f>IF(Quantitytable[[#This Row],[Units]]=0,0,SUMIFS(Quantitytable[NeededQuantity],Quantitytable[Dish],Quantitytable[[#This Row],[Dish]],Quantitytable[[Ingredient ]],Quantitytable[[#This Row],[Ingredient ]]))</f>
        <v>0</v>
      </c>
      <c r="F387" s="3">
        <f>SUMIFS(salestable[Quantity Sold],salestable[Item Name],Quantitytable[[#This Row],[Dish]])</f>
        <v>0</v>
      </c>
      <c r="G387" s="3">
        <f>'Quantity Table'!$E387*'Quantity Table'!$F387</f>
        <v>0</v>
      </c>
      <c r="H387" s="3">
        <f>_xlfn.IFNA(VLOOKUP(Quantitytable[[#This Row],[Ingredient ]],Shoppingtable[[Item Name]:[BALANCE Cash]],5,FALSE),0)*Quantitytable[[#This Row],[NeededQuantity]]</f>
        <v>0.3</v>
      </c>
      <c r="I387" s="3">
        <f>SUMIF(Quantitytable[Dish],Quantitytable[[#This Row],[Dish]],Quantitytable[Cost Per Dish Per Item])</f>
        <v>32.702793627664015</v>
      </c>
      <c r="J387" s="18" t="s">
        <v>502</v>
      </c>
    </row>
    <row r="388" spans="2:10" x14ac:dyDescent="0.25">
      <c r="B388" s="13" t="s">
        <v>123</v>
      </c>
      <c r="C388" s="13" t="s">
        <v>538</v>
      </c>
      <c r="D388" s="13">
        <v>2</v>
      </c>
      <c r="E388" s="3">
        <f>IF(Quantitytable[[#This Row],[Units]]=0,0,SUMIFS(Quantitytable[NeededQuantity],Quantitytable[Dish],Quantitytable[[#This Row],[Dish]],Quantitytable[[Ingredient ]],Quantitytable[[#This Row],[Ingredient ]]))</f>
        <v>0</v>
      </c>
      <c r="F388" s="3">
        <f>SUMIFS(salestable[Quantity Sold],salestable[Item Name],Quantitytable[[#This Row],[Dish]])</f>
        <v>0</v>
      </c>
      <c r="G388" s="3">
        <f>'Quantity Table'!$E388*'Quantity Table'!$F388</f>
        <v>0</v>
      </c>
      <c r="H388" s="3">
        <f>_xlfn.IFNA(VLOOKUP(Quantitytable[[#This Row],[Ingredient ]],Shoppingtable[[Item Name]:[BALANCE Cash]],5,FALSE),0)*Quantitytable[[#This Row],[NeededQuantity]]</f>
        <v>0.4</v>
      </c>
      <c r="I388" s="3">
        <f>SUMIF(Quantitytable[Dish],Quantitytable[[#This Row],[Dish]],Quantitytable[Cost Per Dish Per Item])</f>
        <v>32.702793627664015</v>
      </c>
      <c r="J388" s="18" t="s">
        <v>502</v>
      </c>
    </row>
    <row r="389" spans="2:10" x14ac:dyDescent="0.25">
      <c r="B389" s="13" t="s">
        <v>123</v>
      </c>
      <c r="C389" s="13" t="s">
        <v>486</v>
      </c>
      <c r="D389" s="13">
        <v>2</v>
      </c>
      <c r="E389" s="3">
        <f>IF(Quantitytable[[#This Row],[Units]]=0,0,SUMIFS(Quantitytable[NeededQuantity],Quantitytable[Dish],Quantitytable[[#This Row],[Dish]],Quantitytable[[Ingredient ]],Quantitytable[[#This Row],[Ingredient ]]))</f>
        <v>0</v>
      </c>
      <c r="F389" s="3">
        <f>SUMIFS(salestable[Quantity Sold],salestable[Item Name],Quantitytable[[#This Row],[Dish]])</f>
        <v>0</v>
      </c>
      <c r="G389" s="3">
        <f>'Quantity Table'!$E389*'Quantity Table'!$F389</f>
        <v>0</v>
      </c>
      <c r="H389" s="3">
        <f>_xlfn.IFNA(VLOOKUP(Quantitytable[[#This Row],[Ingredient ]],Shoppingtable[[Item Name]:[BALANCE Cash]],5,FALSE),0)*Quantitytable[[#This Row],[NeededQuantity]]</f>
        <v>0.72941176470588232</v>
      </c>
      <c r="I389" s="3">
        <f>SUMIF(Quantitytable[Dish],Quantitytable[[#This Row],[Dish]],Quantitytable[Cost Per Dish Per Item])</f>
        <v>32.702793627664015</v>
      </c>
      <c r="J389" s="18" t="s">
        <v>502</v>
      </c>
    </row>
    <row r="390" spans="2:10" x14ac:dyDescent="0.25">
      <c r="B390" s="13" t="s">
        <v>123</v>
      </c>
      <c r="C390" s="13" t="s">
        <v>487</v>
      </c>
      <c r="D390" s="13">
        <v>2</v>
      </c>
      <c r="E390" s="3">
        <f>IF(Quantitytable[[#This Row],[Units]]=0,0,SUMIFS(Quantitytable[NeededQuantity],Quantitytable[Dish],Quantitytable[[#This Row],[Dish]],Quantitytable[[Ingredient ]],Quantitytable[[#This Row],[Ingredient ]]))</f>
        <v>0</v>
      </c>
      <c r="F390" s="3">
        <f>SUMIFS(salestable[Quantity Sold],salestable[Item Name],Quantitytable[[#This Row],[Dish]])</f>
        <v>0</v>
      </c>
      <c r="G390" s="3">
        <f>'Quantity Table'!$E390*'Quantity Table'!$F390</f>
        <v>0</v>
      </c>
      <c r="H390" s="3">
        <f>_xlfn.IFNA(VLOOKUP(Quantitytable[[#This Row],[Ingredient ]],Shoppingtable[[Item Name]:[BALANCE Cash]],5,FALSE),0)*Quantitytable[[#This Row],[NeededQuantity]]</f>
        <v>2.1</v>
      </c>
      <c r="I390" s="3">
        <f>SUMIF(Quantitytable[Dish],Quantitytable[[#This Row],[Dish]],Quantitytable[Cost Per Dish Per Item])</f>
        <v>32.702793627664015</v>
      </c>
      <c r="J390" s="18" t="s">
        <v>502</v>
      </c>
    </row>
    <row r="391" spans="2:10" x14ac:dyDescent="0.25">
      <c r="B391" s="13" t="s">
        <v>123</v>
      </c>
      <c r="C391" s="13" t="s">
        <v>507</v>
      </c>
      <c r="D391" s="13">
        <v>2</v>
      </c>
      <c r="E391" s="3">
        <f>IF(Quantitytable[[#This Row],[Units]]=0,0,SUMIFS(Quantitytable[NeededQuantity],Quantitytable[Dish],Quantitytable[[#This Row],[Dish]],Quantitytable[[Ingredient ]],Quantitytable[[#This Row],[Ingredient ]]))</f>
        <v>0</v>
      </c>
      <c r="F391" s="3">
        <f>SUMIFS(salestable[Quantity Sold],salestable[Item Name],Quantitytable[[#This Row],[Dish]])</f>
        <v>0</v>
      </c>
      <c r="G391" s="3">
        <f>'Quantity Table'!$E391*'Quantity Table'!$F391</f>
        <v>0</v>
      </c>
      <c r="H391" s="3">
        <f>_xlfn.IFNA(VLOOKUP(Quantitytable[[#This Row],[Ingredient ]],Shoppingtable[[Item Name]:[BALANCE Cash]],5,FALSE),0)*Quantitytable[[#This Row],[NeededQuantity]]</f>
        <v>0.22598870056497175</v>
      </c>
      <c r="I391" s="3">
        <f>SUMIF(Quantitytable[Dish],Quantitytable[[#This Row],[Dish]],Quantitytable[Cost Per Dish Per Item])</f>
        <v>32.702793627664015</v>
      </c>
      <c r="J391" s="18" t="s">
        <v>502</v>
      </c>
    </row>
    <row r="392" spans="2:10" x14ac:dyDescent="0.25">
      <c r="B392" s="13" t="s">
        <v>123</v>
      </c>
      <c r="C392" s="13" t="s">
        <v>75</v>
      </c>
      <c r="D392" s="13">
        <v>20</v>
      </c>
      <c r="E392" s="3">
        <f>IF(Quantitytable[[#This Row],[Units]]=0,0,SUMIFS(Quantitytable[NeededQuantity],Quantitytable[Dish],Quantitytable[[#This Row],[Dish]],Quantitytable[[Ingredient ]],Quantitytable[[#This Row],[Ingredient ]]))</f>
        <v>0</v>
      </c>
      <c r="F392" s="3">
        <f>SUMIFS(salestable[Quantity Sold],salestable[Item Name],Quantitytable[[#This Row],[Dish]])</f>
        <v>0</v>
      </c>
      <c r="G392" s="3">
        <f>'Quantity Table'!$E392*'Quantity Table'!$F392</f>
        <v>0</v>
      </c>
      <c r="H392" s="3">
        <f>_xlfn.IFNA(VLOOKUP(Quantitytable[[#This Row],[Ingredient ]],Shoppingtable[[Item Name]:[BALANCE Cash]],5,FALSE),0)*Quantitytable[[#This Row],[NeededQuantity]]</f>
        <v>2.92</v>
      </c>
      <c r="I392" s="3">
        <f>SUMIF(Quantitytable[Dish],Quantitytable[[#This Row],[Dish]],Quantitytable[Cost Per Dish Per Item])</f>
        <v>32.702793627664015</v>
      </c>
      <c r="J392" s="18" t="s">
        <v>502</v>
      </c>
    </row>
    <row r="393" spans="2:10" x14ac:dyDescent="0.25">
      <c r="B393" s="13" t="s">
        <v>123</v>
      </c>
      <c r="C393" s="13" t="s">
        <v>400</v>
      </c>
      <c r="D393" s="13">
        <v>25</v>
      </c>
      <c r="E393" s="3">
        <f>IF(Quantitytable[[#This Row],[Units]]=0,0,SUMIFS(Quantitytable[NeededQuantity],Quantitytable[Dish],Quantitytable[[#This Row],[Dish]],Quantitytable[[Ingredient ]],Quantitytable[[#This Row],[Ingredient ]]))</f>
        <v>0</v>
      </c>
      <c r="F393" s="3">
        <f>SUMIFS(salestable[Quantity Sold],salestable[Item Name],Quantitytable[[#This Row],[Dish]])</f>
        <v>0</v>
      </c>
      <c r="G393" s="3">
        <f>'Quantity Table'!$E393*'Quantity Table'!$F393</f>
        <v>0</v>
      </c>
      <c r="H393" s="3">
        <f>_xlfn.IFNA(VLOOKUP(Quantitytable[[#This Row],[Ingredient ]],Shoppingtable[[Item Name]:[BALANCE Cash]],5,FALSE),0)*Quantitytable[[#This Row],[NeededQuantity]]</f>
        <v>0.75</v>
      </c>
      <c r="I393" s="3">
        <f>SUMIF(Quantitytable[Dish],Quantitytable[[#This Row],[Dish]],Quantitytable[Cost Per Dish Per Item])</f>
        <v>32.702793627664015</v>
      </c>
      <c r="J393" s="18" t="s">
        <v>502</v>
      </c>
    </row>
    <row r="394" spans="2:10" x14ac:dyDescent="0.25">
      <c r="B394" s="13" t="s">
        <v>123</v>
      </c>
      <c r="C394" s="13" t="s">
        <v>576</v>
      </c>
      <c r="D394" s="13">
        <v>50</v>
      </c>
      <c r="E394" s="3">
        <f>IF(Quantitytable[[#This Row],[Units]]=0,0,SUMIFS(Quantitytable[NeededQuantity],Quantitytable[Dish],Quantitytable[[#This Row],[Dish]],Quantitytable[[Ingredient ]],Quantitytable[[#This Row],[Ingredient ]]))</f>
        <v>0</v>
      </c>
      <c r="F394" s="3">
        <f>SUMIFS(salestable[Quantity Sold],salestable[Item Name],Quantitytable[[#This Row],[Dish]])</f>
        <v>0</v>
      </c>
      <c r="G394" s="3">
        <f>'Quantity Table'!$E394*'Quantity Table'!$F394</f>
        <v>0</v>
      </c>
      <c r="H394" s="3">
        <f>_xlfn.IFNA(VLOOKUP(Quantitytable[[#This Row],[Ingredient ]],Shoppingtable[[Item Name]:[BALANCE Cash]],5,FALSE),0)*Quantitytable[[#This Row],[NeededQuantity]]</f>
        <v>2.9166666666666665</v>
      </c>
      <c r="I394" s="3">
        <f>SUMIF(Quantitytable[Dish],Quantitytable[[#This Row],[Dish]],Quantitytable[Cost Per Dish Per Item])</f>
        <v>32.702793627664015</v>
      </c>
      <c r="J394" s="18" t="s">
        <v>502</v>
      </c>
    </row>
    <row r="395" spans="2:10" x14ac:dyDescent="0.25">
      <c r="B395" s="13" t="s">
        <v>123</v>
      </c>
      <c r="C395" s="13" t="s">
        <v>577</v>
      </c>
      <c r="D395" s="13">
        <v>50</v>
      </c>
      <c r="E395" s="3">
        <f>IF(Quantitytable[[#This Row],[Units]]=0,0,SUMIFS(Quantitytable[NeededQuantity],Quantitytable[Dish],Quantitytable[[#This Row],[Dish]],Quantitytable[[Ingredient ]],Quantitytable[[#This Row],[Ingredient ]]))</f>
        <v>0</v>
      </c>
      <c r="F395" s="3">
        <f>SUMIFS(salestable[Quantity Sold],salestable[Item Name],Quantitytable[[#This Row],[Dish]])</f>
        <v>0</v>
      </c>
      <c r="G395" s="3">
        <f>'Quantity Table'!$E395*'Quantity Table'!$F395</f>
        <v>0</v>
      </c>
      <c r="H395" s="3">
        <f>_xlfn.IFNA(VLOOKUP(Quantitytable[[#This Row],[Ingredient ]],Shoppingtable[[Item Name]:[BALANCE Cash]],5,FALSE),0)*Quantitytable[[#This Row],[NeededQuantity]]</f>
        <v>2.8846153846153846</v>
      </c>
      <c r="I395" s="3">
        <f>SUMIF(Quantitytable[Dish],Quantitytable[[#This Row],[Dish]],Quantitytable[Cost Per Dish Per Item])</f>
        <v>32.702793627664015</v>
      </c>
      <c r="J395" s="18" t="s">
        <v>502</v>
      </c>
    </row>
    <row r="396" spans="2:10" x14ac:dyDescent="0.25">
      <c r="B396" s="13" t="s">
        <v>123</v>
      </c>
      <c r="C396" s="13" t="s">
        <v>399</v>
      </c>
      <c r="D396" s="13">
        <v>60</v>
      </c>
      <c r="E396" s="3">
        <f>IF(Quantitytable[[#This Row],[Units]]=0,0,SUMIFS(Quantitytable[NeededQuantity],Quantitytable[Dish],Quantitytable[[#This Row],[Dish]],Quantitytable[[Ingredient ]],Quantitytable[[#This Row],[Ingredient ]]))</f>
        <v>0</v>
      </c>
      <c r="F396" s="3">
        <f>SUMIFS(salestable[Quantity Sold],salestable[Item Name],Quantitytable[[#This Row],[Dish]])</f>
        <v>0</v>
      </c>
      <c r="G396" s="3">
        <f>'Quantity Table'!$E396*'Quantity Table'!$F396</f>
        <v>0</v>
      </c>
      <c r="H396" s="3">
        <f>_xlfn.IFNA(VLOOKUP(Quantitytable[[#This Row],[Ingredient ]],Shoppingtable[[Item Name]:[BALANCE Cash]],5,FALSE),0)*Quantitytable[[#This Row],[NeededQuantity]]</f>
        <v>2.4900000000000002</v>
      </c>
      <c r="I396" s="3">
        <f>SUMIF(Quantitytable[Dish],Quantitytable[[#This Row],[Dish]],Quantitytable[Cost Per Dish Per Item])</f>
        <v>32.702793627664015</v>
      </c>
      <c r="J396" s="18" t="s">
        <v>502</v>
      </c>
    </row>
    <row r="397" spans="2:10" x14ac:dyDescent="0.25">
      <c r="B397" s="13" t="s">
        <v>123</v>
      </c>
      <c r="C397" s="13" t="s">
        <v>98</v>
      </c>
      <c r="D397" s="13">
        <v>90</v>
      </c>
      <c r="E397" s="3">
        <f>IF(Quantitytable[[#This Row],[Units]]=0,0,SUMIFS(Quantitytable[NeededQuantity],Quantitytable[Dish],Quantitytable[[#This Row],[Dish]],Quantitytable[[Ingredient ]],Quantitytable[[#This Row],[Ingredient ]]))</f>
        <v>0</v>
      </c>
      <c r="F397" s="3">
        <f>SUMIFS(salestable[Quantity Sold],salestable[Item Name],Quantitytable[[#This Row],[Dish]])</f>
        <v>0</v>
      </c>
      <c r="G397" s="3">
        <f>'Quantity Table'!$E397*'Quantity Table'!$F397</f>
        <v>0</v>
      </c>
      <c r="H397" s="3">
        <f>_xlfn.IFNA(VLOOKUP(Quantitytable[[#This Row],[Ingredient ]],Shoppingtable[[Item Name]:[BALANCE Cash]],5,FALSE),0)*Quantitytable[[#This Row],[NeededQuantity]]</f>
        <v>4.875</v>
      </c>
      <c r="I397" s="3">
        <f>SUMIF(Quantitytable[Dish],Quantitytable[[#This Row],[Dish]],Quantitytable[Cost Per Dish Per Item])</f>
        <v>32.702793627664015</v>
      </c>
      <c r="J397" s="18" t="s">
        <v>502</v>
      </c>
    </row>
    <row r="398" spans="2:10" x14ac:dyDescent="0.25">
      <c r="B398" s="13" t="s">
        <v>123</v>
      </c>
      <c r="C398" s="13" t="s">
        <v>89</v>
      </c>
      <c r="D398" s="13">
        <v>125</v>
      </c>
      <c r="E398" s="3">
        <f>IF(Quantitytable[[#This Row],[Units]]=0,0,SUMIFS(Quantitytable[NeededQuantity],Quantitytable[Dish],Quantitytable[[#This Row],[Dish]],Quantitytable[[Ingredient ]],Quantitytable[[#This Row],[Ingredient ]]))</f>
        <v>0</v>
      </c>
      <c r="F398" s="3">
        <f>SUMIFS(salestable[Quantity Sold],salestable[Item Name],Quantitytable[[#This Row],[Dish]])</f>
        <v>0</v>
      </c>
      <c r="G398" s="3">
        <f>'Quantity Table'!$E398*'Quantity Table'!$F398</f>
        <v>0</v>
      </c>
      <c r="H398" s="3">
        <f>_xlfn.IFNA(VLOOKUP(Quantitytable[[#This Row],[Ingredient ]],Shoppingtable[[Item Name]:[BALANCE Cash]],5,FALSE),0)*Quantitytable[[#This Row],[NeededQuantity]]</f>
        <v>7.5</v>
      </c>
      <c r="I398" s="3">
        <f>SUMIF(Quantitytable[Dish],Quantitytable[[#This Row],[Dish]],Quantitytable[Cost Per Dish Per Item])</f>
        <v>32.702793627664015</v>
      </c>
      <c r="J398" s="18" t="s">
        <v>502</v>
      </c>
    </row>
    <row r="399" spans="2:10" x14ac:dyDescent="0.25">
      <c r="B399" s="13" t="s">
        <v>123</v>
      </c>
      <c r="C399" s="13" t="s">
        <v>44</v>
      </c>
      <c r="D399" s="13">
        <v>140</v>
      </c>
      <c r="E399" s="3">
        <f>IF(Quantitytable[[#This Row],[Units]]=0,0,SUMIFS(Quantitytable[NeededQuantity],Quantitytable[Dish],Quantitytable[[#This Row],[Dish]],Quantitytable[[Ingredient ]],Quantitytable[[#This Row],[Ingredient ]]))</f>
        <v>0</v>
      </c>
      <c r="F399" s="3">
        <f>SUMIFS(salestable[Quantity Sold],salestable[Item Name],Quantitytable[[#This Row],[Dish]])</f>
        <v>0</v>
      </c>
      <c r="G399" s="3">
        <f>'Quantity Table'!$E399*'Quantity Table'!$F399</f>
        <v>0</v>
      </c>
      <c r="H399" s="3">
        <f>_xlfn.IFNA(VLOOKUP(Quantitytable[[#This Row],[Ingredient ]],Shoppingtable[[Item Name]:[BALANCE Cash]],5,FALSE),0)*Quantitytable[[#This Row],[NeededQuantity]]</f>
        <v>4</v>
      </c>
      <c r="I399" s="3">
        <f>SUMIF(Quantitytable[Dish],Quantitytable[[#This Row],[Dish]],Quantitytable[Cost Per Dish Per Item])</f>
        <v>32.702793627664015</v>
      </c>
      <c r="J399" s="18" t="s">
        <v>502</v>
      </c>
    </row>
    <row r="400" spans="2:10" x14ac:dyDescent="0.25">
      <c r="B400" s="13" t="s">
        <v>646</v>
      </c>
      <c r="C400" s="13" t="s">
        <v>432</v>
      </c>
      <c r="D400" s="13">
        <v>1</v>
      </c>
      <c r="E400" s="3">
        <f>IF(Quantitytable[[#This Row],[Units]]=0,0,SUMIFS(Quantitytable[NeededQuantity],Quantitytable[Dish],Quantitytable[[#This Row],[Dish]],Quantitytable[[Ingredient ]],Quantitytable[[#This Row],[Ingredient ]]))</f>
        <v>0</v>
      </c>
      <c r="F400" s="3">
        <f>SUMIFS(salestable[Quantity Sold],salestable[Item Name],Quantitytable[[#This Row],[Dish]])</f>
        <v>0</v>
      </c>
      <c r="G400" s="3">
        <f>'Quantity Table'!$E400*'Quantity Table'!$F400</f>
        <v>0</v>
      </c>
      <c r="H400" s="3">
        <f>_xlfn.IFNA(VLOOKUP(Quantitytable[[#This Row],[Ingredient ]],Shoppingtable[[Item Name]:[BALANCE Cash]],5,FALSE),0)*Quantitytable[[#This Row],[NeededQuantity]]</f>
        <v>0.3</v>
      </c>
      <c r="I400" s="3">
        <f>SUMIF(Quantitytable[Dish],Quantitytable[[#This Row],[Dish]],Quantitytable[Cost Per Dish Per Item])</f>
        <v>44.106511576381962</v>
      </c>
      <c r="J400" s="18" t="s">
        <v>502</v>
      </c>
    </row>
    <row r="401" spans="2:10" x14ac:dyDescent="0.25">
      <c r="B401" s="13" t="s">
        <v>646</v>
      </c>
      <c r="C401" s="13" t="s">
        <v>508</v>
      </c>
      <c r="D401" s="13">
        <v>1</v>
      </c>
      <c r="E401" s="3">
        <f>IF(Quantitytable[[#This Row],[Units]]=0,0,SUMIFS(Quantitytable[NeededQuantity],Quantitytable[Dish],Quantitytable[[#This Row],[Dish]],Quantitytable[[Ingredient ]],Quantitytable[[#This Row],[Ingredient ]]))</f>
        <v>0</v>
      </c>
      <c r="F401" s="3">
        <f>SUMIFS(salestable[Quantity Sold],salestable[Item Name],Quantitytable[[#This Row],[Dish]])</f>
        <v>0</v>
      </c>
      <c r="G401" s="3">
        <f>'Quantity Table'!$E401*'Quantity Table'!$F401</f>
        <v>0</v>
      </c>
      <c r="H401" s="3">
        <f>_xlfn.IFNA(VLOOKUP(Quantitytable[[#This Row],[Ingredient ]],Shoppingtable[[Item Name]:[BALANCE Cash]],5,FALSE),0)*Quantitytable[[#This Row],[NeededQuantity]]</f>
        <v>0.31111111111111112</v>
      </c>
      <c r="I401" s="3">
        <f>SUMIF(Quantitytable[Dish],Quantitytable[[#This Row],[Dish]],Quantitytable[Cost Per Dish Per Item])</f>
        <v>44.106511576381962</v>
      </c>
      <c r="J401" s="18" t="s">
        <v>502</v>
      </c>
    </row>
    <row r="402" spans="2:10" x14ac:dyDescent="0.25">
      <c r="B402" s="13" t="s">
        <v>646</v>
      </c>
      <c r="C402" s="13" t="s">
        <v>303</v>
      </c>
      <c r="D402" s="13">
        <v>1</v>
      </c>
      <c r="E402" s="3">
        <f>IF(Quantitytable[[#This Row],[Units]]=0,0,SUMIFS(Quantitytable[NeededQuantity],Quantitytable[Dish],Quantitytable[[#This Row],[Dish]],Quantitytable[[Ingredient ]],Quantitytable[[#This Row],[Ingredient ]]))</f>
        <v>0</v>
      </c>
      <c r="F402" s="3">
        <f>SUMIFS(salestable[Quantity Sold],salestable[Item Name],Quantitytable[[#This Row],[Dish]])</f>
        <v>0</v>
      </c>
      <c r="G402" s="3">
        <f>'Quantity Table'!$E402*'Quantity Table'!$F402</f>
        <v>0</v>
      </c>
      <c r="H402" s="3">
        <f>_xlfn.IFNA(VLOOKUP(Quantitytable[[#This Row],[Ingredient ]],Shoppingtable[[Item Name]:[BALANCE Cash]],5,FALSE),0)*Quantitytable[[#This Row],[NeededQuantity]]</f>
        <v>0.3</v>
      </c>
      <c r="I402" s="3">
        <f>SUMIF(Quantitytable[Dish],Quantitytable[[#This Row],[Dish]],Quantitytable[Cost Per Dish Per Item])</f>
        <v>44.106511576381962</v>
      </c>
      <c r="J402" s="18" t="s">
        <v>502</v>
      </c>
    </row>
    <row r="403" spans="2:10" x14ac:dyDescent="0.25">
      <c r="B403" s="13" t="s">
        <v>646</v>
      </c>
      <c r="C403" s="13" t="s">
        <v>538</v>
      </c>
      <c r="D403" s="13">
        <v>2</v>
      </c>
      <c r="E403" s="3">
        <f>IF(Quantitytable[[#This Row],[Units]]=0,0,SUMIFS(Quantitytable[NeededQuantity],Quantitytable[Dish],Quantitytable[[#This Row],[Dish]],Quantitytable[[Ingredient ]],Quantitytable[[#This Row],[Ingredient ]]))</f>
        <v>0</v>
      </c>
      <c r="F403" s="3">
        <f>SUMIFS(salestable[Quantity Sold],salestable[Item Name],Quantitytable[[#This Row],[Dish]])</f>
        <v>0</v>
      </c>
      <c r="G403" s="3">
        <f>'Quantity Table'!$E403*'Quantity Table'!$F403</f>
        <v>0</v>
      </c>
      <c r="H403" s="3">
        <f>_xlfn.IFNA(VLOOKUP(Quantitytable[[#This Row],[Ingredient ]],Shoppingtable[[Item Name]:[BALANCE Cash]],5,FALSE),0)*Quantitytable[[#This Row],[NeededQuantity]]</f>
        <v>0.4</v>
      </c>
      <c r="I403" s="3">
        <f>SUMIF(Quantitytable[Dish],Quantitytable[[#This Row],[Dish]],Quantitytable[Cost Per Dish Per Item])</f>
        <v>44.106511576381962</v>
      </c>
      <c r="J403" s="18" t="s">
        <v>502</v>
      </c>
    </row>
    <row r="404" spans="2:10" x14ac:dyDescent="0.25">
      <c r="B404" s="13" t="s">
        <v>646</v>
      </c>
      <c r="C404" s="13" t="s">
        <v>486</v>
      </c>
      <c r="D404" s="13">
        <v>2</v>
      </c>
      <c r="E404" s="3">
        <f>IF(Quantitytable[[#This Row],[Units]]=0,0,SUMIFS(Quantitytable[NeededQuantity],Quantitytable[Dish],Quantitytable[[#This Row],[Dish]],Quantitytable[[Ingredient ]],Quantitytable[[#This Row],[Ingredient ]]))</f>
        <v>0</v>
      </c>
      <c r="F404" s="3">
        <f>SUMIFS(salestable[Quantity Sold],salestable[Item Name],Quantitytable[[#This Row],[Dish]])</f>
        <v>0</v>
      </c>
      <c r="G404" s="3">
        <f>'Quantity Table'!$E404*'Quantity Table'!$F404</f>
        <v>0</v>
      </c>
      <c r="H404" s="3">
        <f>_xlfn.IFNA(VLOOKUP(Quantitytable[[#This Row],[Ingredient ]],Shoppingtable[[Item Name]:[BALANCE Cash]],5,FALSE),0)*Quantitytable[[#This Row],[NeededQuantity]]</f>
        <v>0.72941176470588232</v>
      </c>
      <c r="I404" s="3">
        <f>SUMIF(Quantitytable[Dish],Quantitytable[[#This Row],[Dish]],Quantitytable[Cost Per Dish Per Item])</f>
        <v>44.106511576381962</v>
      </c>
      <c r="J404" s="18" t="s">
        <v>502</v>
      </c>
    </row>
    <row r="405" spans="2:10" x14ac:dyDescent="0.25">
      <c r="B405" s="13" t="s">
        <v>646</v>
      </c>
      <c r="C405" s="13" t="s">
        <v>487</v>
      </c>
      <c r="D405" s="13">
        <v>2</v>
      </c>
      <c r="E405" s="3">
        <f>IF(Quantitytable[[#This Row],[Units]]=0,0,SUMIFS(Quantitytable[NeededQuantity],Quantitytable[Dish],Quantitytable[[#This Row],[Dish]],Quantitytable[[Ingredient ]],Quantitytable[[#This Row],[Ingredient ]]))</f>
        <v>0</v>
      </c>
      <c r="F405" s="3">
        <f>SUMIFS(salestable[Quantity Sold],salestable[Item Name],Quantitytable[[#This Row],[Dish]])</f>
        <v>0</v>
      </c>
      <c r="G405" s="3">
        <f>'Quantity Table'!$E405*'Quantity Table'!$F405</f>
        <v>0</v>
      </c>
      <c r="H405" s="3">
        <f>_xlfn.IFNA(VLOOKUP(Quantitytable[[#This Row],[Ingredient ]],Shoppingtable[[Item Name]:[BALANCE Cash]],5,FALSE),0)*Quantitytable[[#This Row],[NeededQuantity]]</f>
        <v>2.1</v>
      </c>
      <c r="I405" s="3">
        <f>SUMIF(Quantitytable[Dish],Quantitytable[[#This Row],[Dish]],Quantitytable[Cost Per Dish Per Item])</f>
        <v>44.106511576381962</v>
      </c>
      <c r="J405" s="18" t="s">
        <v>502</v>
      </c>
    </row>
    <row r="406" spans="2:10" x14ac:dyDescent="0.25">
      <c r="B406" s="13" t="s">
        <v>646</v>
      </c>
      <c r="C406" s="13" t="s">
        <v>507</v>
      </c>
      <c r="D406" s="13">
        <v>2</v>
      </c>
      <c r="E406" s="3">
        <f>IF(Quantitytable[[#This Row],[Units]]=0,0,SUMIFS(Quantitytable[NeededQuantity],Quantitytable[Dish],Quantitytable[[#This Row],[Dish]],Quantitytable[[Ingredient ]],Quantitytable[[#This Row],[Ingredient ]]))</f>
        <v>0</v>
      </c>
      <c r="F406" s="3">
        <f>SUMIFS(salestable[Quantity Sold],salestable[Item Name],Quantitytable[[#This Row],[Dish]])</f>
        <v>0</v>
      </c>
      <c r="G406" s="3">
        <f>'Quantity Table'!$E406*'Quantity Table'!$F406</f>
        <v>0</v>
      </c>
      <c r="H406" s="3">
        <f>_xlfn.IFNA(VLOOKUP(Quantitytable[[#This Row],[Ingredient ]],Shoppingtable[[Item Name]:[BALANCE Cash]],5,FALSE),0)*Quantitytable[[#This Row],[NeededQuantity]]</f>
        <v>0.22598870056497175</v>
      </c>
      <c r="I406" s="3">
        <f>SUMIF(Quantitytable[Dish],Quantitytable[[#This Row],[Dish]],Quantitytable[Cost Per Dish Per Item])</f>
        <v>44.106511576381962</v>
      </c>
      <c r="J406" s="18" t="s">
        <v>502</v>
      </c>
    </row>
    <row r="407" spans="2:10" x14ac:dyDescent="0.25">
      <c r="B407" s="13" t="s">
        <v>646</v>
      </c>
      <c r="C407" s="13" t="s">
        <v>75</v>
      </c>
      <c r="D407" s="13">
        <v>20</v>
      </c>
      <c r="E407" s="3">
        <f>IF(Quantitytable[[#This Row],[Units]]=0,0,SUMIFS(Quantitytable[NeededQuantity],Quantitytable[Dish],Quantitytable[[#This Row],[Dish]],Quantitytable[[Ingredient ]],Quantitytable[[#This Row],[Ingredient ]]))</f>
        <v>0</v>
      </c>
      <c r="F407" s="3">
        <f>SUMIFS(salestable[Quantity Sold],salestable[Item Name],Quantitytable[[#This Row],[Dish]])</f>
        <v>0</v>
      </c>
      <c r="G407" s="3">
        <f>'Quantity Table'!$E407*'Quantity Table'!$F407</f>
        <v>0</v>
      </c>
      <c r="H407" s="3">
        <f>_xlfn.IFNA(VLOOKUP(Quantitytable[[#This Row],[Ingredient ]],Shoppingtable[[Item Name]:[BALANCE Cash]],5,FALSE),0)*Quantitytable[[#This Row],[NeededQuantity]]</f>
        <v>2.92</v>
      </c>
      <c r="I407" s="3">
        <f>SUMIF(Quantitytable[Dish],Quantitytable[[#This Row],[Dish]],Quantitytable[Cost Per Dish Per Item])</f>
        <v>44.106511576381962</v>
      </c>
      <c r="J407" s="18" t="s">
        <v>502</v>
      </c>
    </row>
    <row r="408" spans="2:10" x14ac:dyDescent="0.25">
      <c r="B408" s="13" t="s">
        <v>646</v>
      </c>
      <c r="C408" s="13" t="s">
        <v>400</v>
      </c>
      <c r="D408" s="13">
        <v>25</v>
      </c>
      <c r="E408" s="3">
        <f>IF(Quantitytable[[#This Row],[Units]]=0,0,SUMIFS(Quantitytable[NeededQuantity],Quantitytable[Dish],Quantitytable[[#This Row],[Dish]],Quantitytable[[Ingredient ]],Quantitytable[[#This Row],[Ingredient ]]))</f>
        <v>0</v>
      </c>
      <c r="F408" s="3">
        <f>SUMIFS(salestable[Quantity Sold],salestable[Item Name],Quantitytable[[#This Row],[Dish]])</f>
        <v>0</v>
      </c>
      <c r="G408" s="3">
        <f>'Quantity Table'!$E408*'Quantity Table'!$F408</f>
        <v>0</v>
      </c>
      <c r="H408" s="3">
        <f>_xlfn.IFNA(VLOOKUP(Quantitytable[[#This Row],[Ingredient ]],Shoppingtable[[Item Name]:[BALANCE Cash]],5,FALSE),0)*Quantitytable[[#This Row],[NeededQuantity]]</f>
        <v>0.75</v>
      </c>
      <c r="I408" s="3">
        <f>SUMIF(Quantitytable[Dish],Quantitytable[[#This Row],[Dish]],Quantitytable[Cost Per Dish Per Item])</f>
        <v>44.106511576381962</v>
      </c>
      <c r="J408" s="18" t="s">
        <v>502</v>
      </c>
    </row>
    <row r="409" spans="2:10" x14ac:dyDescent="0.25">
      <c r="B409" s="13" t="s">
        <v>646</v>
      </c>
      <c r="C409" s="13" t="s">
        <v>399</v>
      </c>
      <c r="D409" s="13">
        <v>60</v>
      </c>
      <c r="E409" s="3">
        <f>IF(Quantitytable[[#This Row],[Units]]=0,0,SUMIFS(Quantitytable[NeededQuantity],Quantitytable[Dish],Quantitytable[[#This Row],[Dish]],Quantitytable[[Ingredient ]],Quantitytable[[#This Row],[Ingredient ]]))</f>
        <v>0</v>
      </c>
      <c r="F409" s="3">
        <f>SUMIFS(salestable[Quantity Sold],salestable[Item Name],Quantitytable[[#This Row],[Dish]])</f>
        <v>0</v>
      </c>
      <c r="G409" s="3">
        <f>'Quantity Table'!$E409*'Quantity Table'!$F409</f>
        <v>0</v>
      </c>
      <c r="H409" s="3">
        <f>_xlfn.IFNA(VLOOKUP(Quantitytable[[#This Row],[Ingredient ]],Shoppingtable[[Item Name]:[BALANCE Cash]],5,FALSE),0)*Quantitytable[[#This Row],[NeededQuantity]]</f>
        <v>2.4900000000000002</v>
      </c>
      <c r="I409" s="3">
        <f>SUMIF(Quantitytable[Dish],Quantitytable[[#This Row],[Dish]],Quantitytable[Cost Per Dish Per Item])</f>
        <v>44.106511576381962</v>
      </c>
      <c r="J409" s="18" t="s">
        <v>502</v>
      </c>
    </row>
    <row r="410" spans="2:10" x14ac:dyDescent="0.25">
      <c r="B410" s="13" t="s">
        <v>646</v>
      </c>
      <c r="C410" s="13" t="s">
        <v>163</v>
      </c>
      <c r="D410" s="13">
        <v>100</v>
      </c>
      <c r="E410" s="3">
        <f>IF(Quantitytable[[#This Row],[Units]]=0,0,SUMIFS(Quantitytable[NeededQuantity],Quantitytable[Dish],Quantitytable[[#This Row],[Dish]],Quantitytable[[Ingredient ]],Quantitytable[[#This Row],[Ingredient ]]))</f>
        <v>0</v>
      </c>
      <c r="F410" s="3">
        <f>SUMIFS(salestable[Quantity Sold],salestable[Item Name],Quantitytable[[#This Row],[Dish]])</f>
        <v>0</v>
      </c>
      <c r="G410" s="3">
        <f>'Quantity Table'!$E410*'Quantity Table'!$F410</f>
        <v>0</v>
      </c>
      <c r="H410" s="3">
        <f>_xlfn.IFNA(VLOOKUP(Quantitytable[[#This Row],[Ingredient ]],Shoppingtable[[Item Name]:[BALANCE Cash]],5,FALSE),0)*Quantitytable[[#This Row],[NeededQuantity]]</f>
        <v>22.08</v>
      </c>
      <c r="I410" s="3">
        <f>SUMIF(Quantitytable[Dish],Quantitytable[[#This Row],[Dish]],Quantitytable[Cost Per Dish Per Item])</f>
        <v>44.106511576381962</v>
      </c>
      <c r="J410" s="18" t="s">
        <v>502</v>
      </c>
    </row>
    <row r="411" spans="2:10" x14ac:dyDescent="0.25">
      <c r="B411" s="13" t="s">
        <v>646</v>
      </c>
      <c r="C411" s="13" t="s">
        <v>89</v>
      </c>
      <c r="D411" s="13">
        <v>125</v>
      </c>
      <c r="E411" s="3">
        <f>IF(Quantitytable[[#This Row],[Units]]=0,0,SUMIFS(Quantitytable[NeededQuantity],Quantitytable[Dish],Quantitytable[[#This Row],[Dish]],Quantitytable[[Ingredient ]],Quantitytable[[#This Row],[Ingredient ]]))</f>
        <v>0</v>
      </c>
      <c r="F411" s="3">
        <f>SUMIFS(salestable[Quantity Sold],salestable[Item Name],Quantitytable[[#This Row],[Dish]])</f>
        <v>0</v>
      </c>
      <c r="G411" s="3">
        <f>'Quantity Table'!$E411*'Quantity Table'!$F411</f>
        <v>0</v>
      </c>
      <c r="H411" s="3">
        <f>_xlfn.IFNA(VLOOKUP(Quantitytable[[#This Row],[Ingredient ]],Shoppingtable[[Item Name]:[BALANCE Cash]],5,FALSE),0)*Quantitytable[[#This Row],[NeededQuantity]]</f>
        <v>7.5</v>
      </c>
      <c r="I411" s="3">
        <f>SUMIF(Quantitytable[Dish],Quantitytable[[#This Row],[Dish]],Quantitytable[Cost Per Dish Per Item])</f>
        <v>44.106511576381962</v>
      </c>
      <c r="J411" s="18" t="s">
        <v>502</v>
      </c>
    </row>
    <row r="412" spans="2:10" x14ac:dyDescent="0.25">
      <c r="B412" s="13" t="s">
        <v>646</v>
      </c>
      <c r="C412" s="13" t="s">
        <v>44</v>
      </c>
      <c r="D412" s="13">
        <v>140</v>
      </c>
      <c r="E412" s="3">
        <f>IF(Quantitytable[[#This Row],[Units]]=0,0,SUMIFS(Quantitytable[NeededQuantity],Quantitytable[Dish],Quantitytable[[#This Row],[Dish]],Quantitytable[[Ingredient ]],Quantitytable[[#This Row],[Ingredient ]]))</f>
        <v>0</v>
      </c>
      <c r="F412" s="3">
        <f>SUMIFS(salestable[Quantity Sold],salestable[Item Name],Quantitytable[[#This Row],[Dish]])</f>
        <v>0</v>
      </c>
      <c r="G412" s="3">
        <f>'Quantity Table'!$E412*'Quantity Table'!$F412</f>
        <v>0</v>
      </c>
      <c r="H412" s="3">
        <f>_xlfn.IFNA(VLOOKUP(Quantitytable[[#This Row],[Ingredient ]],Shoppingtable[[Item Name]:[BALANCE Cash]],5,FALSE),0)*Quantitytable[[#This Row],[NeededQuantity]]</f>
        <v>4</v>
      </c>
      <c r="I412" s="3">
        <f>SUMIF(Quantitytable[Dish],Quantitytable[[#This Row],[Dish]],Quantitytable[Cost Per Dish Per Item])</f>
        <v>44.106511576381962</v>
      </c>
      <c r="J412" s="18" t="s">
        <v>502</v>
      </c>
    </row>
    <row r="413" spans="2:10" x14ac:dyDescent="0.25">
      <c r="B413" s="13" t="s">
        <v>669</v>
      </c>
      <c r="C413" s="13" t="s">
        <v>432</v>
      </c>
      <c r="D413" s="13">
        <v>1</v>
      </c>
      <c r="E413" s="3">
        <f>IF(Quantitytable[[#This Row],[Units]]=0,0,SUMIFS(Quantitytable[NeededQuantity],Quantitytable[Dish],Quantitytable[[#This Row],[Dish]],Quantitytable[[Ingredient ]],Quantitytable[[#This Row],[Ingredient ]]))</f>
        <v>0</v>
      </c>
      <c r="F413" s="3">
        <f>SUMIFS(salestable[Quantity Sold],salestable[Item Name],Quantitytable[[#This Row],[Dish]])</f>
        <v>0</v>
      </c>
      <c r="G413" s="3">
        <f>'Quantity Table'!$E413*'Quantity Table'!$F413</f>
        <v>0</v>
      </c>
      <c r="H413" s="3">
        <f>_xlfn.IFNA(VLOOKUP(Quantitytable[[#This Row],[Ingredient ]],Shoppingtable[[Item Name]:[BALANCE Cash]],5,FALSE),0)*Quantitytable[[#This Row],[NeededQuantity]]</f>
        <v>0.3</v>
      </c>
      <c r="I413" s="3">
        <f>SUMIF(Quantitytable[Dish],Quantitytable[[#This Row],[Dish]],Quantitytable[Cost Per Dish Per Item])</f>
        <v>35.339011576381964</v>
      </c>
      <c r="J413" s="18" t="s">
        <v>502</v>
      </c>
    </row>
    <row r="414" spans="2:10" x14ac:dyDescent="0.25">
      <c r="B414" s="13" t="s">
        <v>669</v>
      </c>
      <c r="C414" s="13" t="s">
        <v>508</v>
      </c>
      <c r="D414" s="13">
        <v>1</v>
      </c>
      <c r="E414" s="3">
        <f>IF(Quantitytable[[#This Row],[Units]]=0,0,SUMIFS(Quantitytable[NeededQuantity],Quantitytable[Dish],Quantitytable[[#This Row],[Dish]],Quantitytable[[Ingredient ]],Quantitytable[[#This Row],[Ingredient ]]))</f>
        <v>0</v>
      </c>
      <c r="F414" s="3">
        <f>SUMIFS(salestable[Quantity Sold],salestable[Item Name],Quantitytable[[#This Row],[Dish]])</f>
        <v>0</v>
      </c>
      <c r="G414" s="3">
        <f>'Quantity Table'!$E414*'Quantity Table'!$F414</f>
        <v>0</v>
      </c>
      <c r="H414" s="3">
        <f>_xlfn.IFNA(VLOOKUP(Quantitytable[[#This Row],[Ingredient ]],Shoppingtable[[Item Name]:[BALANCE Cash]],5,FALSE),0)*Quantitytable[[#This Row],[NeededQuantity]]</f>
        <v>0.31111111111111112</v>
      </c>
      <c r="I414" s="3">
        <f>SUMIF(Quantitytable[Dish],Quantitytable[[#This Row],[Dish]],Quantitytable[Cost Per Dish Per Item])</f>
        <v>35.339011576381964</v>
      </c>
      <c r="J414" s="18" t="s">
        <v>502</v>
      </c>
    </row>
    <row r="415" spans="2:10" x14ac:dyDescent="0.25">
      <c r="B415" s="13" t="s">
        <v>669</v>
      </c>
      <c r="C415" s="13" t="s">
        <v>303</v>
      </c>
      <c r="D415" s="13">
        <v>1</v>
      </c>
      <c r="E415" s="3">
        <f>IF(Quantitytable[[#This Row],[Units]]=0,0,SUMIFS(Quantitytable[NeededQuantity],Quantitytable[Dish],Quantitytable[[#This Row],[Dish]],Quantitytable[[Ingredient ]],Quantitytable[[#This Row],[Ingredient ]]))</f>
        <v>0</v>
      </c>
      <c r="F415" s="3">
        <f>SUMIFS(salestable[Quantity Sold],salestable[Item Name],Quantitytable[[#This Row],[Dish]])</f>
        <v>0</v>
      </c>
      <c r="G415" s="3">
        <f>'Quantity Table'!$E415*'Quantity Table'!$F415</f>
        <v>0</v>
      </c>
      <c r="H415" s="3">
        <f>_xlfn.IFNA(VLOOKUP(Quantitytable[[#This Row],[Ingredient ]],Shoppingtable[[Item Name]:[BALANCE Cash]],5,FALSE),0)*Quantitytable[[#This Row],[NeededQuantity]]</f>
        <v>0.3</v>
      </c>
      <c r="I415" s="3">
        <f>SUMIF(Quantitytable[Dish],Quantitytable[[#This Row],[Dish]],Quantitytable[Cost Per Dish Per Item])</f>
        <v>35.339011576381964</v>
      </c>
      <c r="J415" s="18" t="s">
        <v>502</v>
      </c>
    </row>
    <row r="416" spans="2:10" x14ac:dyDescent="0.25">
      <c r="B416" s="13" t="s">
        <v>669</v>
      </c>
      <c r="C416" s="13" t="s">
        <v>538</v>
      </c>
      <c r="D416" s="13">
        <v>2</v>
      </c>
      <c r="E416" s="3">
        <f>IF(Quantitytable[[#This Row],[Units]]=0,0,SUMIFS(Quantitytable[NeededQuantity],Quantitytable[Dish],Quantitytable[[#This Row],[Dish]],Quantitytable[[Ingredient ]],Quantitytable[[#This Row],[Ingredient ]]))</f>
        <v>0</v>
      </c>
      <c r="F416" s="3">
        <f>SUMIFS(salestable[Quantity Sold],salestable[Item Name],Quantitytable[[#This Row],[Dish]])</f>
        <v>0</v>
      </c>
      <c r="G416" s="3">
        <f>'Quantity Table'!$E416*'Quantity Table'!$F416</f>
        <v>0</v>
      </c>
      <c r="H416" s="3">
        <f>_xlfn.IFNA(VLOOKUP(Quantitytable[[#This Row],[Ingredient ]],Shoppingtable[[Item Name]:[BALANCE Cash]],5,FALSE),0)*Quantitytable[[#This Row],[NeededQuantity]]</f>
        <v>0.4</v>
      </c>
      <c r="I416" s="3">
        <f>SUMIF(Quantitytable[Dish],Quantitytable[[#This Row],[Dish]],Quantitytable[Cost Per Dish Per Item])</f>
        <v>35.339011576381964</v>
      </c>
      <c r="J416" s="18" t="s">
        <v>502</v>
      </c>
    </row>
    <row r="417" spans="2:10" x14ac:dyDescent="0.25">
      <c r="B417" s="13" t="s">
        <v>669</v>
      </c>
      <c r="C417" s="13" t="s">
        <v>486</v>
      </c>
      <c r="D417" s="13">
        <v>2</v>
      </c>
      <c r="E417" s="3">
        <f>IF(Quantitytable[[#This Row],[Units]]=0,0,SUMIFS(Quantitytable[NeededQuantity],Quantitytable[Dish],Quantitytable[[#This Row],[Dish]],Quantitytable[[Ingredient ]],Quantitytable[[#This Row],[Ingredient ]]))</f>
        <v>0</v>
      </c>
      <c r="F417" s="3">
        <f>SUMIFS(salestable[Quantity Sold],salestable[Item Name],Quantitytable[[#This Row],[Dish]])</f>
        <v>0</v>
      </c>
      <c r="G417" s="3">
        <f>'Quantity Table'!$E417*'Quantity Table'!$F417</f>
        <v>0</v>
      </c>
      <c r="H417" s="3">
        <f>_xlfn.IFNA(VLOOKUP(Quantitytable[[#This Row],[Ingredient ]],Shoppingtable[[Item Name]:[BALANCE Cash]],5,FALSE),0)*Quantitytable[[#This Row],[NeededQuantity]]</f>
        <v>0.72941176470588232</v>
      </c>
      <c r="I417" s="3">
        <f>SUMIF(Quantitytable[Dish],Quantitytable[[#This Row],[Dish]],Quantitytable[Cost Per Dish Per Item])</f>
        <v>35.339011576381964</v>
      </c>
      <c r="J417" s="18" t="s">
        <v>502</v>
      </c>
    </row>
    <row r="418" spans="2:10" x14ac:dyDescent="0.25">
      <c r="B418" s="13" t="s">
        <v>669</v>
      </c>
      <c r="C418" s="13" t="s">
        <v>487</v>
      </c>
      <c r="D418" s="13">
        <v>2</v>
      </c>
      <c r="E418" s="3">
        <f>IF(Quantitytable[[#This Row],[Units]]=0,0,SUMIFS(Quantitytable[NeededQuantity],Quantitytable[Dish],Quantitytable[[#This Row],[Dish]],Quantitytable[[Ingredient ]],Quantitytable[[#This Row],[Ingredient ]]))</f>
        <v>0</v>
      </c>
      <c r="F418" s="3">
        <f>SUMIFS(salestable[Quantity Sold],salestable[Item Name],Quantitytable[[#This Row],[Dish]])</f>
        <v>0</v>
      </c>
      <c r="G418" s="3">
        <f>'Quantity Table'!$E418*'Quantity Table'!$F418</f>
        <v>0</v>
      </c>
      <c r="H418" s="3">
        <f>_xlfn.IFNA(VLOOKUP(Quantitytable[[#This Row],[Ingredient ]],Shoppingtable[[Item Name]:[BALANCE Cash]],5,FALSE),0)*Quantitytable[[#This Row],[NeededQuantity]]</f>
        <v>2.1</v>
      </c>
      <c r="I418" s="3">
        <f>SUMIF(Quantitytable[Dish],Quantitytable[[#This Row],[Dish]],Quantitytable[Cost Per Dish Per Item])</f>
        <v>35.339011576381964</v>
      </c>
      <c r="J418" s="18" t="s">
        <v>502</v>
      </c>
    </row>
    <row r="419" spans="2:10" x14ac:dyDescent="0.25">
      <c r="B419" s="13" t="s">
        <v>669</v>
      </c>
      <c r="C419" s="13" t="s">
        <v>507</v>
      </c>
      <c r="D419" s="13">
        <v>2</v>
      </c>
      <c r="E419" s="3">
        <f>IF(Quantitytable[[#This Row],[Units]]=0,0,SUMIFS(Quantitytable[NeededQuantity],Quantitytable[Dish],Quantitytable[[#This Row],[Dish]],Quantitytable[[Ingredient ]],Quantitytable[[#This Row],[Ingredient ]]))</f>
        <v>0</v>
      </c>
      <c r="F419" s="3">
        <f>SUMIFS(salestable[Quantity Sold],salestable[Item Name],Quantitytable[[#This Row],[Dish]])</f>
        <v>0</v>
      </c>
      <c r="G419" s="3">
        <f>'Quantity Table'!$E419*'Quantity Table'!$F419</f>
        <v>0</v>
      </c>
      <c r="H419" s="3">
        <f>_xlfn.IFNA(VLOOKUP(Quantitytable[[#This Row],[Ingredient ]],Shoppingtable[[Item Name]:[BALANCE Cash]],5,FALSE),0)*Quantitytable[[#This Row],[NeededQuantity]]</f>
        <v>0.22598870056497175</v>
      </c>
      <c r="I419" s="3">
        <f>SUMIF(Quantitytable[Dish],Quantitytable[[#This Row],[Dish]],Quantitytable[Cost Per Dish Per Item])</f>
        <v>35.339011576381964</v>
      </c>
      <c r="J419" s="18" t="s">
        <v>502</v>
      </c>
    </row>
    <row r="420" spans="2:10" x14ac:dyDescent="0.25">
      <c r="B420" s="13" t="s">
        <v>669</v>
      </c>
      <c r="C420" s="13" t="s">
        <v>75</v>
      </c>
      <c r="D420" s="13">
        <v>20</v>
      </c>
      <c r="E420" s="3">
        <f>IF(Quantitytable[[#This Row],[Units]]=0,0,SUMIFS(Quantitytable[NeededQuantity],Quantitytable[Dish],Quantitytable[[#This Row],[Dish]],Quantitytable[[Ingredient ]],Quantitytable[[#This Row],[Ingredient ]]))</f>
        <v>0</v>
      </c>
      <c r="F420" s="3">
        <f>SUMIFS(salestable[Quantity Sold],salestable[Item Name],Quantitytable[[#This Row],[Dish]])</f>
        <v>0</v>
      </c>
      <c r="G420" s="3">
        <f>'Quantity Table'!$E420*'Quantity Table'!$F420</f>
        <v>0</v>
      </c>
      <c r="H420" s="3">
        <f>_xlfn.IFNA(VLOOKUP(Quantitytable[[#This Row],[Ingredient ]],Shoppingtable[[Item Name]:[BALANCE Cash]],5,FALSE),0)*Quantitytable[[#This Row],[NeededQuantity]]</f>
        <v>2.92</v>
      </c>
      <c r="I420" s="3">
        <f>SUMIF(Quantitytable[Dish],Quantitytable[[#This Row],[Dish]],Quantitytable[Cost Per Dish Per Item])</f>
        <v>35.339011576381964</v>
      </c>
      <c r="J420" s="18" t="s">
        <v>502</v>
      </c>
    </row>
    <row r="421" spans="2:10" x14ac:dyDescent="0.25">
      <c r="B421" s="13" t="s">
        <v>669</v>
      </c>
      <c r="C421" s="13" t="s">
        <v>400</v>
      </c>
      <c r="D421" s="13">
        <v>25</v>
      </c>
      <c r="E421" s="3">
        <f>IF(Quantitytable[[#This Row],[Units]]=0,0,SUMIFS(Quantitytable[NeededQuantity],Quantitytable[Dish],Quantitytable[[#This Row],[Dish]],Quantitytable[[Ingredient ]],Quantitytable[[#This Row],[Ingredient ]]))</f>
        <v>0</v>
      </c>
      <c r="F421" s="3">
        <f>SUMIFS(salestable[Quantity Sold],salestable[Item Name],Quantitytable[[#This Row],[Dish]])</f>
        <v>0</v>
      </c>
      <c r="G421" s="3">
        <f>'Quantity Table'!$E421*'Quantity Table'!$F421</f>
        <v>0</v>
      </c>
      <c r="H421" s="3">
        <f>_xlfn.IFNA(VLOOKUP(Quantitytable[[#This Row],[Ingredient ]],Shoppingtable[[Item Name]:[BALANCE Cash]],5,FALSE),0)*Quantitytable[[#This Row],[NeededQuantity]]</f>
        <v>0.75</v>
      </c>
      <c r="I421" s="3">
        <f>SUMIF(Quantitytable[Dish],Quantitytable[[#This Row],[Dish]],Quantitytable[Cost Per Dish Per Item])</f>
        <v>35.339011576381964</v>
      </c>
      <c r="J421" s="18" t="s">
        <v>502</v>
      </c>
    </row>
    <row r="422" spans="2:10" x14ac:dyDescent="0.25">
      <c r="B422" s="13" t="s">
        <v>669</v>
      </c>
      <c r="C422" s="13" t="s">
        <v>399</v>
      </c>
      <c r="D422" s="13">
        <v>60</v>
      </c>
      <c r="E422" s="3">
        <f>IF(Quantitytable[[#This Row],[Units]]=0,0,SUMIFS(Quantitytable[NeededQuantity],Quantitytable[Dish],Quantitytable[[#This Row],[Dish]],Quantitytable[[Ingredient ]],Quantitytable[[#This Row],[Ingredient ]]))</f>
        <v>0</v>
      </c>
      <c r="F422" s="3">
        <f>SUMIFS(salestable[Quantity Sold],salestable[Item Name],Quantitytable[[#This Row],[Dish]])</f>
        <v>0</v>
      </c>
      <c r="G422" s="3">
        <f>'Quantity Table'!$E422*'Quantity Table'!$F422</f>
        <v>0</v>
      </c>
      <c r="H422" s="3">
        <f>_xlfn.IFNA(VLOOKUP(Quantitytable[[#This Row],[Ingredient ]],Shoppingtable[[Item Name]:[BALANCE Cash]],5,FALSE),0)*Quantitytable[[#This Row],[NeededQuantity]]</f>
        <v>2.4900000000000002</v>
      </c>
      <c r="I422" s="3">
        <f>SUMIF(Quantitytable[Dish],Quantitytable[[#This Row],[Dish]],Quantitytable[Cost Per Dish Per Item])</f>
        <v>35.339011576381964</v>
      </c>
      <c r="J422" s="18" t="s">
        <v>502</v>
      </c>
    </row>
    <row r="423" spans="2:10" x14ac:dyDescent="0.25">
      <c r="B423" s="13" t="s">
        <v>669</v>
      </c>
      <c r="C423" s="13" t="s">
        <v>600</v>
      </c>
      <c r="D423" s="13">
        <v>150</v>
      </c>
      <c r="E423" s="3">
        <f>IF(Quantitytable[[#This Row],[Units]]=0,0,SUMIFS(Quantitytable[NeededQuantity],Quantitytable[Dish],Quantitytable[[#This Row],[Dish]],Quantitytable[[Ingredient ]],Quantitytable[[#This Row],[Ingredient ]]))</f>
        <v>0</v>
      </c>
      <c r="F423" s="3">
        <f>SUMIFS(salestable[Quantity Sold],salestable[Item Name],Quantitytable[[#This Row],[Dish]])</f>
        <v>0</v>
      </c>
      <c r="G423" s="3">
        <f>'Quantity Table'!$E423*'Quantity Table'!$F423</f>
        <v>0</v>
      </c>
      <c r="H423" s="3">
        <f>_xlfn.IFNA(VLOOKUP(Quantitytable[[#This Row],[Ingredient ]],Shoppingtable[[Item Name]:[BALANCE Cash]],5,FALSE),0)*Quantitytable[[#This Row],[NeededQuantity]]</f>
        <v>13.3125</v>
      </c>
      <c r="I423" s="3">
        <f>SUMIF(Quantitytable[Dish],Quantitytable[[#This Row],[Dish]],Quantitytable[Cost Per Dish Per Item])</f>
        <v>35.339011576381964</v>
      </c>
      <c r="J423" s="18" t="s">
        <v>502</v>
      </c>
    </row>
    <row r="424" spans="2:10" x14ac:dyDescent="0.25">
      <c r="B424" s="13" t="s">
        <v>669</v>
      </c>
      <c r="C424" s="13" t="s">
        <v>89</v>
      </c>
      <c r="D424" s="13">
        <v>125</v>
      </c>
      <c r="E424" s="3">
        <f>IF(Quantitytable[[#This Row],[Units]]=0,0,SUMIFS(Quantitytable[NeededQuantity],Quantitytable[Dish],Quantitytable[[#This Row],[Dish]],Quantitytable[[Ingredient ]],Quantitytable[[#This Row],[Ingredient ]]))</f>
        <v>0</v>
      </c>
      <c r="F424" s="3">
        <f>SUMIFS(salestable[Quantity Sold],salestable[Item Name],Quantitytable[[#This Row],[Dish]])</f>
        <v>0</v>
      </c>
      <c r="G424" s="3">
        <f>'Quantity Table'!$E424*'Quantity Table'!$F424</f>
        <v>0</v>
      </c>
      <c r="H424" s="3">
        <f>_xlfn.IFNA(VLOOKUP(Quantitytable[[#This Row],[Ingredient ]],Shoppingtable[[Item Name]:[BALANCE Cash]],5,FALSE),0)*Quantitytable[[#This Row],[NeededQuantity]]</f>
        <v>7.5</v>
      </c>
      <c r="I424" s="3">
        <f>SUMIF(Quantitytable[Dish],Quantitytable[[#This Row],[Dish]],Quantitytable[Cost Per Dish Per Item])</f>
        <v>35.339011576381964</v>
      </c>
      <c r="J424" s="18" t="s">
        <v>502</v>
      </c>
    </row>
    <row r="425" spans="2:10" x14ac:dyDescent="0.25">
      <c r="B425" s="13" t="s">
        <v>669</v>
      </c>
      <c r="C425" s="13" t="s">
        <v>44</v>
      </c>
      <c r="D425" s="13">
        <v>140</v>
      </c>
      <c r="E425" s="3">
        <f>IF(Quantitytable[[#This Row],[Units]]=0,0,SUMIFS(Quantitytable[NeededQuantity],Quantitytable[Dish],Quantitytable[[#This Row],[Dish]],Quantitytable[[Ingredient ]],Quantitytable[[#This Row],[Ingredient ]]))</f>
        <v>0</v>
      </c>
      <c r="F425" s="3">
        <f>SUMIFS(salestable[Quantity Sold],salestable[Item Name],Quantitytable[[#This Row],[Dish]])</f>
        <v>0</v>
      </c>
      <c r="G425" s="3">
        <f>'Quantity Table'!$E425*'Quantity Table'!$F425</f>
        <v>0</v>
      </c>
      <c r="H425" s="3">
        <f>_xlfn.IFNA(VLOOKUP(Quantitytable[[#This Row],[Ingredient ]],Shoppingtable[[Item Name]:[BALANCE Cash]],5,FALSE),0)*Quantitytable[[#This Row],[NeededQuantity]]</f>
        <v>4</v>
      </c>
      <c r="I425" s="3">
        <f>SUMIF(Quantitytable[Dish],Quantitytable[[#This Row],[Dish]],Quantitytable[Cost Per Dish Per Item])</f>
        <v>35.339011576381964</v>
      </c>
      <c r="J425" s="18" t="s">
        <v>502</v>
      </c>
    </row>
    <row r="426" spans="2:10" x14ac:dyDescent="0.25">
      <c r="B426" s="13" t="s">
        <v>621</v>
      </c>
      <c r="C426" s="13" t="s">
        <v>45</v>
      </c>
      <c r="D426" s="13">
        <v>2</v>
      </c>
      <c r="E426" s="3">
        <f>IF(Quantitytable[[#This Row],[Units]]=0,0,SUMIFS(Quantitytable[NeededQuantity],Quantitytable[Dish],Quantitytable[[#This Row],[Dish]],Quantitytable[[Ingredient ]],Quantitytable[[#This Row],[Ingredient ]]))</f>
        <v>0</v>
      </c>
      <c r="F426" s="3">
        <f>SUMIFS(salestable[Quantity Sold],salestable[Item Name],Quantitytable[[#This Row],[Dish]])</f>
        <v>0</v>
      </c>
      <c r="G426" s="3">
        <f>'Quantity Table'!$E426*'Quantity Table'!$F426</f>
        <v>0</v>
      </c>
      <c r="H426" s="3">
        <f>_xlfn.IFNA(VLOOKUP(Quantitytable[[#This Row],[Ingredient ]],Shoppingtable[[Item Name]:[BALANCE Cash]],5,FALSE),0)*Quantitytable[[#This Row],[NeededQuantity]]</f>
        <v>14</v>
      </c>
      <c r="I426" s="3">
        <f>SUMIF(Quantitytable[Dish],Quantitytable[[#This Row],[Dish]],Quantitytable[Cost Per Dish Per Item])</f>
        <v>35.946176470588235</v>
      </c>
      <c r="J426" s="18" t="s">
        <v>502</v>
      </c>
    </row>
    <row r="427" spans="2:10" x14ac:dyDescent="0.25">
      <c r="B427" s="13" t="s">
        <v>621</v>
      </c>
      <c r="C427" s="13" t="s">
        <v>486</v>
      </c>
      <c r="D427" s="13">
        <v>30</v>
      </c>
      <c r="E427" s="3">
        <f>IF(Quantitytable[[#This Row],[Units]]=0,0,SUMIFS(Quantitytable[NeededQuantity],Quantitytable[Dish],Quantitytable[[#This Row],[Dish]],Quantitytable[[Ingredient ]],Quantitytable[[#This Row],[Ingredient ]]))</f>
        <v>0</v>
      </c>
      <c r="F427" s="3">
        <f>SUMIFS(salestable[Quantity Sold],salestable[Item Name],Quantitytable[[#This Row],[Dish]])</f>
        <v>0</v>
      </c>
      <c r="G427" s="3">
        <f>'Quantity Table'!$E427*'Quantity Table'!$F427</f>
        <v>0</v>
      </c>
      <c r="H427" s="3">
        <f>_xlfn.IFNA(VLOOKUP(Quantitytable[[#This Row],[Ingredient ]],Shoppingtable[[Item Name]:[BALANCE Cash]],5,FALSE),0)*Quantitytable[[#This Row],[NeededQuantity]]</f>
        <v>10.941176470588236</v>
      </c>
      <c r="I427" s="3">
        <f>SUMIF(Quantitytable[Dish],Quantitytable[[#This Row],[Dish]],Quantitytable[Cost Per Dish Per Item])</f>
        <v>35.946176470588235</v>
      </c>
      <c r="J427" s="18" t="s">
        <v>502</v>
      </c>
    </row>
    <row r="428" spans="2:10" x14ac:dyDescent="0.25">
      <c r="B428" s="13" t="s">
        <v>621</v>
      </c>
      <c r="C428" s="13" t="s">
        <v>77</v>
      </c>
      <c r="D428" s="13">
        <v>50</v>
      </c>
      <c r="E428" s="3">
        <f>IF(Quantitytable[[#This Row],[Units]]=0,0,SUMIFS(Quantitytable[NeededQuantity],Quantitytable[Dish],Quantitytable[[#This Row],[Dish]],Quantitytable[[Ingredient ]],Quantitytable[[#This Row],[Ingredient ]]))</f>
        <v>0</v>
      </c>
      <c r="F428" s="3">
        <f>SUMIFS(salestable[Quantity Sold],salestable[Item Name],Quantitytable[[#This Row],[Dish]])</f>
        <v>0</v>
      </c>
      <c r="G428" s="3">
        <f>'Quantity Table'!$E428*'Quantity Table'!$F428</f>
        <v>0</v>
      </c>
      <c r="H428" s="3">
        <f>_xlfn.IFNA(VLOOKUP(Quantitytable[[#This Row],[Ingredient ]],Shoppingtable[[Item Name]:[BALANCE Cash]],5,FALSE),0)*Quantitytable[[#This Row],[NeededQuantity]]</f>
        <v>2.0750000000000002</v>
      </c>
      <c r="I428" s="3">
        <f>SUMIF(Quantitytable[Dish],Quantitytable[[#This Row],[Dish]],Quantitytable[Cost Per Dish Per Item])</f>
        <v>35.946176470588235</v>
      </c>
      <c r="J428" s="18" t="s">
        <v>502</v>
      </c>
    </row>
    <row r="429" spans="2:10" x14ac:dyDescent="0.25">
      <c r="B429" s="13" t="s">
        <v>621</v>
      </c>
      <c r="C429" s="13" t="s">
        <v>84</v>
      </c>
      <c r="D429" s="13">
        <v>4</v>
      </c>
      <c r="E429" s="3">
        <f>IF(Quantitytable[[#This Row],[Units]]=0,0,SUMIFS(Quantitytable[NeededQuantity],Quantitytable[Dish],Quantitytable[[#This Row],[Dish]],Quantitytable[[Ingredient ]],Quantitytable[[#This Row],[Ingredient ]]))</f>
        <v>0</v>
      </c>
      <c r="F429" s="3">
        <f>SUMIFS(salestable[Quantity Sold],salestable[Item Name],Quantitytable[[#This Row],[Dish]])</f>
        <v>0</v>
      </c>
      <c r="G429" s="3">
        <f>'Quantity Table'!$E429*'Quantity Table'!$F429</f>
        <v>0</v>
      </c>
      <c r="H429" s="3">
        <f>_xlfn.IFNA(VLOOKUP(Quantitytable[[#This Row],[Ingredient ]],Shoppingtable[[Item Name]:[BALANCE Cash]],5,FALSE),0)*Quantitytable[[#This Row],[NeededQuantity]]</f>
        <v>2.8</v>
      </c>
      <c r="I429" s="3">
        <f>SUMIF(Quantitytable[Dish],Quantitytable[[#This Row],[Dish]],Quantitytable[Cost Per Dish Per Item])</f>
        <v>35.946176470588235</v>
      </c>
      <c r="J429" s="18" t="s">
        <v>502</v>
      </c>
    </row>
    <row r="430" spans="2:10" x14ac:dyDescent="0.25">
      <c r="B430" s="13" t="s">
        <v>621</v>
      </c>
      <c r="C430" s="13" t="s">
        <v>490</v>
      </c>
      <c r="D430" s="13">
        <v>5</v>
      </c>
      <c r="E430" s="3">
        <f>IF(Quantitytable[[#This Row],[Units]]=0,0,SUMIFS(Quantitytable[NeededQuantity],Quantitytable[Dish],Quantitytable[[#This Row],[Dish]],Quantitytable[[Ingredient ]],Quantitytable[[#This Row],[Ingredient ]]))</f>
        <v>0</v>
      </c>
      <c r="F430" s="3">
        <f>SUMIFS(salestable[Quantity Sold],salestable[Item Name],Quantitytable[[#This Row],[Dish]])</f>
        <v>0</v>
      </c>
      <c r="G430" s="3">
        <f>'Quantity Table'!$E430*'Quantity Table'!$F430</f>
        <v>0</v>
      </c>
      <c r="H430" s="3">
        <f>_xlfn.IFNA(VLOOKUP(Quantitytable[[#This Row],[Ingredient ]],Shoppingtable[[Item Name]:[BALANCE Cash]],5,FALSE),0)*Quantitytable[[#This Row],[NeededQuantity]]</f>
        <v>0</v>
      </c>
      <c r="I430" s="3">
        <f>SUMIF(Quantitytable[Dish],Quantitytable[[#This Row],[Dish]],Quantitytable[Cost Per Dish Per Item])</f>
        <v>35.946176470588235</v>
      </c>
      <c r="J430" s="18" t="s">
        <v>502</v>
      </c>
    </row>
    <row r="431" spans="2:10" x14ac:dyDescent="0.25">
      <c r="B431" s="13" t="s">
        <v>621</v>
      </c>
      <c r="C431" s="13" t="s">
        <v>418</v>
      </c>
      <c r="D431" s="13">
        <v>5</v>
      </c>
      <c r="E431" s="3">
        <f>IF(Quantitytable[[#This Row],[Units]]=0,0,SUMIFS(Quantitytable[NeededQuantity],Quantitytable[Dish],Quantitytable[[#This Row],[Dish]],Quantitytable[[Ingredient ]],Quantitytable[[#This Row],[Ingredient ]]))</f>
        <v>0</v>
      </c>
      <c r="F431" s="3">
        <f>SUMIFS(salestable[Quantity Sold],salestable[Item Name],Quantitytable[[#This Row],[Dish]])</f>
        <v>0</v>
      </c>
      <c r="G431" s="3">
        <f>'Quantity Table'!$E431*'Quantity Table'!$F431</f>
        <v>0</v>
      </c>
      <c r="H431" s="3">
        <f>_xlfn.IFNA(VLOOKUP(Quantitytable[[#This Row],[Ingredient ]],Shoppingtable[[Item Name]:[BALANCE Cash]],5,FALSE),0)*Quantitytable[[#This Row],[NeededQuantity]]</f>
        <v>0.75</v>
      </c>
      <c r="I431" s="3">
        <f>SUMIF(Quantitytable[Dish],Quantitytable[[#This Row],[Dish]],Quantitytable[Cost Per Dish Per Item])</f>
        <v>35.946176470588235</v>
      </c>
      <c r="J431" s="18" t="s">
        <v>502</v>
      </c>
    </row>
    <row r="432" spans="2:10" x14ac:dyDescent="0.25">
      <c r="B432" s="13" t="s">
        <v>621</v>
      </c>
      <c r="C432" s="13" t="s">
        <v>432</v>
      </c>
      <c r="D432" s="13">
        <v>3</v>
      </c>
      <c r="E432" s="3">
        <f>IF(Quantitytable[[#This Row],[Units]]=0,0,SUMIFS(Quantitytable[NeededQuantity],Quantitytable[Dish],Quantitytable[[#This Row],[Dish]],Quantitytable[[Ingredient ]],Quantitytable[[#This Row],[Ingredient ]]))</f>
        <v>0</v>
      </c>
      <c r="F432" s="3">
        <f>SUMIFS(salestable[Quantity Sold],salestable[Item Name],Quantitytable[[#This Row],[Dish]])</f>
        <v>0</v>
      </c>
      <c r="G432" s="3">
        <f>'Quantity Table'!$E432*'Quantity Table'!$F432</f>
        <v>0</v>
      </c>
      <c r="H432" s="3">
        <f>_xlfn.IFNA(VLOOKUP(Quantitytable[[#This Row],[Ingredient ]],Shoppingtable[[Item Name]:[BALANCE Cash]],5,FALSE),0)*Quantitytable[[#This Row],[NeededQuantity]]</f>
        <v>0.89999999999999991</v>
      </c>
      <c r="I432" s="3">
        <f>SUMIF(Quantitytable[Dish],Quantitytable[[#This Row],[Dish]],Quantitytable[Cost Per Dish Per Item])</f>
        <v>35.946176470588235</v>
      </c>
      <c r="J432" s="18" t="s">
        <v>502</v>
      </c>
    </row>
    <row r="433" spans="2:10" x14ac:dyDescent="0.25">
      <c r="B433" s="13" t="s">
        <v>621</v>
      </c>
      <c r="C433" s="13" t="s">
        <v>75</v>
      </c>
      <c r="D433" s="13">
        <v>30</v>
      </c>
      <c r="E433" s="3">
        <f>IF(Quantitytable[[#This Row],[Units]]=0,0,SUMIFS(Quantitytable[NeededQuantity],Quantitytable[Dish],Quantitytable[[#This Row],[Dish]],Quantitytable[[Ingredient ]],Quantitytable[[#This Row],[Ingredient ]]))</f>
        <v>0</v>
      </c>
      <c r="F433" s="3">
        <f>SUMIFS(salestable[Quantity Sold],salestable[Item Name],Quantitytable[[#This Row],[Dish]])</f>
        <v>0</v>
      </c>
      <c r="G433" s="3">
        <f>'Quantity Table'!$E433*'Quantity Table'!$F433</f>
        <v>0</v>
      </c>
      <c r="H433" s="3">
        <f>_xlfn.IFNA(VLOOKUP(Quantitytable[[#This Row],[Ingredient ]],Shoppingtable[[Item Name]:[BALANCE Cash]],5,FALSE),0)*Quantitytable[[#This Row],[NeededQuantity]]</f>
        <v>4.38</v>
      </c>
      <c r="I433" s="3">
        <f>SUMIF(Quantitytable[Dish],Quantitytable[[#This Row],[Dish]],Quantitytable[Cost Per Dish Per Item])</f>
        <v>35.946176470588235</v>
      </c>
      <c r="J433" s="18" t="s">
        <v>502</v>
      </c>
    </row>
    <row r="434" spans="2:10" x14ac:dyDescent="0.25">
      <c r="B434" s="13" t="s">
        <v>621</v>
      </c>
      <c r="C434" s="13" t="s">
        <v>96</v>
      </c>
      <c r="D434" s="13">
        <v>2</v>
      </c>
      <c r="E434" s="3">
        <f>IF(Quantitytable[[#This Row],[Units]]=0,0,SUMIFS(Quantitytable[NeededQuantity],Quantitytable[Dish],Quantitytable[[#This Row],[Dish]],Quantitytable[[Ingredient ]],Quantitytable[[#This Row],[Ingredient ]]))</f>
        <v>0</v>
      </c>
      <c r="F434" s="3">
        <f>SUMIFS(salestable[Quantity Sold],salestable[Item Name],Quantitytable[[#This Row],[Dish]])</f>
        <v>0</v>
      </c>
      <c r="G434" s="3">
        <f>'Quantity Table'!$E434*'Quantity Table'!$F434</f>
        <v>0</v>
      </c>
      <c r="H434" s="3">
        <f>_xlfn.IFNA(VLOOKUP(Quantitytable[[#This Row],[Ingredient ]],Shoppingtable[[Item Name]:[BALANCE Cash]],5,FALSE),0)*Quantitytable[[#This Row],[NeededQuantity]]</f>
        <v>0.1</v>
      </c>
      <c r="I434" s="3">
        <f>SUMIF(Quantitytable[Dish],Quantitytable[[#This Row],[Dish]],Quantitytable[Cost Per Dish Per Item])</f>
        <v>35.946176470588235</v>
      </c>
      <c r="J434" s="18" t="s">
        <v>502</v>
      </c>
    </row>
    <row r="435" spans="2:10" x14ac:dyDescent="0.25">
      <c r="B435" s="13" t="s">
        <v>67</v>
      </c>
      <c r="C435" s="13" t="s">
        <v>498</v>
      </c>
      <c r="D435" s="13">
        <v>10</v>
      </c>
      <c r="E435" s="3">
        <f>IF(Quantitytable[[#This Row],[Units]]=0,0,SUMIFS(Quantitytable[NeededQuantity],Quantitytable[Dish],Quantitytable[[#This Row],[Dish]],Quantitytable[[Ingredient ]],Quantitytable[[#This Row],[Ingredient ]]))</f>
        <v>0</v>
      </c>
      <c r="F435" s="3">
        <f>SUMIFS(salestable[Quantity Sold],salestable[Item Name],Quantitytable[[#This Row],[Dish]])</f>
        <v>0</v>
      </c>
      <c r="G435" s="3">
        <f>'Quantity Table'!$E435*'Quantity Table'!$F435</f>
        <v>0</v>
      </c>
      <c r="H435" s="3">
        <f>_xlfn.IFNA(VLOOKUP(Quantitytable[[#This Row],[Ingredient ]],Shoppingtable[[Item Name]:[BALANCE Cash]],5,FALSE),0)*Quantitytable[[#This Row],[NeededQuantity]]</f>
        <v>0.5</v>
      </c>
      <c r="I435" s="3">
        <f>SUMIF(Quantitytable[Dish],Quantitytable[[#This Row],[Dish]],Quantitytable[Cost Per Dish Per Item])</f>
        <v>8.1</v>
      </c>
      <c r="J435" s="18" t="s">
        <v>502</v>
      </c>
    </row>
    <row r="436" spans="2:10" x14ac:dyDescent="0.25">
      <c r="B436" s="13" t="s">
        <v>67</v>
      </c>
      <c r="C436" s="13" t="s">
        <v>67</v>
      </c>
      <c r="D436" s="13">
        <v>100</v>
      </c>
      <c r="E436" s="3">
        <f>IF(Quantitytable[[#This Row],[Units]]=0,0,SUMIFS(Quantitytable[NeededQuantity],Quantitytable[Dish],Quantitytable[[#This Row],[Dish]],Quantitytable[[Ingredient ]],Quantitytable[[#This Row],[Ingredient ]]))</f>
        <v>0</v>
      </c>
      <c r="F436" s="3">
        <f>SUMIFS(salestable[Quantity Sold],salestable[Item Name],Quantitytable[[#This Row],[Dish]])</f>
        <v>0</v>
      </c>
      <c r="G436" s="3">
        <f>'Quantity Table'!$E436*'Quantity Table'!$F436</f>
        <v>0</v>
      </c>
      <c r="H436" s="3">
        <f>_xlfn.IFNA(VLOOKUP(Quantitytable[[#This Row],[Ingredient ]],Shoppingtable[[Item Name]:[BALANCE Cash]],5,FALSE),0)*Quantitytable[[#This Row],[NeededQuantity]]</f>
        <v>7.6</v>
      </c>
      <c r="I436" s="3">
        <f>SUMIF(Quantitytable[Dish],Quantitytable[[#This Row],[Dish]],Quantitytable[Cost Per Dish Per Item])</f>
        <v>8.1</v>
      </c>
      <c r="J436" s="18" t="s">
        <v>502</v>
      </c>
    </row>
    <row r="437" spans="2:10" x14ac:dyDescent="0.25">
      <c r="B437" s="13" t="s">
        <v>132</v>
      </c>
      <c r="C437" s="13" t="s">
        <v>407</v>
      </c>
      <c r="D437" s="13">
        <v>60</v>
      </c>
      <c r="E437" s="3">
        <f>IF(Quantitytable[[#This Row],[Units]]=0,0,SUMIFS(Quantitytable[NeededQuantity],Quantitytable[Dish],Quantitytable[[#This Row],[Dish]],Quantitytable[[Ingredient ]],Quantitytable[[#This Row],[Ingredient ]]))</f>
        <v>0</v>
      </c>
      <c r="F437" s="3">
        <f>SUMIFS(salestable[Quantity Sold],salestable[Item Name],Quantitytable[[#This Row],[Dish]])</f>
        <v>0</v>
      </c>
      <c r="G437" s="3">
        <f>'Quantity Table'!$E437*'Quantity Table'!$F437</f>
        <v>0</v>
      </c>
      <c r="H437" s="3">
        <f>_xlfn.IFNA(VLOOKUP(Quantitytable[[#This Row],[Ingredient ]],Shoppingtable[[Item Name]:[BALANCE Cash]],5,FALSE),0)*Quantitytable[[#This Row],[NeededQuantity]]</f>
        <v>1.7142857142857142</v>
      </c>
      <c r="I437" s="3">
        <f>SUMIF(Quantitytable[Dish],Quantitytable[[#This Row],[Dish]],Quantitytable[Cost Per Dish Per Item])</f>
        <v>21.354853479853478</v>
      </c>
      <c r="J437" s="18" t="s">
        <v>502</v>
      </c>
    </row>
    <row r="438" spans="2:10" x14ac:dyDescent="0.25">
      <c r="B438" s="13" t="s">
        <v>132</v>
      </c>
      <c r="C438" s="13" t="s">
        <v>576</v>
      </c>
      <c r="D438" s="13">
        <v>50</v>
      </c>
      <c r="E438" s="3">
        <f>IF(Quantitytable[[#This Row],[Units]]=0,0,SUMIFS(Quantitytable[NeededQuantity],Quantitytable[Dish],Quantitytable[[#This Row],[Dish]],Quantitytable[[Ingredient ]],Quantitytable[[#This Row],[Ingredient ]]))</f>
        <v>0</v>
      </c>
      <c r="F438" s="3">
        <f>SUMIFS(salestable[Quantity Sold],salestable[Item Name],Quantitytable[[#This Row],[Dish]])</f>
        <v>0</v>
      </c>
      <c r="G438" s="3">
        <f>'Quantity Table'!$E438*'Quantity Table'!$F438</f>
        <v>0</v>
      </c>
      <c r="H438" s="3">
        <f>_xlfn.IFNA(VLOOKUP(Quantitytable[[#This Row],[Ingredient ]],Shoppingtable[[Item Name]:[BALANCE Cash]],5,FALSE),0)*Quantitytable[[#This Row],[NeededQuantity]]</f>
        <v>2.9166666666666665</v>
      </c>
      <c r="I438" s="3">
        <f>SUMIF(Quantitytable[Dish],Quantitytable[[#This Row],[Dish]],Quantitytable[Cost Per Dish Per Item])</f>
        <v>21.354853479853478</v>
      </c>
      <c r="J438" s="18" t="s">
        <v>502</v>
      </c>
    </row>
    <row r="439" spans="2:10" x14ac:dyDescent="0.25">
      <c r="B439" s="13" t="s">
        <v>132</v>
      </c>
      <c r="C439" s="13" t="s">
        <v>577</v>
      </c>
      <c r="D439" s="13">
        <v>50</v>
      </c>
      <c r="E439" s="3">
        <f>IF(Quantitytable[[#This Row],[Units]]=0,0,SUMIFS(Quantitytable[NeededQuantity],Quantitytable[Dish],Quantitytable[[#This Row],[Dish]],Quantitytable[[Ingredient ]],Quantitytable[[#This Row],[Ingredient ]]))</f>
        <v>0</v>
      </c>
      <c r="F439" s="3">
        <f>SUMIFS(salestable[Quantity Sold],salestable[Item Name],Quantitytable[[#This Row],[Dish]])</f>
        <v>0</v>
      </c>
      <c r="G439" s="3">
        <f>'Quantity Table'!$E439*'Quantity Table'!$F439</f>
        <v>0</v>
      </c>
      <c r="H439" s="3">
        <f>_xlfn.IFNA(VLOOKUP(Quantitytable[[#This Row],[Ingredient ]],Shoppingtable[[Item Name]:[BALANCE Cash]],5,FALSE),0)*Quantitytable[[#This Row],[NeededQuantity]]</f>
        <v>2.8846153846153846</v>
      </c>
      <c r="I439" s="3">
        <f>SUMIF(Quantitytable[Dish],Quantitytable[[#This Row],[Dish]],Quantitytable[Cost Per Dish Per Item])</f>
        <v>21.354853479853478</v>
      </c>
      <c r="J439" s="18" t="s">
        <v>502</v>
      </c>
    </row>
    <row r="440" spans="2:10" x14ac:dyDescent="0.25">
      <c r="B440" s="13" t="s">
        <v>132</v>
      </c>
      <c r="C440" s="13" t="s">
        <v>98</v>
      </c>
      <c r="D440" s="13">
        <v>150</v>
      </c>
      <c r="E440" s="3">
        <f>IF(Quantitytable[[#This Row],[Units]]=0,0,SUMIFS(Quantitytable[NeededQuantity],Quantitytable[Dish],Quantitytable[[#This Row],[Dish]],Quantitytable[[Ingredient ]],Quantitytable[[#This Row],[Ingredient ]]))</f>
        <v>0</v>
      </c>
      <c r="F440" s="3">
        <f>SUMIFS(salestable[Quantity Sold],salestable[Item Name],Quantitytable[[#This Row],[Dish]])</f>
        <v>0</v>
      </c>
      <c r="G440" s="3">
        <f>'Quantity Table'!$E440*'Quantity Table'!$F440</f>
        <v>0</v>
      </c>
      <c r="H440" s="3">
        <f>_xlfn.IFNA(VLOOKUP(Quantitytable[[#This Row],[Ingredient ]],Shoppingtable[[Item Name]:[BALANCE Cash]],5,FALSE),0)*Quantitytable[[#This Row],[NeededQuantity]]</f>
        <v>8.125</v>
      </c>
      <c r="I440" s="3">
        <f>SUMIF(Quantitytable[Dish],Quantitytable[[#This Row],[Dish]],Quantitytable[Cost Per Dish Per Item])</f>
        <v>21.354853479853478</v>
      </c>
      <c r="J440" s="18" t="s">
        <v>502</v>
      </c>
    </row>
    <row r="441" spans="2:10" x14ac:dyDescent="0.25">
      <c r="B441" s="13" t="s">
        <v>132</v>
      </c>
      <c r="C441" s="13" t="s">
        <v>407</v>
      </c>
      <c r="D441" s="13">
        <v>200</v>
      </c>
      <c r="E441" s="3">
        <f>IF(Quantitytable[[#This Row],[Units]]=0,0,SUMIFS(Quantitytable[NeededQuantity],Quantitytable[Dish],Quantitytable[[#This Row],[Dish]],Quantitytable[[Ingredient ]],Quantitytable[[#This Row],[Ingredient ]]))</f>
        <v>0</v>
      </c>
      <c r="F441" s="3">
        <f>SUMIFS(salestable[Quantity Sold],salestable[Item Name],Quantitytable[[#This Row],[Dish]])</f>
        <v>0</v>
      </c>
      <c r="G441" s="3">
        <f>'Quantity Table'!$E441*'Quantity Table'!$F441</f>
        <v>0</v>
      </c>
      <c r="H441" s="3">
        <f>_xlfn.IFNA(VLOOKUP(Quantitytable[[#This Row],[Ingredient ]],Shoppingtable[[Item Name]:[BALANCE Cash]],5,FALSE),0)*Quantitytable[[#This Row],[NeededQuantity]]</f>
        <v>5.7142857142857144</v>
      </c>
      <c r="I441" s="3">
        <f>SUMIF(Quantitytable[Dish],Quantitytable[[#This Row],[Dish]],Quantitytable[Cost Per Dish Per Item])</f>
        <v>21.354853479853478</v>
      </c>
      <c r="J441" s="18" t="s">
        <v>502</v>
      </c>
    </row>
    <row r="442" spans="2:10" x14ac:dyDescent="0.25">
      <c r="B442" s="13" t="s">
        <v>647</v>
      </c>
      <c r="C442" s="13" t="s">
        <v>163</v>
      </c>
      <c r="D442" s="13">
        <v>100</v>
      </c>
      <c r="E442" s="3">
        <f>IF(Quantitytable[[#This Row],[Units]]=0,0,SUMIFS(Quantitytable[NeededQuantity],Quantitytable[Dish],Quantitytable[[#This Row],[Dish]],Quantitytable[[Ingredient ]],Quantitytable[[#This Row],[Ingredient ]]))</f>
        <v>0</v>
      </c>
      <c r="F442" s="3">
        <f>SUMIFS(salestable[Quantity Sold],salestable[Item Name],Quantitytable[[#This Row],[Dish]])</f>
        <v>0</v>
      </c>
      <c r="G442" s="3">
        <f>'Quantity Table'!$E442*'Quantity Table'!$F442</f>
        <v>0</v>
      </c>
      <c r="H442" s="3">
        <f>_xlfn.IFNA(VLOOKUP(Quantitytable[[#This Row],[Ingredient ]],Shoppingtable[[Item Name]:[BALANCE Cash]],5,FALSE),0)*Quantitytable[[#This Row],[NeededQuantity]]</f>
        <v>22.08</v>
      </c>
      <c r="I442" s="3">
        <f>SUMIF(Quantitytable[Dish],Quantitytable[[#This Row],[Dish]],Quantitytable[Cost Per Dish Per Item])</f>
        <v>23.794285714285714</v>
      </c>
      <c r="J442" s="18" t="s">
        <v>502</v>
      </c>
    </row>
    <row r="443" spans="2:10" x14ac:dyDescent="0.25">
      <c r="B443" s="13" t="s">
        <v>647</v>
      </c>
      <c r="C443" s="13" t="s">
        <v>407</v>
      </c>
      <c r="D443" s="13">
        <v>60</v>
      </c>
      <c r="E443" s="3">
        <f>IF(Quantitytable[[#This Row],[Units]]=0,0,SUMIFS(Quantitytable[NeededQuantity],Quantitytable[Dish],Quantitytable[[#This Row],[Dish]],Quantitytable[[Ingredient ]],Quantitytable[[#This Row],[Ingredient ]]))</f>
        <v>0</v>
      </c>
      <c r="F443" s="3">
        <f>SUMIFS(salestable[Quantity Sold],salestable[Item Name],Quantitytable[[#This Row],[Dish]])</f>
        <v>0</v>
      </c>
      <c r="G443" s="3">
        <f>'Quantity Table'!$E443*'Quantity Table'!$F443</f>
        <v>0</v>
      </c>
      <c r="H443" s="3">
        <f>_xlfn.IFNA(VLOOKUP(Quantitytable[[#This Row],[Ingredient ]],Shoppingtable[[Item Name]:[BALANCE Cash]],5,FALSE),0)*Quantitytable[[#This Row],[NeededQuantity]]</f>
        <v>1.7142857142857142</v>
      </c>
      <c r="I443" s="3">
        <f>SUMIF(Quantitytable[Dish],Quantitytable[[#This Row],[Dish]],Quantitytable[Cost Per Dish Per Item])</f>
        <v>23.794285714285714</v>
      </c>
      <c r="J443" s="18" t="s">
        <v>502</v>
      </c>
    </row>
    <row r="444" spans="2:10" x14ac:dyDescent="0.25">
      <c r="B444" s="13" t="s">
        <v>670</v>
      </c>
      <c r="C444" s="13" t="s">
        <v>600</v>
      </c>
      <c r="D444" s="13">
        <v>150</v>
      </c>
      <c r="E444" s="3">
        <f>IF(Quantitytable[[#This Row],[Units]]=0,0,SUMIFS(Quantitytable[NeededQuantity],Quantitytable[Dish],Quantitytable[[#This Row],[Dish]],Quantitytable[[Ingredient ]],Quantitytable[[#This Row],[Ingredient ]]))</f>
        <v>0</v>
      </c>
      <c r="F444" s="3">
        <f>SUMIFS(salestable[Quantity Sold],salestable[Item Name],Quantitytable[[#This Row],[Dish]])</f>
        <v>0</v>
      </c>
      <c r="G444" s="3">
        <f>'Quantity Table'!$E444*'Quantity Table'!$F444</f>
        <v>0</v>
      </c>
      <c r="H444" s="3">
        <f>_xlfn.IFNA(VLOOKUP(Quantitytable[[#This Row],[Ingredient ]],Shoppingtable[[Item Name]:[BALANCE Cash]],5,FALSE),0)*Quantitytable[[#This Row],[NeededQuantity]]</f>
        <v>13.3125</v>
      </c>
      <c r="I444" s="3">
        <f>SUMIF(Quantitytable[Dish],Quantitytable[[#This Row],[Dish]],Quantitytable[Cost Per Dish Per Item])</f>
        <v>15.026785714285714</v>
      </c>
      <c r="J444" s="18" t="s">
        <v>502</v>
      </c>
    </row>
    <row r="445" spans="2:10" x14ac:dyDescent="0.25">
      <c r="B445" s="13" t="s">
        <v>670</v>
      </c>
      <c r="C445" s="13" t="s">
        <v>407</v>
      </c>
      <c r="D445" s="13">
        <v>60</v>
      </c>
      <c r="E445" s="3">
        <f>IF(Quantitytable[[#This Row],[Units]]=0,0,SUMIFS(Quantitytable[NeededQuantity],Quantitytable[Dish],Quantitytable[[#This Row],[Dish]],Quantitytable[[Ingredient ]],Quantitytable[[#This Row],[Ingredient ]]))</f>
        <v>0</v>
      </c>
      <c r="F445" s="3">
        <f>SUMIFS(salestable[Quantity Sold],salestable[Item Name],Quantitytable[[#This Row],[Dish]])</f>
        <v>0</v>
      </c>
      <c r="G445" s="3">
        <f>'Quantity Table'!$E445*'Quantity Table'!$F445</f>
        <v>0</v>
      </c>
      <c r="H445" s="3">
        <f>_xlfn.IFNA(VLOOKUP(Quantitytable[[#This Row],[Ingredient ]],Shoppingtable[[Item Name]:[BALANCE Cash]],5,FALSE),0)*Quantitytable[[#This Row],[NeededQuantity]]</f>
        <v>1.7142857142857142</v>
      </c>
      <c r="I445" s="3">
        <f>SUMIF(Quantitytable[Dish],Quantitytable[[#This Row],[Dish]],Quantitytable[Cost Per Dish Per Item])</f>
        <v>15.026785714285714</v>
      </c>
      <c r="J445" s="18" t="s">
        <v>502</v>
      </c>
    </row>
    <row r="446" spans="2:10" x14ac:dyDescent="0.25">
      <c r="B446" s="13" t="s">
        <v>250</v>
      </c>
      <c r="C446" s="13" t="s">
        <v>418</v>
      </c>
      <c r="D446" s="13">
        <v>2</v>
      </c>
      <c r="E446" s="3">
        <f>IF(Quantitytable[[#This Row],[Units]]=0,0,SUMIFS(Quantitytable[NeededQuantity],Quantitytable[Dish],Quantitytable[[#This Row],[Dish]],Quantitytable[[Ingredient ]],Quantitytable[[#This Row],[Ingredient ]]))</f>
        <v>0</v>
      </c>
      <c r="F446" s="3">
        <f>SUMIFS(salestable[Quantity Sold],salestable[Item Name],Quantitytable[[#This Row],[Dish]])</f>
        <v>0</v>
      </c>
      <c r="G446" s="3">
        <f>'Quantity Table'!$E446*'Quantity Table'!$F446</f>
        <v>0</v>
      </c>
      <c r="H446" s="3">
        <f>_xlfn.IFNA(VLOOKUP(Quantitytable[[#This Row],[Ingredient ]],Shoppingtable[[Item Name]:[BALANCE Cash]],5,FALSE),0)*Quantitytable[[#This Row],[NeededQuantity]]</f>
        <v>0.3</v>
      </c>
      <c r="I446" s="3">
        <f>SUMIF(Quantitytable[Dish],Quantitytable[[#This Row],[Dish]],Quantitytable[Cost Per Dish Per Item])</f>
        <v>12.344285714285714</v>
      </c>
      <c r="J446" s="18" t="s">
        <v>502</v>
      </c>
    </row>
    <row r="447" spans="2:10" x14ac:dyDescent="0.25">
      <c r="B447" s="13" t="s">
        <v>250</v>
      </c>
      <c r="C447" s="13" t="s">
        <v>478</v>
      </c>
      <c r="D447" s="13">
        <v>3</v>
      </c>
      <c r="E447" s="3">
        <f>IF(Quantitytable[[#This Row],[Units]]=0,0,SUMIFS(Quantitytable[NeededQuantity],Quantitytable[Dish],Quantitytable[[#This Row],[Dish]],Quantitytable[[Ingredient ]],Quantitytable[[#This Row],[Ingredient ]]))</f>
        <v>0</v>
      </c>
      <c r="F447" s="3">
        <f>SUMIFS(salestable[Quantity Sold],salestable[Item Name],Quantitytable[[#This Row],[Dish]])</f>
        <v>0</v>
      </c>
      <c r="G447" s="3">
        <f>'Quantity Table'!$E447*'Quantity Table'!$F447</f>
        <v>0</v>
      </c>
      <c r="H447" s="3">
        <f>_xlfn.IFNA(VLOOKUP(Quantitytable[[#This Row],[Ingredient ]],Shoppingtable[[Item Name]:[BALANCE Cash]],5,FALSE),0)*Quantitytable[[#This Row],[NeededQuantity]]</f>
        <v>0.75</v>
      </c>
      <c r="I447" s="3">
        <f>SUMIF(Quantitytable[Dish],Quantitytable[[#This Row],[Dish]],Quantitytable[Cost Per Dish Per Item])</f>
        <v>12.344285714285714</v>
      </c>
      <c r="J447" s="18" t="s">
        <v>502</v>
      </c>
    </row>
    <row r="448" spans="2:10" x14ac:dyDescent="0.25">
      <c r="B448" s="13" t="s">
        <v>250</v>
      </c>
      <c r="C448" s="13" t="s">
        <v>489</v>
      </c>
      <c r="D448" s="13">
        <v>10</v>
      </c>
      <c r="E448" s="3">
        <f>IF(Quantitytable[[#This Row],[Units]]=0,0,SUMIFS(Quantitytable[NeededQuantity],Quantitytable[Dish],Quantitytable[[#This Row],[Dish]],Quantitytable[[Ingredient ]],Quantitytable[[#This Row],[Ingredient ]]))</f>
        <v>0</v>
      </c>
      <c r="F448" s="3">
        <f>SUMIFS(salestable[Quantity Sold],salestable[Item Name],Quantitytable[[#This Row],[Dish]])</f>
        <v>0</v>
      </c>
      <c r="G448" s="3">
        <f>'Quantity Table'!$E448*'Quantity Table'!$F448</f>
        <v>0</v>
      </c>
      <c r="H448" s="3">
        <f>_xlfn.IFNA(VLOOKUP(Quantitytable[[#This Row],[Ingredient ]],Shoppingtable[[Item Name]:[BALANCE Cash]],5,FALSE),0)*Quantitytable[[#This Row],[NeededQuantity]]</f>
        <v>1.2</v>
      </c>
      <c r="I448" s="3">
        <f>SUMIF(Quantitytable[Dish],Quantitytable[[#This Row],[Dish]],Quantitytable[Cost Per Dish Per Item])</f>
        <v>12.344285714285714</v>
      </c>
      <c r="J448" s="18" t="s">
        <v>502</v>
      </c>
    </row>
    <row r="449" spans="2:12" x14ac:dyDescent="0.25">
      <c r="B449" s="13" t="s">
        <v>250</v>
      </c>
      <c r="C449" s="13" t="s">
        <v>413</v>
      </c>
      <c r="D449" s="13">
        <v>30</v>
      </c>
      <c r="E449" s="3">
        <f>IF(Quantitytable[[#This Row],[Units]]=0,0,SUMIFS(Quantitytable[NeededQuantity],Quantitytable[Dish],Quantitytable[[#This Row],[Dish]],Quantitytable[[Ingredient ]],Quantitytable[[#This Row],[Ingredient ]]))</f>
        <v>0</v>
      </c>
      <c r="F449" s="3">
        <f>SUMIFS(salestable[Quantity Sold],salestable[Item Name],Quantitytable[[#This Row],[Dish]])</f>
        <v>0</v>
      </c>
      <c r="G449" s="3">
        <f>'Quantity Table'!$E449*'Quantity Table'!$F449</f>
        <v>0</v>
      </c>
      <c r="H449" s="3">
        <f>_xlfn.IFNA(VLOOKUP(Quantitytable[[#This Row],[Ingredient ]],Shoppingtable[[Item Name]:[BALANCE Cash]],5,FALSE),0)*Quantitytable[[#This Row],[NeededQuantity]]</f>
        <v>4.38</v>
      </c>
      <c r="I449" s="3">
        <f>SUMIF(Quantitytable[Dish],Quantitytable[[#This Row],[Dish]],Quantitytable[Cost Per Dish Per Item])</f>
        <v>12.344285714285714</v>
      </c>
      <c r="J449" s="18" t="s">
        <v>502</v>
      </c>
    </row>
    <row r="450" spans="2:12" x14ac:dyDescent="0.25">
      <c r="B450" s="13" t="s">
        <v>250</v>
      </c>
      <c r="C450" s="13" t="s">
        <v>44</v>
      </c>
      <c r="D450" s="13">
        <v>200</v>
      </c>
      <c r="E450" s="3">
        <f>IF(Quantitytable[[#This Row],[Units]]=0,0,SUMIFS(Quantitytable[NeededQuantity],Quantitytable[Dish],Quantitytable[[#This Row],[Dish]],Quantitytable[[Ingredient ]],Quantitytable[[#This Row],[Ingredient ]]))</f>
        <v>0</v>
      </c>
      <c r="F450" s="3">
        <f>SUMIFS(salestable[Quantity Sold],salestable[Item Name],Quantitytable[[#This Row],[Dish]])</f>
        <v>0</v>
      </c>
      <c r="G450" s="3">
        <f>'Quantity Table'!$E450*'Quantity Table'!$F450</f>
        <v>0</v>
      </c>
      <c r="H450" s="3">
        <f>_xlfn.IFNA(VLOOKUP(Quantitytable[[#This Row],[Ingredient ]],Shoppingtable[[Item Name]:[BALANCE Cash]],5,FALSE),0)*Quantitytable[[#This Row],[NeededQuantity]]</f>
        <v>5.7142857142857144</v>
      </c>
      <c r="I450" s="3">
        <f>SUMIF(Quantitytable[Dish],Quantitytable[[#This Row],[Dish]],Quantitytable[Cost Per Dish Per Item])</f>
        <v>12.344285714285714</v>
      </c>
      <c r="J450" s="18" t="s">
        <v>502</v>
      </c>
    </row>
    <row r="451" spans="2:12" x14ac:dyDescent="0.25">
      <c r="B451" s="13" t="s">
        <v>624</v>
      </c>
      <c r="C451" s="13" t="s">
        <v>622</v>
      </c>
      <c r="D451" s="13">
        <v>2</v>
      </c>
      <c r="E451" s="3">
        <f>IF(Quantitytable[[#This Row],[Units]]=0,0,SUMIFS(Quantitytable[NeededQuantity],Quantitytable[Dish],Quantitytable[[#This Row],[Dish]],Quantitytable[[Ingredient ]],Quantitytable[[#This Row],[Ingredient ]]))</f>
        <v>0</v>
      </c>
      <c r="F451" s="3">
        <f>SUMIFS(salestable[Quantity Sold],salestable[Item Name],Quantitytable[[#This Row],[Dish]])</f>
        <v>0</v>
      </c>
      <c r="G451" s="3">
        <f>'Quantity Table'!$E451*'Quantity Table'!$F451</f>
        <v>0</v>
      </c>
      <c r="H451" s="3">
        <f>_xlfn.IFNA(VLOOKUP(Quantitytable[[#This Row],[Ingredient ]],Shoppingtable[[Item Name]:[BALANCE Cash]],5,FALSE),0)*Quantitytable[[#This Row],[NeededQuantity]]</f>
        <v>5.7142857142857144</v>
      </c>
      <c r="I451" s="3">
        <f>SUMIF(Quantitytable[Dish],Quantitytable[[#This Row],[Dish]],Quantitytable[Cost Per Dish Per Item])</f>
        <v>29.677320396366639</v>
      </c>
      <c r="J451" s="18" t="s">
        <v>502</v>
      </c>
    </row>
    <row r="452" spans="2:12" x14ac:dyDescent="0.25">
      <c r="B452" s="13" t="s">
        <v>624</v>
      </c>
      <c r="C452" s="13" t="s">
        <v>45</v>
      </c>
      <c r="D452" s="13">
        <v>2</v>
      </c>
      <c r="E452" s="3">
        <f>IF(Quantitytable[[#This Row],[Units]]=0,0,SUMIFS(Quantitytable[NeededQuantity],Quantitytable[Dish],Quantitytable[[#This Row],[Dish]],Quantitytable[[Ingredient ]],Quantitytable[[#This Row],[Ingredient ]]))</f>
        <v>0</v>
      </c>
      <c r="F452" s="3">
        <f>SUMIFS(salestable[Quantity Sold],salestable[Item Name],Quantitytable[[#This Row],[Dish]])</f>
        <v>0</v>
      </c>
      <c r="G452" s="3">
        <f>'Quantity Table'!$E452*'Quantity Table'!$F452</f>
        <v>0</v>
      </c>
      <c r="H452" s="3">
        <f>_xlfn.IFNA(VLOOKUP(Quantitytable[[#This Row],[Ingredient ]],Shoppingtable[[Item Name]:[BALANCE Cash]],5,FALSE),0)*Quantitytable[[#This Row],[NeededQuantity]]</f>
        <v>14</v>
      </c>
      <c r="I452" s="3">
        <f>SUMIF(Quantitytable[Dish],Quantitytable[[#This Row],[Dish]],Quantitytable[Cost Per Dish Per Item])</f>
        <v>29.677320396366639</v>
      </c>
      <c r="J452" s="18" t="s">
        <v>502</v>
      </c>
    </row>
    <row r="453" spans="2:12" x14ac:dyDescent="0.25">
      <c r="B453" s="13" t="s">
        <v>624</v>
      </c>
      <c r="C453" s="13" t="s">
        <v>75</v>
      </c>
      <c r="D453" s="13">
        <v>35</v>
      </c>
      <c r="E453" s="3">
        <f>IF(Quantitytable[[#This Row],[Units]]=0,0,SUMIFS(Quantitytable[NeededQuantity],Quantitytable[Dish],Quantitytable[[#This Row],[Dish]],Quantitytable[[Ingredient ]],Quantitytable[[#This Row],[Ingredient ]]))</f>
        <v>0</v>
      </c>
      <c r="F453" s="3">
        <f>SUMIFS(salestable[Quantity Sold],salestable[Item Name],Quantitytable[[#This Row],[Dish]])</f>
        <v>0</v>
      </c>
      <c r="G453" s="3">
        <f>'Quantity Table'!$E453*'Quantity Table'!$F453</f>
        <v>0</v>
      </c>
      <c r="H453" s="3">
        <f>_xlfn.IFNA(VLOOKUP(Quantitytable[[#This Row],[Ingredient ]],Shoppingtable[[Item Name]:[BALANCE Cash]],5,FALSE),0)*Quantitytable[[#This Row],[NeededQuantity]]</f>
        <v>5.1099999999999994</v>
      </c>
      <c r="I453" s="3">
        <f>SUMIF(Quantitytable[Dish],Quantitytable[[#This Row],[Dish]],Quantitytable[Cost Per Dish Per Item])</f>
        <v>29.677320396366639</v>
      </c>
      <c r="J453" s="18" t="s">
        <v>502</v>
      </c>
    </row>
    <row r="454" spans="2:12" x14ac:dyDescent="0.25">
      <c r="B454" s="13" t="s">
        <v>624</v>
      </c>
      <c r="C454" s="13" t="s">
        <v>77</v>
      </c>
      <c r="D454" s="13">
        <v>50</v>
      </c>
      <c r="E454" s="3">
        <f>IF(Quantitytable[[#This Row],[Units]]=0,0,SUMIFS(Quantitytable[NeededQuantity],Quantitytable[Dish],Quantitytable[[#This Row],[Dish]],Quantitytable[[Ingredient ]],Quantitytable[[#This Row],[Ingredient ]]))</f>
        <v>0</v>
      </c>
      <c r="F454" s="3">
        <f>SUMIFS(salestable[Quantity Sold],salestable[Item Name],Quantitytable[[#This Row],[Dish]])</f>
        <v>0</v>
      </c>
      <c r="G454" s="3">
        <f>'Quantity Table'!$E454*'Quantity Table'!$F454</f>
        <v>0</v>
      </c>
      <c r="H454" s="3">
        <f>_xlfn.IFNA(VLOOKUP(Quantitytable[[#This Row],[Ingredient ]],Shoppingtable[[Item Name]:[BALANCE Cash]],5,FALSE),0)*Quantitytable[[#This Row],[NeededQuantity]]</f>
        <v>2.0750000000000002</v>
      </c>
      <c r="I454" s="3">
        <f>SUMIF(Quantitytable[Dish],Quantitytable[[#This Row],[Dish]],Quantitytable[Cost Per Dish Per Item])</f>
        <v>29.677320396366639</v>
      </c>
      <c r="J454" s="18" t="s">
        <v>502</v>
      </c>
    </row>
    <row r="455" spans="2:12" x14ac:dyDescent="0.25">
      <c r="B455" s="13" t="s">
        <v>624</v>
      </c>
      <c r="C455" s="13" t="s">
        <v>472</v>
      </c>
      <c r="D455" s="13">
        <v>5</v>
      </c>
      <c r="E455" s="3">
        <f>IF(Quantitytable[[#This Row],[Units]]=0,0,SUMIFS(Quantitytable[NeededQuantity],Quantitytable[Dish],Quantitytable[[#This Row],[Dish]],Quantitytable[[Ingredient ]],Quantitytable[[#This Row],[Ingredient ]]))</f>
        <v>0</v>
      </c>
      <c r="F455" s="3">
        <f>SUMIFS(salestable[Quantity Sold],salestable[Item Name],Quantitytable[[#This Row],[Dish]])</f>
        <v>0</v>
      </c>
      <c r="G455" s="3">
        <f>'Quantity Table'!$E455*'Quantity Table'!$F455</f>
        <v>0</v>
      </c>
      <c r="H455" s="3">
        <f>_xlfn.IFNA(VLOOKUP(Quantitytable[[#This Row],[Ingredient ]],Shoppingtable[[Item Name]:[BALANCE Cash]],5,FALSE),0)*Quantitytable[[#This Row],[NeededQuantity]]</f>
        <v>0.57803468208092479</v>
      </c>
      <c r="I455" s="3">
        <f>SUMIF(Quantitytable[Dish],Quantitytable[[#This Row],[Dish]],Quantitytable[Cost Per Dish Per Item])</f>
        <v>29.677320396366639</v>
      </c>
      <c r="J455" s="18" t="s">
        <v>502</v>
      </c>
    </row>
    <row r="456" spans="2:12" x14ac:dyDescent="0.25">
      <c r="B456" s="13" t="s">
        <v>624</v>
      </c>
      <c r="C456" s="13" t="s">
        <v>84</v>
      </c>
      <c r="D456" s="13">
        <v>3</v>
      </c>
      <c r="E456" s="3">
        <f>IF(Quantitytable[[#This Row],[Units]]=0,0,SUMIFS(Quantitytable[NeededQuantity],Quantitytable[Dish],Quantitytable[[#This Row],[Dish]],Quantitytable[[Ingredient ]],Quantitytable[[#This Row],[Ingredient ]]))</f>
        <v>0</v>
      </c>
      <c r="F456" s="3">
        <f>SUMIFS(salestable[Quantity Sold],salestable[Item Name],Quantitytable[[#This Row],[Dish]])</f>
        <v>0</v>
      </c>
      <c r="G456" s="3">
        <f>'Quantity Table'!$E456*'Quantity Table'!$F456</f>
        <v>0</v>
      </c>
      <c r="H456" s="3">
        <f>_xlfn.IFNA(VLOOKUP(Quantitytable[[#This Row],[Ingredient ]],Shoppingtable[[Item Name]:[BALANCE Cash]],5,FALSE),0)*Quantitytable[[#This Row],[NeededQuantity]]</f>
        <v>2.0999999999999996</v>
      </c>
      <c r="I456" s="3">
        <f>SUMIF(Quantitytable[Dish],Quantitytable[[#This Row],[Dish]],Quantitytable[Cost Per Dish Per Item])</f>
        <v>29.677320396366639</v>
      </c>
      <c r="J456" s="18" t="s">
        <v>502</v>
      </c>
      <c r="L456" s="3"/>
    </row>
    <row r="457" spans="2:12" x14ac:dyDescent="0.25">
      <c r="B457" s="13" t="s">
        <v>624</v>
      </c>
      <c r="C457" s="13" t="s">
        <v>96</v>
      </c>
      <c r="D457" s="13">
        <v>2</v>
      </c>
      <c r="E457" s="3">
        <f>IF(Quantitytable[[#This Row],[Units]]=0,0,SUMIFS(Quantitytable[NeededQuantity],Quantitytable[Dish],Quantitytable[[#This Row],[Dish]],Quantitytable[[Ingredient ]],Quantitytable[[#This Row],[Ingredient ]]))</f>
        <v>0</v>
      </c>
      <c r="F457" s="3">
        <f>SUMIFS(salestable[Quantity Sold],salestable[Item Name],Quantitytable[[#This Row],[Dish]])</f>
        <v>0</v>
      </c>
      <c r="G457" s="3">
        <f>'Quantity Table'!$E457*'Quantity Table'!$F457</f>
        <v>0</v>
      </c>
      <c r="H457" s="3">
        <f>_xlfn.IFNA(VLOOKUP(Quantitytable[[#This Row],[Ingredient ]],Shoppingtable[[Item Name]:[BALANCE Cash]],5,FALSE),0)*Quantitytable[[#This Row],[NeededQuantity]]</f>
        <v>0.1</v>
      </c>
      <c r="I457" s="3">
        <f>SUMIF(Quantitytable[Dish],Quantitytable[[#This Row],[Dish]],Quantitytable[Cost Per Dish Per Item])</f>
        <v>29.677320396366639</v>
      </c>
      <c r="J457" s="18" t="s">
        <v>502</v>
      </c>
    </row>
    <row r="458" spans="2:12" x14ac:dyDescent="0.25">
      <c r="B458" s="13" t="s">
        <v>214</v>
      </c>
      <c r="C458" s="13" t="s">
        <v>418</v>
      </c>
      <c r="D458" s="13">
        <v>4</v>
      </c>
      <c r="E458" s="3">
        <f>IF(Quantitytable[[#This Row],[Units]]=0,0,SUMIFS(Quantitytable[NeededQuantity],Quantitytable[Dish],Quantitytable[[#This Row],[Dish]],Quantitytable[[Ingredient ]],Quantitytable[[#This Row],[Ingredient ]]))</f>
        <v>0</v>
      </c>
      <c r="F458" s="3">
        <f>SUMIFS(salestable[Quantity Sold],salestable[Item Name],Quantitytable[[#This Row],[Dish]])</f>
        <v>0</v>
      </c>
      <c r="G458" s="3">
        <f>'Quantity Table'!$E458*'Quantity Table'!$F458</f>
        <v>0</v>
      </c>
      <c r="H458" s="3">
        <f>_xlfn.IFNA(VLOOKUP(Quantitytable[[#This Row],[Ingredient ]],Shoppingtable[[Item Name]:[BALANCE Cash]],5,FALSE),0)*Quantitytable[[#This Row],[NeededQuantity]]</f>
        <v>0.6</v>
      </c>
      <c r="I458" s="3">
        <f>SUMIF(Quantitytable[Dish],Quantitytable[[#This Row],[Dish]],Quantitytable[Cost Per Dish Per Item])</f>
        <v>24.248901098901101</v>
      </c>
      <c r="J458" s="18" t="s">
        <v>502</v>
      </c>
    </row>
    <row r="459" spans="2:12" x14ac:dyDescent="0.25">
      <c r="B459" s="13" t="s">
        <v>214</v>
      </c>
      <c r="C459" s="13" t="s">
        <v>75</v>
      </c>
      <c r="D459" s="13">
        <v>25</v>
      </c>
      <c r="E459" s="3">
        <f>IF(Quantitytable[[#This Row],[Units]]=0,0,SUMIFS(Quantitytable[NeededQuantity],Quantitytable[Dish],Quantitytable[[#This Row],[Dish]],Quantitytable[[Ingredient ]],Quantitytable[[#This Row],[Ingredient ]]))</f>
        <v>0</v>
      </c>
      <c r="F459" s="3">
        <f>SUMIFS(salestable[Quantity Sold],salestable[Item Name],Quantitytable[[#This Row],[Dish]])</f>
        <v>0</v>
      </c>
      <c r="G459" s="3">
        <f>'Quantity Table'!$E459*'Quantity Table'!$F459</f>
        <v>0</v>
      </c>
      <c r="H459" s="3">
        <f>_xlfn.IFNA(VLOOKUP(Quantitytable[[#This Row],[Ingredient ]],Shoppingtable[[Item Name]:[BALANCE Cash]],5,FALSE),0)*Quantitytable[[#This Row],[NeededQuantity]]</f>
        <v>3.65</v>
      </c>
      <c r="I459" s="3">
        <f>SUMIF(Quantitytable[Dish],Quantitytable[[#This Row],[Dish]],Quantitytable[Cost Per Dish Per Item])</f>
        <v>24.248901098901101</v>
      </c>
      <c r="J459" s="18" t="s">
        <v>502</v>
      </c>
    </row>
    <row r="460" spans="2:12" x14ac:dyDescent="0.25">
      <c r="B460" s="13" t="s">
        <v>214</v>
      </c>
      <c r="C460" s="13" t="s">
        <v>577</v>
      </c>
      <c r="D460" s="13">
        <v>50</v>
      </c>
      <c r="E460" s="3">
        <f>IF(Quantitytable[[#This Row],[Units]]=0,0,SUMIFS(Quantitytable[NeededQuantity],Quantitytable[Dish],Quantitytable[[#This Row],[Dish]],Quantitytable[[Ingredient ]],Quantitytable[[#This Row],[Ingredient ]]))</f>
        <v>0</v>
      </c>
      <c r="F460" s="3">
        <f>SUMIFS(salestable[Quantity Sold],salestable[Item Name],Quantitytable[[#This Row],[Dish]])</f>
        <v>0</v>
      </c>
      <c r="G460" s="3">
        <f>'Quantity Table'!$E460*'Quantity Table'!$F460</f>
        <v>0</v>
      </c>
      <c r="H460" s="3">
        <f>_xlfn.IFNA(VLOOKUP(Quantitytable[[#This Row],[Ingredient ]],Shoppingtable[[Item Name]:[BALANCE Cash]],5,FALSE),0)*Quantitytable[[#This Row],[NeededQuantity]]</f>
        <v>2.8846153846153846</v>
      </c>
      <c r="I460" s="3">
        <f>SUMIF(Quantitytable[Dish],Quantitytable[[#This Row],[Dish]],Quantitytable[Cost Per Dish Per Item])</f>
        <v>24.248901098901101</v>
      </c>
      <c r="J460" s="18" t="s">
        <v>502</v>
      </c>
    </row>
    <row r="461" spans="2:12" x14ac:dyDescent="0.25">
      <c r="B461" s="13" t="s">
        <v>214</v>
      </c>
      <c r="C461" s="13" t="s">
        <v>576</v>
      </c>
      <c r="D461" s="13">
        <v>50</v>
      </c>
      <c r="E461" s="3">
        <f>IF(Quantitytable[[#This Row],[Units]]=0,0,SUMIFS(Quantitytable[NeededQuantity],Quantitytable[Dish],Quantitytable[[#This Row],[Dish]],Quantitytable[[Ingredient ]],Quantitytable[[#This Row],[Ingredient ]]))</f>
        <v>0</v>
      </c>
      <c r="F461" s="3">
        <f>SUMIFS(salestable[Quantity Sold],salestable[Item Name],Quantitytable[[#This Row],[Dish]])</f>
        <v>0</v>
      </c>
      <c r="G461" s="3">
        <f>'Quantity Table'!$E461*'Quantity Table'!$F461</f>
        <v>0</v>
      </c>
      <c r="H461" s="3">
        <f>_xlfn.IFNA(VLOOKUP(Quantitytable[[#This Row],[Ingredient ]],Shoppingtable[[Item Name]:[BALANCE Cash]],5,FALSE),0)*Quantitytable[[#This Row],[NeededQuantity]]</f>
        <v>2.9166666666666665</v>
      </c>
      <c r="I461" s="3">
        <f>SUMIF(Quantitytable[Dish],Quantitytable[[#This Row],[Dish]],Quantitytable[Cost Per Dish Per Item])</f>
        <v>24.248901098901101</v>
      </c>
      <c r="J461" s="18" t="s">
        <v>502</v>
      </c>
    </row>
    <row r="462" spans="2:12" x14ac:dyDescent="0.25">
      <c r="B462" s="13" t="s">
        <v>214</v>
      </c>
      <c r="C462" s="13" t="s">
        <v>98</v>
      </c>
      <c r="D462" s="13">
        <v>80</v>
      </c>
      <c r="E462" s="3">
        <f>IF(Quantitytable[[#This Row],[Units]]=0,0,SUMIFS(Quantitytable[NeededQuantity],Quantitytable[Dish],Quantitytable[[#This Row],[Dish]],Quantitytable[[Ingredient ]],Quantitytable[[#This Row],[Ingredient ]]))</f>
        <v>0</v>
      </c>
      <c r="F462" s="3">
        <f>SUMIFS(salestable[Quantity Sold],salestable[Item Name],Quantitytable[[#This Row],[Dish]])</f>
        <v>0</v>
      </c>
      <c r="G462" s="3">
        <f>'Quantity Table'!$E462*'Quantity Table'!$F462</f>
        <v>0</v>
      </c>
      <c r="H462" s="3">
        <f>_xlfn.IFNA(VLOOKUP(Quantitytable[[#This Row],[Ingredient ]],Shoppingtable[[Item Name]:[BALANCE Cash]],5,FALSE),0)*Quantitytable[[#This Row],[NeededQuantity]]</f>
        <v>4.3333333333333339</v>
      </c>
      <c r="I462" s="3">
        <f>SUMIF(Quantitytable[Dish],Quantitytable[[#This Row],[Dish]],Quantitytable[Cost Per Dish Per Item])</f>
        <v>24.248901098901101</v>
      </c>
      <c r="J462" s="18" t="s">
        <v>502</v>
      </c>
    </row>
    <row r="463" spans="2:12" x14ac:dyDescent="0.25">
      <c r="B463" s="13" t="s">
        <v>214</v>
      </c>
      <c r="C463" s="13" t="s">
        <v>77</v>
      </c>
      <c r="D463" s="13">
        <v>100</v>
      </c>
      <c r="E463" s="3">
        <f>IF(Quantitytable[[#This Row],[Units]]=0,0,SUMIFS(Quantitytable[NeededQuantity],Quantitytable[Dish],Quantitytable[[#This Row],[Dish]],Quantitytable[[Ingredient ]],Quantitytable[[#This Row],[Ingredient ]]))</f>
        <v>0</v>
      </c>
      <c r="F463" s="3">
        <f>SUMIFS(salestable[Quantity Sold],salestable[Item Name],Quantitytable[[#This Row],[Dish]])</f>
        <v>0</v>
      </c>
      <c r="G463" s="3">
        <f>'Quantity Table'!$E463*'Quantity Table'!$F463</f>
        <v>0</v>
      </c>
      <c r="H463" s="3">
        <f>_xlfn.IFNA(VLOOKUP(Quantitytable[[#This Row],[Ingredient ]],Shoppingtable[[Item Name]:[BALANCE Cash]],5,FALSE),0)*Quantitytable[[#This Row],[NeededQuantity]]</f>
        <v>4.1500000000000004</v>
      </c>
      <c r="I463" s="3">
        <f>SUMIF(Quantitytable[Dish],Quantitytable[[#This Row],[Dish]],Quantitytable[Cost Per Dish Per Item])</f>
        <v>24.248901098901101</v>
      </c>
      <c r="J463" s="18" t="s">
        <v>502</v>
      </c>
    </row>
    <row r="464" spans="2:12" x14ac:dyDescent="0.25">
      <c r="B464" s="13" t="s">
        <v>214</v>
      </c>
      <c r="C464" s="13" t="s">
        <v>44</v>
      </c>
      <c r="D464" s="13">
        <v>200</v>
      </c>
      <c r="E464" s="3">
        <f>IF(Quantitytable[[#This Row],[Units]]=0,0,SUMIFS(Quantitytable[NeededQuantity],Quantitytable[Dish],Quantitytable[[#This Row],[Dish]],Quantitytable[[Ingredient ]],Quantitytable[[#This Row],[Ingredient ]]))</f>
        <v>0</v>
      </c>
      <c r="F464" s="3">
        <f>SUMIFS(salestable[Quantity Sold],salestable[Item Name],Quantitytable[[#This Row],[Dish]])</f>
        <v>0</v>
      </c>
      <c r="G464" s="3">
        <f>'Quantity Table'!$E464*'Quantity Table'!$F464</f>
        <v>0</v>
      </c>
      <c r="H464" s="3">
        <f>_xlfn.IFNA(VLOOKUP(Quantitytable[[#This Row],[Ingredient ]],Shoppingtable[[Item Name]:[BALANCE Cash]],5,FALSE),0)*Quantitytable[[#This Row],[NeededQuantity]]</f>
        <v>5.7142857142857144</v>
      </c>
      <c r="I464" s="3">
        <f>SUMIF(Quantitytable[Dish],Quantitytable[[#This Row],[Dish]],Quantitytable[Cost Per Dish Per Item])</f>
        <v>24.248901098901101</v>
      </c>
      <c r="J464" s="18" t="s">
        <v>502</v>
      </c>
    </row>
    <row r="465" spans="2:10" x14ac:dyDescent="0.25">
      <c r="B465" s="13" t="s">
        <v>648</v>
      </c>
      <c r="C465" s="13" t="s">
        <v>418</v>
      </c>
      <c r="D465" s="13">
        <v>4</v>
      </c>
      <c r="E465" s="3">
        <f>IF(Quantitytable[[#This Row],[Units]]=0,0,SUMIFS(Quantitytable[NeededQuantity],Quantitytable[Dish],Quantitytable[[#This Row],[Dish]],Quantitytable[[Ingredient ]],Quantitytable[[#This Row],[Ingredient ]]))</f>
        <v>0</v>
      </c>
      <c r="F465" s="3">
        <f>SUMIFS(salestable[Quantity Sold],salestable[Item Name],Quantitytable[[#This Row],[Dish]])</f>
        <v>0</v>
      </c>
      <c r="G465" s="3">
        <f>'Quantity Table'!$E465*'Quantity Table'!$F465</f>
        <v>0</v>
      </c>
      <c r="H465" s="3">
        <f>_xlfn.IFNA(VLOOKUP(Quantitytable[[#This Row],[Ingredient ]],Shoppingtable[[Item Name]:[BALANCE Cash]],5,FALSE),0)*Quantitytable[[#This Row],[NeededQuantity]]</f>
        <v>0.6</v>
      </c>
      <c r="I465" s="3">
        <f>SUMIF(Quantitytable[Dish],Quantitytable[[#This Row],[Dish]],Quantitytable[Cost Per Dish Per Item])</f>
        <v>36.194285714285712</v>
      </c>
      <c r="J465" s="18" t="s">
        <v>502</v>
      </c>
    </row>
    <row r="466" spans="2:10" x14ac:dyDescent="0.25">
      <c r="B466" s="13" t="s">
        <v>648</v>
      </c>
      <c r="C466" s="13" t="s">
        <v>75</v>
      </c>
      <c r="D466" s="13">
        <v>25</v>
      </c>
      <c r="E466" s="3">
        <f>IF(Quantitytable[[#This Row],[Units]]=0,0,SUMIFS(Quantitytable[NeededQuantity],Quantitytable[Dish],Quantitytable[[#This Row],[Dish]],Quantitytable[[Ingredient ]],Quantitytable[[#This Row],[Ingredient ]]))</f>
        <v>0</v>
      </c>
      <c r="F466" s="3">
        <f>SUMIFS(salestable[Quantity Sold],salestable[Item Name],Quantitytable[[#This Row],[Dish]])</f>
        <v>0</v>
      </c>
      <c r="G466" s="3">
        <f>'Quantity Table'!$E466*'Quantity Table'!$F466</f>
        <v>0</v>
      </c>
      <c r="H466" s="3">
        <f>_xlfn.IFNA(VLOOKUP(Quantitytable[[#This Row],[Ingredient ]],Shoppingtable[[Item Name]:[BALANCE Cash]],5,FALSE),0)*Quantitytable[[#This Row],[NeededQuantity]]</f>
        <v>3.65</v>
      </c>
      <c r="I466" s="3">
        <f>SUMIF(Quantitytable[Dish],Quantitytable[[#This Row],[Dish]],Quantitytable[Cost Per Dish Per Item])</f>
        <v>36.194285714285712</v>
      </c>
      <c r="J466" s="18" t="s">
        <v>502</v>
      </c>
    </row>
    <row r="467" spans="2:10" x14ac:dyDescent="0.25">
      <c r="B467" s="13" t="s">
        <v>648</v>
      </c>
      <c r="C467" s="13" t="s">
        <v>163</v>
      </c>
      <c r="D467" s="13">
        <v>100</v>
      </c>
      <c r="E467" s="3">
        <f>IF(Quantitytable[[#This Row],[Units]]=0,0,SUMIFS(Quantitytable[NeededQuantity],Quantitytable[Dish],Quantitytable[[#This Row],[Dish]],Quantitytable[[Ingredient ]],Quantitytable[[#This Row],[Ingredient ]]))</f>
        <v>0</v>
      </c>
      <c r="F467" s="3">
        <f>SUMIFS(salestable[Quantity Sold],salestable[Item Name],Quantitytable[[#This Row],[Dish]])</f>
        <v>0</v>
      </c>
      <c r="G467" s="3">
        <f>'Quantity Table'!$E467*'Quantity Table'!$F467</f>
        <v>0</v>
      </c>
      <c r="H467" s="3">
        <f>_xlfn.IFNA(VLOOKUP(Quantitytable[[#This Row],[Ingredient ]],Shoppingtable[[Item Name]:[BALANCE Cash]],5,FALSE),0)*Quantitytable[[#This Row],[NeededQuantity]]</f>
        <v>22.08</v>
      </c>
      <c r="I467" s="3">
        <f>SUMIF(Quantitytable[Dish],Quantitytable[[#This Row],[Dish]],Quantitytable[Cost Per Dish Per Item])</f>
        <v>36.194285714285712</v>
      </c>
      <c r="J467" s="18" t="s">
        <v>502</v>
      </c>
    </row>
    <row r="468" spans="2:10" x14ac:dyDescent="0.25">
      <c r="B468" s="13" t="s">
        <v>648</v>
      </c>
      <c r="C468" s="13" t="s">
        <v>77</v>
      </c>
      <c r="D468" s="13">
        <v>100</v>
      </c>
      <c r="E468" s="3">
        <f>IF(Quantitytable[[#This Row],[Units]]=0,0,SUMIFS(Quantitytable[NeededQuantity],Quantitytable[Dish],Quantitytable[[#This Row],[Dish]],Quantitytable[[Ingredient ]],Quantitytable[[#This Row],[Ingredient ]]))</f>
        <v>0</v>
      </c>
      <c r="F468" s="3">
        <f>SUMIFS(salestable[Quantity Sold],salestable[Item Name],Quantitytable[[#This Row],[Dish]])</f>
        <v>0</v>
      </c>
      <c r="G468" s="3">
        <f>'Quantity Table'!$E468*'Quantity Table'!$F468</f>
        <v>0</v>
      </c>
      <c r="H468" s="3">
        <f>_xlfn.IFNA(VLOOKUP(Quantitytable[[#This Row],[Ingredient ]],Shoppingtable[[Item Name]:[BALANCE Cash]],5,FALSE),0)*Quantitytable[[#This Row],[NeededQuantity]]</f>
        <v>4.1500000000000004</v>
      </c>
      <c r="I468" s="3">
        <f>SUMIF(Quantitytable[Dish],Quantitytable[[#This Row],[Dish]],Quantitytable[Cost Per Dish Per Item])</f>
        <v>36.194285714285712</v>
      </c>
      <c r="J468" s="18" t="s">
        <v>502</v>
      </c>
    </row>
    <row r="469" spans="2:10" x14ac:dyDescent="0.25">
      <c r="B469" s="13" t="s">
        <v>648</v>
      </c>
      <c r="C469" s="13" t="s">
        <v>44</v>
      </c>
      <c r="D469" s="13">
        <v>200</v>
      </c>
      <c r="E469" s="3">
        <f>IF(Quantitytable[[#This Row],[Units]]=0,0,SUMIFS(Quantitytable[NeededQuantity],Quantitytable[Dish],Quantitytable[[#This Row],[Dish]],Quantitytable[[Ingredient ]],Quantitytable[[#This Row],[Ingredient ]]))</f>
        <v>0</v>
      </c>
      <c r="F469" s="3">
        <f>SUMIFS(salestable[Quantity Sold],salestable[Item Name],Quantitytable[[#This Row],[Dish]])</f>
        <v>0</v>
      </c>
      <c r="G469" s="3">
        <f>'Quantity Table'!$E469*'Quantity Table'!$F469</f>
        <v>0</v>
      </c>
      <c r="H469" s="3">
        <f>_xlfn.IFNA(VLOOKUP(Quantitytable[[#This Row],[Ingredient ]],Shoppingtable[[Item Name]:[BALANCE Cash]],5,FALSE),0)*Quantitytable[[#This Row],[NeededQuantity]]</f>
        <v>5.7142857142857144</v>
      </c>
      <c r="I469" s="3">
        <f>SUMIF(Quantitytable[Dish],Quantitytable[[#This Row],[Dish]],Quantitytable[Cost Per Dish Per Item])</f>
        <v>36.194285714285712</v>
      </c>
      <c r="J469" s="18" t="s">
        <v>502</v>
      </c>
    </row>
    <row r="470" spans="2:10" x14ac:dyDescent="0.25">
      <c r="B470" s="13" t="s">
        <v>671</v>
      </c>
      <c r="C470" s="13" t="s">
        <v>418</v>
      </c>
      <c r="D470" s="13">
        <v>4</v>
      </c>
      <c r="E470" s="3">
        <f>IF(Quantitytable[[#This Row],[Units]]=0,0,SUMIFS(Quantitytable[NeededQuantity],Quantitytable[Dish],Quantitytable[[#This Row],[Dish]],Quantitytable[[Ingredient ]],Quantitytable[[#This Row],[Ingredient ]]))</f>
        <v>0</v>
      </c>
      <c r="F470" s="3">
        <f>SUMIFS(salestable[Quantity Sold],salestable[Item Name],Quantitytable[[#This Row],[Dish]])</f>
        <v>0</v>
      </c>
      <c r="G470" s="3">
        <f>'Quantity Table'!$E470*'Quantity Table'!$F470</f>
        <v>0</v>
      </c>
      <c r="H470" s="3">
        <f>_xlfn.IFNA(VLOOKUP(Quantitytable[[#This Row],[Ingredient ]],Shoppingtable[[Item Name]:[BALANCE Cash]],5,FALSE),0)*Quantitytable[[#This Row],[NeededQuantity]]</f>
        <v>0.6</v>
      </c>
      <c r="I470" s="3">
        <f>SUMIF(Quantitytable[Dish],Quantitytable[[#This Row],[Dish]],Quantitytable[Cost Per Dish Per Item])</f>
        <v>27.426785714285714</v>
      </c>
      <c r="J470" s="18" t="s">
        <v>502</v>
      </c>
    </row>
    <row r="471" spans="2:10" x14ac:dyDescent="0.25">
      <c r="B471" s="13" t="s">
        <v>671</v>
      </c>
      <c r="C471" s="13" t="s">
        <v>75</v>
      </c>
      <c r="D471" s="13">
        <v>25</v>
      </c>
      <c r="E471" s="3">
        <f>IF(Quantitytable[[#This Row],[Units]]=0,0,SUMIFS(Quantitytable[NeededQuantity],Quantitytable[Dish],Quantitytable[[#This Row],[Dish]],Quantitytable[[Ingredient ]],Quantitytable[[#This Row],[Ingredient ]]))</f>
        <v>0</v>
      </c>
      <c r="F471" s="3">
        <f>SUMIFS(salestable[Quantity Sold],salestable[Item Name],Quantitytable[[#This Row],[Dish]])</f>
        <v>0</v>
      </c>
      <c r="G471" s="3">
        <f>'Quantity Table'!$E471*'Quantity Table'!$F471</f>
        <v>0</v>
      </c>
      <c r="H471" s="3">
        <f>_xlfn.IFNA(VLOOKUP(Quantitytable[[#This Row],[Ingredient ]],Shoppingtable[[Item Name]:[BALANCE Cash]],5,FALSE),0)*Quantitytable[[#This Row],[NeededQuantity]]</f>
        <v>3.65</v>
      </c>
      <c r="I471" s="3">
        <f>SUMIF(Quantitytable[Dish],Quantitytable[[#This Row],[Dish]],Quantitytable[Cost Per Dish Per Item])</f>
        <v>27.426785714285714</v>
      </c>
      <c r="J471" s="18" t="s">
        <v>502</v>
      </c>
    </row>
    <row r="472" spans="2:10" x14ac:dyDescent="0.25">
      <c r="B472" s="13" t="s">
        <v>671</v>
      </c>
      <c r="C472" s="13" t="s">
        <v>600</v>
      </c>
      <c r="D472" s="13">
        <v>150</v>
      </c>
      <c r="E472" s="3">
        <f>IF(Quantitytable[[#This Row],[Units]]=0,0,SUMIFS(Quantitytable[NeededQuantity],Quantitytable[Dish],Quantitytable[[#This Row],[Dish]],Quantitytable[[Ingredient ]],Quantitytable[[#This Row],[Ingredient ]]))</f>
        <v>0</v>
      </c>
      <c r="F472" s="3">
        <f>SUMIFS(salestable[Quantity Sold],salestable[Item Name],Quantitytable[[#This Row],[Dish]])</f>
        <v>0</v>
      </c>
      <c r="G472" s="3">
        <f>'Quantity Table'!$E472*'Quantity Table'!$F472</f>
        <v>0</v>
      </c>
      <c r="H472" s="3">
        <f>_xlfn.IFNA(VLOOKUP(Quantitytable[[#This Row],[Ingredient ]],Shoppingtable[[Item Name]:[BALANCE Cash]],5,FALSE),0)*Quantitytable[[#This Row],[NeededQuantity]]</f>
        <v>13.3125</v>
      </c>
      <c r="I472" s="3">
        <f>SUMIF(Quantitytable[Dish],Quantitytable[[#This Row],[Dish]],Quantitytable[Cost Per Dish Per Item])</f>
        <v>27.426785714285714</v>
      </c>
      <c r="J472" s="18" t="s">
        <v>502</v>
      </c>
    </row>
    <row r="473" spans="2:10" x14ac:dyDescent="0.25">
      <c r="B473" s="13" t="s">
        <v>671</v>
      </c>
      <c r="C473" s="13" t="s">
        <v>77</v>
      </c>
      <c r="D473" s="13">
        <v>100</v>
      </c>
      <c r="E473" s="3">
        <f>IF(Quantitytable[[#This Row],[Units]]=0,0,SUMIFS(Quantitytable[NeededQuantity],Quantitytable[Dish],Quantitytable[[#This Row],[Dish]],Quantitytable[[Ingredient ]],Quantitytable[[#This Row],[Ingredient ]]))</f>
        <v>0</v>
      </c>
      <c r="F473" s="3">
        <f>SUMIFS(salestable[Quantity Sold],salestable[Item Name],Quantitytable[[#This Row],[Dish]])</f>
        <v>0</v>
      </c>
      <c r="G473" s="3">
        <f>'Quantity Table'!$E473*'Quantity Table'!$F473</f>
        <v>0</v>
      </c>
      <c r="H473" s="3">
        <f>_xlfn.IFNA(VLOOKUP(Quantitytable[[#This Row],[Ingredient ]],Shoppingtable[[Item Name]:[BALANCE Cash]],5,FALSE),0)*Quantitytable[[#This Row],[NeededQuantity]]</f>
        <v>4.1500000000000004</v>
      </c>
      <c r="I473" s="3">
        <f>SUMIF(Quantitytable[Dish],Quantitytable[[#This Row],[Dish]],Quantitytable[Cost Per Dish Per Item])</f>
        <v>27.426785714285714</v>
      </c>
      <c r="J473" s="18" t="s">
        <v>502</v>
      </c>
    </row>
    <row r="474" spans="2:10" x14ac:dyDescent="0.25">
      <c r="B474" s="13" t="s">
        <v>671</v>
      </c>
      <c r="C474" s="13" t="s">
        <v>44</v>
      </c>
      <c r="D474" s="13">
        <v>200</v>
      </c>
      <c r="E474" s="3">
        <f>IF(Quantitytable[[#This Row],[Units]]=0,0,SUMIFS(Quantitytable[NeededQuantity],Quantitytable[Dish],Quantitytable[[#This Row],[Dish]],Quantitytable[[Ingredient ]],Quantitytable[[#This Row],[Ingredient ]]))</f>
        <v>0</v>
      </c>
      <c r="F474" s="3">
        <f>SUMIFS(salestable[Quantity Sold],salestable[Item Name],Quantitytable[[#This Row],[Dish]])</f>
        <v>0</v>
      </c>
      <c r="G474" s="3">
        <f>'Quantity Table'!$E474*'Quantity Table'!$F474</f>
        <v>0</v>
      </c>
      <c r="H474" s="3">
        <f>_xlfn.IFNA(VLOOKUP(Quantitytable[[#This Row],[Ingredient ]],Shoppingtable[[Item Name]:[BALANCE Cash]],5,FALSE),0)*Quantitytable[[#This Row],[NeededQuantity]]</f>
        <v>5.7142857142857144</v>
      </c>
      <c r="I474" s="3">
        <f>SUMIF(Quantitytable[Dish],Quantitytable[[#This Row],[Dish]],Quantitytable[Cost Per Dish Per Item])</f>
        <v>27.426785714285714</v>
      </c>
      <c r="J474" s="18" t="s">
        <v>502</v>
      </c>
    </row>
    <row r="475" spans="2:10" x14ac:dyDescent="0.25">
      <c r="B475" s="13" t="s">
        <v>186</v>
      </c>
      <c r="C475" s="13" t="s">
        <v>45</v>
      </c>
      <c r="D475" s="13">
        <v>1</v>
      </c>
      <c r="E475" s="3">
        <f>IF(Quantitytable[[#This Row],[Units]]=0,0,SUMIFS(Quantitytable[NeededQuantity],Quantitytable[Dish],Quantitytable[[#This Row],[Dish]],Quantitytable[[Ingredient ]],Quantitytable[[#This Row],[Ingredient ]]))</f>
        <v>0</v>
      </c>
      <c r="F475" s="3">
        <f>SUMIFS(salestable[Quantity Sold],salestable[Item Name],Quantitytable[[#This Row],[Dish]])</f>
        <v>0</v>
      </c>
      <c r="G475" s="3">
        <f>'Quantity Table'!$E475*'Quantity Table'!$F475</f>
        <v>0</v>
      </c>
      <c r="H475" s="3">
        <f>_xlfn.IFNA(VLOOKUP(Quantitytable[[#This Row],[Ingredient ]],Shoppingtable[[Item Name]:[BALANCE Cash]],5,FALSE),0)*Quantitytable[[#This Row],[NeededQuantity]]</f>
        <v>7</v>
      </c>
      <c r="I475" s="3">
        <f>SUMIF(Quantitytable[Dish],Quantitytable[[#This Row],[Dish]],Quantitytable[Cost Per Dish Per Item])</f>
        <v>32.606043956043955</v>
      </c>
      <c r="J475" s="18" t="s">
        <v>502</v>
      </c>
    </row>
    <row r="476" spans="2:10" x14ac:dyDescent="0.25">
      <c r="B476" s="13" t="s">
        <v>186</v>
      </c>
      <c r="C476" s="13" t="s">
        <v>418</v>
      </c>
      <c r="D476" s="13">
        <v>2</v>
      </c>
      <c r="E476" s="3">
        <f>IF(Quantitytable[[#This Row],[Units]]=0,0,SUMIFS(Quantitytable[NeededQuantity],Quantitytable[Dish],Quantitytable[[#This Row],[Dish]],Quantitytable[[Ingredient ]],Quantitytable[[#This Row],[Ingredient ]]))</f>
        <v>0</v>
      </c>
      <c r="F476" s="3">
        <f>SUMIFS(salestable[Quantity Sold],salestable[Item Name],Quantitytable[[#This Row],[Dish]])</f>
        <v>0</v>
      </c>
      <c r="G476" s="3">
        <f>'Quantity Table'!$E476*'Quantity Table'!$F476</f>
        <v>0</v>
      </c>
      <c r="H476" s="3">
        <f>_xlfn.IFNA(VLOOKUP(Quantitytable[[#This Row],[Ingredient ]],Shoppingtable[[Item Name]:[BALANCE Cash]],5,FALSE),0)*Quantitytable[[#This Row],[NeededQuantity]]</f>
        <v>0.3</v>
      </c>
      <c r="I476" s="3">
        <f>SUMIF(Quantitytable[Dish],Quantitytable[[#This Row],[Dish]],Quantitytable[Cost Per Dish Per Item])</f>
        <v>32.606043956043955</v>
      </c>
      <c r="J476" s="18" t="s">
        <v>502</v>
      </c>
    </row>
    <row r="477" spans="2:10" x14ac:dyDescent="0.25">
      <c r="B477" s="13" t="s">
        <v>186</v>
      </c>
      <c r="C477" s="13" t="s">
        <v>84</v>
      </c>
      <c r="D477" s="13">
        <v>4</v>
      </c>
      <c r="E477" s="3">
        <f>IF(Quantitytable[[#This Row],[Units]]=0,0,SUMIFS(Quantitytable[NeededQuantity],Quantitytable[Dish],Quantitytable[[#This Row],[Dish]],Quantitytable[[Ingredient ]],Quantitytable[[#This Row],[Ingredient ]]))</f>
        <v>0</v>
      </c>
      <c r="F477" s="3">
        <f>SUMIFS(salestable[Quantity Sold],salestable[Item Name],Quantitytable[[#This Row],[Dish]])</f>
        <v>0</v>
      </c>
      <c r="G477" s="3">
        <f>'Quantity Table'!$E477*'Quantity Table'!$F477</f>
        <v>0</v>
      </c>
      <c r="H477" s="3">
        <f>_xlfn.IFNA(VLOOKUP(Quantitytable[[#This Row],[Ingredient ]],Shoppingtable[[Item Name]:[BALANCE Cash]],5,FALSE),0)*Quantitytable[[#This Row],[NeededQuantity]]</f>
        <v>2.8</v>
      </c>
      <c r="I477" s="3">
        <f>SUMIF(Quantitytable[Dish],Quantitytable[[#This Row],[Dish]],Quantitytable[Cost Per Dish Per Item])</f>
        <v>32.606043956043955</v>
      </c>
      <c r="J477" s="18" t="s">
        <v>502</v>
      </c>
    </row>
    <row r="478" spans="2:10" x14ac:dyDescent="0.25">
      <c r="B478" s="13" t="s">
        <v>186</v>
      </c>
      <c r="C478" s="13" t="s">
        <v>75</v>
      </c>
      <c r="D478" s="13">
        <v>25</v>
      </c>
      <c r="E478" s="3">
        <f>IF(Quantitytable[[#This Row],[Units]]=0,0,SUMIFS(Quantitytable[NeededQuantity],Quantitytable[Dish],Quantitytable[[#This Row],[Dish]],Quantitytable[[Ingredient ]],Quantitytable[[#This Row],[Ingredient ]]))</f>
        <v>0</v>
      </c>
      <c r="F478" s="3">
        <f>SUMIFS(salestable[Quantity Sold],salestable[Item Name],Quantitytable[[#This Row],[Dish]])</f>
        <v>0</v>
      </c>
      <c r="G478" s="3">
        <f>'Quantity Table'!$E478*'Quantity Table'!$F478</f>
        <v>0</v>
      </c>
      <c r="H478" s="3">
        <f>_xlfn.IFNA(VLOOKUP(Quantitytable[[#This Row],[Ingredient ]],Shoppingtable[[Item Name]:[BALANCE Cash]],5,FALSE),0)*Quantitytable[[#This Row],[NeededQuantity]]</f>
        <v>3.65</v>
      </c>
      <c r="I478" s="3">
        <f>SUMIF(Quantitytable[Dish],Quantitytable[[#This Row],[Dish]],Quantitytable[Cost Per Dish Per Item])</f>
        <v>32.606043956043955</v>
      </c>
      <c r="J478" s="18" t="s">
        <v>502</v>
      </c>
    </row>
    <row r="479" spans="2:10" x14ac:dyDescent="0.25">
      <c r="B479" s="13" t="s">
        <v>186</v>
      </c>
      <c r="C479" s="13" t="s">
        <v>577</v>
      </c>
      <c r="D479" s="13">
        <v>50</v>
      </c>
      <c r="E479" s="3">
        <f>IF(Quantitytable[[#This Row],[Units]]=0,0,SUMIFS(Quantitytable[NeededQuantity],Quantitytable[Dish],Quantitytable[[#This Row],[Dish]],Quantitytable[[Ingredient ]],Quantitytable[[#This Row],[Ingredient ]]))</f>
        <v>0</v>
      </c>
      <c r="F479" s="3">
        <f>SUMIFS(salestable[Quantity Sold],salestable[Item Name],Quantitytable[[#This Row],[Dish]])</f>
        <v>0</v>
      </c>
      <c r="G479" s="3">
        <f>'Quantity Table'!$E479*'Quantity Table'!$F479</f>
        <v>0</v>
      </c>
      <c r="H479" s="3">
        <f>_xlfn.IFNA(VLOOKUP(Quantitytable[[#This Row],[Ingredient ]],Shoppingtable[[Item Name]:[BALANCE Cash]],5,FALSE),0)*Quantitytable[[#This Row],[NeededQuantity]]</f>
        <v>2.8846153846153846</v>
      </c>
      <c r="I479" s="3">
        <f>SUMIF(Quantitytable[Dish],Quantitytable[[#This Row],[Dish]],Quantitytable[Cost Per Dish Per Item])</f>
        <v>32.606043956043955</v>
      </c>
      <c r="J479" s="18" t="s">
        <v>502</v>
      </c>
    </row>
    <row r="480" spans="2:10" x14ac:dyDescent="0.25">
      <c r="B480" s="13" t="s">
        <v>186</v>
      </c>
      <c r="C480" s="13" t="s">
        <v>576</v>
      </c>
      <c r="D480" s="13">
        <v>50</v>
      </c>
      <c r="E480" s="3">
        <f>IF(Quantitytable[[#This Row],[Units]]=0,0,SUMIFS(Quantitytable[NeededQuantity],Quantitytable[Dish],Quantitytable[[#This Row],[Dish]],Quantitytable[[Ingredient ]],Quantitytable[[#This Row],[Ingredient ]]))</f>
        <v>0</v>
      </c>
      <c r="F480" s="3">
        <f>SUMIFS(salestable[Quantity Sold],salestable[Item Name],Quantitytable[[#This Row],[Dish]])</f>
        <v>0</v>
      </c>
      <c r="G480" s="3">
        <f>'Quantity Table'!$E480*'Quantity Table'!$F480</f>
        <v>0</v>
      </c>
      <c r="H480" s="3">
        <f>_xlfn.IFNA(VLOOKUP(Quantitytable[[#This Row],[Ingredient ]],Shoppingtable[[Item Name]:[BALANCE Cash]],5,FALSE),0)*Quantitytable[[#This Row],[NeededQuantity]]</f>
        <v>2.9166666666666665</v>
      </c>
      <c r="I480" s="3">
        <f>SUMIF(Quantitytable[Dish],Quantitytable[[#This Row],[Dish]],Quantitytable[Cost Per Dish Per Item])</f>
        <v>32.606043956043955</v>
      </c>
      <c r="J480" s="18" t="s">
        <v>502</v>
      </c>
    </row>
    <row r="481" spans="2:10" x14ac:dyDescent="0.25">
      <c r="B481" s="13" t="s">
        <v>186</v>
      </c>
      <c r="C481" s="13" t="s">
        <v>98</v>
      </c>
      <c r="D481" s="13">
        <v>80</v>
      </c>
      <c r="E481" s="3">
        <f>IF(Quantitytable[[#This Row],[Units]]=0,0,SUMIFS(Quantitytable[NeededQuantity],Quantitytable[Dish],Quantitytable[[#This Row],[Dish]],Quantitytable[[Ingredient ]],Quantitytable[[#This Row],[Ingredient ]]))</f>
        <v>0</v>
      </c>
      <c r="F481" s="3">
        <f>SUMIFS(salestable[Quantity Sold],salestable[Item Name],Quantitytable[[#This Row],[Dish]])</f>
        <v>0</v>
      </c>
      <c r="G481" s="3">
        <f>'Quantity Table'!$E481*'Quantity Table'!$F481</f>
        <v>0</v>
      </c>
      <c r="H481" s="3">
        <f>_xlfn.IFNA(VLOOKUP(Quantitytable[[#This Row],[Ingredient ]],Shoppingtable[[Item Name]:[BALANCE Cash]],5,FALSE),0)*Quantitytable[[#This Row],[NeededQuantity]]</f>
        <v>4.3333333333333339</v>
      </c>
      <c r="I481" s="3">
        <f>SUMIF(Quantitytable[Dish],Quantitytable[[#This Row],[Dish]],Quantitytable[Cost Per Dish Per Item])</f>
        <v>32.606043956043955</v>
      </c>
      <c r="J481" s="18" t="s">
        <v>502</v>
      </c>
    </row>
    <row r="482" spans="2:10" x14ac:dyDescent="0.25">
      <c r="B482" s="13" t="s">
        <v>186</v>
      </c>
      <c r="C482" s="13" t="s">
        <v>77</v>
      </c>
      <c r="D482" s="13">
        <v>100</v>
      </c>
      <c r="E482" s="3">
        <f>IF(Quantitytable[[#This Row],[Units]]=0,0,SUMIFS(Quantitytable[NeededQuantity],Quantitytable[Dish],Quantitytable[[#This Row],[Dish]],Quantitytable[[Ingredient ]],Quantitytable[[#This Row],[Ingredient ]]))</f>
        <v>0</v>
      </c>
      <c r="F482" s="3">
        <f>SUMIFS(salestable[Quantity Sold],salestable[Item Name],Quantitytable[[#This Row],[Dish]])</f>
        <v>0</v>
      </c>
      <c r="G482" s="3">
        <f>'Quantity Table'!$E482*'Quantity Table'!$F482</f>
        <v>0</v>
      </c>
      <c r="H482" s="3">
        <f>_xlfn.IFNA(VLOOKUP(Quantitytable[[#This Row],[Ingredient ]],Shoppingtable[[Item Name]:[BALANCE Cash]],5,FALSE),0)*Quantitytable[[#This Row],[NeededQuantity]]</f>
        <v>4.1500000000000004</v>
      </c>
      <c r="I482" s="3">
        <f>SUMIF(Quantitytable[Dish],Quantitytable[[#This Row],[Dish]],Quantitytable[Cost Per Dish Per Item])</f>
        <v>32.606043956043955</v>
      </c>
      <c r="J482" s="18" t="s">
        <v>502</v>
      </c>
    </row>
    <row r="483" spans="2:10" x14ac:dyDescent="0.25">
      <c r="B483" s="13" t="s">
        <v>186</v>
      </c>
      <c r="C483" s="13" t="s">
        <v>44</v>
      </c>
      <c r="D483" s="13">
        <v>160</v>
      </c>
      <c r="E483" s="3">
        <f>IF(Quantitytable[[#This Row],[Units]]=0,0,SUMIFS(Quantitytable[NeededQuantity],Quantitytable[Dish],Quantitytable[[#This Row],[Dish]],Quantitytable[[Ingredient ]],Quantitytable[[#This Row],[Ingredient ]]))</f>
        <v>0</v>
      </c>
      <c r="F483" s="3">
        <f>SUMIFS(salestable[Quantity Sold],salestable[Item Name],Quantitytable[[#This Row],[Dish]])</f>
        <v>0</v>
      </c>
      <c r="G483" s="3">
        <f>'Quantity Table'!$E483*'Quantity Table'!$F483</f>
        <v>0</v>
      </c>
      <c r="H483" s="3">
        <f>_xlfn.IFNA(VLOOKUP(Quantitytable[[#This Row],[Ingredient ]],Shoppingtable[[Item Name]:[BALANCE Cash]],5,FALSE),0)*Quantitytable[[#This Row],[NeededQuantity]]</f>
        <v>4.5714285714285712</v>
      </c>
      <c r="I483" s="3">
        <f>SUMIF(Quantitytable[Dish],Quantitytable[[#This Row],[Dish]],Quantitytable[Cost Per Dish Per Item])</f>
        <v>32.606043956043955</v>
      </c>
      <c r="J483" s="18" t="s">
        <v>502</v>
      </c>
    </row>
    <row r="484" spans="2:10" x14ac:dyDescent="0.25">
      <c r="B484" s="13" t="s">
        <v>649</v>
      </c>
      <c r="C484" s="13" t="s">
        <v>45</v>
      </c>
      <c r="D484" s="13">
        <v>1</v>
      </c>
      <c r="E484" s="3">
        <f>IF(Quantitytable[[#This Row],[Units]]=0,0,SUMIFS(Quantitytable[NeededQuantity],Quantitytable[Dish],Quantitytable[[#This Row],[Dish]],Quantitytable[[Ingredient ]],Quantitytable[[#This Row],[Ingredient ]]))</f>
        <v>0</v>
      </c>
      <c r="F484" s="3">
        <f>SUMIFS(salestable[Quantity Sold],salestable[Item Name],Quantitytable[[#This Row],[Dish]])</f>
        <v>0</v>
      </c>
      <c r="G484" s="3">
        <f>'Quantity Table'!$E484*'Quantity Table'!$F484</f>
        <v>0</v>
      </c>
      <c r="H484" s="3">
        <f>_xlfn.IFNA(VLOOKUP(Quantitytable[[#This Row],[Ingredient ]],Shoppingtable[[Item Name]:[BALANCE Cash]],5,FALSE),0)*Quantitytable[[#This Row],[NeededQuantity]]</f>
        <v>7</v>
      </c>
      <c r="I484" s="3">
        <f>SUMIF(Quantitytable[Dish],Quantitytable[[#This Row],[Dish]],Quantitytable[Cost Per Dish Per Item])</f>
        <v>44.551428571428566</v>
      </c>
      <c r="J484" s="18" t="s">
        <v>502</v>
      </c>
    </row>
    <row r="485" spans="2:10" x14ac:dyDescent="0.25">
      <c r="B485" s="13" t="s">
        <v>649</v>
      </c>
      <c r="C485" s="13" t="s">
        <v>418</v>
      </c>
      <c r="D485" s="13">
        <v>2</v>
      </c>
      <c r="E485" s="3">
        <f>IF(Quantitytable[[#This Row],[Units]]=0,0,SUMIFS(Quantitytable[NeededQuantity],Quantitytable[Dish],Quantitytable[[#This Row],[Dish]],Quantitytable[[Ingredient ]],Quantitytable[[#This Row],[Ingredient ]]))</f>
        <v>0</v>
      </c>
      <c r="F485" s="3">
        <f>SUMIFS(salestable[Quantity Sold],salestable[Item Name],Quantitytable[[#This Row],[Dish]])</f>
        <v>0</v>
      </c>
      <c r="G485" s="3">
        <f>'Quantity Table'!$E485*'Quantity Table'!$F485</f>
        <v>0</v>
      </c>
      <c r="H485" s="3">
        <f>_xlfn.IFNA(VLOOKUP(Quantitytable[[#This Row],[Ingredient ]],Shoppingtable[[Item Name]:[BALANCE Cash]],5,FALSE),0)*Quantitytable[[#This Row],[NeededQuantity]]</f>
        <v>0.3</v>
      </c>
      <c r="I485" s="3">
        <f>SUMIF(Quantitytable[Dish],Quantitytable[[#This Row],[Dish]],Quantitytable[Cost Per Dish Per Item])</f>
        <v>44.551428571428566</v>
      </c>
      <c r="J485" s="18" t="s">
        <v>502</v>
      </c>
    </row>
    <row r="486" spans="2:10" x14ac:dyDescent="0.25">
      <c r="B486" s="13" t="s">
        <v>649</v>
      </c>
      <c r="C486" s="13" t="s">
        <v>84</v>
      </c>
      <c r="D486" s="13">
        <v>4</v>
      </c>
      <c r="E486" s="3">
        <f>IF(Quantitytable[[#This Row],[Units]]=0,0,SUMIFS(Quantitytable[NeededQuantity],Quantitytable[Dish],Quantitytable[[#This Row],[Dish]],Quantitytable[[Ingredient ]],Quantitytable[[#This Row],[Ingredient ]]))</f>
        <v>0</v>
      </c>
      <c r="F486" s="3">
        <f>SUMIFS(salestable[Quantity Sold],salestable[Item Name],Quantitytable[[#This Row],[Dish]])</f>
        <v>0</v>
      </c>
      <c r="G486" s="3">
        <f>'Quantity Table'!$E486*'Quantity Table'!$F486</f>
        <v>0</v>
      </c>
      <c r="H486" s="3">
        <f>_xlfn.IFNA(VLOOKUP(Quantitytable[[#This Row],[Ingredient ]],Shoppingtable[[Item Name]:[BALANCE Cash]],5,FALSE),0)*Quantitytable[[#This Row],[NeededQuantity]]</f>
        <v>2.8</v>
      </c>
      <c r="I486" s="3">
        <f>SUMIF(Quantitytable[Dish],Quantitytable[[#This Row],[Dish]],Quantitytable[Cost Per Dish Per Item])</f>
        <v>44.551428571428566</v>
      </c>
      <c r="J486" s="18" t="s">
        <v>502</v>
      </c>
    </row>
    <row r="487" spans="2:10" x14ac:dyDescent="0.25">
      <c r="B487" s="13" t="s">
        <v>649</v>
      </c>
      <c r="C487" s="13" t="s">
        <v>75</v>
      </c>
      <c r="D487" s="13">
        <v>25</v>
      </c>
      <c r="E487" s="3">
        <f>IF(Quantitytable[[#This Row],[Units]]=0,0,SUMIFS(Quantitytable[NeededQuantity],Quantitytable[Dish],Quantitytable[[#This Row],[Dish]],Quantitytable[[Ingredient ]],Quantitytable[[#This Row],[Ingredient ]]))</f>
        <v>0</v>
      </c>
      <c r="F487" s="3">
        <f>SUMIFS(salestable[Quantity Sold],salestable[Item Name],Quantitytable[[#This Row],[Dish]])</f>
        <v>0</v>
      </c>
      <c r="G487" s="3">
        <f>'Quantity Table'!$E487*'Quantity Table'!$F487</f>
        <v>0</v>
      </c>
      <c r="H487" s="3">
        <f>_xlfn.IFNA(VLOOKUP(Quantitytable[[#This Row],[Ingredient ]],Shoppingtable[[Item Name]:[BALANCE Cash]],5,FALSE),0)*Quantitytable[[#This Row],[NeededQuantity]]</f>
        <v>3.65</v>
      </c>
      <c r="I487" s="3">
        <f>SUMIF(Quantitytable[Dish],Quantitytable[[#This Row],[Dish]],Quantitytable[Cost Per Dish Per Item])</f>
        <v>44.551428571428566</v>
      </c>
      <c r="J487" s="18" t="s">
        <v>502</v>
      </c>
    </row>
    <row r="488" spans="2:10" x14ac:dyDescent="0.25">
      <c r="B488" s="13" t="s">
        <v>649</v>
      </c>
      <c r="C488" s="13" t="s">
        <v>163</v>
      </c>
      <c r="D488" s="13">
        <v>100</v>
      </c>
      <c r="E488" s="3">
        <f>IF(Quantitytable[[#This Row],[Units]]=0,0,SUMIFS(Quantitytable[NeededQuantity],Quantitytable[Dish],Quantitytable[[#This Row],[Dish]],Quantitytable[[Ingredient ]],Quantitytable[[#This Row],[Ingredient ]]))</f>
        <v>0</v>
      </c>
      <c r="F488" s="3">
        <f>SUMIFS(salestable[Quantity Sold],salestable[Item Name],Quantitytable[[#This Row],[Dish]])</f>
        <v>0</v>
      </c>
      <c r="G488" s="3">
        <f>'Quantity Table'!$E488*'Quantity Table'!$F488</f>
        <v>0</v>
      </c>
      <c r="H488" s="3">
        <f>_xlfn.IFNA(VLOOKUP(Quantitytable[[#This Row],[Ingredient ]],Shoppingtable[[Item Name]:[BALANCE Cash]],5,FALSE),0)*Quantitytable[[#This Row],[NeededQuantity]]</f>
        <v>22.08</v>
      </c>
      <c r="I488" s="3">
        <f>SUMIF(Quantitytable[Dish],Quantitytable[[#This Row],[Dish]],Quantitytable[Cost Per Dish Per Item])</f>
        <v>44.551428571428566</v>
      </c>
      <c r="J488" s="18" t="s">
        <v>502</v>
      </c>
    </row>
    <row r="489" spans="2:10" x14ac:dyDescent="0.25">
      <c r="B489" s="13" t="s">
        <v>649</v>
      </c>
      <c r="C489" s="13" t="s">
        <v>77</v>
      </c>
      <c r="D489" s="13">
        <v>100</v>
      </c>
      <c r="E489" s="3">
        <f>IF(Quantitytable[[#This Row],[Units]]=0,0,SUMIFS(Quantitytable[NeededQuantity],Quantitytable[Dish],Quantitytable[[#This Row],[Dish]],Quantitytable[[Ingredient ]],Quantitytable[[#This Row],[Ingredient ]]))</f>
        <v>0</v>
      </c>
      <c r="F489" s="3">
        <f>SUMIFS(salestable[Quantity Sold],salestable[Item Name],Quantitytable[[#This Row],[Dish]])</f>
        <v>0</v>
      </c>
      <c r="G489" s="3">
        <f>'Quantity Table'!$E489*'Quantity Table'!$F489</f>
        <v>0</v>
      </c>
      <c r="H489" s="3">
        <f>_xlfn.IFNA(VLOOKUP(Quantitytable[[#This Row],[Ingredient ]],Shoppingtable[[Item Name]:[BALANCE Cash]],5,FALSE),0)*Quantitytable[[#This Row],[NeededQuantity]]</f>
        <v>4.1500000000000004</v>
      </c>
      <c r="I489" s="3">
        <f>SUMIF(Quantitytable[Dish],Quantitytable[[#This Row],[Dish]],Quantitytable[Cost Per Dish Per Item])</f>
        <v>44.551428571428566</v>
      </c>
      <c r="J489" s="18" t="s">
        <v>502</v>
      </c>
    </row>
    <row r="490" spans="2:10" x14ac:dyDescent="0.25">
      <c r="B490" s="13" t="s">
        <v>649</v>
      </c>
      <c r="C490" s="13" t="s">
        <v>44</v>
      </c>
      <c r="D490" s="13">
        <v>160</v>
      </c>
      <c r="E490" s="3">
        <f>IF(Quantitytable[[#This Row],[Units]]=0,0,SUMIFS(Quantitytable[NeededQuantity],Quantitytable[Dish],Quantitytable[[#This Row],[Dish]],Quantitytable[[Ingredient ]],Quantitytable[[#This Row],[Ingredient ]]))</f>
        <v>0</v>
      </c>
      <c r="F490" s="3">
        <f>SUMIFS(salestable[Quantity Sold],salestable[Item Name],Quantitytable[[#This Row],[Dish]])</f>
        <v>0</v>
      </c>
      <c r="G490" s="3">
        <f>'Quantity Table'!$E490*'Quantity Table'!$F490</f>
        <v>0</v>
      </c>
      <c r="H490" s="3">
        <f>_xlfn.IFNA(VLOOKUP(Quantitytable[[#This Row],[Ingredient ]],Shoppingtable[[Item Name]:[BALANCE Cash]],5,FALSE),0)*Quantitytable[[#This Row],[NeededQuantity]]</f>
        <v>4.5714285714285712</v>
      </c>
      <c r="I490" s="3">
        <f>SUMIF(Quantitytable[Dish],Quantitytable[[#This Row],[Dish]],Quantitytable[Cost Per Dish Per Item])</f>
        <v>44.551428571428566</v>
      </c>
      <c r="J490" s="18" t="s">
        <v>502</v>
      </c>
    </row>
    <row r="491" spans="2:10" x14ac:dyDescent="0.25">
      <c r="B491" s="13" t="s">
        <v>672</v>
      </c>
      <c r="C491" s="13" t="s">
        <v>45</v>
      </c>
      <c r="D491" s="13">
        <v>1</v>
      </c>
      <c r="E491" s="3">
        <f>IF(Quantitytable[[#This Row],[Units]]=0,0,SUMIFS(Quantitytable[NeededQuantity],Quantitytable[Dish],Quantitytable[[#This Row],[Dish]],Quantitytable[[Ingredient ]],Quantitytable[[#This Row],[Ingredient ]]))</f>
        <v>0</v>
      </c>
      <c r="F491" s="3">
        <f>SUMIFS(salestable[Quantity Sold],salestable[Item Name],Quantitytable[[#This Row],[Dish]])</f>
        <v>0</v>
      </c>
      <c r="G491" s="3">
        <f>'Quantity Table'!$E491*'Quantity Table'!$F491</f>
        <v>0</v>
      </c>
      <c r="H491" s="3">
        <f>_xlfn.IFNA(VLOOKUP(Quantitytable[[#This Row],[Ingredient ]],Shoppingtable[[Item Name]:[BALANCE Cash]],5,FALSE),0)*Quantitytable[[#This Row],[NeededQuantity]]</f>
        <v>7</v>
      </c>
      <c r="I491" s="3">
        <f>SUMIF(Quantitytable[Dish],Quantitytable[[#This Row],[Dish]],Quantitytable[Cost Per Dish Per Item])</f>
        <v>29.571428571428569</v>
      </c>
      <c r="J491" s="18" t="s">
        <v>502</v>
      </c>
    </row>
    <row r="492" spans="2:10" x14ac:dyDescent="0.25">
      <c r="B492" s="13" t="s">
        <v>672</v>
      </c>
      <c r="C492" s="13" t="s">
        <v>418</v>
      </c>
      <c r="D492" s="13">
        <v>2</v>
      </c>
      <c r="E492" s="3">
        <f>IF(Quantitytable[[#This Row],[Units]]=0,0,SUMIFS(Quantitytable[NeededQuantity],Quantitytable[Dish],Quantitytable[[#This Row],[Dish]],Quantitytable[[Ingredient ]],Quantitytable[[#This Row],[Ingredient ]]))</f>
        <v>0</v>
      </c>
      <c r="F492" s="3">
        <f>SUMIFS(salestable[Quantity Sold],salestable[Item Name],Quantitytable[[#This Row],[Dish]])</f>
        <v>0</v>
      </c>
      <c r="G492" s="3">
        <f>'Quantity Table'!$E492*'Quantity Table'!$F492</f>
        <v>0</v>
      </c>
      <c r="H492" s="3">
        <f>_xlfn.IFNA(VLOOKUP(Quantitytable[[#This Row],[Ingredient ]],Shoppingtable[[Item Name]:[BALANCE Cash]],5,FALSE),0)*Quantitytable[[#This Row],[NeededQuantity]]</f>
        <v>0.3</v>
      </c>
      <c r="I492" s="3">
        <f>SUMIF(Quantitytable[Dish],Quantitytable[[#This Row],[Dish]],Quantitytable[Cost Per Dish Per Item])</f>
        <v>29.571428571428569</v>
      </c>
      <c r="J492" s="18" t="s">
        <v>502</v>
      </c>
    </row>
    <row r="493" spans="2:10" x14ac:dyDescent="0.25">
      <c r="B493" s="13" t="s">
        <v>672</v>
      </c>
      <c r="C493" s="13" t="s">
        <v>84</v>
      </c>
      <c r="D493" s="13">
        <v>4</v>
      </c>
      <c r="E493" s="3">
        <f>IF(Quantitytable[[#This Row],[Units]]=0,0,SUMIFS(Quantitytable[NeededQuantity],Quantitytable[Dish],Quantitytable[[#This Row],[Dish]],Quantitytable[[Ingredient ]],Quantitytable[[#This Row],[Ingredient ]]))</f>
        <v>0</v>
      </c>
      <c r="F493" s="3">
        <f>SUMIFS(salestable[Quantity Sold],salestable[Item Name],Quantitytable[[#This Row],[Dish]])</f>
        <v>0</v>
      </c>
      <c r="G493" s="3">
        <f>'Quantity Table'!$E493*'Quantity Table'!$F493</f>
        <v>0</v>
      </c>
      <c r="H493" s="3">
        <f>_xlfn.IFNA(VLOOKUP(Quantitytable[[#This Row],[Ingredient ]],Shoppingtable[[Item Name]:[BALANCE Cash]],5,FALSE),0)*Quantitytable[[#This Row],[NeededQuantity]]</f>
        <v>2.8</v>
      </c>
      <c r="I493" s="3">
        <f>SUMIF(Quantitytable[Dish],Quantitytable[[#This Row],[Dish]],Quantitytable[Cost Per Dish Per Item])</f>
        <v>29.571428571428569</v>
      </c>
      <c r="J493" s="18" t="s">
        <v>502</v>
      </c>
    </row>
    <row r="494" spans="2:10" x14ac:dyDescent="0.25">
      <c r="B494" s="13" t="s">
        <v>672</v>
      </c>
      <c r="C494" s="13" t="s">
        <v>75</v>
      </c>
      <c r="D494" s="13">
        <v>25</v>
      </c>
      <c r="E494" s="3">
        <f>IF(Quantitytable[[#This Row],[Units]]=0,0,SUMIFS(Quantitytable[NeededQuantity],Quantitytable[Dish],Quantitytable[[#This Row],[Dish]],Quantitytable[[Ingredient ]],Quantitytable[[#This Row],[Ingredient ]]))</f>
        <v>0</v>
      </c>
      <c r="F494" s="3">
        <f>SUMIFS(salestable[Quantity Sold],salestable[Item Name],Quantitytable[[#This Row],[Dish]])</f>
        <v>0</v>
      </c>
      <c r="G494" s="3">
        <f>'Quantity Table'!$E494*'Quantity Table'!$F494</f>
        <v>0</v>
      </c>
      <c r="H494" s="3">
        <f>_xlfn.IFNA(VLOOKUP(Quantitytable[[#This Row],[Ingredient ]],Shoppingtable[[Item Name]:[BALANCE Cash]],5,FALSE),0)*Quantitytable[[#This Row],[NeededQuantity]]</f>
        <v>3.65</v>
      </c>
      <c r="I494" s="3">
        <f>SUMIF(Quantitytable[Dish],Quantitytable[[#This Row],[Dish]],Quantitytable[Cost Per Dish Per Item])</f>
        <v>29.571428571428569</v>
      </c>
      <c r="J494" s="18" t="s">
        <v>502</v>
      </c>
    </row>
    <row r="495" spans="2:10" x14ac:dyDescent="0.25">
      <c r="B495" s="13" t="s">
        <v>672</v>
      </c>
      <c r="C495" s="13" t="s">
        <v>600</v>
      </c>
      <c r="D495" s="13">
        <v>80</v>
      </c>
      <c r="E495" s="3">
        <f>IF(Quantitytable[[#This Row],[Units]]=0,0,SUMIFS(Quantitytable[NeededQuantity],Quantitytable[Dish],Quantitytable[[#This Row],[Dish]],Quantitytable[[Ingredient ]],Quantitytable[[#This Row],[Ingredient ]]))</f>
        <v>0</v>
      </c>
      <c r="F495" s="3">
        <f>SUMIFS(salestable[Quantity Sold],salestable[Item Name],Quantitytable[[#This Row],[Dish]])</f>
        <v>0</v>
      </c>
      <c r="G495" s="3">
        <f>'Quantity Table'!$E495*'Quantity Table'!$F495</f>
        <v>0</v>
      </c>
      <c r="H495" s="3">
        <f>_xlfn.IFNA(VLOOKUP(Quantitytable[[#This Row],[Ingredient ]],Shoppingtable[[Item Name]:[BALANCE Cash]],5,FALSE),0)*Quantitytable[[#This Row],[NeededQuantity]]</f>
        <v>7.1</v>
      </c>
      <c r="I495" s="3">
        <f>SUMIF(Quantitytable[Dish],Quantitytable[[#This Row],[Dish]],Quantitytable[Cost Per Dish Per Item])</f>
        <v>29.571428571428569</v>
      </c>
      <c r="J495" s="18" t="s">
        <v>502</v>
      </c>
    </row>
    <row r="496" spans="2:10" x14ac:dyDescent="0.25">
      <c r="B496" s="13" t="s">
        <v>672</v>
      </c>
      <c r="C496" s="13" t="s">
        <v>77</v>
      </c>
      <c r="D496" s="13">
        <v>100</v>
      </c>
      <c r="E496" s="3">
        <f>IF(Quantitytable[[#This Row],[Units]]=0,0,SUMIFS(Quantitytable[NeededQuantity],Quantitytable[Dish],Quantitytable[[#This Row],[Dish]],Quantitytable[[Ingredient ]],Quantitytable[[#This Row],[Ingredient ]]))</f>
        <v>0</v>
      </c>
      <c r="F496" s="3">
        <f>SUMIFS(salestable[Quantity Sold],salestable[Item Name],Quantitytable[[#This Row],[Dish]])</f>
        <v>0</v>
      </c>
      <c r="G496" s="3">
        <f>'Quantity Table'!$E496*'Quantity Table'!$F496</f>
        <v>0</v>
      </c>
      <c r="H496" s="3">
        <f>_xlfn.IFNA(VLOOKUP(Quantitytable[[#This Row],[Ingredient ]],Shoppingtable[[Item Name]:[BALANCE Cash]],5,FALSE),0)*Quantitytable[[#This Row],[NeededQuantity]]</f>
        <v>4.1500000000000004</v>
      </c>
      <c r="I496" s="3">
        <f>SUMIF(Quantitytable[Dish],Quantitytable[[#This Row],[Dish]],Quantitytable[Cost Per Dish Per Item])</f>
        <v>29.571428571428569</v>
      </c>
      <c r="J496" s="18" t="s">
        <v>502</v>
      </c>
    </row>
    <row r="497" spans="2:10" x14ac:dyDescent="0.25">
      <c r="B497" s="13" t="s">
        <v>672</v>
      </c>
      <c r="C497" s="13" t="s">
        <v>44</v>
      </c>
      <c r="D497" s="13">
        <v>160</v>
      </c>
      <c r="E497" s="3">
        <f>IF(Quantitytable[[#This Row],[Units]]=0,0,SUMIFS(Quantitytable[NeededQuantity],Quantitytable[Dish],Quantitytable[[#This Row],[Dish]],Quantitytable[[Ingredient ]],Quantitytable[[#This Row],[Ingredient ]]))</f>
        <v>0</v>
      </c>
      <c r="F497" s="3">
        <f>SUMIFS(salestable[Quantity Sold],salestable[Item Name],Quantitytable[[#This Row],[Dish]])</f>
        <v>0</v>
      </c>
      <c r="G497" s="3">
        <f>'Quantity Table'!$E497*'Quantity Table'!$F497</f>
        <v>0</v>
      </c>
      <c r="H497" s="3">
        <f>_xlfn.IFNA(VLOOKUP(Quantitytable[[#This Row],[Ingredient ]],Shoppingtable[[Item Name]:[BALANCE Cash]],5,FALSE),0)*Quantitytable[[#This Row],[NeededQuantity]]</f>
        <v>4.5714285714285712</v>
      </c>
      <c r="I497" s="3">
        <f>SUMIF(Quantitytable[Dish],Quantitytable[[#This Row],[Dish]],Quantitytable[Cost Per Dish Per Item])</f>
        <v>29.571428571428569</v>
      </c>
      <c r="J497" s="18" t="s">
        <v>502</v>
      </c>
    </row>
    <row r="498" spans="2:10" x14ac:dyDescent="0.25">
      <c r="B498" s="13" t="s">
        <v>619</v>
      </c>
      <c r="C498" s="13" t="s">
        <v>45</v>
      </c>
      <c r="D498" s="13">
        <v>2</v>
      </c>
      <c r="E498" s="3">
        <f>IF(Quantitytable[[#This Row],[Units]]=0,0,SUMIFS(Quantitytable[NeededQuantity],Quantitytable[Dish],Quantitytable[[#This Row],[Dish]],Quantitytable[[Ingredient ]],Quantitytable[[#This Row],[Ingredient ]]))</f>
        <v>0</v>
      </c>
      <c r="F498" s="3">
        <f>SUMIFS(salestable[Quantity Sold],salestable[Item Name],Quantitytable[[#This Row],[Dish]])</f>
        <v>0</v>
      </c>
      <c r="G498" s="3">
        <f>'Quantity Table'!$E498*'Quantity Table'!$F498</f>
        <v>0</v>
      </c>
      <c r="H498" s="3">
        <f>_xlfn.IFNA(VLOOKUP(Quantitytable[[#This Row],[Ingredient ]],Shoppingtable[[Item Name]:[BALANCE Cash]],5,FALSE),0)*Quantitytable[[#This Row],[NeededQuantity]]</f>
        <v>14</v>
      </c>
      <c r="I498" s="3">
        <f>SUMIF(Quantitytable[Dish],Quantitytable[[#This Row],[Dish]],Quantitytable[Cost Per Dish Per Item])</f>
        <v>22.403034682080921</v>
      </c>
      <c r="J498" s="18" t="s">
        <v>502</v>
      </c>
    </row>
    <row r="499" spans="2:10" x14ac:dyDescent="0.25">
      <c r="B499" s="13" t="s">
        <v>619</v>
      </c>
      <c r="C499" s="13" t="s">
        <v>75</v>
      </c>
      <c r="D499" s="13">
        <v>25</v>
      </c>
      <c r="E499" s="3">
        <f>IF(Quantitytable[[#This Row],[Units]]=0,0,SUMIFS(Quantitytable[NeededQuantity],Quantitytable[Dish],Quantitytable[[#This Row],[Dish]],Quantitytable[[Ingredient ]],Quantitytable[[#This Row],[Ingredient ]]))</f>
        <v>0</v>
      </c>
      <c r="F499" s="3">
        <f>SUMIFS(salestable[Quantity Sold],salestable[Item Name],Quantitytable[[#This Row],[Dish]])</f>
        <v>0</v>
      </c>
      <c r="G499" s="3">
        <f>'Quantity Table'!$E499*'Quantity Table'!$F499</f>
        <v>0</v>
      </c>
      <c r="H499" s="3">
        <f>_xlfn.IFNA(VLOOKUP(Quantitytable[[#This Row],[Ingredient ]],Shoppingtable[[Item Name]:[BALANCE Cash]],5,FALSE),0)*Quantitytable[[#This Row],[NeededQuantity]]</f>
        <v>3.65</v>
      </c>
      <c r="I499" s="3">
        <f>SUMIF(Quantitytable[Dish],Quantitytable[[#This Row],[Dish]],Quantitytable[Cost Per Dish Per Item])</f>
        <v>22.403034682080921</v>
      </c>
      <c r="J499" s="18" t="s">
        <v>502</v>
      </c>
    </row>
    <row r="500" spans="2:10" x14ac:dyDescent="0.25">
      <c r="B500" s="13" t="s">
        <v>619</v>
      </c>
      <c r="C500" s="13" t="s">
        <v>472</v>
      </c>
      <c r="D500" s="13">
        <v>5</v>
      </c>
      <c r="E500" s="3">
        <f>IF(Quantitytable[[#This Row],[Units]]=0,0,SUMIFS(Quantitytable[NeededQuantity],Quantitytable[Dish],Quantitytable[[#This Row],[Dish]],Quantitytable[[Ingredient ]],Quantitytable[[#This Row],[Ingredient ]]))</f>
        <v>0</v>
      </c>
      <c r="F500" s="3">
        <f>SUMIFS(salestable[Quantity Sold],salestable[Item Name],Quantitytable[[#This Row],[Dish]])</f>
        <v>0</v>
      </c>
      <c r="G500" s="3">
        <f>'Quantity Table'!$E500*'Quantity Table'!$F500</f>
        <v>0</v>
      </c>
      <c r="H500" s="3">
        <f>_xlfn.IFNA(VLOOKUP(Quantitytable[[#This Row],[Ingredient ]],Shoppingtable[[Item Name]:[BALANCE Cash]],5,FALSE),0)*Quantitytable[[#This Row],[NeededQuantity]]</f>
        <v>0.57803468208092479</v>
      </c>
      <c r="I500" s="3">
        <f>SUMIF(Quantitytable[Dish],Quantitytable[[#This Row],[Dish]],Quantitytable[Cost Per Dish Per Item])</f>
        <v>22.403034682080921</v>
      </c>
      <c r="J500" s="18" t="s">
        <v>502</v>
      </c>
    </row>
    <row r="501" spans="2:10" x14ac:dyDescent="0.25">
      <c r="B501" s="13" t="s">
        <v>619</v>
      </c>
      <c r="C501" s="13" t="s">
        <v>77</v>
      </c>
      <c r="D501" s="13">
        <v>50</v>
      </c>
      <c r="E501" s="3">
        <f>IF(Quantitytable[[#This Row],[Units]]=0,0,SUMIFS(Quantitytable[NeededQuantity],Quantitytable[Dish],Quantitytable[[#This Row],[Dish]],Quantitytable[[Ingredient ]],Quantitytable[[#This Row],[Ingredient ]]))</f>
        <v>0</v>
      </c>
      <c r="F501" s="3">
        <f>SUMIFS(salestable[Quantity Sold],salestable[Item Name],Quantitytable[[#This Row],[Dish]])</f>
        <v>0</v>
      </c>
      <c r="G501" s="3">
        <f>'Quantity Table'!$E501*'Quantity Table'!$F501</f>
        <v>0</v>
      </c>
      <c r="H501" s="3">
        <f>_xlfn.IFNA(VLOOKUP(Quantitytable[[#This Row],[Ingredient ]],Shoppingtable[[Item Name]:[BALANCE Cash]],5,FALSE),0)*Quantitytable[[#This Row],[NeededQuantity]]</f>
        <v>2.0750000000000002</v>
      </c>
      <c r="I501" s="3">
        <f>SUMIF(Quantitytable[Dish],Quantitytable[[#This Row],[Dish]],Quantitytable[Cost Per Dish Per Item])</f>
        <v>22.403034682080921</v>
      </c>
      <c r="J501" s="18" t="s">
        <v>502</v>
      </c>
    </row>
    <row r="502" spans="2:10" x14ac:dyDescent="0.25">
      <c r="B502" s="13" t="s">
        <v>619</v>
      </c>
      <c r="C502" s="13" t="s">
        <v>84</v>
      </c>
      <c r="D502" s="13">
        <v>3</v>
      </c>
      <c r="E502" s="3">
        <f>IF(Quantitytable[[#This Row],[Units]]=0,0,SUMIFS(Quantitytable[NeededQuantity],Quantitytable[Dish],Quantitytable[[#This Row],[Dish]],Quantitytable[[Ingredient ]],Quantitytable[[#This Row],[Ingredient ]]))</f>
        <v>0</v>
      </c>
      <c r="F502" s="3">
        <f>SUMIFS(salestable[Quantity Sold],salestable[Item Name],Quantitytable[[#This Row],[Dish]])</f>
        <v>0</v>
      </c>
      <c r="G502" s="3">
        <f>'Quantity Table'!$E502*'Quantity Table'!$F502</f>
        <v>0</v>
      </c>
      <c r="H502" s="3">
        <f>_xlfn.IFNA(VLOOKUP(Quantitytable[[#This Row],[Ingredient ]],Shoppingtable[[Item Name]:[BALANCE Cash]],5,FALSE),0)*Quantitytable[[#This Row],[NeededQuantity]]</f>
        <v>2.0999999999999996</v>
      </c>
      <c r="I502" s="3">
        <f>SUMIF(Quantitytable[Dish],Quantitytable[[#This Row],[Dish]],Quantitytable[Cost Per Dish Per Item])</f>
        <v>22.403034682080921</v>
      </c>
      <c r="J502" s="18" t="s">
        <v>502</v>
      </c>
    </row>
    <row r="503" spans="2:10" x14ac:dyDescent="0.25">
      <c r="B503" s="13" t="s">
        <v>435</v>
      </c>
      <c r="C503" s="13" t="s">
        <v>418</v>
      </c>
      <c r="D503" s="13">
        <v>2</v>
      </c>
      <c r="E503" s="3">
        <f>IF(Quantitytable[[#This Row],[Units]]=0,0,SUMIFS(Quantitytable[NeededQuantity],Quantitytable[Dish],Quantitytable[[#This Row],[Dish]],Quantitytable[[Ingredient ]],Quantitytable[[#This Row],[Ingredient ]]))</f>
        <v>0</v>
      </c>
      <c r="F503" s="3">
        <f>SUMIFS(salestable[Quantity Sold],salestable[Item Name],Quantitytable[[#This Row],[Dish]])</f>
        <v>0</v>
      </c>
      <c r="G503" s="3">
        <f>'Quantity Table'!$E503*'Quantity Table'!$F503</f>
        <v>0</v>
      </c>
      <c r="H503" s="3">
        <f>_xlfn.IFNA(VLOOKUP(Quantitytable[[#This Row],[Ingredient ]],Shoppingtable[[Item Name]:[BALANCE Cash]],5,FALSE),0)*Quantitytable[[#This Row],[NeededQuantity]]</f>
        <v>0.3</v>
      </c>
      <c r="I503" s="3">
        <f>SUMIF(Quantitytable[Dish],Quantitytable[[#This Row],[Dish]],Quantitytable[Cost Per Dish Per Item])</f>
        <v>24.548901098901101</v>
      </c>
      <c r="J503" s="18" t="s">
        <v>502</v>
      </c>
    </row>
    <row r="504" spans="2:10" x14ac:dyDescent="0.25">
      <c r="B504" s="13" t="s">
        <v>435</v>
      </c>
      <c r="C504" s="13" t="s">
        <v>489</v>
      </c>
      <c r="D504" s="13">
        <v>5</v>
      </c>
      <c r="E504" s="3">
        <f>IF(Quantitytable[[#This Row],[Units]]=0,0,SUMIFS(Quantitytable[NeededQuantity],Quantitytable[Dish],Quantitytable[[#This Row],[Dish]],Quantitytable[[Ingredient ]],Quantitytable[[#This Row],[Ingredient ]]))</f>
        <v>0</v>
      </c>
      <c r="F504" s="3">
        <f>SUMIFS(salestable[Quantity Sold],salestable[Item Name],Quantitytable[[#This Row],[Dish]])</f>
        <v>0</v>
      </c>
      <c r="G504" s="3">
        <f>'Quantity Table'!$E504*'Quantity Table'!$F504</f>
        <v>0</v>
      </c>
      <c r="H504" s="3">
        <f>_xlfn.IFNA(VLOOKUP(Quantitytable[[#This Row],[Ingredient ]],Shoppingtable[[Item Name]:[BALANCE Cash]],5,FALSE),0)*Quantitytable[[#This Row],[NeededQuantity]]</f>
        <v>0.6</v>
      </c>
      <c r="I504" s="3">
        <f>SUMIF(Quantitytable[Dish],Quantitytable[[#This Row],[Dish]],Quantitytable[Cost Per Dish Per Item])</f>
        <v>24.548901098901101</v>
      </c>
      <c r="J504" s="18" t="s">
        <v>502</v>
      </c>
    </row>
    <row r="505" spans="2:10" x14ac:dyDescent="0.25">
      <c r="B505" s="13" t="s">
        <v>435</v>
      </c>
      <c r="C505" s="13" t="s">
        <v>75</v>
      </c>
      <c r="D505" s="13">
        <v>25</v>
      </c>
      <c r="E505" s="3">
        <f>IF(Quantitytable[[#This Row],[Units]]=0,0,SUMIFS(Quantitytable[NeededQuantity],Quantitytable[Dish],Quantitytable[[#This Row],[Dish]],Quantitytable[[Ingredient ]],Quantitytable[[#This Row],[Ingredient ]]))</f>
        <v>0</v>
      </c>
      <c r="F505" s="3">
        <f>SUMIFS(salestable[Quantity Sold],salestable[Item Name],Quantitytable[[#This Row],[Dish]])</f>
        <v>0</v>
      </c>
      <c r="G505" s="3">
        <f>'Quantity Table'!$E505*'Quantity Table'!$F505</f>
        <v>0</v>
      </c>
      <c r="H505" s="3">
        <f>_xlfn.IFNA(VLOOKUP(Quantitytable[[#This Row],[Ingredient ]],Shoppingtable[[Item Name]:[BALANCE Cash]],5,FALSE),0)*Quantitytable[[#This Row],[NeededQuantity]]</f>
        <v>3.65</v>
      </c>
      <c r="I505" s="3">
        <f>SUMIF(Quantitytable[Dish],Quantitytable[[#This Row],[Dish]],Quantitytable[Cost Per Dish Per Item])</f>
        <v>24.548901098901101</v>
      </c>
      <c r="J505" s="18" t="s">
        <v>502</v>
      </c>
    </row>
    <row r="506" spans="2:10" x14ac:dyDescent="0.25">
      <c r="B506" s="13" t="s">
        <v>435</v>
      </c>
      <c r="C506" s="13" t="s">
        <v>576</v>
      </c>
      <c r="D506" s="13">
        <v>50</v>
      </c>
      <c r="E506" s="3">
        <f>IF(Quantitytable[[#This Row],[Units]]=0,0,SUMIFS(Quantitytable[NeededQuantity],Quantitytable[Dish],Quantitytable[[#This Row],[Dish]],Quantitytable[[Ingredient ]],Quantitytable[[#This Row],[Ingredient ]]))</f>
        <v>0</v>
      </c>
      <c r="F506" s="3">
        <f>SUMIFS(salestable[Quantity Sold],salestable[Item Name],Quantitytable[[#This Row],[Dish]])</f>
        <v>0</v>
      </c>
      <c r="G506" s="3">
        <f>'Quantity Table'!$E506*'Quantity Table'!$F506</f>
        <v>0</v>
      </c>
      <c r="H506" s="3">
        <f>_xlfn.IFNA(VLOOKUP(Quantitytable[[#This Row],[Ingredient ]],Shoppingtable[[Item Name]:[BALANCE Cash]],5,FALSE),0)*Quantitytable[[#This Row],[NeededQuantity]]</f>
        <v>2.9166666666666665</v>
      </c>
      <c r="I506" s="3">
        <f>SUMIF(Quantitytable[Dish],Quantitytable[[#This Row],[Dish]],Quantitytable[Cost Per Dish Per Item])</f>
        <v>24.548901098901101</v>
      </c>
      <c r="J506" s="18" t="s">
        <v>502</v>
      </c>
    </row>
    <row r="507" spans="2:10" x14ac:dyDescent="0.25">
      <c r="B507" s="13" t="s">
        <v>435</v>
      </c>
      <c r="C507" s="13" t="s">
        <v>577</v>
      </c>
      <c r="D507" s="13">
        <v>50</v>
      </c>
      <c r="E507" s="3">
        <f>IF(Quantitytable[[#This Row],[Units]]=0,0,SUMIFS(Quantitytable[NeededQuantity],Quantitytable[Dish],Quantitytable[[#This Row],[Dish]],Quantitytable[[Ingredient ]],Quantitytable[[#This Row],[Ingredient ]]))</f>
        <v>0</v>
      </c>
      <c r="F507" s="3">
        <f>SUMIFS(salestable[Quantity Sold],salestable[Item Name],Quantitytable[[#This Row],[Dish]])</f>
        <v>0</v>
      </c>
      <c r="G507" s="3">
        <f>'Quantity Table'!$E507*'Quantity Table'!$F507</f>
        <v>0</v>
      </c>
      <c r="H507" s="3">
        <f>_xlfn.IFNA(VLOOKUP(Quantitytable[[#This Row],[Ingredient ]],Shoppingtable[[Item Name]:[BALANCE Cash]],5,FALSE),0)*Quantitytable[[#This Row],[NeededQuantity]]</f>
        <v>2.8846153846153846</v>
      </c>
      <c r="I507" s="3">
        <f>SUMIF(Quantitytable[Dish],Quantitytable[[#This Row],[Dish]],Quantitytable[Cost Per Dish Per Item])</f>
        <v>24.548901098901101</v>
      </c>
      <c r="J507" s="18" t="s">
        <v>502</v>
      </c>
    </row>
    <row r="508" spans="2:10" x14ac:dyDescent="0.25">
      <c r="B508" s="13" t="s">
        <v>435</v>
      </c>
      <c r="C508" s="13" t="s">
        <v>98</v>
      </c>
      <c r="D508" s="13">
        <v>80</v>
      </c>
      <c r="E508" s="3">
        <f>IF(Quantitytable[[#This Row],[Units]]=0,0,SUMIFS(Quantitytable[NeededQuantity],Quantitytable[Dish],Quantitytable[[#This Row],[Dish]],Quantitytable[[Ingredient ]],Quantitytable[[#This Row],[Ingredient ]]))</f>
        <v>0</v>
      </c>
      <c r="F508" s="3">
        <f>SUMIFS(salestable[Quantity Sold],salestable[Item Name],Quantitytable[[#This Row],[Dish]])</f>
        <v>0</v>
      </c>
      <c r="G508" s="3">
        <f>'Quantity Table'!$E508*'Quantity Table'!$F508</f>
        <v>0</v>
      </c>
      <c r="H508" s="3">
        <f>_xlfn.IFNA(VLOOKUP(Quantitytable[[#This Row],[Ingredient ]],Shoppingtable[[Item Name]:[BALANCE Cash]],5,FALSE),0)*Quantitytable[[#This Row],[NeededQuantity]]</f>
        <v>4.3333333333333339</v>
      </c>
      <c r="I508" s="3">
        <f>SUMIF(Quantitytable[Dish],Quantitytable[[#This Row],[Dish]],Quantitytable[Cost Per Dish Per Item])</f>
        <v>24.548901098901101</v>
      </c>
      <c r="J508" s="18" t="s">
        <v>502</v>
      </c>
    </row>
    <row r="509" spans="2:10" x14ac:dyDescent="0.25">
      <c r="B509" s="13" t="s">
        <v>435</v>
      </c>
      <c r="C509" s="13" t="s">
        <v>77</v>
      </c>
      <c r="D509" s="13">
        <v>100</v>
      </c>
      <c r="E509" s="3">
        <f>IF(Quantitytable[[#This Row],[Units]]=0,0,SUMIFS(Quantitytable[NeededQuantity],Quantitytable[Dish],Quantitytable[[#This Row],[Dish]],Quantitytable[[Ingredient ]],Quantitytable[[#This Row],[Ingredient ]]))</f>
        <v>0</v>
      </c>
      <c r="F509" s="3">
        <f>SUMIFS(salestable[Quantity Sold],salestable[Item Name],Quantitytable[[#This Row],[Dish]])</f>
        <v>0</v>
      </c>
      <c r="G509" s="3">
        <f>'Quantity Table'!$E509*'Quantity Table'!$F509</f>
        <v>0</v>
      </c>
      <c r="H509" s="3">
        <f>_xlfn.IFNA(VLOOKUP(Quantitytable[[#This Row],[Ingredient ]],Shoppingtable[[Item Name]:[BALANCE Cash]],5,FALSE),0)*Quantitytable[[#This Row],[NeededQuantity]]</f>
        <v>4.1500000000000004</v>
      </c>
      <c r="I509" s="3">
        <f>SUMIF(Quantitytable[Dish],Quantitytable[[#This Row],[Dish]],Quantitytable[Cost Per Dish Per Item])</f>
        <v>24.548901098901101</v>
      </c>
      <c r="J509" s="18" t="s">
        <v>502</v>
      </c>
    </row>
    <row r="510" spans="2:10" x14ac:dyDescent="0.25">
      <c r="B510" s="13" t="s">
        <v>435</v>
      </c>
      <c r="C510" s="13" t="s">
        <v>44</v>
      </c>
      <c r="D510" s="13">
        <v>200</v>
      </c>
      <c r="E510" s="3">
        <f>IF(Quantitytable[[#This Row],[Units]]=0,0,SUMIFS(Quantitytable[NeededQuantity],Quantitytable[Dish],Quantitytable[[#This Row],[Dish]],Quantitytable[[Ingredient ]],Quantitytable[[#This Row],[Ingredient ]]))</f>
        <v>0</v>
      </c>
      <c r="F510" s="3">
        <f>SUMIFS(salestable[Quantity Sold],salestable[Item Name],Quantitytable[[#This Row],[Dish]])</f>
        <v>0</v>
      </c>
      <c r="G510" s="3">
        <f>'Quantity Table'!$E510*'Quantity Table'!$F510</f>
        <v>0</v>
      </c>
      <c r="H510" s="3">
        <f>_xlfn.IFNA(VLOOKUP(Quantitytable[[#This Row],[Ingredient ]],Shoppingtable[[Item Name]:[BALANCE Cash]],5,FALSE),0)*Quantitytable[[#This Row],[NeededQuantity]]</f>
        <v>5.7142857142857144</v>
      </c>
      <c r="I510" s="3">
        <f>SUMIF(Quantitytable[Dish],Quantitytable[[#This Row],[Dish]],Quantitytable[Cost Per Dish Per Item])</f>
        <v>24.548901098901101</v>
      </c>
      <c r="J510" s="18" t="s">
        <v>502</v>
      </c>
    </row>
    <row r="511" spans="2:10" x14ac:dyDescent="0.25">
      <c r="B511" s="13" t="s">
        <v>650</v>
      </c>
      <c r="C511" s="13" t="s">
        <v>418</v>
      </c>
      <c r="D511" s="13">
        <v>2</v>
      </c>
      <c r="E511" s="3">
        <f>IF(Quantitytable[[#This Row],[Units]]=0,0,SUMIFS(Quantitytable[NeededQuantity],Quantitytable[Dish],Quantitytable[[#This Row],[Dish]],Quantitytable[[Ingredient ]],Quantitytable[[#This Row],[Ingredient ]]))</f>
        <v>0</v>
      </c>
      <c r="F511" s="3">
        <f>SUMIFS(salestable[Quantity Sold],salestable[Item Name],Quantitytable[[#This Row],[Dish]])</f>
        <v>0</v>
      </c>
      <c r="G511" s="3">
        <f>'Quantity Table'!$E511*'Quantity Table'!$F511</f>
        <v>0</v>
      </c>
      <c r="H511" s="3">
        <f>_xlfn.IFNA(VLOOKUP(Quantitytable[[#This Row],[Ingredient ]],Shoppingtable[[Item Name]:[BALANCE Cash]],5,FALSE),0)*Quantitytable[[#This Row],[NeededQuantity]]</f>
        <v>0.3</v>
      </c>
      <c r="I511" s="3">
        <f>SUMIF(Quantitytable[Dish],Quantitytable[[#This Row],[Dish]],Quantitytable[Cost Per Dish Per Item])</f>
        <v>36.494285714285716</v>
      </c>
      <c r="J511" s="18" t="s">
        <v>502</v>
      </c>
    </row>
    <row r="512" spans="2:10" x14ac:dyDescent="0.25">
      <c r="B512" s="13" t="s">
        <v>650</v>
      </c>
      <c r="C512" s="13" t="s">
        <v>489</v>
      </c>
      <c r="D512" s="13">
        <v>5</v>
      </c>
      <c r="E512" s="3">
        <f>IF(Quantitytable[[#This Row],[Units]]=0,0,SUMIFS(Quantitytable[NeededQuantity],Quantitytable[Dish],Quantitytable[[#This Row],[Dish]],Quantitytable[[Ingredient ]],Quantitytable[[#This Row],[Ingredient ]]))</f>
        <v>0</v>
      </c>
      <c r="F512" s="3">
        <f>SUMIFS(salestable[Quantity Sold],salestable[Item Name],Quantitytable[[#This Row],[Dish]])</f>
        <v>0</v>
      </c>
      <c r="G512" s="3">
        <f>'Quantity Table'!$E512*'Quantity Table'!$F512</f>
        <v>0</v>
      </c>
      <c r="H512" s="3">
        <f>_xlfn.IFNA(VLOOKUP(Quantitytable[[#This Row],[Ingredient ]],Shoppingtable[[Item Name]:[BALANCE Cash]],5,FALSE),0)*Quantitytable[[#This Row],[NeededQuantity]]</f>
        <v>0.6</v>
      </c>
      <c r="I512" s="3">
        <f>SUMIF(Quantitytable[Dish],Quantitytable[[#This Row],[Dish]],Quantitytable[Cost Per Dish Per Item])</f>
        <v>36.494285714285716</v>
      </c>
      <c r="J512" s="18" t="s">
        <v>502</v>
      </c>
    </row>
    <row r="513" spans="2:10" x14ac:dyDescent="0.25">
      <c r="B513" s="13" t="s">
        <v>650</v>
      </c>
      <c r="C513" s="13" t="s">
        <v>75</v>
      </c>
      <c r="D513" s="13">
        <v>25</v>
      </c>
      <c r="E513" s="3">
        <f>IF(Quantitytable[[#This Row],[Units]]=0,0,SUMIFS(Quantitytable[NeededQuantity],Quantitytable[Dish],Quantitytable[[#This Row],[Dish]],Quantitytable[[Ingredient ]],Quantitytable[[#This Row],[Ingredient ]]))</f>
        <v>0</v>
      </c>
      <c r="F513" s="3">
        <f>SUMIFS(salestable[Quantity Sold],salestable[Item Name],Quantitytable[[#This Row],[Dish]])</f>
        <v>0</v>
      </c>
      <c r="G513" s="3">
        <f>'Quantity Table'!$E513*'Quantity Table'!$F513</f>
        <v>0</v>
      </c>
      <c r="H513" s="3">
        <f>_xlfn.IFNA(VLOOKUP(Quantitytable[[#This Row],[Ingredient ]],Shoppingtable[[Item Name]:[BALANCE Cash]],5,FALSE),0)*Quantitytable[[#This Row],[NeededQuantity]]</f>
        <v>3.65</v>
      </c>
      <c r="I513" s="3">
        <f>SUMIF(Quantitytable[Dish],Quantitytable[[#This Row],[Dish]],Quantitytable[Cost Per Dish Per Item])</f>
        <v>36.494285714285716</v>
      </c>
      <c r="J513" s="18" t="s">
        <v>502</v>
      </c>
    </row>
    <row r="514" spans="2:10" x14ac:dyDescent="0.25">
      <c r="B514" s="13" t="s">
        <v>650</v>
      </c>
      <c r="C514" s="13" t="s">
        <v>163</v>
      </c>
      <c r="D514" s="13">
        <v>100</v>
      </c>
      <c r="E514" s="3">
        <f>IF(Quantitytable[[#This Row],[Units]]=0,0,SUMIFS(Quantitytable[NeededQuantity],Quantitytable[Dish],Quantitytable[[#This Row],[Dish]],Quantitytable[[Ingredient ]],Quantitytable[[#This Row],[Ingredient ]]))</f>
        <v>0</v>
      </c>
      <c r="F514" s="3">
        <f>SUMIFS(salestable[Quantity Sold],salestable[Item Name],Quantitytable[[#This Row],[Dish]])</f>
        <v>0</v>
      </c>
      <c r="G514" s="3">
        <f>'Quantity Table'!$E514*'Quantity Table'!$F514</f>
        <v>0</v>
      </c>
      <c r="H514" s="3">
        <f>_xlfn.IFNA(VLOOKUP(Quantitytable[[#This Row],[Ingredient ]],Shoppingtable[[Item Name]:[BALANCE Cash]],5,FALSE),0)*Quantitytable[[#This Row],[NeededQuantity]]</f>
        <v>22.08</v>
      </c>
      <c r="I514" s="3">
        <f>SUMIF(Quantitytable[Dish],Quantitytable[[#This Row],[Dish]],Quantitytable[Cost Per Dish Per Item])</f>
        <v>36.494285714285716</v>
      </c>
      <c r="J514" s="18" t="s">
        <v>502</v>
      </c>
    </row>
    <row r="515" spans="2:10" x14ac:dyDescent="0.25">
      <c r="B515" s="13" t="s">
        <v>650</v>
      </c>
      <c r="C515" s="13" t="s">
        <v>77</v>
      </c>
      <c r="D515" s="13">
        <v>100</v>
      </c>
      <c r="E515" s="3">
        <f>IF(Quantitytable[[#This Row],[Units]]=0,0,SUMIFS(Quantitytable[NeededQuantity],Quantitytable[Dish],Quantitytable[[#This Row],[Dish]],Quantitytable[[Ingredient ]],Quantitytable[[#This Row],[Ingredient ]]))</f>
        <v>0</v>
      </c>
      <c r="F515" s="3">
        <f>SUMIFS(salestable[Quantity Sold],salestable[Item Name],Quantitytable[[#This Row],[Dish]])</f>
        <v>0</v>
      </c>
      <c r="G515" s="3">
        <f>'Quantity Table'!$E515*'Quantity Table'!$F515</f>
        <v>0</v>
      </c>
      <c r="H515" s="3">
        <f>_xlfn.IFNA(VLOOKUP(Quantitytable[[#This Row],[Ingredient ]],Shoppingtable[[Item Name]:[BALANCE Cash]],5,FALSE),0)*Quantitytable[[#This Row],[NeededQuantity]]</f>
        <v>4.1500000000000004</v>
      </c>
      <c r="I515" s="3">
        <f>SUMIF(Quantitytable[Dish],Quantitytable[[#This Row],[Dish]],Quantitytable[Cost Per Dish Per Item])</f>
        <v>36.494285714285716</v>
      </c>
      <c r="J515" s="18" t="s">
        <v>502</v>
      </c>
    </row>
    <row r="516" spans="2:10" x14ac:dyDescent="0.25">
      <c r="B516" s="13" t="s">
        <v>650</v>
      </c>
      <c r="C516" s="13" t="s">
        <v>44</v>
      </c>
      <c r="D516" s="13">
        <v>200</v>
      </c>
      <c r="E516" s="3">
        <f>IF(Quantitytable[[#This Row],[Units]]=0,0,SUMIFS(Quantitytable[NeededQuantity],Quantitytable[Dish],Quantitytable[[#This Row],[Dish]],Quantitytable[[Ingredient ]],Quantitytable[[#This Row],[Ingredient ]]))</f>
        <v>0</v>
      </c>
      <c r="F516" s="3">
        <f>SUMIFS(salestable[Quantity Sold],salestable[Item Name],Quantitytable[[#This Row],[Dish]])</f>
        <v>0</v>
      </c>
      <c r="G516" s="3">
        <f>'Quantity Table'!$E516*'Quantity Table'!$F516</f>
        <v>0</v>
      </c>
      <c r="H516" s="3">
        <f>_xlfn.IFNA(VLOOKUP(Quantitytable[[#This Row],[Ingredient ]],Shoppingtable[[Item Name]:[BALANCE Cash]],5,FALSE),0)*Quantitytable[[#This Row],[NeededQuantity]]</f>
        <v>5.7142857142857144</v>
      </c>
      <c r="I516" s="3">
        <f>SUMIF(Quantitytable[Dish],Quantitytable[[#This Row],[Dish]],Quantitytable[Cost Per Dish Per Item])</f>
        <v>36.494285714285716</v>
      </c>
      <c r="J516" s="18" t="s">
        <v>502</v>
      </c>
    </row>
    <row r="517" spans="2:10" x14ac:dyDescent="0.25">
      <c r="B517" s="13" t="s">
        <v>673</v>
      </c>
      <c r="C517" s="13" t="s">
        <v>418</v>
      </c>
      <c r="D517" s="13">
        <v>2</v>
      </c>
      <c r="E517" s="3">
        <f>IF(Quantitytable[[#This Row],[Units]]=0,0,SUMIFS(Quantitytable[NeededQuantity],Quantitytable[Dish],Quantitytable[[#This Row],[Dish]],Quantitytable[[Ingredient ]],Quantitytable[[#This Row],[Ingredient ]]))</f>
        <v>0</v>
      </c>
      <c r="F517" s="3">
        <f>SUMIFS(salestable[Quantity Sold],salestable[Item Name],Quantitytable[[#This Row],[Dish]])</f>
        <v>0</v>
      </c>
      <c r="G517" s="3">
        <f>'Quantity Table'!$E517*'Quantity Table'!$F517</f>
        <v>0</v>
      </c>
      <c r="H517" s="3">
        <f>_xlfn.IFNA(VLOOKUP(Quantitytable[[#This Row],[Ingredient ]],Shoppingtable[[Item Name]:[BALANCE Cash]],5,FALSE),0)*Quantitytable[[#This Row],[NeededQuantity]]</f>
        <v>0.3</v>
      </c>
      <c r="I517" s="3">
        <f>SUMIF(Quantitytable[Dish],Quantitytable[[#This Row],[Dish]],Quantitytable[Cost Per Dish Per Item])</f>
        <v>27.726785714285718</v>
      </c>
      <c r="J517" s="18" t="s">
        <v>502</v>
      </c>
    </row>
    <row r="518" spans="2:10" x14ac:dyDescent="0.25">
      <c r="B518" s="13" t="s">
        <v>673</v>
      </c>
      <c r="C518" s="13" t="s">
        <v>489</v>
      </c>
      <c r="D518" s="13">
        <v>5</v>
      </c>
      <c r="E518" s="3">
        <f>IF(Quantitytable[[#This Row],[Units]]=0,0,SUMIFS(Quantitytable[NeededQuantity],Quantitytable[Dish],Quantitytable[[#This Row],[Dish]],Quantitytable[[Ingredient ]],Quantitytable[[#This Row],[Ingredient ]]))</f>
        <v>0</v>
      </c>
      <c r="F518" s="3">
        <f>SUMIFS(salestable[Quantity Sold],salestable[Item Name],Quantitytable[[#This Row],[Dish]])</f>
        <v>0</v>
      </c>
      <c r="G518" s="3">
        <f>'Quantity Table'!$E518*'Quantity Table'!$F518</f>
        <v>0</v>
      </c>
      <c r="H518" s="3">
        <f>_xlfn.IFNA(VLOOKUP(Quantitytable[[#This Row],[Ingredient ]],Shoppingtable[[Item Name]:[BALANCE Cash]],5,FALSE),0)*Quantitytable[[#This Row],[NeededQuantity]]</f>
        <v>0.6</v>
      </c>
      <c r="I518" s="3">
        <f>SUMIF(Quantitytable[Dish],Quantitytable[[#This Row],[Dish]],Quantitytable[Cost Per Dish Per Item])</f>
        <v>27.726785714285718</v>
      </c>
      <c r="J518" s="18" t="s">
        <v>502</v>
      </c>
    </row>
    <row r="519" spans="2:10" x14ac:dyDescent="0.25">
      <c r="B519" s="13" t="s">
        <v>673</v>
      </c>
      <c r="C519" s="13" t="s">
        <v>75</v>
      </c>
      <c r="D519" s="13">
        <v>25</v>
      </c>
      <c r="E519" s="3">
        <f>IF(Quantitytable[[#This Row],[Units]]=0,0,SUMIFS(Quantitytable[NeededQuantity],Quantitytable[Dish],Quantitytable[[#This Row],[Dish]],Quantitytable[[Ingredient ]],Quantitytable[[#This Row],[Ingredient ]]))</f>
        <v>0</v>
      </c>
      <c r="F519" s="3">
        <f>SUMIFS(salestable[Quantity Sold],salestable[Item Name],Quantitytable[[#This Row],[Dish]])</f>
        <v>0</v>
      </c>
      <c r="G519" s="3">
        <f>'Quantity Table'!$E519*'Quantity Table'!$F519</f>
        <v>0</v>
      </c>
      <c r="H519" s="3">
        <f>_xlfn.IFNA(VLOOKUP(Quantitytable[[#This Row],[Ingredient ]],Shoppingtable[[Item Name]:[BALANCE Cash]],5,FALSE),0)*Quantitytable[[#This Row],[NeededQuantity]]</f>
        <v>3.65</v>
      </c>
      <c r="I519" s="3">
        <f>SUMIF(Quantitytable[Dish],Quantitytable[[#This Row],[Dish]],Quantitytable[Cost Per Dish Per Item])</f>
        <v>27.726785714285718</v>
      </c>
      <c r="J519" s="18" t="s">
        <v>502</v>
      </c>
    </row>
    <row r="520" spans="2:10" x14ac:dyDescent="0.25">
      <c r="B520" s="13" t="s">
        <v>673</v>
      </c>
      <c r="C520" s="13" t="s">
        <v>600</v>
      </c>
      <c r="D520" s="13">
        <v>150</v>
      </c>
      <c r="E520" s="3">
        <f>IF(Quantitytable[[#This Row],[Units]]=0,0,SUMIFS(Quantitytable[NeededQuantity],Quantitytable[Dish],Quantitytable[[#This Row],[Dish]],Quantitytable[[Ingredient ]],Quantitytable[[#This Row],[Ingredient ]]))</f>
        <v>0</v>
      </c>
      <c r="F520" s="3">
        <f>SUMIFS(salestable[Quantity Sold],salestable[Item Name],Quantitytable[[#This Row],[Dish]])</f>
        <v>0</v>
      </c>
      <c r="G520" s="3">
        <f>'Quantity Table'!$E520*'Quantity Table'!$F520</f>
        <v>0</v>
      </c>
      <c r="H520" s="3">
        <f>_xlfn.IFNA(VLOOKUP(Quantitytable[[#This Row],[Ingredient ]],Shoppingtable[[Item Name]:[BALANCE Cash]],5,FALSE),0)*Quantitytable[[#This Row],[NeededQuantity]]</f>
        <v>13.3125</v>
      </c>
      <c r="I520" s="3">
        <f>SUMIF(Quantitytable[Dish],Quantitytable[[#This Row],[Dish]],Quantitytable[Cost Per Dish Per Item])</f>
        <v>27.726785714285718</v>
      </c>
      <c r="J520" s="18" t="s">
        <v>502</v>
      </c>
    </row>
    <row r="521" spans="2:10" x14ac:dyDescent="0.25">
      <c r="B521" s="13" t="s">
        <v>673</v>
      </c>
      <c r="C521" s="13" t="s">
        <v>77</v>
      </c>
      <c r="D521" s="13">
        <v>100</v>
      </c>
      <c r="E521" s="3">
        <f>IF(Quantitytable[[#This Row],[Units]]=0,0,SUMIFS(Quantitytable[NeededQuantity],Quantitytable[Dish],Quantitytable[[#This Row],[Dish]],Quantitytable[[Ingredient ]],Quantitytable[[#This Row],[Ingredient ]]))</f>
        <v>0</v>
      </c>
      <c r="F521" s="3">
        <f>SUMIFS(salestable[Quantity Sold],salestable[Item Name],Quantitytable[[#This Row],[Dish]])</f>
        <v>0</v>
      </c>
      <c r="G521" s="3">
        <f>'Quantity Table'!$E521*'Quantity Table'!$F521</f>
        <v>0</v>
      </c>
      <c r="H521" s="3">
        <f>_xlfn.IFNA(VLOOKUP(Quantitytable[[#This Row],[Ingredient ]],Shoppingtable[[Item Name]:[BALANCE Cash]],5,FALSE),0)*Quantitytable[[#This Row],[NeededQuantity]]</f>
        <v>4.1500000000000004</v>
      </c>
      <c r="I521" s="3">
        <f>SUMIF(Quantitytable[Dish],Quantitytable[[#This Row],[Dish]],Quantitytable[Cost Per Dish Per Item])</f>
        <v>27.726785714285718</v>
      </c>
      <c r="J521" s="18" t="s">
        <v>502</v>
      </c>
    </row>
    <row r="522" spans="2:10" x14ac:dyDescent="0.25">
      <c r="B522" s="13" t="s">
        <v>673</v>
      </c>
      <c r="C522" s="13" t="s">
        <v>44</v>
      </c>
      <c r="D522" s="13">
        <v>200</v>
      </c>
      <c r="E522" s="3">
        <f>IF(Quantitytable[[#This Row],[Units]]=0,0,SUMIFS(Quantitytable[NeededQuantity],Quantitytable[Dish],Quantitytable[[#This Row],[Dish]],Quantitytable[[Ingredient ]],Quantitytable[[#This Row],[Ingredient ]]))</f>
        <v>0</v>
      </c>
      <c r="F522" s="3">
        <f>SUMIFS(salestable[Quantity Sold],salestable[Item Name],Quantitytable[[#This Row],[Dish]])</f>
        <v>0</v>
      </c>
      <c r="G522" s="3">
        <f>'Quantity Table'!$E522*'Quantity Table'!$F522</f>
        <v>0</v>
      </c>
      <c r="H522" s="3">
        <f>_xlfn.IFNA(VLOOKUP(Quantitytable[[#This Row],[Ingredient ]],Shoppingtable[[Item Name]:[BALANCE Cash]],5,FALSE),0)*Quantitytable[[#This Row],[NeededQuantity]]</f>
        <v>5.7142857142857144</v>
      </c>
      <c r="I522" s="3">
        <f>SUMIF(Quantitytable[Dish],Quantitytable[[#This Row],[Dish]],Quantitytable[Cost Per Dish Per Item])</f>
        <v>27.726785714285718</v>
      </c>
      <c r="J522" s="18" t="s">
        <v>502</v>
      </c>
    </row>
    <row r="523" spans="2:10" x14ac:dyDescent="0.25">
      <c r="B523" s="13" t="s">
        <v>216</v>
      </c>
      <c r="C523" s="13" t="s">
        <v>44</v>
      </c>
      <c r="D523" s="13"/>
      <c r="E523" s="3">
        <f>IF(Quantitytable[[#This Row],[Units]]=0,0,SUMIFS(Quantitytable[NeededQuantity],Quantitytable[Dish],Quantitytable[[#This Row],[Dish]],Quantitytable[[Ingredient ]],Quantitytable[[#This Row],[Ingredient ]]))</f>
        <v>0</v>
      </c>
      <c r="F523" s="3">
        <f>SUMIFS(salestable[Quantity Sold],salestable[Item Name],Quantitytable[[#This Row],[Dish]])</f>
        <v>0</v>
      </c>
      <c r="G523" s="3">
        <f>'Quantity Table'!$E523*'Quantity Table'!$F523</f>
        <v>0</v>
      </c>
      <c r="H523" s="3">
        <f>_xlfn.IFNA(VLOOKUP(Quantitytable[[#This Row],[Ingredient ]],Shoppingtable[[Item Name]:[BALANCE Cash]],5,FALSE),0)*Quantitytable[[#This Row],[NeededQuantity]]</f>
        <v>0</v>
      </c>
      <c r="I523" s="3">
        <f>SUMIF(Quantitytable[Dish],Quantitytable[[#This Row],[Dish]],Quantitytable[Cost Per Dish Per Item])</f>
        <v>0</v>
      </c>
      <c r="J523" s="18" t="s">
        <v>502</v>
      </c>
    </row>
    <row r="524" spans="2:10" x14ac:dyDescent="0.25">
      <c r="B524" s="13" t="s">
        <v>216</v>
      </c>
      <c r="C524" s="13" t="s">
        <v>77</v>
      </c>
      <c r="D524" s="13"/>
      <c r="E524" s="3">
        <f>IF(Quantitytable[[#This Row],[Units]]=0,0,SUMIFS(Quantitytable[NeededQuantity],Quantitytable[Dish],Quantitytable[[#This Row],[Dish]],Quantitytable[[Ingredient ]],Quantitytable[[#This Row],[Ingredient ]]))</f>
        <v>0</v>
      </c>
      <c r="F524" s="3">
        <f>SUMIFS(salestable[Quantity Sold],salestable[Item Name],Quantitytable[[#This Row],[Dish]])</f>
        <v>0</v>
      </c>
      <c r="G524" s="3">
        <f>'Quantity Table'!$E524*'Quantity Table'!$F524</f>
        <v>0</v>
      </c>
      <c r="H524" s="3">
        <f>_xlfn.IFNA(VLOOKUP(Quantitytable[[#This Row],[Ingredient ]],Shoppingtable[[Item Name]:[BALANCE Cash]],5,FALSE),0)*Quantitytable[[#This Row],[NeededQuantity]]</f>
        <v>0</v>
      </c>
      <c r="I524" s="3">
        <f>SUMIF(Quantitytable[Dish],Quantitytable[[#This Row],[Dish]],Quantitytable[Cost Per Dish Per Item])</f>
        <v>0</v>
      </c>
      <c r="J524" s="18" t="s">
        <v>502</v>
      </c>
    </row>
    <row r="525" spans="2:10" x14ac:dyDescent="0.25">
      <c r="B525" s="13" t="s">
        <v>216</v>
      </c>
      <c r="C525" s="13" t="s">
        <v>25</v>
      </c>
      <c r="D525" s="13"/>
      <c r="E525" s="3">
        <f>IF(Quantitytable[[#This Row],[Units]]=0,0,SUMIFS(Quantitytable[NeededQuantity],Quantitytable[Dish],Quantitytable[[#This Row],[Dish]],Quantitytable[[Ingredient ]],Quantitytable[[#This Row],[Ingredient ]]))</f>
        <v>0</v>
      </c>
      <c r="F525" s="3">
        <f>SUMIFS(salestable[Quantity Sold],salestable[Item Name],Quantitytable[[#This Row],[Dish]])</f>
        <v>0</v>
      </c>
      <c r="G525" s="3">
        <f>'Quantity Table'!$E525*'Quantity Table'!$F525</f>
        <v>0</v>
      </c>
      <c r="H525" s="3">
        <f>_xlfn.IFNA(VLOOKUP(Quantitytable[[#This Row],[Ingredient ]],Shoppingtable[[Item Name]:[BALANCE Cash]],5,FALSE),0)*Quantitytable[[#This Row],[NeededQuantity]]</f>
        <v>0</v>
      </c>
      <c r="I525" s="3">
        <f>SUMIF(Quantitytable[Dish],Quantitytable[[#This Row],[Dish]],Quantitytable[Cost Per Dish Per Item])</f>
        <v>0</v>
      </c>
      <c r="J525" s="18" t="s">
        <v>502</v>
      </c>
    </row>
    <row r="526" spans="2:10" x14ac:dyDescent="0.25">
      <c r="B526" s="13" t="s">
        <v>216</v>
      </c>
      <c r="C526" s="13" t="s">
        <v>104</v>
      </c>
      <c r="D526" s="13"/>
      <c r="E526" s="3">
        <f>IF(Quantitytable[[#This Row],[Units]]=0,0,SUMIFS(Quantitytable[NeededQuantity],Quantitytable[Dish],Quantitytable[[#This Row],[Dish]],Quantitytable[[Ingredient ]],Quantitytable[[#This Row],[Ingredient ]]))</f>
        <v>0</v>
      </c>
      <c r="F526" s="3">
        <f>SUMIFS(salestable[Quantity Sold],salestable[Item Name],Quantitytable[[#This Row],[Dish]])</f>
        <v>0</v>
      </c>
      <c r="G526" s="3">
        <f>'Quantity Table'!$E526*'Quantity Table'!$F526</f>
        <v>0</v>
      </c>
      <c r="H526" s="3">
        <f>_xlfn.IFNA(VLOOKUP(Quantitytable[[#This Row],[Ingredient ]],Shoppingtable[[Item Name]:[BALANCE Cash]],5,FALSE),0)*Quantitytable[[#This Row],[NeededQuantity]]</f>
        <v>0</v>
      </c>
      <c r="I526" s="3">
        <f>SUMIF(Quantitytable[Dish],Quantitytable[[#This Row],[Dish]],Quantitytable[Cost Per Dish Per Item])</f>
        <v>0</v>
      </c>
      <c r="J526" s="18" t="s">
        <v>502</v>
      </c>
    </row>
    <row r="527" spans="2:10" x14ac:dyDescent="0.25">
      <c r="B527" s="13" t="s">
        <v>651</v>
      </c>
      <c r="C527" s="13" t="s">
        <v>44</v>
      </c>
      <c r="D527" s="13">
        <v>140</v>
      </c>
      <c r="E527" s="3">
        <f>IF(Quantitytable[[#This Row],[Units]]=0,0,SUMIFS(Quantitytable[NeededQuantity],Quantitytable[Dish],Quantitytable[[#This Row],[Dish]],Quantitytable[[Ingredient ]],Quantitytable[[#This Row],[Ingredient ]]))</f>
        <v>0</v>
      </c>
      <c r="F527" s="3">
        <f>SUMIFS(salestable[Quantity Sold],salestable[Item Name],Quantitytable[[#This Row],[Dish]])</f>
        <v>0</v>
      </c>
      <c r="G527" s="3">
        <f>'Quantity Table'!$E527*'Quantity Table'!$F527</f>
        <v>0</v>
      </c>
      <c r="H527" s="3">
        <f>_xlfn.IFNA(VLOOKUP(Quantitytable[[#This Row],[Ingredient ]],Shoppingtable[[Item Name]:[BALANCE Cash]],5,FALSE),0)*Quantitytable[[#This Row],[NeededQuantity]]</f>
        <v>4</v>
      </c>
      <c r="I527" s="3">
        <f>SUMIF(Quantitytable[Dish],Quantitytable[[#This Row],[Dish]],Quantitytable[Cost Per Dish Per Item])</f>
        <v>34.765000000000001</v>
      </c>
      <c r="J527" s="18" t="s">
        <v>502</v>
      </c>
    </row>
    <row r="528" spans="2:10" x14ac:dyDescent="0.25">
      <c r="B528" s="13" t="s">
        <v>651</v>
      </c>
      <c r="C528" s="13" t="s">
        <v>77</v>
      </c>
      <c r="D528" s="13">
        <v>50</v>
      </c>
      <c r="E528" s="3">
        <f>IF(Quantitytable[[#This Row],[Units]]=0,0,SUMIFS(Quantitytable[NeededQuantity],Quantitytable[Dish],Quantitytable[[#This Row],[Dish]],Quantitytable[[Ingredient ]],Quantitytable[[#This Row],[Ingredient ]]))</f>
        <v>0</v>
      </c>
      <c r="F528" s="3">
        <f>SUMIFS(salestable[Quantity Sold],salestable[Item Name],Quantitytable[[#This Row],[Dish]])</f>
        <v>0</v>
      </c>
      <c r="G528" s="3">
        <f>'Quantity Table'!$E528*'Quantity Table'!$F528</f>
        <v>0</v>
      </c>
      <c r="H528" s="3">
        <f>_xlfn.IFNA(VLOOKUP(Quantitytable[[#This Row],[Ingredient ]],Shoppingtable[[Item Name]:[BALANCE Cash]],5,FALSE),0)*Quantitytable[[#This Row],[NeededQuantity]]</f>
        <v>2.0750000000000002</v>
      </c>
      <c r="I528" s="3">
        <f>SUMIF(Quantitytable[Dish],Quantitytable[[#This Row],[Dish]],Quantitytable[Cost Per Dish Per Item])</f>
        <v>34.765000000000001</v>
      </c>
      <c r="J528" s="18" t="s">
        <v>502</v>
      </c>
    </row>
    <row r="529" spans="2:10" x14ac:dyDescent="0.25">
      <c r="B529" s="13" t="s">
        <v>651</v>
      </c>
      <c r="C529" s="13" t="s">
        <v>75</v>
      </c>
      <c r="D529" s="13">
        <v>35</v>
      </c>
      <c r="E529" s="3">
        <f>IF(Quantitytable[[#This Row],[Units]]=0,0,SUMIFS(Quantitytable[NeededQuantity],Quantitytable[Dish],Quantitytable[[#This Row],[Dish]],Quantitytable[[Ingredient ]],Quantitytable[[#This Row],[Ingredient ]]))</f>
        <v>0</v>
      </c>
      <c r="F529" s="3">
        <f>SUMIFS(salestable[Quantity Sold],salestable[Item Name],Quantitytable[[#This Row],[Dish]])</f>
        <v>0</v>
      </c>
      <c r="G529" s="3">
        <f>'Quantity Table'!$E529*'Quantity Table'!$F529</f>
        <v>0</v>
      </c>
      <c r="H529" s="3">
        <f>_xlfn.IFNA(VLOOKUP(Quantitytable[[#This Row],[Ingredient ]],Shoppingtable[[Item Name]:[BALANCE Cash]],5,FALSE),0)*Quantitytable[[#This Row],[NeededQuantity]]</f>
        <v>5.1099999999999994</v>
      </c>
      <c r="I529" s="3">
        <f>SUMIF(Quantitytable[Dish],Quantitytable[[#This Row],[Dish]],Quantitytable[Cost Per Dish Per Item])</f>
        <v>34.765000000000001</v>
      </c>
      <c r="J529" s="18" t="s">
        <v>502</v>
      </c>
    </row>
    <row r="530" spans="2:10" x14ac:dyDescent="0.25">
      <c r="B530" s="13" t="s">
        <v>651</v>
      </c>
      <c r="C530" s="13" t="s">
        <v>625</v>
      </c>
      <c r="D530" s="13">
        <v>100</v>
      </c>
      <c r="E530" s="3">
        <f>IF(Quantitytable[[#This Row],[Units]]=0,0,SUMIFS(Quantitytable[NeededQuantity],Quantitytable[Dish],Quantitytable[[#This Row],[Dish]],Quantitytable[[Ingredient ]],Quantitytable[[#This Row],[Ingredient ]]))</f>
        <v>0</v>
      </c>
      <c r="F530" s="3">
        <f>SUMIFS(salestable[Quantity Sold],salestable[Item Name],Quantitytable[[#This Row],[Dish]])</f>
        <v>0</v>
      </c>
      <c r="G530" s="3">
        <f>'Quantity Table'!$E530*'Quantity Table'!$F530</f>
        <v>0</v>
      </c>
      <c r="H530" s="3">
        <f>_xlfn.IFNA(VLOOKUP(Quantitytable[[#This Row],[Ingredient ]],Shoppingtable[[Item Name]:[BALANCE Cash]],5,FALSE),0)*Quantitytable[[#This Row],[NeededQuantity]]</f>
        <v>22.08</v>
      </c>
      <c r="I530" s="3">
        <f>SUMIF(Quantitytable[Dish],Quantitytable[[#This Row],[Dish]],Quantitytable[Cost Per Dish Per Item])</f>
        <v>34.765000000000001</v>
      </c>
      <c r="J530" s="18" t="s">
        <v>502</v>
      </c>
    </row>
    <row r="531" spans="2:10" x14ac:dyDescent="0.25">
      <c r="B531" s="13" t="s">
        <v>651</v>
      </c>
      <c r="C531" s="13" t="s">
        <v>104</v>
      </c>
      <c r="D531" s="13">
        <v>50</v>
      </c>
      <c r="E531" s="3">
        <f>IF(Quantitytable[[#This Row],[Units]]=0,0,SUMIFS(Quantitytable[NeededQuantity],Quantitytable[Dish],Quantitytable[[#This Row],[Dish]],Quantitytable[[Ingredient ]],Quantitytable[[#This Row],[Ingredient ]]))</f>
        <v>0</v>
      </c>
      <c r="F531" s="3">
        <f>SUMIFS(salestable[Quantity Sold],salestable[Item Name],Quantitytable[[#This Row],[Dish]])</f>
        <v>0</v>
      </c>
      <c r="G531" s="3">
        <f>'Quantity Table'!$E531*'Quantity Table'!$F531</f>
        <v>0</v>
      </c>
      <c r="H531" s="3">
        <f>_xlfn.IFNA(VLOOKUP(Quantitytable[[#This Row],[Ingredient ]],Shoppingtable[[Item Name]:[BALANCE Cash]],5,FALSE),0)*Quantitytable[[#This Row],[NeededQuantity]]</f>
        <v>1.5</v>
      </c>
      <c r="I531" s="3">
        <f>SUMIF(Quantitytable[Dish],Quantitytable[[#This Row],[Dish]],Quantitytable[Cost Per Dish Per Item])</f>
        <v>34.765000000000001</v>
      </c>
      <c r="J531" s="18" t="s">
        <v>502</v>
      </c>
    </row>
    <row r="532" spans="2:10" x14ac:dyDescent="0.25">
      <c r="B532" s="13" t="s">
        <v>674</v>
      </c>
      <c r="C532" s="13" t="s">
        <v>44</v>
      </c>
      <c r="D532" s="13">
        <v>140</v>
      </c>
      <c r="E532" s="3">
        <f>IF(Quantitytable[[#This Row],[Units]]=0,0,SUMIFS(Quantitytable[NeededQuantity],Quantitytable[Dish],Quantitytable[[#This Row],[Dish]],Quantitytable[[Ingredient ]],Quantitytable[[#This Row],[Ingredient ]]))</f>
        <v>0</v>
      </c>
      <c r="F532" s="3">
        <f>SUMIFS(salestable[Quantity Sold],salestable[Item Name],Quantitytable[[#This Row],[Dish]])</f>
        <v>0</v>
      </c>
      <c r="G532" s="3">
        <f>'Quantity Table'!$E532*'Quantity Table'!$F532</f>
        <v>0</v>
      </c>
      <c r="H532" s="3">
        <f>_xlfn.IFNA(VLOOKUP(Quantitytable[[#This Row],[Ingredient ]],Shoppingtable[[Item Name]:[BALANCE Cash]],5,FALSE),0)*Quantitytable[[#This Row],[NeededQuantity]]</f>
        <v>4</v>
      </c>
      <c r="I532" s="3">
        <f>SUMIF(Quantitytable[Dish],Quantitytable[[#This Row],[Dish]],Quantitytable[Cost Per Dish Per Item])</f>
        <v>12.684999999999999</v>
      </c>
      <c r="J532" s="18" t="s">
        <v>502</v>
      </c>
    </row>
    <row r="533" spans="2:10" x14ac:dyDescent="0.25">
      <c r="B533" s="13" t="s">
        <v>674</v>
      </c>
      <c r="C533" s="13" t="s">
        <v>77</v>
      </c>
      <c r="D533" s="13">
        <v>50</v>
      </c>
      <c r="E533" s="3">
        <f>IF(Quantitytable[[#This Row],[Units]]=0,0,SUMIFS(Quantitytable[NeededQuantity],Quantitytable[Dish],Quantitytable[[#This Row],[Dish]],Quantitytable[[Ingredient ]],Quantitytable[[#This Row],[Ingredient ]]))</f>
        <v>0</v>
      </c>
      <c r="F533" s="3">
        <f>SUMIFS(salestable[Quantity Sold],salestable[Item Name],Quantitytable[[#This Row],[Dish]])</f>
        <v>0</v>
      </c>
      <c r="G533" s="3">
        <f>'Quantity Table'!$E533*'Quantity Table'!$F533</f>
        <v>0</v>
      </c>
      <c r="H533" s="3">
        <f>_xlfn.IFNA(VLOOKUP(Quantitytable[[#This Row],[Ingredient ]],Shoppingtable[[Item Name]:[BALANCE Cash]],5,FALSE),0)*Quantitytable[[#This Row],[NeededQuantity]]</f>
        <v>2.0750000000000002</v>
      </c>
      <c r="I533" s="3">
        <f>SUMIF(Quantitytable[Dish],Quantitytable[[#This Row],[Dish]],Quantitytable[Cost Per Dish Per Item])</f>
        <v>12.684999999999999</v>
      </c>
      <c r="J533" s="18" t="s">
        <v>502</v>
      </c>
    </row>
    <row r="534" spans="2:10" x14ac:dyDescent="0.25">
      <c r="B534" s="13" t="s">
        <v>674</v>
      </c>
      <c r="C534" s="13" t="s">
        <v>75</v>
      </c>
      <c r="D534" s="13">
        <v>35</v>
      </c>
      <c r="E534" s="3">
        <f>IF(Quantitytable[[#This Row],[Units]]=0,0,SUMIFS(Quantitytable[NeededQuantity],Quantitytable[Dish],Quantitytable[[#This Row],[Dish]],Quantitytable[[Ingredient ]],Quantitytable[[#This Row],[Ingredient ]]))</f>
        <v>0</v>
      </c>
      <c r="F534" s="3">
        <f>SUMIFS(salestable[Quantity Sold],salestable[Item Name],Quantitytable[[#This Row],[Dish]])</f>
        <v>0</v>
      </c>
      <c r="G534" s="3">
        <f>'Quantity Table'!$E534*'Quantity Table'!$F534</f>
        <v>0</v>
      </c>
      <c r="H534" s="3">
        <f>_xlfn.IFNA(VLOOKUP(Quantitytable[[#This Row],[Ingredient ]],Shoppingtable[[Item Name]:[BALANCE Cash]],5,FALSE),0)*Quantitytable[[#This Row],[NeededQuantity]]</f>
        <v>5.1099999999999994</v>
      </c>
      <c r="I534" s="3">
        <f>SUMIF(Quantitytable[Dish],Quantitytable[[#This Row],[Dish]],Quantitytable[Cost Per Dish Per Item])</f>
        <v>12.684999999999999</v>
      </c>
      <c r="J534" s="18" t="s">
        <v>502</v>
      </c>
    </row>
    <row r="535" spans="2:10" x14ac:dyDescent="0.25">
      <c r="B535" s="13" t="s">
        <v>674</v>
      </c>
      <c r="C535" s="13" t="s">
        <v>104</v>
      </c>
      <c r="D535" s="13">
        <v>50</v>
      </c>
      <c r="E535" s="3">
        <f>IF(Quantitytable[[#This Row],[Units]]=0,0,SUMIFS(Quantitytable[NeededQuantity],Quantitytable[Dish],Quantitytable[[#This Row],[Dish]],Quantitytable[[Ingredient ]],Quantitytable[[#This Row],[Ingredient ]]))</f>
        <v>0</v>
      </c>
      <c r="F535" s="3">
        <f>SUMIFS(salestable[Quantity Sold],salestable[Item Name],Quantitytable[[#This Row],[Dish]])</f>
        <v>0</v>
      </c>
      <c r="G535" s="3">
        <f>'Quantity Table'!$E535*'Quantity Table'!$F535</f>
        <v>0</v>
      </c>
      <c r="H535" s="3">
        <f>_xlfn.IFNA(VLOOKUP(Quantitytable[[#This Row],[Ingredient ]],Shoppingtable[[Item Name]:[BALANCE Cash]],5,FALSE),0)*Quantitytable[[#This Row],[NeededQuantity]]</f>
        <v>1.5</v>
      </c>
      <c r="I535" s="3">
        <f>SUMIF(Quantitytable[Dish],Quantitytable[[#This Row],[Dish]],Quantitytable[Cost Per Dish Per Item])</f>
        <v>12.684999999999999</v>
      </c>
      <c r="J535" s="18" t="s">
        <v>502</v>
      </c>
    </row>
    <row r="536" spans="2:10" x14ac:dyDescent="0.25">
      <c r="B536" s="13" t="s">
        <v>627</v>
      </c>
      <c r="C536" s="13" t="s">
        <v>419</v>
      </c>
      <c r="D536" s="13">
        <v>4</v>
      </c>
      <c r="E536" s="3">
        <f>IF(Quantitytable[[#This Row],[Units]]=0,0,SUMIFS(Quantitytable[NeededQuantity],Quantitytable[Dish],Quantitytable[[#This Row],[Dish]],Quantitytable[[Ingredient ]],Quantitytable[[#This Row],[Ingredient ]]))</f>
        <v>0</v>
      </c>
      <c r="F536" s="3">
        <f>SUMIFS(salestable[Quantity Sold],salestable[Item Name],Quantitytable[[#This Row],[Dish]])</f>
        <v>0</v>
      </c>
      <c r="G536" s="3">
        <f>'Quantity Table'!$E536*'Quantity Table'!$F536</f>
        <v>0</v>
      </c>
      <c r="H536" s="3">
        <f>_xlfn.IFNA(VLOOKUP(Quantitytable[[#This Row],[Ingredient ]],Shoppingtable[[Item Name]:[BALANCE Cash]],5,FALSE),0)*Quantitytable[[#This Row],[NeededQuantity]]</f>
        <v>0.45454545454545453</v>
      </c>
      <c r="I536" s="3">
        <f>SUMIF(Quantitytable[Dish],Quantitytable[[#This Row],[Dish]],Quantitytable[Cost Per Dish Per Item])</f>
        <v>46.947412587412586</v>
      </c>
      <c r="J536" s="18" t="s">
        <v>502</v>
      </c>
    </row>
    <row r="537" spans="2:10" x14ac:dyDescent="0.25">
      <c r="B537" s="13" t="s">
        <v>627</v>
      </c>
      <c r="C537" s="13" t="s">
        <v>77</v>
      </c>
      <c r="D537" s="13">
        <v>80</v>
      </c>
      <c r="E537" s="3">
        <f>IF(Quantitytable[[#This Row],[Units]]=0,0,SUMIFS(Quantitytable[NeededQuantity],Quantitytable[Dish],Quantitytable[[#This Row],[Dish]],Quantitytable[[Ingredient ]],Quantitytable[[#This Row],[Ingredient ]]))</f>
        <v>0</v>
      </c>
      <c r="F537" s="3">
        <f>SUMIFS(salestable[Quantity Sold],salestable[Item Name],Quantitytable[[#This Row],[Dish]])</f>
        <v>0</v>
      </c>
      <c r="G537" s="3">
        <f>'Quantity Table'!$E537*'Quantity Table'!$F537</f>
        <v>0</v>
      </c>
      <c r="H537" s="3">
        <f>_xlfn.IFNA(VLOOKUP(Quantitytable[[#This Row],[Ingredient ]],Shoppingtable[[Item Name]:[BALANCE Cash]],5,FALSE),0)*Quantitytable[[#This Row],[NeededQuantity]]</f>
        <v>3.3200000000000003</v>
      </c>
      <c r="I537" s="3">
        <f>SUMIF(Quantitytable[Dish],Quantitytable[[#This Row],[Dish]],Quantitytable[Cost Per Dish Per Item])</f>
        <v>46.947412587412586</v>
      </c>
      <c r="J537" s="18" t="s">
        <v>502</v>
      </c>
    </row>
    <row r="538" spans="2:10" x14ac:dyDescent="0.25">
      <c r="B538" s="13" t="s">
        <v>627</v>
      </c>
      <c r="C538" s="13" t="s">
        <v>44</v>
      </c>
      <c r="D538" s="13">
        <v>140</v>
      </c>
      <c r="E538" s="3">
        <f>IF(Quantitytable[[#This Row],[Units]]=0,0,SUMIFS(Quantitytable[NeededQuantity],Quantitytable[Dish],Quantitytable[[#This Row],[Dish]],Quantitytable[[Ingredient ]],Quantitytable[[#This Row],[Ingredient ]]))</f>
        <v>0</v>
      </c>
      <c r="F538" s="3">
        <f>SUMIFS(salestable[Quantity Sold],salestable[Item Name],Quantitytable[[#This Row],[Dish]])</f>
        <v>0</v>
      </c>
      <c r="G538" s="3">
        <f>'Quantity Table'!$E538*'Quantity Table'!$F538</f>
        <v>0</v>
      </c>
      <c r="H538" s="3">
        <f>_xlfn.IFNA(VLOOKUP(Quantitytable[[#This Row],[Ingredient ]],Shoppingtable[[Item Name]:[BALANCE Cash]],5,FALSE),0)*Quantitytable[[#This Row],[NeededQuantity]]</f>
        <v>4</v>
      </c>
      <c r="I538" s="3">
        <f>SUMIF(Quantitytable[Dish],Quantitytable[[#This Row],[Dish]],Quantitytable[Cost Per Dish Per Item])</f>
        <v>46.947412587412586</v>
      </c>
      <c r="J538" s="18" t="s">
        <v>502</v>
      </c>
    </row>
    <row r="539" spans="2:10" x14ac:dyDescent="0.25">
      <c r="B539" s="13" t="s">
        <v>627</v>
      </c>
      <c r="C539" s="13" t="s">
        <v>75</v>
      </c>
      <c r="D539" s="13">
        <v>35</v>
      </c>
      <c r="E539" s="3">
        <f>IF(Quantitytable[[#This Row],[Units]]=0,0,SUMIFS(Quantitytable[NeededQuantity],Quantitytable[Dish],Quantitytable[[#This Row],[Dish]],Quantitytable[[Ingredient ]],Quantitytable[[#This Row],[Ingredient ]]))</f>
        <v>0</v>
      </c>
      <c r="F539" s="3">
        <f>SUMIFS(salestable[Quantity Sold],salestable[Item Name],Quantitytable[[#This Row],[Dish]])</f>
        <v>0</v>
      </c>
      <c r="G539" s="3">
        <f>'Quantity Table'!$E539*'Quantity Table'!$F539</f>
        <v>0</v>
      </c>
      <c r="H539" s="3">
        <f>_xlfn.IFNA(VLOOKUP(Quantitytable[[#This Row],[Ingredient ]],Shoppingtable[[Item Name]:[BALANCE Cash]],5,FALSE),0)*Quantitytable[[#This Row],[NeededQuantity]]</f>
        <v>5.1099999999999994</v>
      </c>
      <c r="I539" s="3">
        <f>SUMIF(Quantitytable[Dish],Quantitytable[[#This Row],[Dish]],Quantitytable[Cost Per Dish Per Item])</f>
        <v>46.947412587412586</v>
      </c>
      <c r="J539" s="18" t="s">
        <v>502</v>
      </c>
    </row>
    <row r="540" spans="2:10" x14ac:dyDescent="0.25">
      <c r="B540" s="13" t="s">
        <v>627</v>
      </c>
      <c r="C540" s="13" t="s">
        <v>576</v>
      </c>
      <c r="D540" s="13">
        <v>50</v>
      </c>
      <c r="E540" s="3">
        <f>IF(Quantitytable[[#This Row],[Units]]=0,0,SUMIFS(Quantitytable[NeededQuantity],Quantitytable[Dish],Quantitytable[[#This Row],[Dish]],Quantitytable[[Ingredient ]],Quantitytable[[#This Row],[Ingredient ]]))</f>
        <v>0</v>
      </c>
      <c r="F540" s="3">
        <f>SUMIFS(salestable[Quantity Sold],salestable[Item Name],Quantitytable[[#This Row],[Dish]])</f>
        <v>0</v>
      </c>
      <c r="G540" s="3">
        <f>'Quantity Table'!$E540*'Quantity Table'!$F540</f>
        <v>0</v>
      </c>
      <c r="H540" s="3">
        <f>_xlfn.IFNA(VLOOKUP(Quantitytable[[#This Row],[Ingredient ]],Shoppingtable[[Item Name]:[BALANCE Cash]],5,FALSE),0)*Quantitytable[[#This Row],[NeededQuantity]]</f>
        <v>2.9166666666666665</v>
      </c>
      <c r="I540" s="3">
        <f>SUMIF(Quantitytable[Dish],Quantitytable[[#This Row],[Dish]],Quantitytable[Cost Per Dish Per Item])</f>
        <v>46.947412587412586</v>
      </c>
      <c r="J540" s="18" t="s">
        <v>502</v>
      </c>
    </row>
    <row r="541" spans="2:10" x14ac:dyDescent="0.25">
      <c r="B541" s="13" t="s">
        <v>627</v>
      </c>
      <c r="C541" s="13" t="s">
        <v>577</v>
      </c>
      <c r="D541" s="13">
        <v>50</v>
      </c>
      <c r="E541" s="3">
        <f>IF(Quantitytable[[#This Row],[Units]]=0,0,SUMIFS(Quantitytable[NeededQuantity],Quantitytable[Dish],Quantitytable[[#This Row],[Dish]],Quantitytable[[Ingredient ]],Quantitytable[[#This Row],[Ingredient ]]))</f>
        <v>0</v>
      </c>
      <c r="F541" s="3">
        <f>SUMIFS(salestable[Quantity Sold],salestable[Item Name],Quantitytable[[#This Row],[Dish]])</f>
        <v>0</v>
      </c>
      <c r="G541" s="3">
        <f>'Quantity Table'!$E541*'Quantity Table'!$F541</f>
        <v>0</v>
      </c>
      <c r="H541" s="3">
        <f>_xlfn.IFNA(VLOOKUP(Quantitytable[[#This Row],[Ingredient ]],Shoppingtable[[Item Name]:[BALANCE Cash]],5,FALSE),0)*Quantitytable[[#This Row],[NeededQuantity]]</f>
        <v>2.8846153846153846</v>
      </c>
      <c r="I541" s="3">
        <f>SUMIF(Quantitytable[Dish],Quantitytable[[#This Row],[Dish]],Quantitytable[Cost Per Dish Per Item])</f>
        <v>46.947412587412586</v>
      </c>
      <c r="J541" s="18" t="s">
        <v>502</v>
      </c>
    </row>
    <row r="542" spans="2:10" x14ac:dyDescent="0.25">
      <c r="B542" s="13" t="s">
        <v>627</v>
      </c>
      <c r="C542" s="13" t="s">
        <v>98</v>
      </c>
      <c r="D542" s="13">
        <v>80</v>
      </c>
      <c r="E542" s="3">
        <f>IF(Quantitytable[[#This Row],[Units]]=0,0,SUMIFS(Quantitytable[NeededQuantity],Quantitytable[Dish],Quantitytable[[#This Row],[Dish]],Quantitytable[[Ingredient ]],Quantitytable[[#This Row],[Ingredient ]]))</f>
        <v>0</v>
      </c>
      <c r="F542" s="3">
        <f>SUMIFS(salestable[Quantity Sold],salestable[Item Name],Quantitytable[[#This Row],[Dish]])</f>
        <v>0</v>
      </c>
      <c r="G542" s="3">
        <f>'Quantity Table'!$E542*'Quantity Table'!$F542</f>
        <v>0</v>
      </c>
      <c r="H542" s="3">
        <f>_xlfn.IFNA(VLOOKUP(Quantitytable[[#This Row],[Ingredient ]],Shoppingtable[[Item Name]:[BALANCE Cash]],5,FALSE),0)*Quantitytable[[#This Row],[NeededQuantity]]</f>
        <v>4.3333333333333339</v>
      </c>
      <c r="I542" s="3">
        <f>SUMIF(Quantitytable[Dish],Quantitytable[[#This Row],[Dish]],Quantitytable[Cost Per Dish Per Item])</f>
        <v>46.947412587412586</v>
      </c>
      <c r="J542" s="18" t="s">
        <v>502</v>
      </c>
    </row>
    <row r="543" spans="2:10" x14ac:dyDescent="0.25">
      <c r="B543" s="13" t="s">
        <v>627</v>
      </c>
      <c r="C543" s="13" t="s">
        <v>419</v>
      </c>
      <c r="D543" s="13">
        <v>4</v>
      </c>
      <c r="E543" s="3">
        <f>IF(Quantitytable[[#This Row],[Units]]=0,0,SUMIFS(Quantitytable[NeededQuantity],Quantitytable[Dish],Quantitytable[[#This Row],[Dish]],Quantitytable[[Ingredient ]],Quantitytable[[#This Row],[Ingredient ]]))</f>
        <v>0</v>
      </c>
      <c r="F543" s="3">
        <f>SUMIFS(salestable[Quantity Sold],salestable[Item Name],Quantitytable[[#This Row],[Dish]])</f>
        <v>0</v>
      </c>
      <c r="G543" s="3">
        <f>'Quantity Table'!$E543*'Quantity Table'!$F543</f>
        <v>0</v>
      </c>
      <c r="H543" s="3">
        <f>_xlfn.IFNA(VLOOKUP(Quantitytable[[#This Row],[Ingredient ]],Shoppingtable[[Item Name]:[BALANCE Cash]],5,FALSE),0)*Quantitytable[[#This Row],[NeededQuantity]]</f>
        <v>0.45454545454545453</v>
      </c>
      <c r="I543" s="3">
        <f>SUMIF(Quantitytable[Dish],Quantitytable[[#This Row],[Dish]],Quantitytable[Cost Per Dish Per Item])</f>
        <v>46.947412587412586</v>
      </c>
      <c r="J543" s="18" t="s">
        <v>502</v>
      </c>
    </row>
    <row r="544" spans="2:10" x14ac:dyDescent="0.25">
      <c r="B544" s="13" t="s">
        <v>627</v>
      </c>
      <c r="C544" s="13" t="s">
        <v>419</v>
      </c>
      <c r="D544" s="13">
        <v>4</v>
      </c>
      <c r="E544" s="3">
        <f>IF(Quantitytable[[#This Row],[Units]]=0,0,SUMIFS(Quantitytable[NeededQuantity],Quantitytable[Dish],Quantitytable[[#This Row],[Dish]],Quantitytable[[Ingredient ]],Quantitytable[[#This Row],[Ingredient ]]))</f>
        <v>0</v>
      </c>
      <c r="F544" s="3">
        <f>SUMIFS(salestable[Quantity Sold],salestable[Item Name],Quantitytable[[#This Row],[Dish]])</f>
        <v>0</v>
      </c>
      <c r="G544" s="3">
        <f>'Quantity Table'!$E544*'Quantity Table'!$F544</f>
        <v>0</v>
      </c>
      <c r="H544" s="3">
        <f>_xlfn.IFNA(VLOOKUP(Quantitytable[[#This Row],[Ingredient ]],Shoppingtable[[Item Name]:[BALANCE Cash]],5,FALSE),0)*Quantitytable[[#This Row],[NeededQuantity]]</f>
        <v>0.45454545454545453</v>
      </c>
      <c r="I544" s="3">
        <f>SUMIF(Quantitytable[Dish],Quantitytable[[#This Row],[Dish]],Quantitytable[Cost Per Dish Per Item])</f>
        <v>46.947412587412586</v>
      </c>
      <c r="J544" s="18" t="s">
        <v>502</v>
      </c>
    </row>
    <row r="545" spans="2:10" x14ac:dyDescent="0.25">
      <c r="B545" s="13" t="s">
        <v>627</v>
      </c>
      <c r="C545" s="13" t="s">
        <v>77</v>
      </c>
      <c r="D545" s="13">
        <v>80</v>
      </c>
      <c r="E545" s="3">
        <f>IF(Quantitytable[[#This Row],[Units]]=0,0,SUMIFS(Quantitytable[NeededQuantity],Quantitytable[Dish],Quantitytable[[#This Row],[Dish]],Quantitytable[[Ingredient ]],Quantitytable[[#This Row],[Ingredient ]]))</f>
        <v>0</v>
      </c>
      <c r="F545" s="3">
        <f>SUMIFS(salestable[Quantity Sold],salestable[Item Name],Quantitytable[[#This Row],[Dish]])</f>
        <v>0</v>
      </c>
      <c r="G545" s="3">
        <f>'Quantity Table'!$E545*'Quantity Table'!$F545</f>
        <v>0</v>
      </c>
      <c r="H545" s="3">
        <f>_xlfn.IFNA(VLOOKUP(Quantitytable[[#This Row],[Ingredient ]],Shoppingtable[[Item Name]:[BALANCE Cash]],5,FALSE),0)*Quantitytable[[#This Row],[NeededQuantity]]</f>
        <v>3.3200000000000003</v>
      </c>
      <c r="I545" s="3">
        <f>SUMIF(Quantitytable[Dish],Quantitytable[[#This Row],[Dish]],Quantitytable[Cost Per Dish Per Item])</f>
        <v>46.947412587412586</v>
      </c>
      <c r="J545" s="18" t="s">
        <v>502</v>
      </c>
    </row>
    <row r="546" spans="2:10" x14ac:dyDescent="0.25">
      <c r="B546" s="13" t="s">
        <v>627</v>
      </c>
      <c r="C546" s="13" t="s">
        <v>44</v>
      </c>
      <c r="D546" s="13">
        <v>140</v>
      </c>
      <c r="E546" s="3">
        <f>IF(Quantitytable[[#This Row],[Units]]=0,0,SUMIFS(Quantitytable[NeededQuantity],Quantitytable[Dish],Quantitytable[[#This Row],[Dish]],Quantitytable[[Ingredient ]],Quantitytable[[#This Row],[Ingredient ]]))</f>
        <v>0</v>
      </c>
      <c r="F546" s="3">
        <f>SUMIFS(salestable[Quantity Sold],salestable[Item Name],Quantitytable[[#This Row],[Dish]])</f>
        <v>0</v>
      </c>
      <c r="G546" s="3">
        <f>'Quantity Table'!$E546*'Quantity Table'!$F546</f>
        <v>0</v>
      </c>
      <c r="H546" s="3">
        <f>_xlfn.IFNA(VLOOKUP(Quantitytable[[#This Row],[Ingredient ]],Shoppingtable[[Item Name]:[BALANCE Cash]],5,FALSE),0)*Quantitytable[[#This Row],[NeededQuantity]]</f>
        <v>4</v>
      </c>
      <c r="I546" s="3">
        <f>SUMIF(Quantitytable[Dish],Quantitytable[[#This Row],[Dish]],Quantitytable[Cost Per Dish Per Item])</f>
        <v>46.947412587412586</v>
      </c>
      <c r="J546" s="18" t="s">
        <v>502</v>
      </c>
    </row>
    <row r="547" spans="2:10" x14ac:dyDescent="0.25">
      <c r="B547" s="13" t="s">
        <v>627</v>
      </c>
      <c r="C547" s="13" t="s">
        <v>75</v>
      </c>
      <c r="D547" s="13">
        <v>35</v>
      </c>
      <c r="E547" s="3">
        <f>IF(Quantitytable[[#This Row],[Units]]=0,0,SUMIFS(Quantitytable[NeededQuantity],Quantitytable[Dish],Quantitytable[[#This Row],[Dish]],Quantitytable[[Ingredient ]],Quantitytable[[#This Row],[Ingredient ]]))</f>
        <v>0</v>
      </c>
      <c r="F547" s="3">
        <f>SUMIFS(salestable[Quantity Sold],salestable[Item Name],Quantitytable[[#This Row],[Dish]])</f>
        <v>0</v>
      </c>
      <c r="G547" s="3">
        <f>'Quantity Table'!$E547*'Quantity Table'!$F547</f>
        <v>0</v>
      </c>
      <c r="H547" s="3">
        <f>_xlfn.IFNA(VLOOKUP(Quantitytable[[#This Row],[Ingredient ]],Shoppingtable[[Item Name]:[BALANCE Cash]],5,FALSE),0)*Quantitytable[[#This Row],[NeededQuantity]]</f>
        <v>5.1099999999999994</v>
      </c>
      <c r="I547" s="3">
        <f>SUMIF(Quantitytable[Dish],Quantitytable[[#This Row],[Dish]],Quantitytable[Cost Per Dish Per Item])</f>
        <v>46.947412587412586</v>
      </c>
      <c r="J547" s="18" t="s">
        <v>502</v>
      </c>
    </row>
    <row r="548" spans="2:10" x14ac:dyDescent="0.25">
      <c r="B548" s="13" t="s">
        <v>627</v>
      </c>
      <c r="C548" s="13" t="s">
        <v>576</v>
      </c>
      <c r="D548" s="13">
        <v>50</v>
      </c>
      <c r="E548" s="3">
        <f>IF(Quantitytable[[#This Row],[Units]]=0,0,SUMIFS(Quantitytable[NeededQuantity],Quantitytable[Dish],Quantitytable[[#This Row],[Dish]],Quantitytable[[Ingredient ]],Quantitytable[[#This Row],[Ingredient ]]))</f>
        <v>0</v>
      </c>
      <c r="F548" s="3">
        <f>SUMIFS(salestable[Quantity Sold],salestable[Item Name],Quantitytable[[#This Row],[Dish]])</f>
        <v>0</v>
      </c>
      <c r="G548" s="3">
        <f>'Quantity Table'!$E548*'Quantity Table'!$F548</f>
        <v>0</v>
      </c>
      <c r="H548" s="3">
        <f>_xlfn.IFNA(VLOOKUP(Quantitytable[[#This Row],[Ingredient ]],Shoppingtable[[Item Name]:[BALANCE Cash]],5,FALSE),0)*Quantitytable[[#This Row],[NeededQuantity]]</f>
        <v>2.9166666666666665</v>
      </c>
      <c r="I548" s="3">
        <f>SUMIF(Quantitytable[Dish],Quantitytable[[#This Row],[Dish]],Quantitytable[Cost Per Dish Per Item])</f>
        <v>46.947412587412586</v>
      </c>
      <c r="J548" s="18" t="s">
        <v>502</v>
      </c>
    </row>
    <row r="549" spans="2:10" x14ac:dyDescent="0.25">
      <c r="B549" s="13" t="s">
        <v>627</v>
      </c>
      <c r="C549" s="13" t="s">
        <v>577</v>
      </c>
      <c r="D549" s="13">
        <v>50</v>
      </c>
      <c r="E549" s="3">
        <f>IF(Quantitytable[[#This Row],[Units]]=0,0,SUMIFS(Quantitytable[NeededQuantity],Quantitytable[Dish],Quantitytable[[#This Row],[Dish]],Quantitytable[[Ingredient ]],Quantitytable[[#This Row],[Ingredient ]]))</f>
        <v>0</v>
      </c>
      <c r="F549" s="3">
        <f>SUMIFS(salestable[Quantity Sold],salestable[Item Name],Quantitytable[[#This Row],[Dish]])</f>
        <v>0</v>
      </c>
      <c r="G549" s="3">
        <f>'Quantity Table'!$E549*'Quantity Table'!$F549</f>
        <v>0</v>
      </c>
      <c r="H549" s="3">
        <f>_xlfn.IFNA(VLOOKUP(Quantitytable[[#This Row],[Ingredient ]],Shoppingtable[[Item Name]:[BALANCE Cash]],5,FALSE),0)*Quantitytable[[#This Row],[NeededQuantity]]</f>
        <v>2.8846153846153846</v>
      </c>
      <c r="I549" s="3">
        <f>SUMIF(Quantitytable[Dish],Quantitytable[[#This Row],[Dish]],Quantitytable[Cost Per Dish Per Item])</f>
        <v>46.947412587412586</v>
      </c>
      <c r="J549" s="18" t="s">
        <v>502</v>
      </c>
    </row>
    <row r="550" spans="2:10" x14ac:dyDescent="0.25">
      <c r="B550" s="13" t="s">
        <v>627</v>
      </c>
      <c r="C550" s="13" t="s">
        <v>98</v>
      </c>
      <c r="D550" s="13">
        <v>80</v>
      </c>
      <c r="E550" s="3">
        <f>IF(Quantitytable[[#This Row],[Units]]=0,0,SUMIFS(Quantitytable[NeededQuantity],Quantitytable[Dish],Quantitytable[[#This Row],[Dish]],Quantitytable[[Ingredient ]],Quantitytable[[#This Row],[Ingredient ]]))</f>
        <v>0</v>
      </c>
      <c r="F550" s="3">
        <f>SUMIFS(salestable[Quantity Sold],salestable[Item Name],Quantitytable[[#This Row],[Dish]])</f>
        <v>0</v>
      </c>
      <c r="G550" s="3">
        <f>'Quantity Table'!$E550*'Quantity Table'!$F550</f>
        <v>0</v>
      </c>
      <c r="H550" s="3">
        <f>_xlfn.IFNA(VLOOKUP(Quantitytable[[#This Row],[Ingredient ]],Shoppingtable[[Item Name]:[BALANCE Cash]],5,FALSE),0)*Quantitytable[[#This Row],[NeededQuantity]]</f>
        <v>4.3333333333333339</v>
      </c>
      <c r="I550" s="3">
        <f>SUMIF(Quantitytable[Dish],Quantitytable[[#This Row],[Dish]],Quantitytable[Cost Per Dish Per Item])</f>
        <v>46.947412587412586</v>
      </c>
      <c r="J550" s="18" t="s">
        <v>502</v>
      </c>
    </row>
    <row r="551" spans="2:10" x14ac:dyDescent="0.25">
      <c r="B551" s="13" t="s">
        <v>627</v>
      </c>
      <c r="C551" s="13" t="s">
        <v>419</v>
      </c>
      <c r="D551" s="13">
        <v>4</v>
      </c>
      <c r="E551" s="3">
        <f>IF(Quantitytable[[#This Row],[Units]]=0,0,SUMIFS(Quantitytable[NeededQuantity],Quantitytable[Dish],Quantitytable[[#This Row],[Dish]],Quantitytable[[Ingredient ]],Quantitytable[[#This Row],[Ingredient ]]))</f>
        <v>0</v>
      </c>
      <c r="F551" s="3">
        <f>SUMIFS(salestable[Quantity Sold],salestable[Item Name],Quantitytable[[#This Row],[Dish]])</f>
        <v>0</v>
      </c>
      <c r="G551" s="3">
        <f>'Quantity Table'!$E551*'Quantity Table'!$F551</f>
        <v>0</v>
      </c>
      <c r="H551" s="3">
        <f>_xlfn.IFNA(VLOOKUP(Quantitytable[[#This Row],[Ingredient ]],Shoppingtable[[Item Name]:[BALANCE Cash]],5,FALSE),0)*Quantitytable[[#This Row],[NeededQuantity]]</f>
        <v>0.45454545454545453</v>
      </c>
      <c r="I551" s="3">
        <f>SUMIF(Quantitytable[Dish],Quantitytable[[#This Row],[Dish]],Quantitytable[Cost Per Dish Per Item])</f>
        <v>46.947412587412586</v>
      </c>
      <c r="J551" s="18" t="s">
        <v>502</v>
      </c>
    </row>
    <row r="552" spans="2:10" x14ac:dyDescent="0.25">
      <c r="B552" s="13" t="s">
        <v>128</v>
      </c>
      <c r="C552" s="13" t="s">
        <v>75</v>
      </c>
      <c r="D552" s="13">
        <v>9</v>
      </c>
      <c r="E552" s="3">
        <f>IF(Quantitytable[[#This Row],[Units]]=0,0,SUMIFS(Quantitytable[NeededQuantity],Quantitytable[Dish],Quantitytable[[#This Row],[Dish]],Quantitytable[[Ingredient ]],Quantitytable[[#This Row],[Ingredient ]]))</f>
        <v>0</v>
      </c>
      <c r="F552" s="3">
        <f>SUMIFS(salestable[Quantity Sold],salestable[Item Name],Quantitytable[[#This Row],[Dish]])</f>
        <v>0</v>
      </c>
      <c r="G552" s="3">
        <f>'Quantity Table'!$E552*'Quantity Table'!$F552</f>
        <v>0</v>
      </c>
      <c r="H552" s="3">
        <f>_xlfn.IFNA(VLOOKUP(Quantitytable[[#This Row],[Ingredient ]],Shoppingtable[[Item Name]:[BALANCE Cash]],5,FALSE),0)*Quantitytable[[#This Row],[NeededQuantity]]</f>
        <v>1.3139999999999998</v>
      </c>
      <c r="I552" s="3">
        <f>SUMIF(Quantitytable[Dish],Quantitytable[[#This Row],[Dish]],Quantitytable[Cost Per Dish Per Item])</f>
        <v>17.162901098901099</v>
      </c>
      <c r="J552" s="18" t="s">
        <v>502</v>
      </c>
    </row>
    <row r="553" spans="2:10" x14ac:dyDescent="0.25">
      <c r="B553" s="13" t="s">
        <v>128</v>
      </c>
      <c r="C553" s="13" t="s">
        <v>577</v>
      </c>
      <c r="D553" s="13">
        <v>50</v>
      </c>
      <c r="E553" s="3">
        <f>IF(Quantitytable[[#This Row],[Units]]=0,0,SUMIFS(Quantitytable[NeededQuantity],Quantitytable[Dish],Quantitytable[[#This Row],[Dish]],Quantitytable[[Ingredient ]],Quantitytable[[#This Row],[Ingredient ]]))</f>
        <v>0</v>
      </c>
      <c r="F553" s="3">
        <f>SUMIFS(salestable[Quantity Sold],salestable[Item Name],Quantitytable[[#This Row],[Dish]])</f>
        <v>0</v>
      </c>
      <c r="G553" s="3">
        <f>'Quantity Table'!$E553*'Quantity Table'!$F553</f>
        <v>0</v>
      </c>
      <c r="H553" s="3">
        <f>_xlfn.IFNA(VLOOKUP(Quantitytable[[#This Row],[Ingredient ]],Shoppingtable[[Item Name]:[BALANCE Cash]],5,FALSE),0)*Quantitytable[[#This Row],[NeededQuantity]]</f>
        <v>2.8846153846153846</v>
      </c>
      <c r="I553" s="3">
        <f>SUMIF(Quantitytable[Dish],Quantitytable[[#This Row],[Dish]],Quantitytable[Cost Per Dish Per Item])</f>
        <v>17.162901098901099</v>
      </c>
      <c r="J553" s="18" t="s">
        <v>502</v>
      </c>
    </row>
    <row r="554" spans="2:10" x14ac:dyDescent="0.25">
      <c r="B554" s="13" t="s">
        <v>128</v>
      </c>
      <c r="C554" s="13" t="s">
        <v>576</v>
      </c>
      <c r="D554" s="13">
        <v>50</v>
      </c>
      <c r="E554" s="3">
        <f>IF(Quantitytable[[#This Row],[Units]]=0,0,SUMIFS(Quantitytable[NeededQuantity],Quantitytable[Dish],Quantitytable[[#This Row],[Dish]],Quantitytable[[Ingredient ]],Quantitytable[[#This Row],[Ingredient ]]))</f>
        <v>0</v>
      </c>
      <c r="F554" s="3">
        <f>SUMIFS(salestable[Quantity Sold],salestable[Item Name],Quantitytable[[#This Row],[Dish]])</f>
        <v>0</v>
      </c>
      <c r="G554" s="3">
        <f>'Quantity Table'!$E554*'Quantity Table'!$F554</f>
        <v>0</v>
      </c>
      <c r="H554" s="3">
        <f>_xlfn.IFNA(VLOOKUP(Quantitytable[[#This Row],[Ingredient ]],Shoppingtable[[Item Name]:[BALANCE Cash]],5,FALSE),0)*Quantitytable[[#This Row],[NeededQuantity]]</f>
        <v>2.9166666666666665</v>
      </c>
      <c r="I554" s="3">
        <f>SUMIF(Quantitytable[Dish],Quantitytable[[#This Row],[Dish]],Quantitytable[Cost Per Dish Per Item])</f>
        <v>17.162901098901099</v>
      </c>
      <c r="J554" s="18" t="s">
        <v>502</v>
      </c>
    </row>
    <row r="555" spans="2:10" x14ac:dyDescent="0.25">
      <c r="B555" s="13" t="s">
        <v>128</v>
      </c>
      <c r="C555" s="13" t="s">
        <v>98</v>
      </c>
      <c r="D555" s="13">
        <v>80</v>
      </c>
      <c r="E555" s="3">
        <f>IF(Quantitytable[[#This Row],[Units]]=0,0,SUMIFS(Quantitytable[NeededQuantity],Quantitytable[Dish],Quantitytable[[#This Row],[Dish]],Quantitytable[[Ingredient ]],Quantitytable[[#This Row],[Ingredient ]]))</f>
        <v>0</v>
      </c>
      <c r="F555" s="3">
        <f>SUMIFS(salestable[Quantity Sold],salestable[Item Name],Quantitytable[[#This Row],[Dish]])</f>
        <v>0</v>
      </c>
      <c r="G555" s="3">
        <f>'Quantity Table'!$E555*'Quantity Table'!$F555</f>
        <v>0</v>
      </c>
      <c r="H555" s="3">
        <f>_xlfn.IFNA(VLOOKUP(Quantitytable[[#This Row],[Ingredient ]],Shoppingtable[[Item Name]:[BALANCE Cash]],5,FALSE),0)*Quantitytable[[#This Row],[NeededQuantity]]</f>
        <v>4.3333333333333339</v>
      </c>
      <c r="I555" s="3">
        <f>SUMIF(Quantitytable[Dish],Quantitytable[[#This Row],[Dish]],Quantitytable[Cost Per Dish Per Item])</f>
        <v>17.162901098901099</v>
      </c>
      <c r="J555" s="18" t="s">
        <v>502</v>
      </c>
    </row>
    <row r="556" spans="2:10" x14ac:dyDescent="0.25">
      <c r="B556" s="13" t="s">
        <v>128</v>
      </c>
      <c r="C556" s="13" t="s">
        <v>44</v>
      </c>
      <c r="D556" s="13">
        <v>200</v>
      </c>
      <c r="E556" s="3">
        <f>IF(Quantitytable[[#This Row],[Units]]=0,0,SUMIFS(Quantitytable[NeededQuantity],Quantitytable[Dish],Quantitytable[[#This Row],[Dish]],Quantitytable[[Ingredient ]],Quantitytable[[#This Row],[Ingredient ]]))</f>
        <v>0</v>
      </c>
      <c r="F556" s="3">
        <f>SUMIFS(salestable[Quantity Sold],salestable[Item Name],Quantitytable[[#This Row],[Dish]])</f>
        <v>0</v>
      </c>
      <c r="G556" s="3">
        <f>'Quantity Table'!$E556*'Quantity Table'!$F556</f>
        <v>0</v>
      </c>
      <c r="H556" s="3">
        <f>_xlfn.IFNA(VLOOKUP(Quantitytable[[#This Row],[Ingredient ]],Shoppingtable[[Item Name]:[BALANCE Cash]],5,FALSE),0)*Quantitytable[[#This Row],[NeededQuantity]]</f>
        <v>5.7142857142857144</v>
      </c>
      <c r="I556" s="3">
        <f>SUMIF(Quantitytable[Dish],Quantitytable[[#This Row],[Dish]],Quantitytable[Cost Per Dish Per Item])</f>
        <v>17.162901098901099</v>
      </c>
      <c r="J556" s="18" t="s">
        <v>502</v>
      </c>
    </row>
    <row r="557" spans="2:10" x14ac:dyDescent="0.25">
      <c r="B557" s="13" t="s">
        <v>652</v>
      </c>
      <c r="C557" s="13" t="s">
        <v>75</v>
      </c>
      <c r="D557" s="13">
        <v>9</v>
      </c>
      <c r="E557" s="3">
        <f>IF(Quantitytable[[#This Row],[Units]]=0,0,SUMIFS(Quantitytable[NeededQuantity],Quantitytable[Dish],Quantitytable[[#This Row],[Dish]],Quantitytable[[Ingredient ]],Quantitytable[[#This Row],[Ingredient ]]))</f>
        <v>0</v>
      </c>
      <c r="F557" s="3">
        <f>SUMIFS(salestable[Quantity Sold],salestable[Item Name],Quantitytable[[#This Row],[Dish]])</f>
        <v>0</v>
      </c>
      <c r="G557" s="3">
        <f>'Quantity Table'!$E557*'Quantity Table'!$F557</f>
        <v>0</v>
      </c>
      <c r="H557" s="3">
        <f>_xlfn.IFNA(VLOOKUP(Quantitytable[[#This Row],[Ingredient ]],Shoppingtable[[Item Name]:[BALANCE Cash]],5,FALSE),0)*Quantitytable[[#This Row],[NeededQuantity]]</f>
        <v>1.3139999999999998</v>
      </c>
      <c r="I557" s="3">
        <f>SUMIF(Quantitytable[Dish],Quantitytable[[#This Row],[Dish]],Quantitytable[Cost Per Dish Per Item])</f>
        <v>29.108285714285714</v>
      </c>
      <c r="J557" s="18" t="s">
        <v>502</v>
      </c>
    </row>
    <row r="558" spans="2:10" x14ac:dyDescent="0.25">
      <c r="B558" s="13" t="s">
        <v>652</v>
      </c>
      <c r="C558" s="13" t="s">
        <v>163</v>
      </c>
      <c r="D558" s="13">
        <v>100</v>
      </c>
      <c r="E558" s="3">
        <f>IF(Quantitytable[[#This Row],[Units]]=0,0,SUMIFS(Quantitytable[NeededQuantity],Quantitytable[Dish],Quantitytable[[#This Row],[Dish]],Quantitytable[[Ingredient ]],Quantitytable[[#This Row],[Ingredient ]]))</f>
        <v>0</v>
      </c>
      <c r="F558" s="3">
        <f>SUMIFS(salestable[Quantity Sold],salestable[Item Name],Quantitytable[[#This Row],[Dish]])</f>
        <v>0</v>
      </c>
      <c r="G558" s="3">
        <f>'Quantity Table'!$E558*'Quantity Table'!$F558</f>
        <v>0</v>
      </c>
      <c r="H558" s="3">
        <f>_xlfn.IFNA(VLOOKUP(Quantitytable[[#This Row],[Ingredient ]],Shoppingtable[[Item Name]:[BALANCE Cash]],5,FALSE),0)*Quantitytable[[#This Row],[NeededQuantity]]</f>
        <v>22.08</v>
      </c>
      <c r="I558" s="3">
        <f>SUMIF(Quantitytable[Dish],Quantitytable[[#This Row],[Dish]],Quantitytable[Cost Per Dish Per Item])</f>
        <v>29.108285714285714</v>
      </c>
      <c r="J558" s="18" t="s">
        <v>502</v>
      </c>
    </row>
    <row r="559" spans="2:10" x14ac:dyDescent="0.25">
      <c r="B559" s="13" t="s">
        <v>652</v>
      </c>
      <c r="C559" s="13" t="s">
        <v>44</v>
      </c>
      <c r="D559" s="13">
        <v>200</v>
      </c>
      <c r="E559" s="3">
        <f>IF(Quantitytable[[#This Row],[Units]]=0,0,SUMIFS(Quantitytable[NeededQuantity],Quantitytable[Dish],Quantitytable[[#This Row],[Dish]],Quantitytable[[Ingredient ]],Quantitytable[[#This Row],[Ingredient ]]))</f>
        <v>0</v>
      </c>
      <c r="F559" s="3">
        <f>SUMIFS(salestable[Quantity Sold],salestable[Item Name],Quantitytable[[#This Row],[Dish]])</f>
        <v>0</v>
      </c>
      <c r="G559" s="3">
        <f>'Quantity Table'!$E559*'Quantity Table'!$F559</f>
        <v>0</v>
      </c>
      <c r="H559" s="3">
        <f>_xlfn.IFNA(VLOOKUP(Quantitytable[[#This Row],[Ingredient ]],Shoppingtable[[Item Name]:[BALANCE Cash]],5,FALSE),0)*Quantitytable[[#This Row],[NeededQuantity]]</f>
        <v>5.7142857142857144</v>
      </c>
      <c r="I559" s="3">
        <f>SUMIF(Quantitytable[Dish],Quantitytable[[#This Row],[Dish]],Quantitytable[Cost Per Dish Per Item])</f>
        <v>29.108285714285714</v>
      </c>
      <c r="J559" s="18" t="s">
        <v>502</v>
      </c>
    </row>
    <row r="560" spans="2:10" x14ac:dyDescent="0.25">
      <c r="B560" s="13" t="s">
        <v>675</v>
      </c>
      <c r="C560" s="13" t="s">
        <v>75</v>
      </c>
      <c r="D560" s="13">
        <v>9</v>
      </c>
      <c r="E560" s="3">
        <f>IF(Quantitytable[[#This Row],[Units]]=0,0,SUMIFS(Quantitytable[NeededQuantity],Quantitytable[Dish],Quantitytable[[#This Row],[Dish]],Quantitytable[[Ingredient ]],Quantitytable[[#This Row],[Ingredient ]]))</f>
        <v>0</v>
      </c>
      <c r="F560" s="3">
        <f>SUMIFS(salestable[Quantity Sold],salestable[Item Name],Quantitytable[[#This Row],[Dish]])</f>
        <v>0</v>
      </c>
      <c r="G560" s="3">
        <f>'Quantity Table'!$E560*'Quantity Table'!$F560</f>
        <v>0</v>
      </c>
      <c r="H560" s="3">
        <f>_xlfn.IFNA(VLOOKUP(Quantitytable[[#This Row],[Ingredient ]],Shoppingtable[[Item Name]:[BALANCE Cash]],5,FALSE),0)*Quantitytable[[#This Row],[NeededQuantity]]</f>
        <v>1.3139999999999998</v>
      </c>
      <c r="I560" s="3">
        <f>SUMIF(Quantitytable[Dish],Quantitytable[[#This Row],[Dish]],Quantitytable[Cost Per Dish Per Item])</f>
        <v>14.128285714285713</v>
      </c>
      <c r="J560" s="18" t="s">
        <v>502</v>
      </c>
    </row>
    <row r="561" spans="2:10" x14ac:dyDescent="0.25">
      <c r="B561" s="13" t="s">
        <v>675</v>
      </c>
      <c r="C561" s="13" t="s">
        <v>600</v>
      </c>
      <c r="D561" s="13">
        <v>80</v>
      </c>
      <c r="E561" s="3">
        <f>IF(Quantitytable[[#This Row],[Units]]=0,0,SUMIFS(Quantitytable[NeededQuantity],Quantitytable[Dish],Quantitytable[[#This Row],[Dish]],Quantitytable[[Ingredient ]],Quantitytable[[#This Row],[Ingredient ]]))</f>
        <v>0</v>
      </c>
      <c r="F561" s="3">
        <f>SUMIFS(salestable[Quantity Sold],salestable[Item Name],Quantitytable[[#This Row],[Dish]])</f>
        <v>0</v>
      </c>
      <c r="G561" s="3">
        <f>'Quantity Table'!$E561*'Quantity Table'!$F561</f>
        <v>0</v>
      </c>
      <c r="H561" s="3">
        <f>_xlfn.IFNA(VLOOKUP(Quantitytable[[#This Row],[Ingredient ]],Shoppingtable[[Item Name]:[BALANCE Cash]],5,FALSE),0)*Quantitytable[[#This Row],[NeededQuantity]]</f>
        <v>7.1</v>
      </c>
      <c r="I561" s="3">
        <f>SUMIF(Quantitytable[Dish],Quantitytable[[#This Row],[Dish]],Quantitytable[Cost Per Dish Per Item])</f>
        <v>14.128285714285713</v>
      </c>
      <c r="J561" s="18" t="s">
        <v>502</v>
      </c>
    </row>
    <row r="562" spans="2:10" x14ac:dyDescent="0.25">
      <c r="B562" s="13" t="s">
        <v>675</v>
      </c>
      <c r="C562" s="13" t="s">
        <v>44</v>
      </c>
      <c r="D562" s="13">
        <v>200</v>
      </c>
      <c r="E562" s="3">
        <f>IF(Quantitytable[[#This Row],[Units]]=0,0,SUMIFS(Quantitytable[NeededQuantity],Quantitytable[Dish],Quantitytable[[#This Row],[Dish]],Quantitytable[[Ingredient ]],Quantitytable[[#This Row],[Ingredient ]]))</f>
        <v>0</v>
      </c>
      <c r="F562" s="3">
        <f>SUMIFS(salestable[Quantity Sold],salestable[Item Name],Quantitytable[[#This Row],[Dish]])</f>
        <v>0</v>
      </c>
      <c r="G562" s="3">
        <f>'Quantity Table'!$E562*'Quantity Table'!$F562</f>
        <v>0</v>
      </c>
      <c r="H562" s="3">
        <f>_xlfn.IFNA(VLOOKUP(Quantitytable[[#This Row],[Ingredient ]],Shoppingtable[[Item Name]:[BALANCE Cash]],5,FALSE),0)*Quantitytable[[#This Row],[NeededQuantity]]</f>
        <v>5.7142857142857144</v>
      </c>
      <c r="I562" s="3">
        <f>SUMIF(Quantitytable[Dish],Quantitytable[[#This Row],[Dish]],Quantitytable[Cost Per Dish Per Item])</f>
        <v>14.128285714285713</v>
      </c>
      <c r="J562" s="18" t="s">
        <v>502</v>
      </c>
    </row>
    <row r="563" spans="2:10" x14ac:dyDescent="0.25">
      <c r="B563" s="13" t="s">
        <v>623</v>
      </c>
      <c r="C563" s="13" t="s">
        <v>622</v>
      </c>
      <c r="D563" s="13">
        <v>2</v>
      </c>
      <c r="E563" s="3">
        <f>IF(Quantitytable[[#This Row],[Units]]=0,0,SUMIFS(Quantitytable[NeededQuantity],Quantitytable[Dish],Quantitytable[[#This Row],[Dish]],Quantitytable[[Ingredient ]],Quantitytable[[#This Row],[Ingredient ]]))</f>
        <v>0</v>
      </c>
      <c r="F563" s="3">
        <f>SUMIFS(salestable[Quantity Sold],salestable[Item Name],Quantitytable[[#This Row],[Dish]])</f>
        <v>0</v>
      </c>
      <c r="G563" s="3">
        <f>'Quantity Table'!$E563*'Quantity Table'!$F563</f>
        <v>0</v>
      </c>
      <c r="H563" s="3">
        <f>_xlfn.IFNA(VLOOKUP(Quantitytable[[#This Row],[Ingredient ]],Shoppingtable[[Item Name]:[BALANCE Cash]],5,FALSE),0)*Quantitytable[[#This Row],[NeededQuantity]]</f>
        <v>5.7142857142857144</v>
      </c>
      <c r="I563" s="3">
        <f>SUMIF(Quantitytable[Dish],Quantitytable[[#This Row],[Dish]],Quantitytable[Cost Per Dish Per Item])</f>
        <v>27.024285714285718</v>
      </c>
      <c r="J563" s="18" t="s">
        <v>502</v>
      </c>
    </row>
    <row r="564" spans="2:10" x14ac:dyDescent="0.25">
      <c r="B564" s="13" t="s">
        <v>623</v>
      </c>
      <c r="C564" s="13" t="s">
        <v>45</v>
      </c>
      <c r="D564" s="13">
        <v>2</v>
      </c>
      <c r="E564" s="3">
        <f>IF(Quantitytable[[#This Row],[Units]]=0,0,SUMIFS(Quantitytable[NeededQuantity],Quantitytable[Dish],Quantitytable[[#This Row],[Dish]],Quantitytable[[Ingredient ]],Quantitytable[[#This Row],[Ingredient ]]))</f>
        <v>0</v>
      </c>
      <c r="F564" s="3">
        <f>SUMIFS(salestable[Quantity Sold],salestable[Item Name],Quantitytable[[#This Row],[Dish]])</f>
        <v>0</v>
      </c>
      <c r="G564" s="3">
        <f>'Quantity Table'!$E564*'Quantity Table'!$F564</f>
        <v>0</v>
      </c>
      <c r="H564" s="3">
        <f>_xlfn.IFNA(VLOOKUP(Quantitytable[[#This Row],[Ingredient ]],Shoppingtable[[Item Name]:[BALANCE Cash]],5,FALSE),0)*Quantitytable[[#This Row],[NeededQuantity]]</f>
        <v>14</v>
      </c>
      <c r="I564" s="3">
        <f>SUMIF(Quantitytable[Dish],Quantitytable[[#This Row],[Dish]],Quantitytable[Cost Per Dish Per Item])</f>
        <v>27.024285714285718</v>
      </c>
      <c r="J564" s="18" t="s">
        <v>502</v>
      </c>
    </row>
    <row r="565" spans="2:10" x14ac:dyDescent="0.25">
      <c r="B565" s="13" t="s">
        <v>623</v>
      </c>
      <c r="C565" s="13" t="s">
        <v>75</v>
      </c>
      <c r="D565" s="13">
        <v>35</v>
      </c>
      <c r="E565" s="3">
        <f>IF(Quantitytable[[#This Row],[Units]]=0,0,SUMIFS(Quantitytable[NeededQuantity],Quantitytable[Dish],Quantitytable[[#This Row],[Dish]],Quantitytable[[Ingredient ]],Quantitytable[[#This Row],[Ingredient ]]))</f>
        <v>0</v>
      </c>
      <c r="F565" s="3">
        <f>SUMIFS(salestable[Quantity Sold],salestable[Item Name],Quantitytable[[#This Row],[Dish]])</f>
        <v>0</v>
      </c>
      <c r="G565" s="3">
        <f>'Quantity Table'!$E565*'Quantity Table'!$F565</f>
        <v>0</v>
      </c>
      <c r="H565" s="3">
        <f>_xlfn.IFNA(VLOOKUP(Quantitytable[[#This Row],[Ingredient ]],Shoppingtable[[Item Name]:[BALANCE Cash]],5,FALSE),0)*Quantitytable[[#This Row],[NeededQuantity]]</f>
        <v>5.1099999999999994</v>
      </c>
      <c r="I565" s="3">
        <f>SUMIF(Quantitytable[Dish],Quantitytable[[#This Row],[Dish]],Quantitytable[Cost Per Dish Per Item])</f>
        <v>27.024285714285718</v>
      </c>
      <c r="J565" s="18" t="s">
        <v>502</v>
      </c>
    </row>
    <row r="566" spans="2:10" x14ac:dyDescent="0.25">
      <c r="B566" s="13" t="s">
        <v>623</v>
      </c>
      <c r="C566" s="13" t="s">
        <v>84</v>
      </c>
      <c r="D566" s="13">
        <v>3</v>
      </c>
      <c r="E566" s="3">
        <f>IF(Quantitytable[[#This Row],[Units]]=0,0,SUMIFS(Quantitytable[NeededQuantity],Quantitytable[Dish],Quantitytable[[#This Row],[Dish]],Quantitytable[[Ingredient ]],Quantitytable[[#This Row],[Ingredient ]]))</f>
        <v>0</v>
      </c>
      <c r="F566" s="3">
        <f>SUMIFS(salestable[Quantity Sold],salestable[Item Name],Quantitytable[[#This Row],[Dish]])</f>
        <v>0</v>
      </c>
      <c r="G566" s="3">
        <f>'Quantity Table'!$E566*'Quantity Table'!$F566</f>
        <v>0</v>
      </c>
      <c r="H566" s="3">
        <f>_xlfn.IFNA(VLOOKUP(Quantitytable[[#This Row],[Ingredient ]],Shoppingtable[[Item Name]:[BALANCE Cash]],5,FALSE),0)*Quantitytable[[#This Row],[NeededQuantity]]</f>
        <v>2.0999999999999996</v>
      </c>
      <c r="I566" s="3">
        <f>SUMIF(Quantitytable[Dish],Quantitytable[[#This Row],[Dish]],Quantitytable[Cost Per Dish Per Item])</f>
        <v>27.024285714285718</v>
      </c>
      <c r="J566" s="18" t="s">
        <v>502</v>
      </c>
    </row>
    <row r="567" spans="2:10" x14ac:dyDescent="0.25">
      <c r="B567" s="13" t="s">
        <v>623</v>
      </c>
      <c r="C567" s="13" t="s">
        <v>96</v>
      </c>
      <c r="D567" s="13">
        <v>2</v>
      </c>
      <c r="E567" s="3">
        <f>IF(Quantitytable[[#This Row],[Units]]=0,0,SUMIFS(Quantitytable[NeededQuantity],Quantitytable[Dish],Quantitytable[[#This Row],[Dish]],Quantitytable[[Ingredient ]],Quantitytable[[#This Row],[Ingredient ]]))</f>
        <v>0</v>
      </c>
      <c r="F567" s="3">
        <f>SUMIFS(salestable[Quantity Sold],salestable[Item Name],Quantitytable[[#This Row],[Dish]])</f>
        <v>0</v>
      </c>
      <c r="G567" s="3">
        <f>'Quantity Table'!$E567*'Quantity Table'!$F567</f>
        <v>0</v>
      </c>
      <c r="H567" s="3">
        <f>_xlfn.IFNA(VLOOKUP(Quantitytable[[#This Row],[Ingredient ]],Shoppingtable[[Item Name]:[BALANCE Cash]],5,FALSE),0)*Quantitytable[[#This Row],[NeededQuantity]]</f>
        <v>0.1</v>
      </c>
      <c r="I567" s="3">
        <f>SUMIF(Quantitytable[Dish],Quantitytable[[#This Row],[Dish]],Quantitytable[Cost Per Dish Per Item])</f>
        <v>27.024285714285718</v>
      </c>
      <c r="J567" s="18" t="s">
        <v>502</v>
      </c>
    </row>
    <row r="568" spans="2:10" x14ac:dyDescent="0.25">
      <c r="B568" s="13" t="s">
        <v>540</v>
      </c>
      <c r="C568" s="13" t="s">
        <v>625</v>
      </c>
      <c r="D568" s="13">
        <v>80</v>
      </c>
      <c r="E568" s="3">
        <f>IF(Quantitytable[[#This Row],[Units]]=0,0,SUMIFS(Quantitytable[NeededQuantity],Quantitytable[Dish],Quantitytable[[#This Row],[Dish]],Quantitytable[[Ingredient ]],Quantitytable[[#This Row],[Ingredient ]]))</f>
        <v>0</v>
      </c>
      <c r="F568" s="3">
        <f>SUMIFS(salestable[Quantity Sold],salestable[Item Name],Quantitytable[[#This Row],[Dish]])</f>
        <v>0</v>
      </c>
      <c r="G568" s="3">
        <f>'Quantity Table'!$E568*'Quantity Table'!$F568</f>
        <v>0</v>
      </c>
      <c r="H568" s="3">
        <f>_xlfn.IFNA(VLOOKUP(Quantitytable[[#This Row],[Ingredient ]],Shoppingtable[[Item Name]:[BALANCE Cash]],5,FALSE),0)*Quantitytable[[#This Row],[NeededQuantity]]</f>
        <v>17.664000000000001</v>
      </c>
      <c r="I568" s="3">
        <f>SUMIF(Quantitytable[Dish],Quantitytable[[#This Row],[Dish]],Quantitytable[Cost Per Dish Per Item])</f>
        <v>40.835428571428572</v>
      </c>
      <c r="J568" s="18" t="s">
        <v>502</v>
      </c>
    </row>
    <row r="569" spans="2:10" x14ac:dyDescent="0.25">
      <c r="B569" s="13" t="s">
        <v>540</v>
      </c>
      <c r="C569" s="13" t="s">
        <v>75</v>
      </c>
      <c r="D569" s="13">
        <v>100</v>
      </c>
      <c r="E569" s="3">
        <f>IF(Quantitytable[[#This Row],[Units]]=0,0,SUMIFS(Quantitytable[NeededQuantity],Quantitytable[Dish],Quantitytable[[#This Row],[Dish]],Quantitytable[[Ingredient ]],Quantitytable[[#This Row],[Ingredient ]]))</f>
        <v>0</v>
      </c>
      <c r="F569" s="3">
        <f>SUMIFS(salestable[Quantity Sold],salestable[Item Name],Quantitytable[[#This Row],[Dish]])</f>
        <v>0</v>
      </c>
      <c r="G569" s="3">
        <f>'Quantity Table'!$E569*'Quantity Table'!$F569</f>
        <v>0</v>
      </c>
      <c r="H569" s="3">
        <f>_xlfn.IFNA(VLOOKUP(Quantitytable[[#This Row],[Ingredient ]],Shoppingtable[[Item Name]:[BALANCE Cash]],5,FALSE),0)*Quantitytable[[#This Row],[NeededQuantity]]</f>
        <v>14.6</v>
      </c>
      <c r="I569" s="3">
        <f>SUMIF(Quantitytable[Dish],Quantitytable[[#This Row],[Dish]],Quantitytable[Cost Per Dish Per Item])</f>
        <v>40.835428571428572</v>
      </c>
      <c r="J569" s="18" t="s">
        <v>502</v>
      </c>
    </row>
    <row r="570" spans="2:10" x14ac:dyDescent="0.25">
      <c r="B570" s="13" t="s">
        <v>540</v>
      </c>
      <c r="C570" s="13" t="s">
        <v>44</v>
      </c>
      <c r="D570" s="13">
        <v>300</v>
      </c>
      <c r="E570" s="3">
        <f>IF(Quantitytable[[#This Row],[Units]]=0,0,SUMIFS(Quantitytable[NeededQuantity],Quantitytable[Dish],Quantitytable[[#This Row],[Dish]],Quantitytable[[Ingredient ]],Quantitytable[[#This Row],[Ingredient ]]))</f>
        <v>0</v>
      </c>
      <c r="F570" s="3">
        <f>SUMIFS(salestable[Quantity Sold],salestable[Item Name],Quantitytable[[#This Row],[Dish]])</f>
        <v>0</v>
      </c>
      <c r="G570" s="3">
        <f>'Quantity Table'!$E570*'Quantity Table'!$F570</f>
        <v>0</v>
      </c>
      <c r="H570" s="3">
        <f>_xlfn.IFNA(VLOOKUP(Quantitytable[[#This Row],[Ingredient ]],Shoppingtable[[Item Name]:[BALANCE Cash]],5,FALSE),0)*Quantitytable[[#This Row],[NeededQuantity]]</f>
        <v>8.5714285714285712</v>
      </c>
      <c r="I570" s="3">
        <f>SUMIF(Quantitytable[Dish],Quantitytable[[#This Row],[Dish]],Quantitytable[Cost Per Dish Per Item])</f>
        <v>40.835428571428572</v>
      </c>
      <c r="J570" s="18" t="s">
        <v>502</v>
      </c>
    </row>
    <row r="571" spans="2:10" x14ac:dyDescent="0.25">
      <c r="B571" s="13" t="s">
        <v>653</v>
      </c>
      <c r="C571" s="13" t="s">
        <v>163</v>
      </c>
      <c r="D571" s="13">
        <v>100</v>
      </c>
      <c r="E571" s="3">
        <f>IF(Quantitytable[[#This Row],[Units]]=0,0,SUMIFS(Quantitytable[NeededQuantity],Quantitytable[Dish],Quantitytable[[#This Row],[Dish]],Quantitytable[[Ingredient ]],Quantitytable[[#This Row],[Ingredient ]]))</f>
        <v>0</v>
      </c>
      <c r="F571" s="3">
        <f>SUMIFS(salestable[Quantity Sold],salestable[Item Name],Quantitytable[[#This Row],[Dish]])</f>
        <v>0</v>
      </c>
      <c r="G571" s="3">
        <f>'Quantity Table'!$E571*'Quantity Table'!$F571</f>
        <v>0</v>
      </c>
      <c r="H571" s="3">
        <f>_xlfn.IFNA(VLOOKUP(Quantitytable[[#This Row],[Ingredient ]],Shoppingtable[[Item Name]:[BALANCE Cash]],5,FALSE),0)*Quantitytable[[#This Row],[NeededQuantity]]</f>
        <v>22.08</v>
      </c>
      <c r="I571" s="3">
        <f>SUMIF(Quantitytable[Dish],Quantitytable[[#This Row],[Dish]],Quantitytable[Cost Per Dish Per Item])</f>
        <v>45.251428571428569</v>
      </c>
      <c r="J571" s="18" t="s">
        <v>502</v>
      </c>
    </row>
    <row r="572" spans="2:10" x14ac:dyDescent="0.25">
      <c r="B572" s="13" t="s">
        <v>653</v>
      </c>
      <c r="C572" s="13" t="s">
        <v>75</v>
      </c>
      <c r="D572" s="13">
        <v>100</v>
      </c>
      <c r="E572" s="3">
        <f>IF(Quantitytable[[#This Row],[Units]]=0,0,SUMIFS(Quantitytable[NeededQuantity],Quantitytable[Dish],Quantitytable[[#This Row],[Dish]],Quantitytable[[Ingredient ]],Quantitytable[[#This Row],[Ingredient ]]))</f>
        <v>0</v>
      </c>
      <c r="F572" s="3">
        <f>SUMIFS(salestable[Quantity Sold],salestable[Item Name],Quantitytable[[#This Row],[Dish]])</f>
        <v>0</v>
      </c>
      <c r="G572" s="3">
        <f>'Quantity Table'!$E572*'Quantity Table'!$F572</f>
        <v>0</v>
      </c>
      <c r="H572" s="3">
        <f>_xlfn.IFNA(VLOOKUP(Quantitytable[[#This Row],[Ingredient ]],Shoppingtable[[Item Name]:[BALANCE Cash]],5,FALSE),0)*Quantitytable[[#This Row],[NeededQuantity]]</f>
        <v>14.6</v>
      </c>
      <c r="I572" s="3">
        <f>SUMIF(Quantitytable[Dish],Quantitytable[[#This Row],[Dish]],Quantitytable[Cost Per Dish Per Item])</f>
        <v>45.251428571428569</v>
      </c>
      <c r="J572" s="18" t="s">
        <v>502</v>
      </c>
    </row>
    <row r="573" spans="2:10" x14ac:dyDescent="0.25">
      <c r="B573" s="13" t="s">
        <v>653</v>
      </c>
      <c r="C573" s="13" t="s">
        <v>44</v>
      </c>
      <c r="D573" s="13">
        <v>300</v>
      </c>
      <c r="E573" s="3">
        <f>IF(Quantitytable[[#This Row],[Units]]=0,0,SUMIFS(Quantitytable[NeededQuantity],Quantitytable[Dish],Quantitytable[[#This Row],[Dish]],Quantitytable[[Ingredient ]],Quantitytable[[#This Row],[Ingredient ]]))</f>
        <v>0</v>
      </c>
      <c r="F573" s="3">
        <f>SUMIFS(salestable[Quantity Sold],salestable[Item Name],Quantitytable[[#This Row],[Dish]])</f>
        <v>0</v>
      </c>
      <c r="G573" s="3">
        <f>'Quantity Table'!$E573*'Quantity Table'!$F573</f>
        <v>0</v>
      </c>
      <c r="H573" s="3">
        <f>_xlfn.IFNA(VLOOKUP(Quantitytable[[#This Row],[Ingredient ]],Shoppingtable[[Item Name]:[BALANCE Cash]],5,FALSE),0)*Quantitytable[[#This Row],[NeededQuantity]]</f>
        <v>8.5714285714285712</v>
      </c>
      <c r="I573" s="3">
        <f>SUMIF(Quantitytable[Dish],Quantitytable[[#This Row],[Dish]],Quantitytable[Cost Per Dish Per Item])</f>
        <v>45.251428571428569</v>
      </c>
      <c r="J573" s="18" t="s">
        <v>502</v>
      </c>
    </row>
    <row r="574" spans="2:10" x14ac:dyDescent="0.25">
      <c r="B574" s="13" t="s">
        <v>676</v>
      </c>
      <c r="C574" s="13" t="s">
        <v>600</v>
      </c>
      <c r="D574" s="13"/>
      <c r="E574" s="3">
        <f>IF(Quantitytable[[#This Row],[Units]]=0,0,SUMIFS(Quantitytable[NeededQuantity],Quantitytable[Dish],Quantitytable[[#This Row],[Dish]],Quantitytable[[Ingredient ]],Quantitytable[[#This Row],[Ingredient ]]))</f>
        <v>0</v>
      </c>
      <c r="F574" s="3">
        <f>SUMIFS(salestable[Quantity Sold],salestable[Item Name],Quantitytable[[#This Row],[Dish]])</f>
        <v>0</v>
      </c>
      <c r="G574" s="3">
        <f>'Quantity Table'!$E574*'Quantity Table'!$F574</f>
        <v>0</v>
      </c>
      <c r="H574" s="3">
        <f>_xlfn.IFNA(VLOOKUP(Quantitytable[[#This Row],[Ingredient ]],Shoppingtable[[Item Name]:[BALANCE Cash]],5,FALSE),0)*Quantitytable[[#This Row],[NeededQuantity]]</f>
        <v>0</v>
      </c>
      <c r="I574" s="3">
        <f>SUMIF(Quantitytable[Dish],Quantitytable[[#This Row],[Dish]],Quantitytable[Cost Per Dish Per Item])</f>
        <v>23.171428571428571</v>
      </c>
      <c r="J574" s="18" t="s">
        <v>502</v>
      </c>
    </row>
    <row r="575" spans="2:10" x14ac:dyDescent="0.25">
      <c r="B575" s="13" t="s">
        <v>676</v>
      </c>
      <c r="C575" s="13" t="s">
        <v>75</v>
      </c>
      <c r="D575" s="13">
        <v>100</v>
      </c>
      <c r="E575" s="3">
        <f>IF(Quantitytable[[#This Row],[Units]]=0,0,SUMIFS(Quantitytable[NeededQuantity],Quantitytable[Dish],Quantitytable[[#This Row],[Dish]],Quantitytable[[Ingredient ]],Quantitytable[[#This Row],[Ingredient ]]))</f>
        <v>0</v>
      </c>
      <c r="F575" s="3">
        <f>SUMIFS(salestable[Quantity Sold],salestable[Item Name],Quantitytable[[#This Row],[Dish]])</f>
        <v>0</v>
      </c>
      <c r="G575" s="3">
        <f>'Quantity Table'!$E575*'Quantity Table'!$F575</f>
        <v>0</v>
      </c>
      <c r="H575" s="3">
        <f>_xlfn.IFNA(VLOOKUP(Quantitytable[[#This Row],[Ingredient ]],Shoppingtable[[Item Name]:[BALANCE Cash]],5,FALSE),0)*Quantitytable[[#This Row],[NeededQuantity]]</f>
        <v>14.6</v>
      </c>
      <c r="I575" s="3">
        <f>SUMIF(Quantitytable[Dish],Quantitytable[[#This Row],[Dish]],Quantitytable[Cost Per Dish Per Item])</f>
        <v>23.171428571428571</v>
      </c>
      <c r="J575" s="18" t="s">
        <v>502</v>
      </c>
    </row>
    <row r="576" spans="2:10" x14ac:dyDescent="0.25">
      <c r="B576" s="13" t="s">
        <v>676</v>
      </c>
      <c r="C576" s="13" t="s">
        <v>44</v>
      </c>
      <c r="D576" s="13">
        <v>300</v>
      </c>
      <c r="E576" s="3">
        <f>IF(Quantitytable[[#This Row],[Units]]=0,0,SUMIFS(Quantitytable[NeededQuantity],Quantitytable[Dish],Quantitytable[[#This Row],[Dish]],Quantitytable[[Ingredient ]],Quantitytable[[#This Row],[Ingredient ]]))</f>
        <v>0</v>
      </c>
      <c r="F576" s="3">
        <f>SUMIFS(salestable[Quantity Sold],salestable[Item Name],Quantitytable[[#This Row],[Dish]])</f>
        <v>0</v>
      </c>
      <c r="G576" s="3">
        <f>'Quantity Table'!$E576*'Quantity Table'!$F576</f>
        <v>0</v>
      </c>
      <c r="H576" s="3">
        <f>_xlfn.IFNA(VLOOKUP(Quantitytable[[#This Row],[Ingredient ]],Shoppingtable[[Item Name]:[BALANCE Cash]],5,FALSE),0)*Quantitytable[[#This Row],[NeededQuantity]]</f>
        <v>8.5714285714285712</v>
      </c>
      <c r="I576" s="3">
        <f>SUMIF(Quantitytable[Dish],Quantitytable[[#This Row],[Dish]],Quantitytable[Cost Per Dish Per Item])</f>
        <v>23.171428571428571</v>
      </c>
      <c r="J576" s="18" t="s">
        <v>502</v>
      </c>
    </row>
    <row r="577" spans="2:10" x14ac:dyDescent="0.25">
      <c r="B577" s="13" t="s">
        <v>157</v>
      </c>
      <c r="C577" s="13" t="s">
        <v>560</v>
      </c>
      <c r="D577" s="13">
        <v>250</v>
      </c>
      <c r="E577" s="3">
        <f>IF(Quantitytable[[#This Row],[Units]]=0,0,SUMIFS(Quantitytable[NeededQuantity],Quantitytable[Dish],Quantitytable[[#This Row],[Dish]],Quantitytable[[Ingredient ]],Quantitytable[[#This Row],[Ingredient ]]))</f>
        <v>0</v>
      </c>
      <c r="F577" s="3">
        <f>SUMIFS(salestable[Quantity Sold],salestable[Item Name],Quantitytable[[#This Row],[Dish]])</f>
        <v>0</v>
      </c>
      <c r="G577" s="3">
        <f>'Quantity Table'!$E577*'Quantity Table'!$F577</f>
        <v>0</v>
      </c>
      <c r="H577" s="3">
        <f>_xlfn.IFNA(VLOOKUP(Quantitytable[[#This Row],[Ingredient ]],Shoppingtable[[Item Name]:[BALANCE Cash]],5,FALSE),0)*Quantitytable[[#This Row],[NeededQuantity]]</f>
        <v>5.55</v>
      </c>
      <c r="I577" s="3">
        <f>SUMIF(Quantitytable[Dish],Quantitytable[[#This Row],[Dish]],Quantitytable[Cost Per Dish Per Item])</f>
        <v>5.55</v>
      </c>
      <c r="J577" s="18" t="s">
        <v>502</v>
      </c>
    </row>
    <row r="578" spans="2:10" x14ac:dyDescent="0.25">
      <c r="B578" s="13" t="s">
        <v>679</v>
      </c>
      <c r="C578" s="13" t="s">
        <v>560</v>
      </c>
      <c r="D578" s="13">
        <v>500</v>
      </c>
      <c r="E578" s="3">
        <f>IF(Quantitytable[[#This Row],[Units]]=0,0,SUMIFS(Quantitytable[NeededQuantity],Quantitytable[Dish],Quantitytable[[#This Row],[Dish]],Quantitytable[[Ingredient ]],Quantitytable[[#This Row],[Ingredient ]]))</f>
        <v>0</v>
      </c>
      <c r="F578" s="3">
        <f>SUMIFS(salestable[Quantity Sold],salestable[Item Name],Quantitytable[[#This Row],[Dish]])</f>
        <v>0</v>
      </c>
      <c r="G578" s="3">
        <f>'Quantity Table'!$E578*'Quantity Table'!$F578</f>
        <v>0</v>
      </c>
      <c r="H578" s="3">
        <f>_xlfn.IFNA(VLOOKUP(Quantitytable[[#This Row],[Ingredient ]],Shoppingtable[[Item Name]:[BALANCE Cash]],5,FALSE),0)*Quantitytable[[#This Row],[NeededQuantity]]</f>
        <v>11.1</v>
      </c>
      <c r="I578" s="3">
        <f>SUMIF(Quantitytable[Dish],Quantitytable[[#This Row],[Dish]],Quantitytable[Cost Per Dish Per Item])</f>
        <v>66.3</v>
      </c>
      <c r="J578" s="18" t="s">
        <v>502</v>
      </c>
    </row>
    <row r="579" spans="2:10" x14ac:dyDescent="0.25">
      <c r="B579" s="13" t="s">
        <v>679</v>
      </c>
      <c r="C579" s="13" t="s">
        <v>625</v>
      </c>
      <c r="D579" s="13">
        <v>250</v>
      </c>
      <c r="E579" s="3">
        <f>IF(Quantitytable[[#This Row],[Units]]=0,0,SUMIFS(Quantitytable[NeededQuantity],Quantitytable[Dish],Quantitytable[[#This Row],[Dish]],Quantitytable[[Ingredient ]],Quantitytable[[#This Row],[Ingredient ]]))</f>
        <v>0</v>
      </c>
      <c r="F579" s="3">
        <f>SUMIFS(salestable[Quantity Sold],salestable[Item Name],Quantitytable[[#This Row],[Dish]])</f>
        <v>0</v>
      </c>
      <c r="G579" s="3">
        <f>'Quantity Table'!$E579*'Quantity Table'!$F579</f>
        <v>0</v>
      </c>
      <c r="H579" s="3">
        <f>_xlfn.IFNA(VLOOKUP(Quantitytable[[#This Row],[Ingredient ]],Shoppingtable[[Item Name]:[BALANCE Cash]],5,FALSE),0)*Quantitytable[[#This Row],[NeededQuantity]]</f>
        <v>55.199999999999996</v>
      </c>
      <c r="I579" s="3">
        <f>SUMIF(Quantitytable[Dish],Quantitytable[[#This Row],[Dish]],Quantitytable[Cost Per Dish Per Item])</f>
        <v>66.3</v>
      </c>
      <c r="J579" s="18" t="s">
        <v>502</v>
      </c>
    </row>
    <row r="580" spans="2:10" x14ac:dyDescent="0.25">
      <c r="B580" s="13" t="s">
        <v>616</v>
      </c>
      <c r="C580" s="13" t="s">
        <v>600</v>
      </c>
      <c r="D580" s="13">
        <v>250</v>
      </c>
      <c r="E580" s="3">
        <f>IF(Quantitytable[[#This Row],[Units]]=0,0,SUMIFS(Quantitytable[NeededQuantity],Quantitytable[Dish],Quantitytable[[#This Row],[Dish]],Quantitytable[[Ingredient ]],Quantitytable[[#This Row],[Ingredient ]]))</f>
        <v>0</v>
      </c>
      <c r="F580" s="3">
        <f>SUMIFS(salestable[Quantity Sold],salestable[Item Name],Quantitytable[[#This Row],[Dish]])</f>
        <v>0</v>
      </c>
      <c r="G580" s="3">
        <f>'Quantity Table'!$E580*'Quantity Table'!$F580</f>
        <v>0</v>
      </c>
      <c r="H580" s="3">
        <f>_xlfn.IFNA(VLOOKUP(Quantitytable[[#This Row],[Ingredient ]],Shoppingtable[[Item Name]:[BALANCE Cash]],5,FALSE),0)*Quantitytable[[#This Row],[NeededQuantity]]</f>
        <v>22.1875</v>
      </c>
      <c r="I580" s="3">
        <f>SUMIF(Quantitytable[Dish],Quantitytable[[#This Row],[Dish]],Quantitytable[Cost Per Dish Per Item])</f>
        <v>33.287500000000001</v>
      </c>
      <c r="J580" s="18" t="s">
        <v>502</v>
      </c>
    </row>
    <row r="581" spans="2:10" x14ac:dyDescent="0.25">
      <c r="B581" s="13" t="s">
        <v>616</v>
      </c>
      <c r="C581" s="13" t="s">
        <v>560</v>
      </c>
      <c r="D581" s="13">
        <v>500</v>
      </c>
      <c r="E581" s="3">
        <f>IF(Quantitytable[[#This Row],[Units]]=0,0,SUMIFS(Quantitytable[NeededQuantity],Quantitytable[Dish],Quantitytable[[#This Row],[Dish]],Quantitytable[[Ingredient ]],Quantitytable[[#This Row],[Ingredient ]]))</f>
        <v>0</v>
      </c>
      <c r="F581" s="3">
        <f>SUMIFS(salestable[Quantity Sold],salestable[Item Name],Quantitytable[[#This Row],[Dish]])</f>
        <v>0</v>
      </c>
      <c r="G581" s="3">
        <f>'Quantity Table'!$E581*'Quantity Table'!$F581</f>
        <v>0</v>
      </c>
      <c r="H581" s="3">
        <f>_xlfn.IFNA(VLOOKUP(Quantitytable[[#This Row],[Ingredient ]],Shoppingtable[[Item Name]:[BALANCE Cash]],5,FALSE),0)*Quantitytable[[#This Row],[NeededQuantity]]</f>
        <v>11.1</v>
      </c>
      <c r="I581" s="3">
        <f>SUMIF(Quantitytable[Dish],Quantitytable[[#This Row],[Dish]],Quantitytable[Cost Per Dish Per Item])</f>
        <v>33.287500000000001</v>
      </c>
      <c r="J581" s="18" t="s">
        <v>502</v>
      </c>
    </row>
    <row r="582" spans="2:10" x14ac:dyDescent="0.25">
      <c r="B582" s="13" t="s">
        <v>629</v>
      </c>
      <c r="C582" s="13" t="s">
        <v>44</v>
      </c>
      <c r="D582" s="13">
        <v>140</v>
      </c>
      <c r="E582" s="3">
        <f>IF(Quantitytable[[#This Row],[Units]]=0,0,SUMIFS(Quantitytable[NeededQuantity],Quantitytable[Dish],Quantitytable[[#This Row],[Dish]],Quantitytable[[Ingredient ]],Quantitytable[[#This Row],[Ingredient ]]))</f>
        <v>0</v>
      </c>
      <c r="F582" s="3">
        <f>SUMIFS(salestable[Quantity Sold],salestable[Item Name],Quantitytable[[#This Row],[Dish]])</f>
        <v>0</v>
      </c>
      <c r="G582" s="3">
        <f>'Quantity Table'!$E582*'Quantity Table'!$F582</f>
        <v>0</v>
      </c>
      <c r="H582" s="3">
        <f>_xlfn.IFNA(VLOOKUP(Quantitytable[[#This Row],[Ingredient ]],Shoppingtable[[Item Name]:[BALANCE Cash]],5,FALSE),0)*Quantitytable[[#This Row],[NeededQuantity]]</f>
        <v>4</v>
      </c>
      <c r="I582" s="3">
        <f>SUMIF(Quantitytable[Dish],Quantitytable[[#This Row],[Dish]],Quantitytable[Cost Per Dish Per Item])</f>
        <v>38.489230769230772</v>
      </c>
      <c r="J582" s="18" t="s">
        <v>502</v>
      </c>
    </row>
    <row r="583" spans="2:10" x14ac:dyDescent="0.25">
      <c r="B583" s="13" t="s">
        <v>629</v>
      </c>
      <c r="C583" s="13" t="s">
        <v>75</v>
      </c>
      <c r="D583" s="13">
        <v>35</v>
      </c>
      <c r="E583" s="3">
        <f>IF(Quantitytable[[#This Row],[Units]]=0,0,SUMIFS(Quantitytable[NeededQuantity],Quantitytable[Dish],Quantitytable[[#This Row],[Dish]],Quantitytable[[Ingredient ]],Quantitytable[[#This Row],[Ingredient ]]))</f>
        <v>0</v>
      </c>
      <c r="F583" s="3">
        <f>SUMIFS(salestable[Quantity Sold],salestable[Item Name],Quantitytable[[#This Row],[Dish]])</f>
        <v>0</v>
      </c>
      <c r="G583" s="3">
        <f>'Quantity Table'!$E583*'Quantity Table'!$F583</f>
        <v>0</v>
      </c>
      <c r="H583" s="3">
        <f>_xlfn.IFNA(VLOOKUP(Quantitytable[[#This Row],[Ingredient ]],Shoppingtable[[Item Name]:[BALANCE Cash]],5,FALSE),0)*Quantitytable[[#This Row],[NeededQuantity]]</f>
        <v>5.1099999999999994</v>
      </c>
      <c r="I583" s="3">
        <f>SUMIF(Quantitytable[Dish],Quantitytable[[#This Row],[Dish]],Quantitytable[Cost Per Dish Per Item])</f>
        <v>38.489230769230772</v>
      </c>
      <c r="J583" s="18" t="s">
        <v>502</v>
      </c>
    </row>
    <row r="584" spans="2:10" x14ac:dyDescent="0.25">
      <c r="B584" s="13" t="s">
        <v>629</v>
      </c>
      <c r="C584" s="13" t="s">
        <v>576</v>
      </c>
      <c r="D584" s="13">
        <v>50</v>
      </c>
      <c r="E584" s="3">
        <f>IF(Quantitytable[[#This Row],[Units]]=0,0,SUMIFS(Quantitytable[NeededQuantity],Quantitytable[Dish],Quantitytable[[#This Row],[Dish]],Quantitytable[[Ingredient ]],Quantitytable[[#This Row],[Ingredient ]]))</f>
        <v>0</v>
      </c>
      <c r="F584" s="3">
        <f>SUMIFS(salestable[Quantity Sold],salestable[Item Name],Quantitytable[[#This Row],[Dish]])</f>
        <v>0</v>
      </c>
      <c r="G584" s="3">
        <f>'Quantity Table'!$E584*'Quantity Table'!$F584</f>
        <v>0</v>
      </c>
      <c r="H584" s="3">
        <f>_xlfn.IFNA(VLOOKUP(Quantitytable[[#This Row],[Ingredient ]],Shoppingtable[[Item Name]:[BALANCE Cash]],5,FALSE),0)*Quantitytable[[#This Row],[NeededQuantity]]</f>
        <v>2.9166666666666665</v>
      </c>
      <c r="I584" s="3">
        <f>SUMIF(Quantitytable[Dish],Quantitytable[[#This Row],[Dish]],Quantitytable[Cost Per Dish Per Item])</f>
        <v>38.489230769230772</v>
      </c>
      <c r="J584" s="18" t="s">
        <v>502</v>
      </c>
    </row>
    <row r="585" spans="2:10" x14ac:dyDescent="0.25">
      <c r="B585" s="13" t="s">
        <v>629</v>
      </c>
      <c r="C585" s="13" t="s">
        <v>577</v>
      </c>
      <c r="D585" s="13">
        <v>50</v>
      </c>
      <c r="E585" s="3">
        <f>IF(Quantitytable[[#This Row],[Units]]=0,0,SUMIFS(Quantitytable[NeededQuantity],Quantitytable[Dish],Quantitytable[[#This Row],[Dish]],Quantitytable[[Ingredient ]],Quantitytable[[#This Row],[Ingredient ]]))</f>
        <v>0</v>
      </c>
      <c r="F585" s="3">
        <f>SUMIFS(salestable[Quantity Sold],salestable[Item Name],Quantitytable[[#This Row],[Dish]])</f>
        <v>0</v>
      </c>
      <c r="G585" s="3">
        <f>'Quantity Table'!$E585*'Quantity Table'!$F585</f>
        <v>0</v>
      </c>
      <c r="H585" s="3">
        <f>_xlfn.IFNA(VLOOKUP(Quantitytable[[#This Row],[Ingredient ]],Shoppingtable[[Item Name]:[BALANCE Cash]],5,FALSE),0)*Quantitytable[[#This Row],[NeededQuantity]]</f>
        <v>2.8846153846153846</v>
      </c>
      <c r="I585" s="3">
        <f>SUMIF(Quantitytable[Dish],Quantitytable[[#This Row],[Dish]],Quantitytable[Cost Per Dish Per Item])</f>
        <v>38.489230769230772</v>
      </c>
      <c r="J585" s="18" t="s">
        <v>502</v>
      </c>
    </row>
    <row r="586" spans="2:10" x14ac:dyDescent="0.25">
      <c r="B586" s="13" t="s">
        <v>629</v>
      </c>
      <c r="C586" s="13" t="s">
        <v>98</v>
      </c>
      <c r="D586" s="13">
        <v>80</v>
      </c>
      <c r="E586" s="3">
        <f>IF(Quantitytable[[#This Row],[Units]]=0,0,SUMIFS(Quantitytable[NeededQuantity],Quantitytable[Dish],Quantitytable[[#This Row],[Dish]],Quantitytable[[Ingredient ]],Quantitytable[[#This Row],[Ingredient ]]))</f>
        <v>0</v>
      </c>
      <c r="F586" s="3">
        <f>SUMIFS(salestable[Quantity Sold],salestable[Item Name],Quantitytable[[#This Row],[Dish]])</f>
        <v>0</v>
      </c>
      <c r="G586" s="3">
        <f>'Quantity Table'!$E586*'Quantity Table'!$F586</f>
        <v>0</v>
      </c>
      <c r="H586" s="3">
        <f>_xlfn.IFNA(VLOOKUP(Quantitytable[[#This Row],[Ingredient ]],Shoppingtable[[Item Name]:[BALANCE Cash]],5,FALSE),0)*Quantitytable[[#This Row],[NeededQuantity]]</f>
        <v>4.3333333333333339</v>
      </c>
      <c r="I586" s="3">
        <f>SUMIF(Quantitytable[Dish],Quantitytable[[#This Row],[Dish]],Quantitytable[Cost Per Dish Per Item])</f>
        <v>38.489230769230772</v>
      </c>
      <c r="J586" s="18" t="s">
        <v>502</v>
      </c>
    </row>
    <row r="587" spans="2:10" x14ac:dyDescent="0.25">
      <c r="B587" s="13" t="s">
        <v>629</v>
      </c>
      <c r="C587" s="13" t="s">
        <v>44</v>
      </c>
      <c r="D587" s="13">
        <v>140</v>
      </c>
      <c r="E587" s="3">
        <f>IF(Quantitytable[[#This Row],[Units]]=0,0,SUMIFS(Quantitytable[NeededQuantity],Quantitytable[Dish],Quantitytable[[#This Row],[Dish]],Quantitytable[[Ingredient ]],Quantitytable[[#This Row],[Ingredient ]]))</f>
        <v>0</v>
      </c>
      <c r="F587" s="3">
        <f>SUMIFS(salestable[Quantity Sold],salestable[Item Name],Quantitytable[[#This Row],[Dish]])</f>
        <v>0</v>
      </c>
      <c r="G587" s="3">
        <f>'Quantity Table'!$E587*'Quantity Table'!$F587</f>
        <v>0</v>
      </c>
      <c r="H587" s="3">
        <f>_xlfn.IFNA(VLOOKUP(Quantitytable[[#This Row],[Ingredient ]],Shoppingtable[[Item Name]:[BALANCE Cash]],5,FALSE),0)*Quantitytable[[#This Row],[NeededQuantity]]</f>
        <v>4</v>
      </c>
      <c r="I587" s="3">
        <f>SUMIF(Quantitytable[Dish],Quantitytable[[#This Row],[Dish]],Quantitytable[Cost Per Dish Per Item])</f>
        <v>38.489230769230772</v>
      </c>
      <c r="J587" s="18" t="s">
        <v>502</v>
      </c>
    </row>
    <row r="588" spans="2:10" x14ac:dyDescent="0.25">
      <c r="B588" s="13" t="s">
        <v>629</v>
      </c>
      <c r="C588" s="13" t="s">
        <v>75</v>
      </c>
      <c r="D588" s="13">
        <v>35</v>
      </c>
      <c r="E588" s="3">
        <f>IF(Quantitytable[[#This Row],[Units]]=0,0,SUMIFS(Quantitytable[NeededQuantity],Quantitytable[Dish],Quantitytable[[#This Row],[Dish]],Quantitytable[[Ingredient ]],Quantitytable[[#This Row],[Ingredient ]]))</f>
        <v>0</v>
      </c>
      <c r="F588" s="3">
        <f>SUMIFS(salestable[Quantity Sold],salestable[Item Name],Quantitytable[[#This Row],[Dish]])</f>
        <v>0</v>
      </c>
      <c r="G588" s="3">
        <f>'Quantity Table'!$E588*'Quantity Table'!$F588</f>
        <v>0</v>
      </c>
      <c r="H588" s="3">
        <f>_xlfn.IFNA(VLOOKUP(Quantitytable[[#This Row],[Ingredient ]],Shoppingtable[[Item Name]:[BALANCE Cash]],5,FALSE),0)*Quantitytable[[#This Row],[NeededQuantity]]</f>
        <v>5.1099999999999994</v>
      </c>
      <c r="I588" s="3">
        <f>SUMIF(Quantitytable[Dish],Quantitytable[[#This Row],[Dish]],Quantitytable[Cost Per Dish Per Item])</f>
        <v>38.489230769230772</v>
      </c>
      <c r="J588" s="18" t="s">
        <v>502</v>
      </c>
    </row>
    <row r="589" spans="2:10" x14ac:dyDescent="0.25">
      <c r="B589" s="13" t="s">
        <v>629</v>
      </c>
      <c r="C589" s="13" t="s">
        <v>576</v>
      </c>
      <c r="D589" s="13">
        <v>50</v>
      </c>
      <c r="E589" s="3">
        <f>IF(Quantitytable[[#This Row],[Units]]=0,0,SUMIFS(Quantitytable[NeededQuantity],Quantitytable[Dish],Quantitytable[[#This Row],[Dish]],Quantitytable[[Ingredient ]],Quantitytable[[#This Row],[Ingredient ]]))</f>
        <v>0</v>
      </c>
      <c r="F589" s="3">
        <f>SUMIFS(salestable[Quantity Sold],salestable[Item Name],Quantitytable[[#This Row],[Dish]])</f>
        <v>0</v>
      </c>
      <c r="G589" s="3">
        <f>'Quantity Table'!$E589*'Quantity Table'!$F589</f>
        <v>0</v>
      </c>
      <c r="H589" s="3">
        <f>_xlfn.IFNA(VLOOKUP(Quantitytable[[#This Row],[Ingredient ]],Shoppingtable[[Item Name]:[BALANCE Cash]],5,FALSE),0)*Quantitytable[[#This Row],[NeededQuantity]]</f>
        <v>2.9166666666666665</v>
      </c>
      <c r="I589" s="3">
        <f>SUMIF(Quantitytable[Dish],Quantitytable[[#This Row],[Dish]],Quantitytable[Cost Per Dish Per Item])</f>
        <v>38.489230769230772</v>
      </c>
      <c r="J589" s="18" t="s">
        <v>502</v>
      </c>
    </row>
    <row r="590" spans="2:10" x14ac:dyDescent="0.25">
      <c r="B590" s="13" t="s">
        <v>629</v>
      </c>
      <c r="C590" s="13" t="s">
        <v>577</v>
      </c>
      <c r="D590" s="13">
        <v>50</v>
      </c>
      <c r="E590" s="3">
        <f>IF(Quantitytable[[#This Row],[Units]]=0,0,SUMIFS(Quantitytable[NeededQuantity],Quantitytable[Dish],Quantitytable[[#This Row],[Dish]],Quantitytable[[Ingredient ]],Quantitytable[[#This Row],[Ingredient ]]))</f>
        <v>0</v>
      </c>
      <c r="F590" s="3">
        <f>SUMIFS(salestable[Quantity Sold],salestable[Item Name],Quantitytable[[#This Row],[Dish]])</f>
        <v>0</v>
      </c>
      <c r="G590" s="3">
        <f>'Quantity Table'!$E590*'Quantity Table'!$F590</f>
        <v>0</v>
      </c>
      <c r="H590" s="3">
        <f>_xlfn.IFNA(VLOOKUP(Quantitytable[[#This Row],[Ingredient ]],Shoppingtable[[Item Name]:[BALANCE Cash]],5,FALSE),0)*Quantitytable[[#This Row],[NeededQuantity]]</f>
        <v>2.8846153846153846</v>
      </c>
      <c r="I590" s="3">
        <f>SUMIF(Quantitytable[Dish],Quantitytable[[#This Row],[Dish]],Quantitytable[Cost Per Dish Per Item])</f>
        <v>38.489230769230772</v>
      </c>
      <c r="J590" s="18" t="s">
        <v>502</v>
      </c>
    </row>
    <row r="591" spans="2:10" x14ac:dyDescent="0.25">
      <c r="B591" s="13" t="s">
        <v>629</v>
      </c>
      <c r="C591" s="13" t="s">
        <v>98</v>
      </c>
      <c r="D591" s="13">
        <v>80</v>
      </c>
      <c r="E591" s="3">
        <f>IF(Quantitytable[[#This Row],[Units]]=0,0,SUMIFS(Quantitytable[NeededQuantity],Quantitytable[Dish],Quantitytable[[#This Row],[Dish]],Quantitytable[[Ingredient ]],Quantitytable[[#This Row],[Ingredient ]]))</f>
        <v>0</v>
      </c>
      <c r="F591" s="3">
        <f>SUMIFS(salestable[Quantity Sold],salestable[Item Name],Quantitytable[[#This Row],[Dish]])</f>
        <v>0</v>
      </c>
      <c r="G591" s="3">
        <f>'Quantity Table'!$E591*'Quantity Table'!$F591</f>
        <v>0</v>
      </c>
      <c r="H591" s="3">
        <f>_xlfn.IFNA(VLOOKUP(Quantitytable[[#This Row],[Ingredient ]],Shoppingtable[[Item Name]:[BALANCE Cash]],5,FALSE),0)*Quantitytable[[#This Row],[NeededQuantity]]</f>
        <v>4.3333333333333339</v>
      </c>
      <c r="I591" s="3">
        <f>SUMIF(Quantitytable[Dish],Quantitytable[[#This Row],[Dish]],Quantitytable[Cost Per Dish Per Item])</f>
        <v>38.489230769230772</v>
      </c>
      <c r="J591" s="18" t="s">
        <v>502</v>
      </c>
    </row>
    <row r="592" spans="2:10" x14ac:dyDescent="0.25">
      <c r="B592" s="13" t="s">
        <v>131</v>
      </c>
      <c r="C592" s="13" t="s">
        <v>508</v>
      </c>
      <c r="D592" s="13">
        <v>2.5</v>
      </c>
      <c r="E592" s="3">
        <f>IF(Quantitytable[[#This Row],[Units]]=0,0,SUMIFS(Quantitytable[NeededQuantity],Quantitytable[Dish],Quantitytable[[#This Row],[Dish]],Quantitytable[[Ingredient ]],Quantitytable[[#This Row],[Ingredient ]]))</f>
        <v>0</v>
      </c>
      <c r="F592" s="3">
        <f>SUMIFS(salestable[Quantity Sold],salestable[Item Name],Quantitytable[[#This Row],[Dish]])</f>
        <v>0</v>
      </c>
      <c r="G592" s="3">
        <f>'Quantity Table'!$E592*'Quantity Table'!$F592</f>
        <v>0</v>
      </c>
      <c r="H592" s="3">
        <f>_xlfn.IFNA(VLOOKUP(Quantitytable[[#This Row],[Ingredient ]],Shoppingtable[[Item Name]:[BALANCE Cash]],5,FALSE),0)*Quantitytable[[#This Row],[NeededQuantity]]</f>
        <v>0.77777777777777779</v>
      </c>
      <c r="I592" s="3">
        <f>SUMIF(Quantitytable[Dish],Quantitytable[[#This Row],[Dish]],Quantitytable[Cost Per Dish Per Item])</f>
        <v>15.601692224912563</v>
      </c>
      <c r="J592" s="18" t="s">
        <v>502</v>
      </c>
    </row>
    <row r="593" spans="2:10" x14ac:dyDescent="0.25">
      <c r="B593" s="13" t="s">
        <v>131</v>
      </c>
      <c r="C593" s="13" t="s">
        <v>507</v>
      </c>
      <c r="D593" s="13">
        <v>2.5</v>
      </c>
      <c r="E593" s="3">
        <f>IF(Quantitytable[[#This Row],[Units]]=0,0,SUMIFS(Quantitytable[NeededQuantity],Quantitytable[Dish],Quantitytable[[#This Row],[Dish]],Quantitytable[[Ingredient ]],Quantitytable[[#This Row],[Ingredient ]]))</f>
        <v>0</v>
      </c>
      <c r="F593" s="3">
        <f>SUMIFS(salestable[Quantity Sold],salestable[Item Name],Quantitytable[[#This Row],[Dish]])</f>
        <v>0</v>
      </c>
      <c r="G593" s="3">
        <f>'Quantity Table'!$E593*'Quantity Table'!$F593</f>
        <v>0</v>
      </c>
      <c r="H593" s="3">
        <f>_xlfn.IFNA(VLOOKUP(Quantitytable[[#This Row],[Ingredient ]],Shoppingtable[[Item Name]:[BALANCE Cash]],5,FALSE),0)*Quantitytable[[#This Row],[NeededQuantity]]</f>
        <v>0.2824858757062147</v>
      </c>
      <c r="I593" s="3">
        <f>SUMIF(Quantitytable[Dish],Quantitytable[[#This Row],[Dish]],Quantitytable[Cost Per Dish Per Item])</f>
        <v>15.601692224912563</v>
      </c>
      <c r="J593" s="18" t="s">
        <v>502</v>
      </c>
    </row>
    <row r="594" spans="2:10" x14ac:dyDescent="0.25">
      <c r="B594" s="13" t="s">
        <v>131</v>
      </c>
      <c r="C594" s="13" t="s">
        <v>418</v>
      </c>
      <c r="D594" s="13">
        <v>4</v>
      </c>
      <c r="E594" s="3">
        <f>IF(Quantitytable[[#This Row],[Units]]=0,0,SUMIFS(Quantitytable[NeededQuantity],Quantitytable[Dish],Quantitytable[[#This Row],[Dish]],Quantitytable[[Ingredient ]],Quantitytable[[#This Row],[Ingredient ]]))</f>
        <v>0</v>
      </c>
      <c r="F594" s="3">
        <f>SUMIFS(salestable[Quantity Sold],salestable[Item Name],Quantitytable[[#This Row],[Dish]])</f>
        <v>0</v>
      </c>
      <c r="G594" s="3">
        <f>'Quantity Table'!$E594*'Quantity Table'!$F594</f>
        <v>0</v>
      </c>
      <c r="H594" s="3">
        <f>_xlfn.IFNA(VLOOKUP(Quantitytable[[#This Row],[Ingredient ]],Shoppingtable[[Item Name]:[BALANCE Cash]],5,FALSE),0)*Quantitytable[[#This Row],[NeededQuantity]]</f>
        <v>0.6</v>
      </c>
      <c r="I594" s="3">
        <f>SUMIF(Quantitytable[Dish],Quantitytable[[#This Row],[Dish]],Quantitytable[Cost Per Dish Per Item])</f>
        <v>15.601692224912563</v>
      </c>
      <c r="J594" s="18" t="s">
        <v>502</v>
      </c>
    </row>
    <row r="595" spans="2:10" x14ac:dyDescent="0.25">
      <c r="B595" s="13" t="s">
        <v>131</v>
      </c>
      <c r="C595" s="13" t="s">
        <v>478</v>
      </c>
      <c r="D595" s="13">
        <v>5</v>
      </c>
      <c r="E595" s="3">
        <f>IF(Quantitytable[[#This Row],[Units]]=0,0,SUMIFS(Quantitytable[NeededQuantity],Quantitytable[Dish],Quantitytable[[#This Row],[Dish]],Quantitytable[[Ingredient ]],Quantitytable[[#This Row],[Ingredient ]]))</f>
        <v>0</v>
      </c>
      <c r="F595" s="3">
        <f>SUMIFS(salestable[Quantity Sold],salestable[Item Name],Quantitytable[[#This Row],[Dish]])</f>
        <v>0</v>
      </c>
      <c r="G595" s="3">
        <f>'Quantity Table'!$E595*'Quantity Table'!$F595</f>
        <v>0</v>
      </c>
      <c r="H595" s="3">
        <f>_xlfn.IFNA(VLOOKUP(Quantitytable[[#This Row],[Ingredient ]],Shoppingtable[[Item Name]:[BALANCE Cash]],5,FALSE),0)*Quantitytable[[#This Row],[NeededQuantity]]</f>
        <v>1.25</v>
      </c>
      <c r="I595" s="3">
        <f>SUMIF(Quantitytable[Dish],Quantitytable[[#This Row],[Dish]],Quantitytable[Cost Per Dish Per Item])</f>
        <v>15.601692224912563</v>
      </c>
      <c r="J595" s="18" t="s">
        <v>502</v>
      </c>
    </row>
    <row r="596" spans="2:10" x14ac:dyDescent="0.25">
      <c r="B596" s="13" t="s">
        <v>131</v>
      </c>
      <c r="C596" s="13" t="s">
        <v>489</v>
      </c>
      <c r="D596" s="13">
        <v>10</v>
      </c>
      <c r="E596" s="3">
        <f>IF(Quantitytable[[#This Row],[Units]]=0,0,SUMIFS(Quantitytable[NeededQuantity],Quantitytable[Dish],Quantitytable[[#This Row],[Dish]],Quantitytable[[Ingredient ]],Quantitytable[[#This Row],[Ingredient ]]))</f>
        <v>0</v>
      </c>
      <c r="F596" s="3">
        <f>SUMIFS(salestable[Quantity Sold],salestable[Item Name],Quantitytable[[#This Row],[Dish]])</f>
        <v>0</v>
      </c>
      <c r="G596" s="3">
        <f>'Quantity Table'!$E596*'Quantity Table'!$F596</f>
        <v>0</v>
      </c>
      <c r="H596" s="3">
        <f>_xlfn.IFNA(VLOOKUP(Quantitytable[[#This Row],[Ingredient ]],Shoppingtable[[Item Name]:[BALANCE Cash]],5,FALSE),0)*Quantitytable[[#This Row],[NeededQuantity]]</f>
        <v>1.2</v>
      </c>
      <c r="I596" s="3">
        <f>SUMIF(Quantitytable[Dish],Quantitytable[[#This Row],[Dish]],Quantitytable[Cost Per Dish Per Item])</f>
        <v>15.601692224912563</v>
      </c>
      <c r="J596" s="18" t="s">
        <v>502</v>
      </c>
    </row>
    <row r="597" spans="2:10" x14ac:dyDescent="0.25">
      <c r="B597" s="13" t="s">
        <v>131</v>
      </c>
      <c r="C597" s="13" t="s">
        <v>75</v>
      </c>
      <c r="D597" s="13">
        <v>20</v>
      </c>
      <c r="E597" s="3">
        <f>IF(Quantitytable[[#This Row],[Units]]=0,0,SUMIFS(Quantitytable[NeededQuantity],Quantitytable[Dish],Quantitytable[[#This Row],[Dish]],Quantitytable[[Ingredient ]],Quantitytable[[#This Row],[Ingredient ]]))</f>
        <v>0</v>
      </c>
      <c r="F597" s="3">
        <f>SUMIFS(salestable[Quantity Sold],salestable[Item Name],Quantitytable[[#This Row],[Dish]])</f>
        <v>0</v>
      </c>
      <c r="G597" s="3">
        <f>'Quantity Table'!$E597*'Quantity Table'!$F597</f>
        <v>0</v>
      </c>
      <c r="H597" s="3">
        <f>_xlfn.IFNA(VLOOKUP(Quantitytable[[#This Row],[Ingredient ]],Shoppingtable[[Item Name]:[BALANCE Cash]],5,FALSE),0)*Quantitytable[[#This Row],[NeededQuantity]]</f>
        <v>2.92</v>
      </c>
      <c r="I597" s="3">
        <f>SUMIF(Quantitytable[Dish],Quantitytable[[#This Row],[Dish]],Quantitytable[Cost Per Dish Per Item])</f>
        <v>15.601692224912563</v>
      </c>
      <c r="J597" s="18" t="s">
        <v>502</v>
      </c>
    </row>
    <row r="598" spans="2:10" x14ac:dyDescent="0.25">
      <c r="B598" s="13" t="s">
        <v>131</v>
      </c>
      <c r="C598" s="13" t="s">
        <v>44</v>
      </c>
      <c r="D598" s="13">
        <v>300</v>
      </c>
      <c r="E598" s="3">
        <f>IF(Quantitytable[[#This Row],[Units]]=0,0,SUMIFS(Quantitytable[NeededQuantity],Quantitytable[Dish],Quantitytable[[#This Row],[Dish]],Quantitytable[[Ingredient ]],Quantitytable[[#This Row],[Ingredient ]]))</f>
        <v>0</v>
      </c>
      <c r="F598" s="3">
        <f>SUMIFS(salestable[Quantity Sold],salestable[Item Name],Quantitytable[[#This Row],[Dish]])</f>
        <v>0</v>
      </c>
      <c r="G598" s="3">
        <f>'Quantity Table'!$E598*'Quantity Table'!$F598</f>
        <v>0</v>
      </c>
      <c r="H598" s="3">
        <f>_xlfn.IFNA(VLOOKUP(Quantitytable[[#This Row],[Ingredient ]],Shoppingtable[[Item Name]:[BALANCE Cash]],5,FALSE),0)*Quantitytable[[#This Row],[NeededQuantity]]</f>
        <v>8.5714285714285712</v>
      </c>
      <c r="I598" s="3">
        <f>SUMIF(Quantitytable[Dish],Quantitytable[[#This Row],[Dish]],Quantitytable[Cost Per Dish Per Item])</f>
        <v>15.601692224912563</v>
      </c>
      <c r="J598" s="18" t="s">
        <v>502</v>
      </c>
    </row>
    <row r="599" spans="2:10" x14ac:dyDescent="0.25">
      <c r="B599" s="13" t="s">
        <v>137</v>
      </c>
      <c r="C599" s="13" t="s">
        <v>485</v>
      </c>
      <c r="D599" s="13">
        <v>2</v>
      </c>
      <c r="E599" s="3">
        <f>IF(Quantitytable[[#This Row],[Units]]=0,0,SUMIFS(Quantitytable[NeededQuantity],Quantitytable[Dish],Quantitytable[[#This Row],[Dish]],Quantitytable[[Ingredient ]],Quantitytable[[#This Row],[Ingredient ]]))</f>
        <v>0</v>
      </c>
      <c r="F599" s="3">
        <f>SUMIFS(salestable[Quantity Sold],salestable[Item Name],Quantitytable[[#This Row],[Dish]])</f>
        <v>0</v>
      </c>
      <c r="G599" s="3">
        <f>'Quantity Table'!$E599*'Quantity Table'!$F599</f>
        <v>0</v>
      </c>
      <c r="H599" s="3">
        <f>_xlfn.IFNA(VLOOKUP(Quantitytable[[#This Row],[Ingredient ]],Shoppingtable[[Item Name]:[BALANCE Cash]],5,FALSE),0)*Quantitytable[[#This Row],[NeededQuantity]]</f>
        <v>0.4</v>
      </c>
      <c r="I599" s="3">
        <f>SUMIF(Quantitytable[Dish],Quantitytable[[#This Row],[Dish]],Quantitytable[Cost Per Dish Per Item])</f>
        <v>62.371346455654873</v>
      </c>
      <c r="J599" s="18" t="s">
        <v>502</v>
      </c>
    </row>
    <row r="600" spans="2:10" x14ac:dyDescent="0.25">
      <c r="B600" s="13" t="s">
        <v>137</v>
      </c>
      <c r="C600" s="13" t="s">
        <v>418</v>
      </c>
      <c r="D600" s="13">
        <v>2</v>
      </c>
      <c r="E600" s="3">
        <f>IF(Quantitytable[[#This Row],[Units]]=0,0,SUMIFS(Quantitytable[NeededQuantity],Quantitytable[Dish],Quantitytable[[#This Row],[Dish]],Quantitytable[[Ingredient ]],Quantitytable[[#This Row],[Ingredient ]]))</f>
        <v>0</v>
      </c>
      <c r="F600" s="3">
        <f>SUMIFS(salestable[Quantity Sold],salestable[Item Name],Quantitytable[[#This Row],[Dish]])</f>
        <v>0</v>
      </c>
      <c r="G600" s="3">
        <f>'Quantity Table'!$E600*'Quantity Table'!$F600</f>
        <v>0</v>
      </c>
      <c r="H600" s="3">
        <f>_xlfn.IFNA(VLOOKUP(Quantitytable[[#This Row],[Ingredient ]],Shoppingtable[[Item Name]:[BALANCE Cash]],5,FALSE),0)*Quantitytable[[#This Row],[NeededQuantity]]</f>
        <v>0.3</v>
      </c>
      <c r="I600" s="3">
        <f>SUMIF(Quantitytable[Dish],Quantitytable[[#This Row],[Dish]],Quantitytable[Cost Per Dish Per Item])</f>
        <v>62.371346455654873</v>
      </c>
      <c r="J600" s="18" t="s">
        <v>502</v>
      </c>
    </row>
    <row r="601" spans="2:10" x14ac:dyDescent="0.25">
      <c r="B601" s="13" t="s">
        <v>137</v>
      </c>
      <c r="C601" s="13" t="s">
        <v>419</v>
      </c>
      <c r="D601" s="13">
        <v>2</v>
      </c>
      <c r="E601" s="3">
        <f>IF(Quantitytable[[#This Row],[Units]]=0,0,SUMIFS(Quantitytable[NeededQuantity],Quantitytable[Dish],Quantitytable[[#This Row],[Dish]],Quantitytable[[Ingredient ]],Quantitytable[[#This Row],[Ingredient ]]))</f>
        <v>0</v>
      </c>
      <c r="F601" s="3">
        <f>SUMIFS(salestable[Quantity Sold],salestable[Item Name],Quantitytable[[#This Row],[Dish]])</f>
        <v>0</v>
      </c>
      <c r="G601" s="3">
        <f>'Quantity Table'!$E601*'Quantity Table'!$F601</f>
        <v>0</v>
      </c>
      <c r="H601" s="3">
        <f>_xlfn.IFNA(VLOOKUP(Quantitytable[[#This Row],[Ingredient ]],Shoppingtable[[Item Name]:[BALANCE Cash]],5,FALSE),0)*Quantitytable[[#This Row],[NeededQuantity]]</f>
        <v>0.22727272727272727</v>
      </c>
      <c r="I601" s="3">
        <f>SUMIF(Quantitytable[Dish],Quantitytable[[#This Row],[Dish]],Quantitytable[Cost Per Dish Per Item])</f>
        <v>62.371346455654873</v>
      </c>
      <c r="J601" s="18" t="s">
        <v>502</v>
      </c>
    </row>
    <row r="602" spans="2:10" x14ac:dyDescent="0.25">
      <c r="B602" s="13" t="s">
        <v>137</v>
      </c>
      <c r="C602" s="13" t="s">
        <v>521</v>
      </c>
      <c r="D602" s="13">
        <v>3</v>
      </c>
      <c r="E602" s="3">
        <f>IF(Quantitytable[[#This Row],[Units]]=0,0,SUMIFS(Quantitytable[NeededQuantity],Quantitytable[Dish],Quantitytable[[#This Row],[Dish]],Quantitytable[[Ingredient ]],Quantitytable[[#This Row],[Ingredient ]]))</f>
        <v>0</v>
      </c>
      <c r="F602" s="3">
        <f>SUMIFS(salestable[Quantity Sold],salestable[Item Name],Quantitytable[[#This Row],[Dish]])</f>
        <v>0</v>
      </c>
      <c r="G602" s="3">
        <f>'Quantity Table'!$E602*'Quantity Table'!$F602</f>
        <v>0</v>
      </c>
      <c r="H602" s="3">
        <f>_xlfn.IFNA(VLOOKUP(Quantitytable[[#This Row],[Ingredient ]],Shoppingtable[[Item Name]:[BALANCE Cash]],5,FALSE),0)*Quantitytable[[#This Row],[NeededQuantity]]</f>
        <v>1.7999999999999998</v>
      </c>
      <c r="I602" s="3">
        <f>SUMIF(Quantitytable[Dish],Quantitytable[[#This Row],[Dish]],Quantitytable[Cost Per Dish Per Item])</f>
        <v>62.371346455654873</v>
      </c>
      <c r="J602" s="18" t="s">
        <v>502</v>
      </c>
    </row>
    <row r="603" spans="2:10" x14ac:dyDescent="0.25">
      <c r="B603" s="13" t="s">
        <v>137</v>
      </c>
      <c r="C603" s="13" t="s">
        <v>472</v>
      </c>
      <c r="D603" s="13">
        <v>4</v>
      </c>
      <c r="E603" s="3">
        <f>IF(Quantitytable[[#This Row],[Units]]=0,0,SUMIFS(Quantitytable[NeededQuantity],Quantitytable[Dish],Quantitytable[[#This Row],[Dish]],Quantitytable[[Ingredient ]],Quantitytable[[#This Row],[Ingredient ]]))</f>
        <v>0</v>
      </c>
      <c r="F603" s="3">
        <f>SUMIFS(salestable[Quantity Sold],salestable[Item Name],Quantitytable[[#This Row],[Dish]])</f>
        <v>0</v>
      </c>
      <c r="G603" s="3">
        <f>'Quantity Table'!$E603*'Quantity Table'!$F603</f>
        <v>0</v>
      </c>
      <c r="H603" s="3">
        <f>_xlfn.IFNA(VLOOKUP(Quantitytable[[#This Row],[Ingredient ]],Shoppingtable[[Item Name]:[BALANCE Cash]],5,FALSE),0)*Quantitytable[[#This Row],[NeededQuantity]]</f>
        <v>0.46242774566473988</v>
      </c>
      <c r="I603" s="3">
        <f>SUMIF(Quantitytable[Dish],Quantitytable[[#This Row],[Dish]],Quantitytable[Cost Per Dish Per Item])</f>
        <v>62.371346455654873</v>
      </c>
      <c r="J603" s="18" t="s">
        <v>502</v>
      </c>
    </row>
    <row r="604" spans="2:10" x14ac:dyDescent="0.25">
      <c r="B604" s="13" t="s">
        <v>137</v>
      </c>
      <c r="C604" s="13" t="s">
        <v>478</v>
      </c>
      <c r="D604" s="13">
        <v>5</v>
      </c>
      <c r="E604" s="3">
        <f>IF(Quantitytable[[#This Row],[Units]]=0,0,SUMIFS(Quantitytable[NeededQuantity],Quantitytable[Dish],Quantitytable[[#This Row],[Dish]],Quantitytable[[Ingredient ]],Quantitytable[[#This Row],[Ingredient ]]))</f>
        <v>0</v>
      </c>
      <c r="F604" s="3">
        <f>SUMIFS(salestable[Quantity Sold],salestable[Item Name],Quantitytable[[#This Row],[Dish]])</f>
        <v>0</v>
      </c>
      <c r="G604" s="3">
        <f>'Quantity Table'!$E604*'Quantity Table'!$F604</f>
        <v>0</v>
      </c>
      <c r="H604" s="3">
        <f>_xlfn.IFNA(VLOOKUP(Quantitytable[[#This Row],[Ingredient ]],Shoppingtable[[Item Name]:[BALANCE Cash]],5,FALSE),0)*Quantitytable[[#This Row],[NeededQuantity]]</f>
        <v>1.25</v>
      </c>
      <c r="I604" s="3">
        <f>SUMIF(Quantitytable[Dish],Quantitytable[[#This Row],[Dish]],Quantitytable[Cost Per Dish Per Item])</f>
        <v>62.371346455654873</v>
      </c>
      <c r="J604" s="18" t="s">
        <v>502</v>
      </c>
    </row>
    <row r="605" spans="2:10" x14ac:dyDescent="0.25">
      <c r="B605" s="13" t="s">
        <v>137</v>
      </c>
      <c r="C605" s="13" t="s">
        <v>503</v>
      </c>
      <c r="D605" s="13">
        <v>5</v>
      </c>
      <c r="E605" s="3">
        <f>IF(Quantitytable[[#This Row],[Units]]=0,0,SUMIFS(Quantitytable[NeededQuantity],Quantitytable[Dish],Quantitytable[[#This Row],[Dish]],Quantitytable[[Ingredient ]],Quantitytable[[#This Row],[Ingredient ]]))</f>
        <v>0</v>
      </c>
      <c r="F605" s="3">
        <f>SUMIFS(salestable[Quantity Sold],salestable[Item Name],Quantitytable[[#This Row],[Dish]])</f>
        <v>0</v>
      </c>
      <c r="G605" s="3">
        <f>'Quantity Table'!$E605*'Quantity Table'!$F605</f>
        <v>0</v>
      </c>
      <c r="H605" s="3">
        <f>_xlfn.IFNA(VLOOKUP(Quantitytable[[#This Row],[Ingredient ]],Shoppingtable[[Item Name]:[BALANCE Cash]],5,FALSE),0)*Quantitytable[[#This Row],[NeededQuantity]]</f>
        <v>2.6875</v>
      </c>
      <c r="I605" s="3">
        <f>SUMIF(Quantitytable[Dish],Quantitytable[[#This Row],[Dish]],Quantitytable[Cost Per Dish Per Item])</f>
        <v>62.371346455654873</v>
      </c>
      <c r="J605" s="18" t="s">
        <v>502</v>
      </c>
    </row>
    <row r="606" spans="2:10" x14ac:dyDescent="0.25">
      <c r="B606" s="13" t="s">
        <v>137</v>
      </c>
      <c r="C606" s="13" t="s">
        <v>47</v>
      </c>
      <c r="D606" s="13">
        <v>6</v>
      </c>
      <c r="E606" s="3">
        <f>IF(Quantitytable[[#This Row],[Units]]=0,0,SUMIFS(Quantitytable[NeededQuantity],Quantitytable[Dish],Quantitytable[[#This Row],[Dish]],Quantitytable[[Ingredient ]],Quantitytable[[#This Row],[Ingredient ]]))</f>
        <v>0</v>
      </c>
      <c r="F606" s="3">
        <f>SUMIFS(salestable[Quantity Sold],salestable[Item Name],Quantitytable[[#This Row],[Dish]])</f>
        <v>0</v>
      </c>
      <c r="G606" s="3">
        <f>'Quantity Table'!$E606*'Quantity Table'!$F606</f>
        <v>0</v>
      </c>
      <c r="H606" s="3">
        <f>_xlfn.IFNA(VLOOKUP(Quantitytable[[#This Row],[Ingredient ]],Shoppingtable[[Item Name]:[BALANCE Cash]],5,FALSE),0)*Quantitytable[[#This Row],[NeededQuantity]]</f>
        <v>1.2000000000000002</v>
      </c>
      <c r="I606" s="3">
        <f>SUMIF(Quantitytable[Dish],Quantitytable[[#This Row],[Dish]],Quantitytable[Cost Per Dish Per Item])</f>
        <v>62.371346455654873</v>
      </c>
      <c r="J606" s="18" t="s">
        <v>502</v>
      </c>
    </row>
    <row r="607" spans="2:10" x14ac:dyDescent="0.25">
      <c r="B607" s="13" t="s">
        <v>137</v>
      </c>
      <c r="C607" s="13" t="s">
        <v>423</v>
      </c>
      <c r="D607" s="13">
        <v>10</v>
      </c>
      <c r="E607" s="3">
        <f>IF(Quantitytable[[#This Row],[Units]]=0,0,SUMIFS(Quantitytable[NeededQuantity],Quantitytable[Dish],Quantitytable[[#This Row],[Dish]],Quantitytable[[Ingredient ]],Quantitytable[[#This Row],[Ingredient ]]))</f>
        <v>0</v>
      </c>
      <c r="F607" s="3">
        <f>SUMIFS(salestable[Quantity Sold],salestable[Item Name],Quantitytable[[#This Row],[Dish]])</f>
        <v>0</v>
      </c>
      <c r="G607" s="3">
        <f>'Quantity Table'!$E607*'Quantity Table'!$F607</f>
        <v>0</v>
      </c>
      <c r="H607" s="3">
        <f>_xlfn.IFNA(VLOOKUP(Quantitytable[[#This Row],[Ingredient ]],Shoppingtable[[Item Name]:[BALANCE Cash]],5,FALSE),0)*Quantitytable[[#This Row],[NeededQuantity]]</f>
        <v>3.75</v>
      </c>
      <c r="I607" s="3">
        <f>SUMIF(Quantitytable[Dish],Quantitytable[[#This Row],[Dish]],Quantitytable[Cost Per Dish Per Item])</f>
        <v>62.371346455654873</v>
      </c>
      <c r="J607" s="18" t="s">
        <v>502</v>
      </c>
    </row>
    <row r="608" spans="2:10" x14ac:dyDescent="0.25">
      <c r="B608" s="13" t="s">
        <v>137</v>
      </c>
      <c r="C608" s="13" t="s">
        <v>505</v>
      </c>
      <c r="D608" s="13">
        <v>40</v>
      </c>
      <c r="E608" s="3">
        <f>IF(Quantitytable[[#This Row],[Units]]=0,0,SUMIFS(Quantitytable[NeededQuantity],Quantitytable[Dish],Quantitytable[[#This Row],[Dish]],Quantitytable[[Ingredient ]],Quantitytable[[#This Row],[Ingredient ]]))</f>
        <v>0</v>
      </c>
      <c r="F608" s="3">
        <f>SUMIFS(salestable[Quantity Sold],salestable[Item Name],Quantitytable[[#This Row],[Dish]])</f>
        <v>0</v>
      </c>
      <c r="G608" s="3">
        <f>'Quantity Table'!$E608*'Quantity Table'!$F608</f>
        <v>0</v>
      </c>
      <c r="H608" s="3">
        <f>_xlfn.IFNA(VLOOKUP(Quantitytable[[#This Row],[Ingredient ]],Shoppingtable[[Item Name]:[BALANCE Cash]],5,FALSE),0)*Quantitytable[[#This Row],[NeededQuantity]]</f>
        <v>7.3469387755102042</v>
      </c>
      <c r="I608" s="3">
        <f>SUMIF(Quantitytable[Dish],Quantitytable[[#This Row],[Dish]],Quantitytable[Cost Per Dish Per Item])</f>
        <v>62.371346455654873</v>
      </c>
      <c r="J608" s="18" t="s">
        <v>502</v>
      </c>
    </row>
    <row r="609" spans="2:10" x14ac:dyDescent="0.25">
      <c r="B609" s="13" t="s">
        <v>137</v>
      </c>
      <c r="C609" s="13" t="s">
        <v>413</v>
      </c>
      <c r="D609" s="13">
        <v>50</v>
      </c>
      <c r="E609" s="3">
        <f>IF(Quantitytable[[#This Row],[Units]]=0,0,SUMIFS(Quantitytable[NeededQuantity],Quantitytable[Dish],Quantitytable[[#This Row],[Dish]],Quantitytable[[Ingredient ]],Quantitytable[[#This Row],[Ingredient ]]))</f>
        <v>0</v>
      </c>
      <c r="F609" s="3">
        <f>SUMIFS(salestable[Quantity Sold],salestable[Item Name],Quantitytable[[#This Row],[Dish]])</f>
        <v>0</v>
      </c>
      <c r="G609" s="3">
        <f>'Quantity Table'!$E609*'Quantity Table'!$F609</f>
        <v>0</v>
      </c>
      <c r="H609" s="3">
        <f>_xlfn.IFNA(VLOOKUP(Quantitytable[[#This Row],[Ingredient ]],Shoppingtable[[Item Name]:[BALANCE Cash]],5,FALSE),0)*Quantitytable[[#This Row],[NeededQuantity]]</f>
        <v>7.3</v>
      </c>
      <c r="I609" s="3">
        <f>SUMIF(Quantitytable[Dish],Quantitytable[[#This Row],[Dish]],Quantitytable[Cost Per Dish Per Item])</f>
        <v>62.371346455654873</v>
      </c>
      <c r="J609" s="18" t="s">
        <v>502</v>
      </c>
    </row>
    <row r="610" spans="2:10" x14ac:dyDescent="0.25">
      <c r="B610" s="13" t="s">
        <v>137</v>
      </c>
      <c r="C610" s="13" t="s">
        <v>506</v>
      </c>
      <c r="D610" s="13">
        <v>50</v>
      </c>
      <c r="E610" s="3">
        <f>IF(Quantitytable[[#This Row],[Units]]=0,0,SUMIFS(Quantitytable[NeededQuantity],Quantitytable[Dish],Quantitytable[[#This Row],[Dish]],Quantitytable[[Ingredient ]],Quantitytable[[#This Row],[Ingredient ]]))</f>
        <v>0</v>
      </c>
      <c r="F610" s="3">
        <f>SUMIFS(salestable[Quantity Sold],salestable[Item Name],Quantitytable[[#This Row],[Dish]])</f>
        <v>0</v>
      </c>
      <c r="G610" s="3">
        <f>'Quantity Table'!$E610*'Quantity Table'!$F610</f>
        <v>0</v>
      </c>
      <c r="H610" s="3">
        <f>_xlfn.IFNA(VLOOKUP(Quantitytable[[#This Row],[Ingredient ]],Shoppingtable[[Item Name]:[BALANCE Cash]],5,FALSE),0)*Quantitytable[[#This Row],[NeededQuantity]]</f>
        <v>7.2072072072072073</v>
      </c>
      <c r="I610" s="3">
        <f>SUMIF(Quantitytable[Dish],Quantitytable[[#This Row],[Dish]],Quantitytable[Cost Per Dish Per Item])</f>
        <v>62.371346455654873</v>
      </c>
      <c r="J610" s="18" t="s">
        <v>502</v>
      </c>
    </row>
    <row r="611" spans="2:10" x14ac:dyDescent="0.25">
      <c r="B611" s="13" t="s">
        <v>137</v>
      </c>
      <c r="C611" s="13" t="s">
        <v>400</v>
      </c>
      <c r="D611" s="13">
        <v>60</v>
      </c>
      <c r="E611" s="3">
        <f>IF(Quantitytable[[#This Row],[Units]]=0,0,SUMIFS(Quantitytable[NeededQuantity],Quantitytable[Dish],Quantitytable[[#This Row],[Dish]],Quantitytable[[Ingredient ]],Quantitytable[[#This Row],[Ingredient ]]))</f>
        <v>0</v>
      </c>
      <c r="F611" s="3">
        <f>SUMIFS(salestable[Quantity Sold],salestable[Item Name],Quantitytable[[#This Row],[Dish]])</f>
        <v>0</v>
      </c>
      <c r="G611" s="3">
        <f>'Quantity Table'!$E611*'Quantity Table'!$F611</f>
        <v>0</v>
      </c>
      <c r="H611" s="3">
        <f>_xlfn.IFNA(VLOOKUP(Quantitytable[[#This Row],[Ingredient ]],Shoppingtable[[Item Name]:[BALANCE Cash]],5,FALSE),0)*Quantitytable[[#This Row],[NeededQuantity]]</f>
        <v>1.7999999999999998</v>
      </c>
      <c r="I611" s="3">
        <f>SUMIF(Quantitytable[Dish],Quantitytable[[#This Row],[Dish]],Quantitytable[Cost Per Dish Per Item])</f>
        <v>62.371346455654873</v>
      </c>
      <c r="J611" s="18" t="s">
        <v>502</v>
      </c>
    </row>
    <row r="612" spans="2:10" x14ac:dyDescent="0.25">
      <c r="B612" s="13" t="s">
        <v>137</v>
      </c>
      <c r="C612" s="13" t="s">
        <v>399</v>
      </c>
      <c r="D612" s="13">
        <v>160</v>
      </c>
      <c r="E612" s="3">
        <f>IF(Quantitytable[[#This Row],[Units]]=0,0,SUMIFS(Quantitytable[NeededQuantity],Quantitytable[Dish],Quantitytable[[#This Row],[Dish]],Quantitytable[[Ingredient ]],Quantitytable[[#This Row],[Ingredient ]]))</f>
        <v>0</v>
      </c>
      <c r="F612" s="3">
        <f>SUMIFS(salestable[Quantity Sold],salestable[Item Name],Quantitytable[[#This Row],[Dish]])</f>
        <v>0</v>
      </c>
      <c r="G612" s="3">
        <f>'Quantity Table'!$E612*'Quantity Table'!$F612</f>
        <v>0</v>
      </c>
      <c r="H612" s="3">
        <f>_xlfn.IFNA(VLOOKUP(Quantitytable[[#This Row],[Ingredient ]],Shoppingtable[[Item Name]:[BALANCE Cash]],5,FALSE),0)*Quantitytable[[#This Row],[NeededQuantity]]</f>
        <v>6.6400000000000006</v>
      </c>
      <c r="I612" s="3">
        <f>SUMIF(Quantitytable[Dish],Quantitytable[[#This Row],[Dish]],Quantitytable[Cost Per Dish Per Item])</f>
        <v>62.371346455654873</v>
      </c>
      <c r="J612" s="18" t="s">
        <v>502</v>
      </c>
    </row>
    <row r="613" spans="2:10" x14ac:dyDescent="0.25">
      <c r="B613" s="13" t="s">
        <v>137</v>
      </c>
      <c r="C613" s="13" t="s">
        <v>471</v>
      </c>
      <c r="D613" s="13">
        <v>250</v>
      </c>
      <c r="E613" s="3">
        <f>IF(Quantitytable[[#This Row],[Units]]=0,0,SUMIFS(Quantitytable[NeededQuantity],Quantitytable[Dish],Quantitytable[[#This Row],[Dish]],Quantitytable[[Ingredient ]],Quantitytable[[#This Row],[Ingredient ]]))</f>
        <v>0</v>
      </c>
      <c r="F613" s="3">
        <f>SUMIFS(salestable[Quantity Sold],salestable[Item Name],Quantitytable[[#This Row],[Dish]])</f>
        <v>0</v>
      </c>
      <c r="G613" s="3">
        <f>'Quantity Table'!$E613*'Quantity Table'!$F613</f>
        <v>0</v>
      </c>
      <c r="H613" s="3">
        <f>_xlfn.IFNA(VLOOKUP(Quantitytable[[#This Row],[Ingredient ]],Shoppingtable[[Item Name]:[BALANCE Cash]],5,FALSE),0)*Quantitytable[[#This Row],[NeededQuantity]]</f>
        <v>20</v>
      </c>
      <c r="I613" s="3">
        <f>SUMIF(Quantitytable[Dish],Quantitytable[[#This Row],[Dish]],Quantitytable[Cost Per Dish Per Item])</f>
        <v>62.371346455654873</v>
      </c>
      <c r="J613" s="18" t="s">
        <v>502</v>
      </c>
    </row>
    <row r="614" spans="2:10" x14ac:dyDescent="0.25">
      <c r="B614" s="13" t="s">
        <v>541</v>
      </c>
      <c r="C614" s="13" t="s">
        <v>492</v>
      </c>
      <c r="D614" s="13">
        <v>1</v>
      </c>
      <c r="E614" s="3">
        <f>IF(Quantitytable[[#This Row],[Units]]=0,0,SUMIFS(Quantitytable[NeededQuantity],Quantitytable[Dish],Quantitytable[[#This Row],[Dish]],Quantitytable[[Ingredient ]],Quantitytable[[#This Row],[Ingredient ]]))</f>
        <v>0</v>
      </c>
      <c r="F614" s="3">
        <f>SUMIFS(salestable[Quantity Sold],salestable[Item Name],Quantitytable[[#This Row],[Dish]])</f>
        <v>0</v>
      </c>
      <c r="G614" s="3">
        <f>'Quantity Table'!$E614*'Quantity Table'!$F614</f>
        <v>0</v>
      </c>
      <c r="H614" s="3">
        <f>_xlfn.IFNA(VLOOKUP(Quantitytable[[#This Row],[Ingredient ]],Shoppingtable[[Item Name]:[BALANCE Cash]],5,FALSE),0)*Quantitytable[[#This Row],[NeededQuantity]]</f>
        <v>0.1875</v>
      </c>
      <c r="I614" s="3">
        <f>SUMIF(Quantitytable[Dish],Quantitytable[[#This Row],[Dish]],Quantitytable[Cost Per Dish Per Item])</f>
        <v>23.707829670329669</v>
      </c>
      <c r="J614" s="18" t="s">
        <v>502</v>
      </c>
    </row>
    <row r="615" spans="2:10" x14ac:dyDescent="0.25">
      <c r="B615" s="13" t="s">
        <v>541</v>
      </c>
      <c r="C615" s="13" t="s">
        <v>33</v>
      </c>
      <c r="D615" s="13">
        <v>10</v>
      </c>
      <c r="E615" s="3">
        <f>IF(Quantitytable[[#This Row],[Units]]=0,0,SUMIFS(Quantitytable[NeededQuantity],Quantitytable[Dish],Quantitytable[[#This Row],[Dish]],Quantitytable[[Ingredient ]],Quantitytable[[#This Row],[Ingredient ]]))</f>
        <v>0</v>
      </c>
      <c r="F615" s="3">
        <f>SUMIFS(salestable[Quantity Sold],salestable[Item Name],Quantitytable[[#This Row],[Dish]])</f>
        <v>0</v>
      </c>
      <c r="G615" s="3">
        <f>'Quantity Table'!$E615*'Quantity Table'!$F615</f>
        <v>0</v>
      </c>
      <c r="H615" s="3">
        <f>_xlfn.IFNA(VLOOKUP(Quantitytable[[#This Row],[Ingredient ]],Shoppingtable[[Item Name]:[BALANCE Cash]],5,FALSE),0)*Quantitytable[[#This Row],[NeededQuantity]]</f>
        <v>1.3333333333333333</v>
      </c>
      <c r="I615" s="3">
        <f>SUMIF(Quantitytable[Dish],Quantitytable[[#This Row],[Dish]],Quantitytable[Cost Per Dish Per Item])</f>
        <v>23.707829670329669</v>
      </c>
      <c r="J615" s="18" t="s">
        <v>502</v>
      </c>
    </row>
    <row r="616" spans="2:10" x14ac:dyDescent="0.25">
      <c r="B616" s="13" t="s">
        <v>541</v>
      </c>
      <c r="C616" s="13" t="s">
        <v>75</v>
      </c>
      <c r="D616" s="13">
        <v>50</v>
      </c>
      <c r="E616" s="3">
        <f>IF(Quantitytable[[#This Row],[Units]]=0,0,SUMIFS(Quantitytable[NeededQuantity],Quantitytable[Dish],Quantitytable[[#This Row],[Dish]],Quantitytable[[Ingredient ]],Quantitytable[[#This Row],[Ingredient ]]))</f>
        <v>0</v>
      </c>
      <c r="F616" s="3">
        <f>SUMIFS(salestable[Quantity Sold],salestable[Item Name],Quantitytable[[#This Row],[Dish]])</f>
        <v>0</v>
      </c>
      <c r="G616" s="3">
        <f>'Quantity Table'!$E616*'Quantity Table'!$F616</f>
        <v>0</v>
      </c>
      <c r="H616" s="3">
        <f>_xlfn.IFNA(VLOOKUP(Quantitytable[[#This Row],[Ingredient ]],Shoppingtable[[Item Name]:[BALANCE Cash]],5,FALSE),0)*Quantitytable[[#This Row],[NeededQuantity]]</f>
        <v>7.3</v>
      </c>
      <c r="I616" s="3">
        <f>SUMIF(Quantitytable[Dish],Quantitytable[[#This Row],[Dish]],Quantitytable[Cost Per Dish Per Item])</f>
        <v>23.707829670329669</v>
      </c>
      <c r="J616" s="18" t="s">
        <v>502</v>
      </c>
    </row>
    <row r="617" spans="2:10" x14ac:dyDescent="0.25">
      <c r="B617" s="13" t="s">
        <v>541</v>
      </c>
      <c r="C617" s="13" t="s">
        <v>577</v>
      </c>
      <c r="D617" s="13">
        <v>50</v>
      </c>
      <c r="E617" s="3">
        <f>IF(Quantitytable[[#This Row],[Units]]=0,0,SUMIFS(Quantitytable[NeededQuantity],Quantitytable[Dish],Quantitytable[[#This Row],[Dish]],Quantitytable[[Ingredient ]],Quantitytable[[#This Row],[Ingredient ]]))</f>
        <v>0</v>
      </c>
      <c r="F617" s="3">
        <f>SUMIFS(salestable[Quantity Sold],salestable[Item Name],Quantitytable[[#This Row],[Dish]])</f>
        <v>0</v>
      </c>
      <c r="G617" s="3">
        <f>'Quantity Table'!$E617*'Quantity Table'!$F617</f>
        <v>0</v>
      </c>
      <c r="H617" s="3">
        <f>_xlfn.IFNA(VLOOKUP(Quantitytable[[#This Row],[Ingredient ]],Shoppingtable[[Item Name]:[BALANCE Cash]],5,FALSE),0)*Quantitytable[[#This Row],[NeededQuantity]]</f>
        <v>2.8846153846153846</v>
      </c>
      <c r="I617" s="3">
        <f>SUMIF(Quantitytable[Dish],Quantitytable[[#This Row],[Dish]],Quantitytable[Cost Per Dish Per Item])</f>
        <v>23.707829670329669</v>
      </c>
      <c r="J617" s="18" t="s">
        <v>502</v>
      </c>
    </row>
    <row r="618" spans="2:10" x14ac:dyDescent="0.25">
      <c r="B618" s="13" t="s">
        <v>541</v>
      </c>
      <c r="C618" s="13" t="s">
        <v>576</v>
      </c>
      <c r="D618" s="13">
        <v>50</v>
      </c>
      <c r="E618" s="3">
        <f>IF(Quantitytable[[#This Row],[Units]]=0,0,SUMIFS(Quantitytable[NeededQuantity],Quantitytable[Dish],Quantitytable[[#This Row],[Dish]],Quantitytable[[Ingredient ]],Quantitytable[[#This Row],[Ingredient ]]))</f>
        <v>0</v>
      </c>
      <c r="F618" s="3">
        <f>SUMIFS(salestable[Quantity Sold],salestable[Item Name],Quantitytable[[#This Row],[Dish]])</f>
        <v>0</v>
      </c>
      <c r="G618" s="3">
        <f>'Quantity Table'!$E618*'Quantity Table'!$F618</f>
        <v>0</v>
      </c>
      <c r="H618" s="3">
        <f>_xlfn.IFNA(VLOOKUP(Quantitytable[[#This Row],[Ingredient ]],Shoppingtable[[Item Name]:[BALANCE Cash]],5,FALSE),0)*Quantitytable[[#This Row],[NeededQuantity]]</f>
        <v>2.9166666666666665</v>
      </c>
      <c r="I618" s="3">
        <f>SUMIF(Quantitytable[Dish],Quantitytable[[#This Row],[Dish]],Quantitytable[Cost Per Dish Per Item])</f>
        <v>23.707829670329669</v>
      </c>
      <c r="J618" s="18" t="s">
        <v>502</v>
      </c>
    </row>
    <row r="619" spans="2:10" x14ac:dyDescent="0.25">
      <c r="B619" s="13" t="s">
        <v>541</v>
      </c>
      <c r="C619" s="13" t="s">
        <v>542</v>
      </c>
      <c r="D619" s="13">
        <v>60</v>
      </c>
      <c r="E619" s="3">
        <f>IF(Quantitytable[[#This Row],[Units]]=0,0,SUMIFS(Quantitytable[NeededQuantity],Quantitytable[Dish],Quantitytable[[#This Row],[Dish]],Quantitytable[[Ingredient ]],Quantitytable[[#This Row],[Ingredient ]]))</f>
        <v>0</v>
      </c>
      <c r="F619" s="3">
        <f>SUMIFS(salestable[Quantity Sold],salestable[Item Name],Quantitytable[[#This Row],[Dish]])</f>
        <v>0</v>
      </c>
      <c r="G619" s="3">
        <f>'Quantity Table'!$E619*'Quantity Table'!$F619</f>
        <v>0</v>
      </c>
      <c r="H619" s="3">
        <f>_xlfn.IFNA(VLOOKUP(Quantitytable[[#This Row],[Ingredient ]],Shoppingtable[[Item Name]:[BALANCE Cash]],5,FALSE),0)*Quantitytable[[#This Row],[NeededQuantity]]</f>
        <v>4.8</v>
      </c>
      <c r="I619" s="3">
        <f>SUMIF(Quantitytable[Dish],Quantitytable[[#This Row],[Dish]],Quantitytable[Cost Per Dish Per Item])</f>
        <v>23.707829670329669</v>
      </c>
      <c r="J619" s="18" t="s">
        <v>502</v>
      </c>
    </row>
    <row r="620" spans="2:10" x14ac:dyDescent="0.25">
      <c r="B620" s="13" t="s">
        <v>541</v>
      </c>
      <c r="C620" s="13" t="s">
        <v>44</v>
      </c>
      <c r="D620" s="13">
        <v>150</v>
      </c>
      <c r="E620" s="3">
        <f>IF(Quantitytable[[#This Row],[Units]]=0,0,SUMIFS(Quantitytable[NeededQuantity],Quantitytable[Dish],Quantitytable[[#This Row],[Dish]],Quantitytable[[Ingredient ]],Quantitytable[[#This Row],[Ingredient ]]))</f>
        <v>0</v>
      </c>
      <c r="F620" s="3">
        <f>SUMIFS(salestable[Quantity Sold],salestable[Item Name],Quantitytable[[#This Row],[Dish]])</f>
        <v>0</v>
      </c>
      <c r="G620" s="3">
        <f>'Quantity Table'!$E620*'Quantity Table'!$F620</f>
        <v>0</v>
      </c>
      <c r="H620" s="3">
        <f>_xlfn.IFNA(VLOOKUP(Quantitytable[[#This Row],[Ingredient ]],Shoppingtable[[Item Name]:[BALANCE Cash]],5,FALSE),0)*Quantitytable[[#This Row],[NeededQuantity]]</f>
        <v>4.2857142857142856</v>
      </c>
      <c r="I620" s="3">
        <f>SUMIF(Quantitytable[Dish],Quantitytable[[#This Row],[Dish]],Quantitytable[Cost Per Dish Per Item])</f>
        <v>23.707829670329669</v>
      </c>
      <c r="J620" s="18" t="s">
        <v>502</v>
      </c>
    </row>
    <row r="621" spans="2:10" x14ac:dyDescent="0.25">
      <c r="B621" s="13" t="s">
        <v>654</v>
      </c>
      <c r="C621" s="13" t="s">
        <v>492</v>
      </c>
      <c r="D621" s="13">
        <v>1</v>
      </c>
      <c r="E621" s="3">
        <f>IF(Quantitytable[[#This Row],[Units]]=0,0,SUMIFS(Quantitytable[NeededQuantity],Quantitytable[Dish],Quantitytable[[#This Row],[Dish]],Quantitytable[[Ingredient ]],Quantitytable[[#This Row],[Ingredient ]]))</f>
        <v>0</v>
      </c>
      <c r="F621" s="3">
        <f>SUMIFS(salestable[Quantity Sold],salestable[Item Name],Quantitytable[[#This Row],[Dish]])</f>
        <v>0</v>
      </c>
      <c r="G621" s="3">
        <f>'Quantity Table'!$E621*'Quantity Table'!$F621</f>
        <v>0</v>
      </c>
      <c r="H621" s="3">
        <f>_xlfn.IFNA(VLOOKUP(Quantitytable[[#This Row],[Ingredient ]],Shoppingtable[[Item Name]:[BALANCE Cash]],5,FALSE),0)*Quantitytable[[#This Row],[NeededQuantity]]</f>
        <v>0.1875</v>
      </c>
      <c r="I621" s="3">
        <f>SUMIF(Quantitytable[Dish],Quantitytable[[#This Row],[Dish]],Quantitytable[Cost Per Dish Per Item])</f>
        <v>39.986547619047613</v>
      </c>
      <c r="J621" s="18" t="s">
        <v>502</v>
      </c>
    </row>
    <row r="622" spans="2:10" x14ac:dyDescent="0.25">
      <c r="B622" s="13" t="s">
        <v>654</v>
      </c>
      <c r="C622" s="13" t="s">
        <v>33</v>
      </c>
      <c r="D622" s="13">
        <v>10</v>
      </c>
      <c r="E622" s="3">
        <f>IF(Quantitytable[[#This Row],[Units]]=0,0,SUMIFS(Quantitytable[NeededQuantity],Quantitytable[Dish],Quantitytable[[#This Row],[Dish]],Quantitytable[[Ingredient ]],Quantitytable[[#This Row],[Ingredient ]]))</f>
        <v>0</v>
      </c>
      <c r="F622" s="3">
        <f>SUMIFS(salestable[Quantity Sold],salestable[Item Name],Quantitytable[[#This Row],[Dish]])</f>
        <v>0</v>
      </c>
      <c r="G622" s="3">
        <f>'Quantity Table'!$E622*'Quantity Table'!$F622</f>
        <v>0</v>
      </c>
      <c r="H622" s="3">
        <f>_xlfn.IFNA(VLOOKUP(Quantitytable[[#This Row],[Ingredient ]],Shoppingtable[[Item Name]:[BALANCE Cash]],5,FALSE),0)*Quantitytable[[#This Row],[NeededQuantity]]</f>
        <v>1.3333333333333333</v>
      </c>
      <c r="I622" s="3">
        <f>SUMIF(Quantitytable[Dish],Quantitytable[[#This Row],[Dish]],Quantitytable[Cost Per Dish Per Item])</f>
        <v>39.986547619047613</v>
      </c>
      <c r="J622" s="18" t="s">
        <v>502</v>
      </c>
    </row>
    <row r="623" spans="2:10" x14ac:dyDescent="0.25">
      <c r="B623" s="13" t="s">
        <v>654</v>
      </c>
      <c r="C623" s="13" t="s">
        <v>75</v>
      </c>
      <c r="D623" s="13">
        <v>50</v>
      </c>
      <c r="E623" s="3">
        <f>IF(Quantitytable[[#This Row],[Units]]=0,0,SUMIFS(Quantitytable[NeededQuantity],Quantitytable[Dish],Quantitytable[[#This Row],[Dish]],Quantitytable[[Ingredient ]],Quantitytable[[#This Row],[Ingredient ]]))</f>
        <v>0</v>
      </c>
      <c r="F623" s="3">
        <f>SUMIFS(salestable[Quantity Sold],salestable[Item Name],Quantitytable[[#This Row],[Dish]])</f>
        <v>0</v>
      </c>
      <c r="G623" s="3">
        <f>'Quantity Table'!$E623*'Quantity Table'!$F623</f>
        <v>0</v>
      </c>
      <c r="H623" s="3">
        <f>_xlfn.IFNA(VLOOKUP(Quantitytable[[#This Row],[Ingredient ]],Shoppingtable[[Item Name]:[BALANCE Cash]],5,FALSE),0)*Quantitytable[[#This Row],[NeededQuantity]]</f>
        <v>7.3</v>
      </c>
      <c r="I623" s="3">
        <f>SUMIF(Quantitytable[Dish],Quantitytable[[#This Row],[Dish]],Quantitytable[Cost Per Dish Per Item])</f>
        <v>39.986547619047613</v>
      </c>
      <c r="J623" s="18" t="s">
        <v>502</v>
      </c>
    </row>
    <row r="624" spans="2:10" x14ac:dyDescent="0.25">
      <c r="B624" s="13" t="s">
        <v>654</v>
      </c>
      <c r="C624" s="13" t="s">
        <v>163</v>
      </c>
      <c r="D624" s="13">
        <v>100</v>
      </c>
      <c r="E624" s="3">
        <f>IF(Quantitytable[[#This Row],[Units]]=0,0,SUMIFS(Quantitytable[NeededQuantity],Quantitytable[Dish],Quantitytable[[#This Row],[Dish]],Quantitytable[[Ingredient ]],Quantitytable[[#This Row],[Ingredient ]]))</f>
        <v>0</v>
      </c>
      <c r="F624" s="3">
        <f>SUMIFS(salestable[Quantity Sold],salestable[Item Name],Quantitytable[[#This Row],[Dish]])</f>
        <v>0</v>
      </c>
      <c r="G624" s="3">
        <f>'Quantity Table'!$E624*'Quantity Table'!$F624</f>
        <v>0</v>
      </c>
      <c r="H624" s="3">
        <f>_xlfn.IFNA(VLOOKUP(Quantitytable[[#This Row],[Ingredient ]],Shoppingtable[[Item Name]:[BALANCE Cash]],5,FALSE),0)*Quantitytable[[#This Row],[NeededQuantity]]</f>
        <v>22.08</v>
      </c>
      <c r="I624" s="3">
        <f>SUMIF(Quantitytable[Dish],Quantitytable[[#This Row],[Dish]],Quantitytable[Cost Per Dish Per Item])</f>
        <v>39.986547619047613</v>
      </c>
      <c r="J624" s="18" t="s">
        <v>502</v>
      </c>
    </row>
    <row r="625" spans="2:10" x14ac:dyDescent="0.25">
      <c r="B625" s="13" t="s">
        <v>654</v>
      </c>
      <c r="C625" s="13" t="s">
        <v>542</v>
      </c>
      <c r="D625" s="13">
        <v>60</v>
      </c>
      <c r="E625" s="3">
        <f>IF(Quantitytable[[#This Row],[Units]]=0,0,SUMIFS(Quantitytable[NeededQuantity],Quantitytable[Dish],Quantitytable[[#This Row],[Dish]],Quantitytable[[Ingredient ]],Quantitytable[[#This Row],[Ingredient ]]))</f>
        <v>0</v>
      </c>
      <c r="F625" s="3">
        <f>SUMIFS(salestable[Quantity Sold],salestable[Item Name],Quantitytable[[#This Row],[Dish]])</f>
        <v>0</v>
      </c>
      <c r="G625" s="3">
        <f>'Quantity Table'!$E625*'Quantity Table'!$F625</f>
        <v>0</v>
      </c>
      <c r="H625" s="3">
        <f>_xlfn.IFNA(VLOOKUP(Quantitytable[[#This Row],[Ingredient ]],Shoppingtable[[Item Name]:[BALANCE Cash]],5,FALSE),0)*Quantitytable[[#This Row],[NeededQuantity]]</f>
        <v>4.8</v>
      </c>
      <c r="I625" s="3">
        <f>SUMIF(Quantitytable[Dish],Quantitytable[[#This Row],[Dish]],Quantitytable[Cost Per Dish Per Item])</f>
        <v>39.986547619047613</v>
      </c>
      <c r="J625" s="18" t="s">
        <v>502</v>
      </c>
    </row>
    <row r="626" spans="2:10" x14ac:dyDescent="0.25">
      <c r="B626" s="13" t="s">
        <v>654</v>
      </c>
      <c r="C626" s="13" t="s">
        <v>44</v>
      </c>
      <c r="D626" s="13">
        <v>150</v>
      </c>
      <c r="E626" s="3">
        <f>IF(Quantitytable[[#This Row],[Units]]=0,0,SUMIFS(Quantitytable[NeededQuantity],Quantitytable[Dish],Quantitytable[[#This Row],[Dish]],Quantitytable[[Ingredient ]],Quantitytable[[#This Row],[Ingredient ]]))</f>
        <v>0</v>
      </c>
      <c r="F626" s="3">
        <f>SUMIFS(salestable[Quantity Sold],salestable[Item Name],Quantitytable[[#This Row],[Dish]])</f>
        <v>0</v>
      </c>
      <c r="G626" s="3">
        <f>'Quantity Table'!$E626*'Quantity Table'!$F626</f>
        <v>0</v>
      </c>
      <c r="H626" s="3">
        <f>_xlfn.IFNA(VLOOKUP(Quantitytable[[#This Row],[Ingredient ]],Shoppingtable[[Item Name]:[BALANCE Cash]],5,FALSE),0)*Quantitytable[[#This Row],[NeededQuantity]]</f>
        <v>4.2857142857142856</v>
      </c>
      <c r="I626" s="3">
        <f>SUMIF(Quantitytable[Dish],Quantitytable[[#This Row],[Dish]],Quantitytable[Cost Per Dish Per Item])</f>
        <v>39.986547619047613</v>
      </c>
      <c r="J626" s="18" t="s">
        <v>502</v>
      </c>
    </row>
    <row r="627" spans="2:10" x14ac:dyDescent="0.25">
      <c r="B627" s="13" t="s">
        <v>677</v>
      </c>
      <c r="C627" s="13" t="s">
        <v>492</v>
      </c>
      <c r="D627" s="13">
        <v>1</v>
      </c>
      <c r="E627" s="3">
        <f>IF(Quantitytable[[#This Row],[Units]]=0,0,SUMIFS(Quantitytable[NeededQuantity],Quantitytable[Dish],Quantitytable[[#This Row],[Dish]],Quantitytable[[Ingredient ]],Quantitytable[[#This Row],[Ingredient ]]))</f>
        <v>0</v>
      </c>
      <c r="F627" s="3">
        <f>SUMIFS(salestable[Quantity Sold],salestable[Item Name],Quantitytable[[#This Row],[Dish]])</f>
        <v>0</v>
      </c>
      <c r="G627" s="3">
        <f>'Quantity Table'!$E627*'Quantity Table'!$F627</f>
        <v>0</v>
      </c>
      <c r="H627" s="3">
        <f>_xlfn.IFNA(VLOOKUP(Quantitytable[[#This Row],[Ingredient ]],Shoppingtable[[Item Name]:[BALANCE Cash]],5,FALSE),0)*Quantitytable[[#This Row],[NeededQuantity]]</f>
        <v>0.1875</v>
      </c>
      <c r="I627" s="3">
        <f>SUMIF(Quantitytable[Dish],Quantitytable[[#This Row],[Dish]],Quantitytable[Cost Per Dish Per Item])</f>
        <v>31.219047619047618</v>
      </c>
      <c r="J627" s="18" t="s">
        <v>502</v>
      </c>
    </row>
    <row r="628" spans="2:10" x14ac:dyDescent="0.25">
      <c r="B628" s="13" t="s">
        <v>677</v>
      </c>
      <c r="C628" s="13" t="s">
        <v>33</v>
      </c>
      <c r="D628" s="13">
        <v>10</v>
      </c>
      <c r="E628" s="3">
        <f>IF(Quantitytable[[#This Row],[Units]]=0,0,SUMIFS(Quantitytable[NeededQuantity],Quantitytable[Dish],Quantitytable[[#This Row],[Dish]],Quantitytable[[Ingredient ]],Quantitytable[[#This Row],[Ingredient ]]))</f>
        <v>0</v>
      </c>
      <c r="F628" s="3">
        <f>SUMIFS(salestable[Quantity Sold],salestable[Item Name],Quantitytable[[#This Row],[Dish]])</f>
        <v>0</v>
      </c>
      <c r="G628" s="3">
        <f>'Quantity Table'!$E628*'Quantity Table'!$F628</f>
        <v>0</v>
      </c>
      <c r="H628" s="3">
        <f>_xlfn.IFNA(VLOOKUP(Quantitytable[[#This Row],[Ingredient ]],Shoppingtable[[Item Name]:[BALANCE Cash]],5,FALSE),0)*Quantitytable[[#This Row],[NeededQuantity]]</f>
        <v>1.3333333333333333</v>
      </c>
      <c r="I628" s="3">
        <f>SUMIF(Quantitytable[Dish],Quantitytable[[#This Row],[Dish]],Quantitytable[Cost Per Dish Per Item])</f>
        <v>31.219047619047618</v>
      </c>
      <c r="J628" s="18" t="s">
        <v>502</v>
      </c>
    </row>
    <row r="629" spans="2:10" x14ac:dyDescent="0.25">
      <c r="B629" s="13" t="s">
        <v>677</v>
      </c>
      <c r="C629" s="13" t="s">
        <v>75</v>
      </c>
      <c r="D629" s="13">
        <v>50</v>
      </c>
      <c r="E629" s="3">
        <f>IF(Quantitytable[[#This Row],[Units]]=0,0,SUMIFS(Quantitytable[NeededQuantity],Quantitytable[Dish],Quantitytable[[#This Row],[Dish]],Quantitytable[[Ingredient ]],Quantitytable[[#This Row],[Ingredient ]]))</f>
        <v>0</v>
      </c>
      <c r="F629" s="3">
        <f>SUMIFS(salestable[Quantity Sold],salestable[Item Name],Quantitytable[[#This Row],[Dish]])</f>
        <v>0</v>
      </c>
      <c r="G629" s="3">
        <f>'Quantity Table'!$E629*'Quantity Table'!$F629</f>
        <v>0</v>
      </c>
      <c r="H629" s="3">
        <f>_xlfn.IFNA(VLOOKUP(Quantitytable[[#This Row],[Ingredient ]],Shoppingtable[[Item Name]:[BALANCE Cash]],5,FALSE),0)*Quantitytable[[#This Row],[NeededQuantity]]</f>
        <v>7.3</v>
      </c>
      <c r="I629" s="3">
        <f>SUMIF(Quantitytable[Dish],Quantitytable[[#This Row],[Dish]],Quantitytable[Cost Per Dish Per Item])</f>
        <v>31.219047619047618</v>
      </c>
      <c r="J629" s="18" t="s">
        <v>502</v>
      </c>
    </row>
    <row r="630" spans="2:10" x14ac:dyDescent="0.25">
      <c r="B630" s="13" t="s">
        <v>677</v>
      </c>
      <c r="C630" s="13" t="s">
        <v>600</v>
      </c>
      <c r="D630" s="13">
        <v>150</v>
      </c>
      <c r="E630" s="3">
        <f>IF(Quantitytable[[#This Row],[Units]]=0,0,SUMIFS(Quantitytable[NeededQuantity],Quantitytable[Dish],Quantitytable[[#This Row],[Dish]],Quantitytable[[Ingredient ]],Quantitytable[[#This Row],[Ingredient ]]))</f>
        <v>0</v>
      </c>
      <c r="F630" s="3">
        <f>SUMIFS(salestable[Quantity Sold],salestable[Item Name],Quantitytable[[#This Row],[Dish]])</f>
        <v>0</v>
      </c>
      <c r="G630" s="3">
        <f>'Quantity Table'!$E630*'Quantity Table'!$F630</f>
        <v>0</v>
      </c>
      <c r="H630" s="3">
        <f>_xlfn.IFNA(VLOOKUP(Quantitytable[[#This Row],[Ingredient ]],Shoppingtable[[Item Name]:[BALANCE Cash]],5,FALSE),0)*Quantitytable[[#This Row],[NeededQuantity]]</f>
        <v>13.3125</v>
      </c>
      <c r="I630" s="3">
        <f>SUMIF(Quantitytable[Dish],Quantitytable[[#This Row],[Dish]],Quantitytable[Cost Per Dish Per Item])</f>
        <v>31.219047619047618</v>
      </c>
      <c r="J630" s="18" t="s">
        <v>502</v>
      </c>
    </row>
    <row r="631" spans="2:10" x14ac:dyDescent="0.25">
      <c r="B631" s="13" t="s">
        <v>677</v>
      </c>
      <c r="C631" s="13" t="s">
        <v>542</v>
      </c>
      <c r="D631" s="13">
        <v>60</v>
      </c>
      <c r="E631" s="3">
        <f>IF(Quantitytable[[#This Row],[Units]]=0,0,SUMIFS(Quantitytable[NeededQuantity],Quantitytable[Dish],Quantitytable[[#This Row],[Dish]],Quantitytable[[Ingredient ]],Quantitytable[[#This Row],[Ingredient ]]))</f>
        <v>0</v>
      </c>
      <c r="F631" s="3">
        <f>SUMIFS(salestable[Quantity Sold],salestable[Item Name],Quantitytable[[#This Row],[Dish]])</f>
        <v>0</v>
      </c>
      <c r="G631" s="3">
        <f>'Quantity Table'!$E631*'Quantity Table'!$F631</f>
        <v>0</v>
      </c>
      <c r="H631" s="3">
        <f>_xlfn.IFNA(VLOOKUP(Quantitytable[[#This Row],[Ingredient ]],Shoppingtable[[Item Name]:[BALANCE Cash]],5,FALSE),0)*Quantitytable[[#This Row],[NeededQuantity]]</f>
        <v>4.8</v>
      </c>
      <c r="I631" s="3">
        <f>SUMIF(Quantitytable[Dish],Quantitytable[[#This Row],[Dish]],Quantitytable[Cost Per Dish Per Item])</f>
        <v>31.219047619047618</v>
      </c>
      <c r="J631" s="18" t="s">
        <v>502</v>
      </c>
    </row>
    <row r="632" spans="2:10" x14ac:dyDescent="0.25">
      <c r="B632" s="13" t="s">
        <v>677</v>
      </c>
      <c r="C632" s="13" t="s">
        <v>44</v>
      </c>
      <c r="D632" s="13">
        <v>150</v>
      </c>
      <c r="E632" s="3">
        <f>IF(Quantitytable[[#This Row],[Units]]=0,0,SUMIFS(Quantitytable[NeededQuantity],Quantitytable[Dish],Quantitytable[[#This Row],[Dish]],Quantitytable[[Ingredient ]],Quantitytable[[#This Row],[Ingredient ]]))</f>
        <v>0</v>
      </c>
      <c r="F632" s="3">
        <f>SUMIFS(salestable[Quantity Sold],salestable[Item Name],Quantitytable[[#This Row],[Dish]])</f>
        <v>0</v>
      </c>
      <c r="G632" s="3">
        <f>'Quantity Table'!$E632*'Quantity Table'!$F632</f>
        <v>0</v>
      </c>
      <c r="H632" s="3">
        <f>_xlfn.IFNA(VLOOKUP(Quantitytable[[#This Row],[Ingredient ]],Shoppingtable[[Item Name]:[BALANCE Cash]],5,FALSE),0)*Quantitytable[[#This Row],[NeededQuantity]]</f>
        <v>4.2857142857142856</v>
      </c>
      <c r="I632" s="3">
        <f>SUMIF(Quantitytable[Dish],Quantitytable[[#This Row],[Dish]],Quantitytable[Cost Per Dish Per Item])</f>
        <v>31.219047619047618</v>
      </c>
      <c r="J632" s="18" t="s">
        <v>502</v>
      </c>
    </row>
    <row r="633" spans="2:10" x14ac:dyDescent="0.25">
      <c r="B633" s="13" t="s">
        <v>582</v>
      </c>
      <c r="C633" s="13" t="s">
        <v>425</v>
      </c>
      <c r="D633" s="13">
        <v>5</v>
      </c>
      <c r="E633" s="3">
        <f>IF(Quantitytable[[#This Row],[Units]]=0,0,SUMIFS(Quantitytable[NeededQuantity],Quantitytable[Dish],Quantitytable[[#This Row],[Dish]],Quantitytable[[Ingredient ]],Quantitytable[[#This Row],[Ingredient ]]))</f>
        <v>0</v>
      </c>
      <c r="F633" s="3">
        <f>SUMIFS(salestable[Quantity Sold],salestable[Item Name],Quantitytable[[#This Row],[Dish]])</f>
        <v>0</v>
      </c>
      <c r="G633" s="3">
        <f>'Quantity Table'!$E633*'Quantity Table'!$F633</f>
        <v>0</v>
      </c>
      <c r="H633" s="3">
        <f>_xlfn.IFNA(VLOOKUP(Quantitytable[[#This Row],[Ingredient ]],Shoppingtable[[Item Name]:[BALANCE Cash]],5,FALSE),0)*Quantitytable[[#This Row],[NeededQuantity]]</f>
        <v>0.75</v>
      </c>
      <c r="I633" s="3">
        <f>SUMIF(Quantitytable[Dish],Quantitytable[[#This Row],[Dish]],Quantitytable[Cost Per Dish Per Item])</f>
        <v>5.9619999999999997</v>
      </c>
      <c r="J633" s="18" t="s">
        <v>502</v>
      </c>
    </row>
    <row r="634" spans="2:10" x14ac:dyDescent="0.25">
      <c r="B634" s="13" t="s">
        <v>582</v>
      </c>
      <c r="C634" s="13" t="s">
        <v>102</v>
      </c>
      <c r="D634" s="13">
        <v>10</v>
      </c>
      <c r="E634" s="3">
        <f>IF(Quantitytable[[#This Row],[Units]]=0,0,SUMIFS(Quantitytable[NeededQuantity],Quantitytable[Dish],Quantitytable[[#This Row],[Dish]],Quantitytable[[Ingredient ]],Quantitytable[[#This Row],[Ingredient ]]))</f>
        <v>0</v>
      </c>
      <c r="F634" s="3">
        <f>SUMIFS(salestable[Quantity Sold],salestable[Item Name],Quantitytable[[#This Row],[Dish]])</f>
        <v>0</v>
      </c>
      <c r="G634" s="3">
        <f>'Quantity Table'!$E634*'Quantity Table'!$F634</f>
        <v>0</v>
      </c>
      <c r="H634" s="3">
        <f>_xlfn.IFNA(VLOOKUP(Quantitytable[[#This Row],[Ingredient ]],Shoppingtable[[Item Name]:[BALANCE Cash]],5,FALSE),0)*Quantitytable[[#This Row],[NeededQuantity]]</f>
        <v>0.5</v>
      </c>
      <c r="I634" s="3">
        <f>SUMIF(Quantitytable[Dish],Quantitytable[[#This Row],[Dish]],Quantitytable[Cost Per Dish Per Item])</f>
        <v>5.9619999999999997</v>
      </c>
      <c r="J634" s="18" t="s">
        <v>502</v>
      </c>
    </row>
    <row r="635" spans="2:10" x14ac:dyDescent="0.25">
      <c r="B635" s="13" t="s">
        <v>582</v>
      </c>
      <c r="C635" s="13" t="s">
        <v>67</v>
      </c>
      <c r="D635" s="13">
        <v>62</v>
      </c>
      <c r="E635" s="3">
        <f>IF(Quantitytable[[#This Row],[Units]]=0,0,SUMIFS(Quantitytable[NeededQuantity],Quantitytable[Dish],Quantitytable[[#This Row],[Dish]],Quantitytable[[Ingredient ]],Quantitytable[[#This Row],[Ingredient ]]))</f>
        <v>0</v>
      </c>
      <c r="F635" s="3">
        <f>SUMIFS(salestable[Quantity Sold],salestable[Item Name],Quantitytable[[#This Row],[Dish]])</f>
        <v>0</v>
      </c>
      <c r="G635" s="3">
        <f>'Quantity Table'!$E635*'Quantity Table'!$F635</f>
        <v>0</v>
      </c>
      <c r="H635" s="3">
        <f>_xlfn.IFNA(VLOOKUP(Quantitytable[[#This Row],[Ingredient ]],Shoppingtable[[Item Name]:[BALANCE Cash]],5,FALSE),0)*Quantitytable[[#This Row],[NeededQuantity]]</f>
        <v>4.7119999999999997</v>
      </c>
      <c r="I635" s="3">
        <f>SUMIF(Quantitytable[Dish],Quantitytable[[#This Row],[Dish]],Quantitytable[Cost Per Dish Per Item])</f>
        <v>5.9619999999999997</v>
      </c>
      <c r="J635" s="18" t="s">
        <v>502</v>
      </c>
    </row>
    <row r="636" spans="2:10" x14ac:dyDescent="0.25">
      <c r="B636" s="13" t="s">
        <v>586</v>
      </c>
      <c r="C636" s="13" t="s">
        <v>425</v>
      </c>
      <c r="D636" s="13">
        <v>5</v>
      </c>
      <c r="E636" s="3">
        <f>IF(Quantitytable[[#This Row],[Units]]=0,0,SUMIFS(Quantitytable[NeededQuantity],Quantitytable[Dish],Quantitytable[[#This Row],[Dish]],Quantitytable[[Ingredient ]],Quantitytable[[#This Row],[Ingredient ]]))</f>
        <v>0</v>
      </c>
      <c r="F636" s="3">
        <f>SUMIFS(salestable[Quantity Sold],salestable[Item Name],Quantitytable[[#This Row],[Dish]])</f>
        <v>0</v>
      </c>
      <c r="G636" s="3">
        <f>'Quantity Table'!$E636*'Quantity Table'!$F636</f>
        <v>0</v>
      </c>
      <c r="H636" s="3">
        <f>_xlfn.IFNA(VLOOKUP(Quantitytable[[#This Row],[Ingredient ]],Shoppingtable[[Item Name]:[BALANCE Cash]],5,FALSE),0)*Quantitytable[[#This Row],[NeededQuantity]]</f>
        <v>0.75</v>
      </c>
      <c r="I636" s="3">
        <f>SUMIF(Quantitytable[Dish],Quantitytable[[#This Row],[Dish]],Quantitytable[Cost Per Dish Per Item])</f>
        <v>10.75</v>
      </c>
      <c r="J636" s="18" t="s">
        <v>502</v>
      </c>
    </row>
    <row r="637" spans="2:10" x14ac:dyDescent="0.25">
      <c r="B637" s="13" t="s">
        <v>586</v>
      </c>
      <c r="C637" s="13" t="s">
        <v>102</v>
      </c>
      <c r="D637" s="13">
        <v>10</v>
      </c>
      <c r="E637" s="3">
        <f>IF(Quantitytable[[#This Row],[Units]]=0,0,SUMIFS(Quantitytable[NeededQuantity],Quantitytable[Dish],Quantitytable[[#This Row],[Dish]],Quantitytable[[Ingredient ]],Quantitytable[[#This Row],[Ingredient ]]))</f>
        <v>0</v>
      </c>
      <c r="F637" s="3">
        <f>SUMIFS(salestable[Quantity Sold],salestable[Item Name],Quantitytable[[#This Row],[Dish]])</f>
        <v>0</v>
      </c>
      <c r="G637" s="3">
        <f>'Quantity Table'!$E637*'Quantity Table'!$F637</f>
        <v>0</v>
      </c>
      <c r="H637" s="3">
        <f>_xlfn.IFNA(VLOOKUP(Quantitytable[[#This Row],[Ingredient ]],Shoppingtable[[Item Name]:[BALANCE Cash]],5,FALSE),0)*Quantitytable[[#This Row],[NeededQuantity]]</f>
        <v>0.5</v>
      </c>
      <c r="I637" s="3">
        <f>SUMIF(Quantitytable[Dish],Quantitytable[[#This Row],[Dish]],Quantitytable[Cost Per Dish Per Item])</f>
        <v>10.75</v>
      </c>
      <c r="J637" s="18" t="s">
        <v>502</v>
      </c>
    </row>
    <row r="638" spans="2:10" x14ac:dyDescent="0.25">
      <c r="B638" s="13" t="s">
        <v>586</v>
      </c>
      <c r="C638" s="13" t="s">
        <v>67</v>
      </c>
      <c r="D638" s="13">
        <v>125</v>
      </c>
      <c r="E638" s="3">
        <f>IF(Quantitytable[[#This Row],[Units]]=0,0,SUMIFS(Quantitytable[NeededQuantity],Quantitytable[Dish],Quantitytable[[#This Row],[Dish]],Quantitytable[[Ingredient ]],Quantitytable[[#This Row],[Ingredient ]]))</f>
        <v>0</v>
      </c>
      <c r="F638" s="3">
        <f>SUMIFS(salestable[Quantity Sold],salestable[Item Name],Quantitytable[[#This Row],[Dish]])</f>
        <v>0</v>
      </c>
      <c r="G638" s="3">
        <f>'Quantity Table'!$E638*'Quantity Table'!$F638</f>
        <v>0</v>
      </c>
      <c r="H638" s="3">
        <f>_xlfn.IFNA(VLOOKUP(Quantitytable[[#This Row],[Ingredient ]],Shoppingtable[[Item Name]:[BALANCE Cash]],5,FALSE),0)*Quantitytable[[#This Row],[NeededQuantity]]</f>
        <v>9.5</v>
      </c>
      <c r="I638" s="3">
        <f>SUMIF(Quantitytable[Dish],Quantitytable[[#This Row],[Dish]],Quantitytable[Cost Per Dish Per Item])</f>
        <v>10.75</v>
      </c>
      <c r="J638" s="18" t="s">
        <v>502</v>
      </c>
    </row>
    <row r="639" spans="2:10" x14ac:dyDescent="0.25">
      <c r="B639" s="13" t="s">
        <v>583</v>
      </c>
      <c r="C639" s="13" t="s">
        <v>425</v>
      </c>
      <c r="D639" s="13">
        <v>5</v>
      </c>
      <c r="E639" s="3">
        <f>IF(Quantitytable[[#This Row],[Units]]=0,0,SUMIFS(Quantitytable[NeededQuantity],Quantitytable[Dish],Quantitytable[[#This Row],[Dish]],Quantitytable[[Ingredient ]],Quantitytable[[#This Row],[Ingredient ]]))</f>
        <v>0</v>
      </c>
      <c r="F639" s="3">
        <f>SUMIFS(salestable[Quantity Sold],salestable[Item Name],Quantitytable[[#This Row],[Dish]])</f>
        <v>0</v>
      </c>
      <c r="G639" s="3">
        <f>'Quantity Table'!$E639*'Quantity Table'!$F639</f>
        <v>0</v>
      </c>
      <c r="H639" s="3">
        <f>_xlfn.IFNA(VLOOKUP(Quantitytable[[#This Row],[Ingredient ]],Shoppingtable[[Item Name]:[BALANCE Cash]],5,FALSE),0)*Quantitytable[[#This Row],[NeededQuantity]]</f>
        <v>0.75</v>
      </c>
      <c r="I639" s="3">
        <f>SUMIF(Quantitytable[Dish],Quantitytable[[#This Row],[Dish]],Quantitytable[Cost Per Dish Per Item])</f>
        <v>20.25</v>
      </c>
      <c r="J639" s="18" t="s">
        <v>502</v>
      </c>
    </row>
    <row r="640" spans="2:10" x14ac:dyDescent="0.25">
      <c r="B640" s="13" t="s">
        <v>583</v>
      </c>
      <c r="C640" s="13" t="s">
        <v>102</v>
      </c>
      <c r="D640" s="13">
        <v>10</v>
      </c>
      <c r="E640" s="3">
        <f>IF(Quantitytable[[#This Row],[Units]]=0,0,SUMIFS(Quantitytable[NeededQuantity],Quantitytable[Dish],Quantitytable[[#This Row],[Dish]],Quantitytable[[Ingredient ]],Quantitytable[[#This Row],[Ingredient ]]))</f>
        <v>0</v>
      </c>
      <c r="F640" s="3">
        <f>SUMIFS(salestable[Quantity Sold],salestable[Item Name],Quantitytable[[#This Row],[Dish]])</f>
        <v>0</v>
      </c>
      <c r="G640" s="3">
        <f>'Quantity Table'!$E640*'Quantity Table'!$F640</f>
        <v>0</v>
      </c>
      <c r="H640" s="3">
        <f>_xlfn.IFNA(VLOOKUP(Quantitytable[[#This Row],[Ingredient ]],Shoppingtable[[Item Name]:[BALANCE Cash]],5,FALSE),0)*Quantitytable[[#This Row],[NeededQuantity]]</f>
        <v>0.5</v>
      </c>
      <c r="I640" s="3">
        <f>SUMIF(Quantitytable[Dish],Quantitytable[[#This Row],[Dish]],Quantitytable[Cost Per Dish Per Item])</f>
        <v>20.25</v>
      </c>
      <c r="J640" s="18" t="s">
        <v>502</v>
      </c>
    </row>
    <row r="641" spans="2:10" x14ac:dyDescent="0.25">
      <c r="B641" s="13" t="s">
        <v>583</v>
      </c>
      <c r="C641" s="13" t="s">
        <v>67</v>
      </c>
      <c r="D641" s="13">
        <v>250</v>
      </c>
      <c r="E641" s="3">
        <f>IF(Quantitytable[[#This Row],[Units]]=0,0,SUMIFS(Quantitytable[NeededQuantity],Quantitytable[Dish],Quantitytable[[#This Row],[Dish]],Quantitytable[[Ingredient ]],Quantitytable[[#This Row],[Ingredient ]]))</f>
        <v>0</v>
      </c>
      <c r="F641" s="3">
        <f>SUMIFS(salestable[Quantity Sold],salestable[Item Name],Quantitytable[[#This Row],[Dish]])</f>
        <v>0</v>
      </c>
      <c r="G641" s="3">
        <f>'Quantity Table'!$E641*'Quantity Table'!$F641</f>
        <v>0</v>
      </c>
      <c r="H641" s="3">
        <f>_xlfn.IFNA(VLOOKUP(Quantitytable[[#This Row],[Ingredient ]],Shoppingtable[[Item Name]:[BALANCE Cash]],5,FALSE),0)*Quantitytable[[#This Row],[NeededQuantity]]</f>
        <v>19</v>
      </c>
      <c r="I641" s="3">
        <f>SUMIF(Quantitytable[Dish],Quantitytable[[#This Row],[Dish]],Quantitytable[Cost Per Dish Per Item])</f>
        <v>20.25</v>
      </c>
      <c r="J641" s="18" t="s">
        <v>502</v>
      </c>
    </row>
    <row r="642" spans="2:10" x14ac:dyDescent="0.25">
      <c r="B642" s="13" t="s">
        <v>584</v>
      </c>
      <c r="C642" s="13" t="s">
        <v>425</v>
      </c>
      <c r="D642" s="13">
        <v>5</v>
      </c>
      <c r="E642" s="3">
        <f>IF(Quantitytable[[#This Row],[Units]]=0,0,SUMIFS(Quantitytable[NeededQuantity],Quantitytable[Dish],Quantitytable[[#This Row],[Dish]],Quantitytable[[Ingredient ]],Quantitytable[[#This Row],[Ingredient ]]))</f>
        <v>0</v>
      </c>
      <c r="F642" s="3">
        <f>SUMIFS(salestable[Quantity Sold],salestable[Item Name],Quantitytable[[#This Row],[Dish]])</f>
        <v>0</v>
      </c>
      <c r="G642" s="3">
        <f>'Quantity Table'!$E642*'Quantity Table'!$F642</f>
        <v>0</v>
      </c>
      <c r="H642" s="3">
        <f>_xlfn.IFNA(VLOOKUP(Quantitytable[[#This Row],[Ingredient ]],Shoppingtable[[Item Name]:[BALANCE Cash]],5,FALSE),0)*Quantitytable[[#This Row],[NeededQuantity]]</f>
        <v>0.75</v>
      </c>
      <c r="I642" s="3">
        <f>SUMIF(Quantitytable[Dish],Quantitytable[[#This Row],[Dish]],Quantitytable[Cost Per Dish Per Item])</f>
        <v>29.75</v>
      </c>
      <c r="J642" s="18" t="s">
        <v>502</v>
      </c>
    </row>
    <row r="643" spans="2:10" x14ac:dyDescent="0.25">
      <c r="B643" s="13" t="s">
        <v>584</v>
      </c>
      <c r="C643" s="13" t="s">
        <v>102</v>
      </c>
      <c r="D643" s="13">
        <v>10</v>
      </c>
      <c r="E643" s="3">
        <f>IF(Quantitytable[[#This Row],[Units]]=0,0,SUMIFS(Quantitytable[NeededQuantity],Quantitytable[Dish],Quantitytable[[#This Row],[Dish]],Quantitytable[[Ingredient ]],Quantitytable[[#This Row],[Ingredient ]]))</f>
        <v>0</v>
      </c>
      <c r="F643" s="3">
        <f>SUMIFS(salestable[Quantity Sold],salestable[Item Name],Quantitytable[[#This Row],[Dish]])</f>
        <v>0</v>
      </c>
      <c r="G643" s="3">
        <f>'Quantity Table'!$E643*'Quantity Table'!$F643</f>
        <v>0</v>
      </c>
      <c r="H643" s="3">
        <f>_xlfn.IFNA(VLOOKUP(Quantitytable[[#This Row],[Ingredient ]],Shoppingtable[[Item Name]:[BALANCE Cash]],5,FALSE),0)*Quantitytable[[#This Row],[NeededQuantity]]</f>
        <v>0.5</v>
      </c>
      <c r="I643" s="3">
        <f>SUMIF(Quantitytable[Dish],Quantitytable[[#This Row],[Dish]],Quantitytable[Cost Per Dish Per Item])</f>
        <v>29.75</v>
      </c>
      <c r="J643" s="18" t="s">
        <v>502</v>
      </c>
    </row>
    <row r="644" spans="2:10" x14ac:dyDescent="0.25">
      <c r="B644" s="13" t="s">
        <v>584</v>
      </c>
      <c r="C644" s="13" t="s">
        <v>67</v>
      </c>
      <c r="D644" s="13">
        <v>375</v>
      </c>
      <c r="E644" s="3">
        <f>IF(Quantitytable[[#This Row],[Units]]=0,0,SUMIFS(Quantitytable[NeededQuantity],Quantitytable[Dish],Quantitytable[[#This Row],[Dish]],Quantitytable[[Ingredient ]],Quantitytable[[#This Row],[Ingredient ]]))</f>
        <v>0</v>
      </c>
      <c r="F644" s="3">
        <f>SUMIFS(salestable[Quantity Sold],salestable[Item Name],Quantitytable[[#This Row],[Dish]])</f>
        <v>0</v>
      </c>
      <c r="G644" s="3">
        <f>'Quantity Table'!$E644*'Quantity Table'!$F644</f>
        <v>0</v>
      </c>
      <c r="H644" s="3">
        <f>_xlfn.IFNA(VLOOKUP(Quantitytable[[#This Row],[Ingredient ]],Shoppingtable[[Item Name]:[BALANCE Cash]],5,FALSE),0)*Quantitytable[[#This Row],[NeededQuantity]]</f>
        <v>28.5</v>
      </c>
      <c r="I644" s="3">
        <f>SUMIF(Quantitytable[Dish],Quantitytable[[#This Row],[Dish]],Quantitytable[Cost Per Dish Per Item])</f>
        <v>29.75</v>
      </c>
      <c r="J644" s="18" t="s">
        <v>502</v>
      </c>
    </row>
    <row r="645" spans="2:10" x14ac:dyDescent="0.25">
      <c r="B645" s="13" t="s">
        <v>134</v>
      </c>
      <c r="C645" s="13" t="s">
        <v>401</v>
      </c>
      <c r="D645" s="13">
        <v>2</v>
      </c>
      <c r="E645" s="3">
        <f>IF(Quantitytable[[#This Row],[Units]]=0,0,SUMIFS(Quantitytable[NeededQuantity],Quantitytable[Dish],Quantitytable[[#This Row],[Dish]],Quantitytable[[Ingredient ]],Quantitytable[[#This Row],[Ingredient ]]))</f>
        <v>0</v>
      </c>
      <c r="F645" s="3">
        <f>SUMIFS(salestable[Quantity Sold],salestable[Item Name],Quantitytable[[#This Row],[Dish]])</f>
        <v>0</v>
      </c>
      <c r="G645" s="3">
        <f>'Quantity Table'!$E645*'Quantity Table'!$F645</f>
        <v>0</v>
      </c>
      <c r="H645" s="3">
        <f>_xlfn.IFNA(VLOOKUP(Quantitytable[[#This Row],[Ingredient ]],Shoppingtable[[Item Name]:[BALANCE Cash]],5,FALSE),0)*Quantitytable[[#This Row],[NeededQuantity]]</f>
        <v>0.52631578947368418</v>
      </c>
      <c r="I645" s="3">
        <f>SUMIF(Quantitytable[Dish],Quantitytable[[#This Row],[Dish]],Quantitytable[Cost Per Dish Per Item])</f>
        <v>27.313743535138425</v>
      </c>
      <c r="J645" s="18" t="s">
        <v>502</v>
      </c>
    </row>
    <row r="646" spans="2:10" x14ac:dyDescent="0.25">
      <c r="B646" s="13" t="s">
        <v>134</v>
      </c>
      <c r="C646" s="13" t="s">
        <v>478</v>
      </c>
      <c r="D646" s="13">
        <v>2</v>
      </c>
      <c r="E646" s="3">
        <f>IF(Quantitytable[[#This Row],[Units]]=0,0,SUMIFS(Quantitytable[NeededQuantity],Quantitytable[Dish],Quantitytable[[#This Row],[Dish]],Quantitytable[[Ingredient ]],Quantitytable[[#This Row],[Ingredient ]]))</f>
        <v>0</v>
      </c>
      <c r="F646" s="3">
        <f>SUMIFS(salestable[Quantity Sold],salestable[Item Name],Quantitytable[[#This Row],[Dish]])</f>
        <v>0</v>
      </c>
      <c r="G646" s="3">
        <f>'Quantity Table'!$E646*'Quantity Table'!$F646</f>
        <v>0</v>
      </c>
      <c r="H646" s="3">
        <f>_xlfn.IFNA(VLOOKUP(Quantitytable[[#This Row],[Ingredient ]],Shoppingtable[[Item Name]:[BALANCE Cash]],5,FALSE),0)*Quantitytable[[#This Row],[NeededQuantity]]</f>
        <v>0.5</v>
      </c>
      <c r="I646" s="3">
        <f>SUMIF(Quantitytable[Dish],Quantitytable[[#This Row],[Dish]],Quantitytable[Cost Per Dish Per Item])</f>
        <v>27.313743535138425</v>
      </c>
      <c r="J646" s="18" t="s">
        <v>502</v>
      </c>
    </row>
    <row r="647" spans="2:10" x14ac:dyDescent="0.25">
      <c r="B647" s="13" t="s">
        <v>134</v>
      </c>
      <c r="C647" s="13" t="s">
        <v>402</v>
      </c>
      <c r="D647" s="13">
        <v>2</v>
      </c>
      <c r="E647" s="3">
        <f>IF(Quantitytable[[#This Row],[Units]]=0,0,SUMIFS(Quantitytable[NeededQuantity],Quantitytable[Dish],Quantitytable[[#This Row],[Dish]],Quantitytable[[Ingredient ]],Quantitytable[[#This Row],[Ingredient ]]))</f>
        <v>0</v>
      </c>
      <c r="F647" s="3">
        <f>SUMIFS(salestable[Quantity Sold],salestable[Item Name],Quantitytable[[#This Row],[Dish]])</f>
        <v>0</v>
      </c>
      <c r="G647" s="3">
        <f>'Quantity Table'!$E647*'Quantity Table'!$F647</f>
        <v>0</v>
      </c>
      <c r="H647" s="3">
        <f>_xlfn.IFNA(VLOOKUP(Quantitytable[[#This Row],[Ingredient ]],Shoppingtable[[Item Name]:[BALANCE Cash]],5,FALSE),0)*Quantitytable[[#This Row],[NeededQuantity]]</f>
        <v>0.4</v>
      </c>
      <c r="I647" s="3">
        <f>SUMIF(Quantitytable[Dish],Quantitytable[[#This Row],[Dish]],Quantitytable[Cost Per Dish Per Item])</f>
        <v>27.313743535138425</v>
      </c>
      <c r="J647" s="18" t="s">
        <v>502</v>
      </c>
    </row>
    <row r="648" spans="2:10" x14ac:dyDescent="0.25">
      <c r="B648" s="13" t="s">
        <v>134</v>
      </c>
      <c r="C648" s="13" t="s">
        <v>418</v>
      </c>
      <c r="D648" s="13">
        <v>2</v>
      </c>
      <c r="E648" s="3">
        <f>IF(Quantitytable[[#This Row],[Units]]=0,0,SUMIFS(Quantitytable[NeededQuantity],Quantitytable[Dish],Quantitytable[[#This Row],[Dish]],Quantitytable[[Ingredient ]],Quantitytable[[#This Row],[Ingredient ]]))</f>
        <v>0</v>
      </c>
      <c r="F648" s="3">
        <f>SUMIFS(salestable[Quantity Sold],salestable[Item Name],Quantitytable[[#This Row],[Dish]])</f>
        <v>0</v>
      </c>
      <c r="G648" s="3">
        <f>'Quantity Table'!$E648*'Quantity Table'!$F648</f>
        <v>0</v>
      </c>
      <c r="H648" s="3">
        <f>_xlfn.IFNA(VLOOKUP(Quantitytable[[#This Row],[Ingredient ]],Shoppingtable[[Item Name]:[BALANCE Cash]],5,FALSE),0)*Quantitytable[[#This Row],[NeededQuantity]]</f>
        <v>0.3</v>
      </c>
      <c r="I648" s="3">
        <f>SUMIF(Quantitytable[Dish],Quantitytable[[#This Row],[Dish]],Quantitytable[Cost Per Dish Per Item])</f>
        <v>27.313743535138425</v>
      </c>
      <c r="J648" s="18" t="s">
        <v>502</v>
      </c>
    </row>
    <row r="649" spans="2:10" x14ac:dyDescent="0.25">
      <c r="B649" s="13" t="s">
        <v>134</v>
      </c>
      <c r="C649" s="13" t="s">
        <v>406</v>
      </c>
      <c r="D649" s="13">
        <v>4</v>
      </c>
      <c r="E649" s="3">
        <f>IF(Quantitytable[[#This Row],[Units]]=0,0,SUMIFS(Quantitytable[NeededQuantity],Quantitytable[Dish],Quantitytable[[#This Row],[Dish]],Quantitytable[[Ingredient ]],Quantitytable[[#This Row],[Ingredient ]]))</f>
        <v>0</v>
      </c>
      <c r="F649" s="3">
        <f>SUMIFS(salestable[Quantity Sold],salestable[Item Name],Quantitytable[[#This Row],[Dish]])</f>
        <v>0</v>
      </c>
      <c r="G649" s="3">
        <f>'Quantity Table'!$E649*'Quantity Table'!$F649</f>
        <v>0</v>
      </c>
      <c r="H649" s="3">
        <f>_xlfn.IFNA(VLOOKUP(Quantitytable[[#This Row],[Ingredient ]],Shoppingtable[[Item Name]:[BALANCE Cash]],5,FALSE),0)*Quantitytable[[#This Row],[NeededQuantity]]</f>
        <v>0.46242774566473988</v>
      </c>
      <c r="I649" s="3">
        <f>SUMIF(Quantitytable[Dish],Quantitytable[[#This Row],[Dish]],Quantitytable[Cost Per Dish Per Item])</f>
        <v>27.313743535138425</v>
      </c>
      <c r="J649" s="18" t="s">
        <v>502</v>
      </c>
    </row>
    <row r="650" spans="2:10" x14ac:dyDescent="0.25">
      <c r="B650" s="13" t="s">
        <v>134</v>
      </c>
      <c r="C650" s="13" t="s">
        <v>96</v>
      </c>
      <c r="D650" s="13">
        <v>4</v>
      </c>
      <c r="E650" s="3">
        <f>IF(Quantitytable[[#This Row],[Units]]=0,0,SUMIFS(Quantitytable[NeededQuantity],Quantitytable[Dish],Quantitytable[[#This Row],[Dish]],Quantitytable[[Ingredient ]],Quantitytable[[#This Row],[Ingredient ]]))</f>
        <v>0</v>
      </c>
      <c r="F650" s="3">
        <f>SUMIFS(salestable[Quantity Sold],salestable[Item Name],Quantitytable[[#This Row],[Dish]])</f>
        <v>0</v>
      </c>
      <c r="G650" s="3">
        <f>'Quantity Table'!$E650*'Quantity Table'!$F650</f>
        <v>0</v>
      </c>
      <c r="H650" s="3">
        <f>_xlfn.IFNA(VLOOKUP(Quantitytable[[#This Row],[Ingredient ]],Shoppingtable[[Item Name]:[BALANCE Cash]],5,FALSE),0)*Quantitytable[[#This Row],[NeededQuantity]]</f>
        <v>0.2</v>
      </c>
      <c r="I650" s="3">
        <f>SUMIF(Quantitytable[Dish],Quantitytable[[#This Row],[Dish]],Quantitytable[Cost Per Dish Per Item])</f>
        <v>27.313743535138425</v>
      </c>
      <c r="J650" s="18" t="s">
        <v>502</v>
      </c>
    </row>
    <row r="651" spans="2:10" x14ac:dyDescent="0.25">
      <c r="B651" s="13" t="s">
        <v>134</v>
      </c>
      <c r="C651" s="13" t="s">
        <v>480</v>
      </c>
      <c r="D651" s="13">
        <v>10</v>
      </c>
      <c r="E651" s="3">
        <f>IF(Quantitytable[[#This Row],[Units]]=0,0,SUMIFS(Quantitytable[NeededQuantity],Quantitytable[Dish],Quantitytable[[#This Row],[Dish]],Quantitytable[[Ingredient ]],Quantitytable[[#This Row],[Ingredient ]]))</f>
        <v>0</v>
      </c>
      <c r="F651" s="3">
        <f>SUMIFS(salestable[Quantity Sold],salestable[Item Name],Quantitytable[[#This Row],[Dish]])</f>
        <v>0</v>
      </c>
      <c r="G651" s="3">
        <f>'Quantity Table'!$E651*'Quantity Table'!$F651</f>
        <v>0</v>
      </c>
      <c r="H651" s="3">
        <f>_xlfn.IFNA(VLOOKUP(Quantitytable[[#This Row],[Ingredient ]],Shoppingtable[[Item Name]:[BALANCE Cash]],5,FALSE),0)*Quantitytable[[#This Row],[NeededQuantity]]</f>
        <v>1.25</v>
      </c>
      <c r="I651" s="3">
        <f>SUMIF(Quantitytable[Dish],Quantitytable[[#This Row],[Dish]],Quantitytable[Cost Per Dish Per Item])</f>
        <v>27.313743535138425</v>
      </c>
      <c r="J651" s="18" t="s">
        <v>502</v>
      </c>
    </row>
    <row r="652" spans="2:10" x14ac:dyDescent="0.25">
      <c r="B652" s="13" t="s">
        <v>134</v>
      </c>
      <c r="C652" s="13" t="s">
        <v>75</v>
      </c>
      <c r="D652" s="13">
        <v>50</v>
      </c>
      <c r="E652" s="3">
        <f>IF(Quantitytable[[#This Row],[Units]]=0,0,SUMIFS(Quantitytable[NeededQuantity],Quantitytable[Dish],Quantitytable[[#This Row],[Dish]],Quantitytable[[Ingredient ]],Quantitytable[[#This Row],[Ingredient ]]))</f>
        <v>0</v>
      </c>
      <c r="F652" s="3">
        <f>SUMIFS(salestable[Quantity Sold],salestable[Item Name],Quantitytable[[#This Row],[Dish]])</f>
        <v>0</v>
      </c>
      <c r="G652" s="3">
        <f>'Quantity Table'!$E652*'Quantity Table'!$F652</f>
        <v>0</v>
      </c>
      <c r="H652" s="3">
        <f>_xlfn.IFNA(VLOOKUP(Quantitytable[[#This Row],[Ingredient ]],Shoppingtable[[Item Name]:[BALANCE Cash]],5,FALSE),0)*Quantitytable[[#This Row],[NeededQuantity]]</f>
        <v>7.3</v>
      </c>
      <c r="I652" s="3">
        <f>SUMIF(Quantitytable[Dish],Quantitytable[[#This Row],[Dish]],Quantitytable[Cost Per Dish Per Item])</f>
        <v>27.313743535138425</v>
      </c>
      <c r="J652" s="18" t="s">
        <v>502</v>
      </c>
    </row>
    <row r="653" spans="2:10" x14ac:dyDescent="0.25">
      <c r="B653" s="13" t="s">
        <v>134</v>
      </c>
      <c r="C653" s="13" t="s">
        <v>104</v>
      </c>
      <c r="D653" s="13">
        <v>200</v>
      </c>
      <c r="E653" s="3">
        <f>IF(Quantitytable[[#This Row],[Units]]=0,0,SUMIFS(Quantitytable[NeededQuantity],Quantitytable[Dish],Quantitytable[[#This Row],[Dish]],Quantitytable[[Ingredient ]],Quantitytable[[#This Row],[Ingredient ]]))</f>
        <v>0</v>
      </c>
      <c r="F653" s="3">
        <f>SUMIFS(salestable[Quantity Sold],salestable[Item Name],Quantitytable[[#This Row],[Dish]])</f>
        <v>0</v>
      </c>
      <c r="G653" s="3">
        <f>'Quantity Table'!$E653*'Quantity Table'!$F653</f>
        <v>0</v>
      </c>
      <c r="H653" s="3">
        <f>_xlfn.IFNA(VLOOKUP(Quantitytable[[#This Row],[Ingredient ]],Shoppingtable[[Item Name]:[BALANCE Cash]],5,FALSE),0)*Quantitytable[[#This Row],[NeededQuantity]]</f>
        <v>6</v>
      </c>
      <c r="I653" s="3">
        <f>SUMIF(Quantitytable[Dish],Quantitytable[[#This Row],[Dish]],Quantitytable[Cost Per Dish Per Item])</f>
        <v>27.313743535138425</v>
      </c>
      <c r="J653" s="18" t="s">
        <v>502</v>
      </c>
    </row>
    <row r="654" spans="2:10" x14ac:dyDescent="0.25">
      <c r="B654" s="13" t="s">
        <v>134</v>
      </c>
      <c r="C654" s="13" t="s">
        <v>77</v>
      </c>
      <c r="D654" s="13">
        <v>250</v>
      </c>
      <c r="E654" s="3">
        <f>IF(Quantitytable[[#This Row],[Units]]=0,0,SUMIFS(Quantitytable[NeededQuantity],Quantitytable[Dish],Quantitytable[[#This Row],[Dish]],Quantitytable[[Ingredient ]],Quantitytable[[#This Row],[Ingredient ]]))</f>
        <v>0</v>
      </c>
      <c r="F654" s="3">
        <f>SUMIFS(salestable[Quantity Sold],salestable[Item Name],Quantitytable[[#This Row],[Dish]])</f>
        <v>0</v>
      </c>
      <c r="G654" s="3">
        <f>'Quantity Table'!$E654*'Quantity Table'!$F654</f>
        <v>0</v>
      </c>
      <c r="H654" s="3">
        <f>_xlfn.IFNA(VLOOKUP(Quantitytable[[#This Row],[Ingredient ]],Shoppingtable[[Item Name]:[BALANCE Cash]],5,FALSE),0)*Quantitytable[[#This Row],[NeededQuantity]]</f>
        <v>10.375</v>
      </c>
      <c r="I654" s="3">
        <f>SUMIF(Quantitytable[Dish],Quantitytable[[#This Row],[Dish]],Quantitytable[Cost Per Dish Per Item])</f>
        <v>27.313743535138425</v>
      </c>
      <c r="J654" s="18" t="s">
        <v>502</v>
      </c>
    </row>
    <row r="655" spans="2:10" x14ac:dyDescent="0.25">
      <c r="B655" s="13" t="s">
        <v>215</v>
      </c>
      <c r="C655" s="13" t="s">
        <v>577</v>
      </c>
      <c r="D655" s="13">
        <v>50</v>
      </c>
      <c r="E655" s="3">
        <f>IF(Quantitytable[[#This Row],[Units]]=0,0,SUMIFS(Quantitytable[NeededQuantity],Quantitytable[Dish],Quantitytable[[#This Row],[Dish]],Quantitytable[[Ingredient ]],Quantitytable[[#This Row],[Ingredient ]]))</f>
        <v>0</v>
      </c>
      <c r="F655" s="3">
        <f>SUMIFS(salestable[Quantity Sold],salestable[Item Name],Quantitytable[[#This Row],[Dish]])</f>
        <v>0</v>
      </c>
      <c r="G655" s="3">
        <f>'Quantity Table'!$E655*'Quantity Table'!$F655</f>
        <v>0</v>
      </c>
      <c r="H655" s="3">
        <f>_xlfn.IFNA(VLOOKUP(Quantitytable[[#This Row],[Ingredient ]],Shoppingtable[[Item Name]:[BALANCE Cash]],5,FALSE),0)*Quantitytable[[#This Row],[NeededQuantity]]</f>
        <v>2.8846153846153846</v>
      </c>
      <c r="I655" s="3">
        <f>SUMIF(Quantitytable[Dish],Quantitytable[[#This Row],[Dish]],Quantitytable[Cost Per Dish Per Item])</f>
        <v>15.634615384615385</v>
      </c>
      <c r="J655" s="18" t="s">
        <v>502</v>
      </c>
    </row>
    <row r="656" spans="2:10" x14ac:dyDescent="0.25">
      <c r="B656" s="13" t="s">
        <v>215</v>
      </c>
      <c r="C656" s="13" t="s">
        <v>576</v>
      </c>
      <c r="D656" s="13">
        <v>50</v>
      </c>
      <c r="E656" s="3">
        <f>IF(Quantitytable[[#This Row],[Units]]=0,0,SUMIFS(Quantitytable[NeededQuantity],Quantitytable[Dish],Quantitytable[[#This Row],[Dish]],Quantitytable[[Ingredient ]],Quantitytable[[#This Row],[Ingredient ]]))</f>
        <v>0</v>
      </c>
      <c r="F656" s="3">
        <f>SUMIFS(salestable[Quantity Sold],salestable[Item Name],Quantitytable[[#This Row],[Dish]])</f>
        <v>0</v>
      </c>
      <c r="G656" s="3">
        <f>'Quantity Table'!$E656*'Quantity Table'!$F656</f>
        <v>0</v>
      </c>
      <c r="H656" s="3">
        <f>_xlfn.IFNA(VLOOKUP(Quantitytable[[#This Row],[Ingredient ]],Shoppingtable[[Item Name]:[BALANCE Cash]],5,FALSE),0)*Quantitytable[[#This Row],[NeededQuantity]]</f>
        <v>2.9166666666666665</v>
      </c>
      <c r="I656" s="3">
        <f>SUMIF(Quantitytable[Dish],Quantitytable[[#This Row],[Dish]],Quantitytable[Cost Per Dish Per Item])</f>
        <v>15.634615384615385</v>
      </c>
      <c r="J656" s="18" t="s">
        <v>502</v>
      </c>
    </row>
    <row r="657" spans="2:10" x14ac:dyDescent="0.25">
      <c r="B657" s="13" t="s">
        <v>215</v>
      </c>
      <c r="C657" s="13" t="s">
        <v>104</v>
      </c>
      <c r="D657" s="13">
        <v>50</v>
      </c>
      <c r="E657" s="3">
        <f>IF(Quantitytable[[#This Row],[Units]]=0,0,SUMIFS(Quantitytable[NeededQuantity],Quantitytable[Dish],Quantitytable[[#This Row],[Dish]],Quantitytable[[Ingredient ]],Quantitytable[[#This Row],[Ingredient ]]))</f>
        <v>0</v>
      </c>
      <c r="F657" s="3">
        <f>SUMIFS(salestable[Quantity Sold],salestable[Item Name],Quantitytable[[#This Row],[Dish]])</f>
        <v>0</v>
      </c>
      <c r="G657" s="3">
        <f>'Quantity Table'!$E657*'Quantity Table'!$F657</f>
        <v>0</v>
      </c>
      <c r="H657" s="3">
        <f>_xlfn.IFNA(VLOOKUP(Quantitytable[[#This Row],[Ingredient ]],Shoppingtable[[Item Name]:[BALANCE Cash]],5,FALSE),0)*Quantitytable[[#This Row],[NeededQuantity]]</f>
        <v>1.5</v>
      </c>
      <c r="I657" s="3">
        <f>SUMIF(Quantitytable[Dish],Quantitytable[[#This Row],[Dish]],Quantitytable[Cost Per Dish Per Item])</f>
        <v>15.634615384615385</v>
      </c>
      <c r="J657" s="18" t="s">
        <v>502</v>
      </c>
    </row>
    <row r="658" spans="2:10" x14ac:dyDescent="0.25">
      <c r="B658" s="13" t="s">
        <v>215</v>
      </c>
      <c r="C658" s="13" t="s">
        <v>98</v>
      </c>
      <c r="D658" s="13">
        <v>80</v>
      </c>
      <c r="E658" s="3">
        <f>IF(Quantitytable[[#This Row],[Units]]=0,0,SUMIFS(Quantitytable[NeededQuantity],Quantitytable[Dish],Quantitytable[[#This Row],[Dish]],Quantitytable[[Ingredient ]],Quantitytable[[#This Row],[Ingredient ]]))</f>
        <v>0</v>
      </c>
      <c r="F658" s="3">
        <f>SUMIFS(salestable[Quantity Sold],salestable[Item Name],Quantitytable[[#This Row],[Dish]])</f>
        <v>0</v>
      </c>
      <c r="G658" s="3">
        <f>'Quantity Table'!$E658*'Quantity Table'!$F658</f>
        <v>0</v>
      </c>
      <c r="H658" s="3">
        <f>_xlfn.IFNA(VLOOKUP(Quantitytable[[#This Row],[Ingredient ]],Shoppingtable[[Item Name]:[BALANCE Cash]],5,FALSE),0)*Quantitytable[[#This Row],[NeededQuantity]]</f>
        <v>4.3333333333333339</v>
      </c>
      <c r="I658" s="3">
        <f>SUMIF(Quantitytable[Dish],Quantitytable[[#This Row],[Dish]],Quantitytable[Cost Per Dish Per Item])</f>
        <v>15.634615384615385</v>
      </c>
      <c r="J658" s="18" t="s">
        <v>502</v>
      </c>
    </row>
    <row r="659" spans="2:10" x14ac:dyDescent="0.25">
      <c r="B659" s="13" t="s">
        <v>215</v>
      </c>
      <c r="C659" s="13" t="s">
        <v>44</v>
      </c>
      <c r="D659" s="13">
        <v>140</v>
      </c>
      <c r="E659" s="3">
        <f>IF(Quantitytable[[#This Row],[Units]]=0,0,SUMIFS(Quantitytable[NeededQuantity],Quantitytable[Dish],Quantitytable[[#This Row],[Dish]],Quantitytable[[Ingredient ]],Quantitytable[[#This Row],[Ingredient ]]))</f>
        <v>0</v>
      </c>
      <c r="F659" s="3">
        <f>SUMIFS(salestable[Quantity Sold],salestable[Item Name],Quantitytable[[#This Row],[Dish]])</f>
        <v>0</v>
      </c>
      <c r="G659" s="3">
        <f>'Quantity Table'!$E659*'Quantity Table'!$F659</f>
        <v>0</v>
      </c>
      <c r="H659" s="3">
        <f>_xlfn.IFNA(VLOOKUP(Quantitytable[[#This Row],[Ingredient ]],Shoppingtable[[Item Name]:[BALANCE Cash]],5,FALSE),0)*Quantitytable[[#This Row],[NeededQuantity]]</f>
        <v>4</v>
      </c>
      <c r="I659" s="3">
        <f>SUMIF(Quantitytable[Dish],Quantitytable[[#This Row],[Dish]],Quantitytable[Cost Per Dish Per Item])</f>
        <v>15.634615384615385</v>
      </c>
      <c r="J659" s="18" t="s">
        <v>502</v>
      </c>
    </row>
    <row r="660" spans="2:10" x14ac:dyDescent="0.25">
      <c r="B660" s="13" t="s">
        <v>655</v>
      </c>
      <c r="C660" s="13" t="s">
        <v>163</v>
      </c>
      <c r="D660" s="13">
        <v>100</v>
      </c>
      <c r="E660" s="3">
        <f>IF(Quantitytable[[#This Row],[Units]]=0,0,SUMIFS(Quantitytable[NeededQuantity],Quantitytable[Dish],Quantitytable[[#This Row],[Dish]],Quantitytable[[Ingredient ]],Quantitytable[[#This Row],[Ingredient ]]))</f>
        <v>0</v>
      </c>
      <c r="F660" s="3">
        <f>SUMIFS(salestable[Quantity Sold],salestable[Item Name],Quantitytable[[#This Row],[Dish]])</f>
        <v>0</v>
      </c>
      <c r="G660" s="3">
        <f>'Quantity Table'!$E660*'Quantity Table'!$F660</f>
        <v>0</v>
      </c>
      <c r="H660" s="3">
        <f>_xlfn.IFNA(VLOOKUP(Quantitytable[[#This Row],[Ingredient ]],Shoppingtable[[Item Name]:[BALANCE Cash]],5,FALSE),0)*Quantitytable[[#This Row],[NeededQuantity]]</f>
        <v>22.08</v>
      </c>
      <c r="I660" s="3">
        <f>SUMIF(Quantitytable[Dish],Quantitytable[[#This Row],[Dish]],Quantitytable[Cost Per Dish Per Item])</f>
        <v>31.913333333333334</v>
      </c>
      <c r="J660" s="18" t="s">
        <v>502</v>
      </c>
    </row>
    <row r="661" spans="2:10" x14ac:dyDescent="0.25">
      <c r="B661" s="13" t="s">
        <v>655</v>
      </c>
      <c r="C661" s="13" t="s">
        <v>104</v>
      </c>
      <c r="D661" s="13">
        <v>50</v>
      </c>
      <c r="E661" s="3">
        <f>IF(Quantitytable[[#This Row],[Units]]=0,0,SUMIFS(Quantitytable[NeededQuantity],Quantitytable[Dish],Quantitytable[[#This Row],[Dish]],Quantitytable[[Ingredient ]],Quantitytable[[#This Row],[Ingredient ]]))</f>
        <v>0</v>
      </c>
      <c r="F661" s="3">
        <f>SUMIFS(salestable[Quantity Sold],salestable[Item Name],Quantitytable[[#This Row],[Dish]])</f>
        <v>0</v>
      </c>
      <c r="G661" s="3">
        <f>'Quantity Table'!$E661*'Quantity Table'!$F661</f>
        <v>0</v>
      </c>
      <c r="H661" s="3">
        <f>_xlfn.IFNA(VLOOKUP(Quantitytable[[#This Row],[Ingredient ]],Shoppingtable[[Item Name]:[BALANCE Cash]],5,FALSE),0)*Quantitytable[[#This Row],[NeededQuantity]]</f>
        <v>1.5</v>
      </c>
      <c r="I661" s="3">
        <f>SUMIF(Quantitytable[Dish],Quantitytable[[#This Row],[Dish]],Quantitytable[Cost Per Dish Per Item])</f>
        <v>31.913333333333334</v>
      </c>
      <c r="J661" s="18" t="s">
        <v>502</v>
      </c>
    </row>
    <row r="662" spans="2:10" x14ac:dyDescent="0.25">
      <c r="B662" s="13" t="s">
        <v>655</v>
      </c>
      <c r="C662" s="13" t="s">
        <v>98</v>
      </c>
      <c r="D662" s="13">
        <v>80</v>
      </c>
      <c r="E662" s="3">
        <f>IF(Quantitytable[[#This Row],[Units]]=0,0,SUMIFS(Quantitytable[NeededQuantity],Quantitytable[Dish],Quantitytable[[#This Row],[Dish]],Quantitytable[[Ingredient ]],Quantitytable[[#This Row],[Ingredient ]]))</f>
        <v>0</v>
      </c>
      <c r="F662" s="3">
        <f>SUMIFS(salestable[Quantity Sold],salestable[Item Name],Quantitytable[[#This Row],[Dish]])</f>
        <v>0</v>
      </c>
      <c r="G662" s="3">
        <f>'Quantity Table'!$E662*'Quantity Table'!$F662</f>
        <v>0</v>
      </c>
      <c r="H662" s="3">
        <f>_xlfn.IFNA(VLOOKUP(Quantitytable[[#This Row],[Ingredient ]],Shoppingtable[[Item Name]:[BALANCE Cash]],5,FALSE),0)*Quantitytable[[#This Row],[NeededQuantity]]</f>
        <v>4.3333333333333339</v>
      </c>
      <c r="I662" s="3">
        <f>SUMIF(Quantitytable[Dish],Quantitytable[[#This Row],[Dish]],Quantitytable[Cost Per Dish Per Item])</f>
        <v>31.913333333333334</v>
      </c>
      <c r="J662" s="18" t="s">
        <v>502</v>
      </c>
    </row>
    <row r="663" spans="2:10" x14ac:dyDescent="0.25">
      <c r="B663" s="13" t="s">
        <v>655</v>
      </c>
      <c r="C663" s="13" t="s">
        <v>44</v>
      </c>
      <c r="D663" s="13">
        <v>140</v>
      </c>
      <c r="E663" s="3">
        <f>IF(Quantitytable[[#This Row],[Units]]=0,0,SUMIFS(Quantitytable[NeededQuantity],Quantitytable[Dish],Quantitytable[[#This Row],[Dish]],Quantitytable[[Ingredient ]],Quantitytable[[#This Row],[Ingredient ]]))</f>
        <v>0</v>
      </c>
      <c r="F663" s="3">
        <f>SUMIFS(salestable[Quantity Sold],salestable[Item Name],Quantitytable[[#This Row],[Dish]])</f>
        <v>0</v>
      </c>
      <c r="G663" s="3">
        <f>'Quantity Table'!$E663*'Quantity Table'!$F663</f>
        <v>0</v>
      </c>
      <c r="H663" s="3">
        <f>_xlfn.IFNA(VLOOKUP(Quantitytable[[#This Row],[Ingredient ]],Shoppingtable[[Item Name]:[BALANCE Cash]],5,FALSE),0)*Quantitytable[[#This Row],[NeededQuantity]]</f>
        <v>4</v>
      </c>
      <c r="I663" s="3">
        <f>SUMIF(Quantitytable[Dish],Quantitytable[[#This Row],[Dish]],Quantitytable[Cost Per Dish Per Item])</f>
        <v>31.913333333333334</v>
      </c>
      <c r="J663" s="18" t="s">
        <v>502</v>
      </c>
    </row>
    <row r="664" spans="2:10" x14ac:dyDescent="0.25">
      <c r="B664" s="13" t="s">
        <v>678</v>
      </c>
      <c r="C664" s="13" t="s">
        <v>600</v>
      </c>
      <c r="D664" s="13">
        <v>150</v>
      </c>
      <c r="E664" s="3">
        <f>IF(Quantitytable[[#This Row],[Units]]=0,0,SUMIFS(Quantitytable[NeededQuantity],Quantitytable[Dish],Quantitytable[[#This Row],[Dish]],Quantitytable[[Ingredient ]],Quantitytable[[#This Row],[Ingredient ]]))</f>
        <v>0</v>
      </c>
      <c r="F664" s="3">
        <f>SUMIFS(salestable[Quantity Sold],salestable[Item Name],Quantitytable[[#This Row],[Dish]])</f>
        <v>0</v>
      </c>
      <c r="G664" s="3">
        <f>'Quantity Table'!$E664*'Quantity Table'!$F664</f>
        <v>0</v>
      </c>
      <c r="H664" s="3">
        <f>_xlfn.IFNA(VLOOKUP(Quantitytable[[#This Row],[Ingredient ]],Shoppingtable[[Item Name]:[BALANCE Cash]],5,FALSE),0)*Quantitytable[[#This Row],[NeededQuantity]]</f>
        <v>13.3125</v>
      </c>
      <c r="I664" s="3">
        <f>SUMIF(Quantitytable[Dish],Quantitytable[[#This Row],[Dish]],Quantitytable[Cost Per Dish Per Item])</f>
        <v>23.145833333333336</v>
      </c>
      <c r="J664" s="18" t="s">
        <v>502</v>
      </c>
    </row>
    <row r="665" spans="2:10" x14ac:dyDescent="0.25">
      <c r="B665" s="13" t="s">
        <v>678</v>
      </c>
      <c r="C665" s="13" t="s">
        <v>104</v>
      </c>
      <c r="D665" s="13">
        <v>50</v>
      </c>
      <c r="E665" s="3">
        <f>IF(Quantitytable[[#This Row],[Units]]=0,0,SUMIFS(Quantitytable[NeededQuantity],Quantitytable[Dish],Quantitytable[[#This Row],[Dish]],Quantitytable[[Ingredient ]],Quantitytable[[#This Row],[Ingredient ]]))</f>
        <v>0</v>
      </c>
      <c r="F665" s="3">
        <f>SUMIFS(salestable[Quantity Sold],salestable[Item Name],Quantitytable[[#This Row],[Dish]])</f>
        <v>0</v>
      </c>
      <c r="G665" s="3">
        <f>'Quantity Table'!$E665*'Quantity Table'!$F665</f>
        <v>0</v>
      </c>
      <c r="H665" s="3">
        <f>_xlfn.IFNA(VLOOKUP(Quantitytable[[#This Row],[Ingredient ]],Shoppingtable[[Item Name]:[BALANCE Cash]],5,FALSE),0)*Quantitytable[[#This Row],[NeededQuantity]]</f>
        <v>1.5</v>
      </c>
      <c r="I665" s="3">
        <f>SUMIF(Quantitytable[Dish],Quantitytable[[#This Row],[Dish]],Quantitytable[Cost Per Dish Per Item])</f>
        <v>23.145833333333336</v>
      </c>
      <c r="J665" s="18" t="s">
        <v>502</v>
      </c>
    </row>
    <row r="666" spans="2:10" x14ac:dyDescent="0.25">
      <c r="B666" s="13" t="s">
        <v>678</v>
      </c>
      <c r="C666" s="13" t="s">
        <v>98</v>
      </c>
      <c r="D666" s="13">
        <v>80</v>
      </c>
      <c r="E666" s="3">
        <f>IF(Quantitytable[[#This Row],[Units]]=0,0,SUMIFS(Quantitytable[NeededQuantity],Quantitytable[Dish],Quantitytable[[#This Row],[Dish]],Quantitytable[[Ingredient ]],Quantitytable[[#This Row],[Ingredient ]]))</f>
        <v>0</v>
      </c>
      <c r="F666" s="3">
        <f>SUMIFS(salestable[Quantity Sold],salestable[Item Name],Quantitytable[[#This Row],[Dish]])</f>
        <v>0</v>
      </c>
      <c r="G666" s="3">
        <f>'Quantity Table'!$E666*'Quantity Table'!$F666</f>
        <v>0</v>
      </c>
      <c r="H666" s="3">
        <f>_xlfn.IFNA(VLOOKUP(Quantitytable[[#This Row],[Ingredient ]],Shoppingtable[[Item Name]:[BALANCE Cash]],5,FALSE),0)*Quantitytable[[#This Row],[NeededQuantity]]</f>
        <v>4.3333333333333339</v>
      </c>
      <c r="I666" s="3">
        <f>SUMIF(Quantitytable[Dish],Quantitytable[[#This Row],[Dish]],Quantitytable[Cost Per Dish Per Item])</f>
        <v>23.145833333333336</v>
      </c>
      <c r="J666" s="18" t="s">
        <v>502</v>
      </c>
    </row>
    <row r="667" spans="2:10" x14ac:dyDescent="0.25">
      <c r="B667" s="13" t="s">
        <v>678</v>
      </c>
      <c r="C667" s="13" t="s">
        <v>44</v>
      </c>
      <c r="D667" s="13">
        <v>140</v>
      </c>
      <c r="E667" s="3">
        <f>IF(Quantitytable[[#This Row],[Units]]=0,0,SUMIFS(Quantitytable[NeededQuantity],Quantitytable[Dish],Quantitytable[[#This Row],[Dish]],Quantitytable[[Ingredient ]],Quantitytable[[#This Row],[Ingredient ]]))</f>
        <v>0</v>
      </c>
      <c r="F667" s="3">
        <f>SUMIFS(salestable[Quantity Sold],salestable[Item Name],Quantitytable[[#This Row],[Dish]])</f>
        <v>0</v>
      </c>
      <c r="G667" s="3">
        <f>'Quantity Table'!$E667*'Quantity Table'!$F667</f>
        <v>0</v>
      </c>
      <c r="H667" s="3">
        <f>_xlfn.IFNA(VLOOKUP(Quantitytable[[#This Row],[Ingredient ]],Shoppingtable[[Item Name]:[BALANCE Cash]],5,FALSE),0)*Quantitytable[[#This Row],[NeededQuantity]]</f>
        <v>4</v>
      </c>
      <c r="I667" s="3">
        <f>SUMIF(Quantitytable[Dish],Quantitytable[[#This Row],[Dish]],Quantitytable[Cost Per Dish Per Item])</f>
        <v>23.145833333333336</v>
      </c>
      <c r="J667" s="18" t="s">
        <v>502</v>
      </c>
    </row>
    <row r="668" spans="2:10" x14ac:dyDescent="0.25">
      <c r="B668" s="13" t="s">
        <v>156</v>
      </c>
      <c r="C668" s="13" t="s">
        <v>478</v>
      </c>
      <c r="D668" s="13">
        <v>2</v>
      </c>
      <c r="E668" s="3">
        <f>IF(Quantitytable[[#This Row],[Units]]=0,0,SUMIFS(Quantitytable[NeededQuantity],Quantitytable[Dish],Quantitytable[[#This Row],[Dish]],Quantitytable[[Ingredient ]],Quantitytable[[#This Row],[Ingredient ]]))</f>
        <v>0</v>
      </c>
      <c r="F668" s="3">
        <f>SUMIFS(salestable[Quantity Sold],salestable[Item Name],Quantitytable[[#This Row],[Dish]])</f>
        <v>0</v>
      </c>
      <c r="G668" s="3">
        <f>'Quantity Table'!$E668*'Quantity Table'!$F668</f>
        <v>0</v>
      </c>
      <c r="H668" s="3">
        <f>_xlfn.IFNA(VLOOKUP(Quantitytable[[#This Row],[Ingredient ]],Shoppingtable[[Item Name]:[BALANCE Cash]],5,FALSE),0)*Quantitytable[[#This Row],[NeededQuantity]]</f>
        <v>0.5</v>
      </c>
      <c r="I668" s="3">
        <f>SUMIF(Quantitytable[Dish],Quantitytable[[#This Row],[Dish]],Quantitytable[Cost Per Dish Per Item])</f>
        <v>16.024073809080353</v>
      </c>
      <c r="J668" s="18" t="s">
        <v>502</v>
      </c>
    </row>
    <row r="669" spans="2:10" x14ac:dyDescent="0.25">
      <c r="B669" s="13" t="s">
        <v>156</v>
      </c>
      <c r="C669" s="13" t="s">
        <v>485</v>
      </c>
      <c r="D669" s="13">
        <v>2</v>
      </c>
      <c r="E669" s="3">
        <f>IF(Quantitytable[[#This Row],[Units]]=0,0,SUMIFS(Quantitytable[NeededQuantity],Quantitytable[Dish],Quantitytable[[#This Row],[Dish]],Quantitytable[[Ingredient ]],Quantitytable[[#This Row],[Ingredient ]]))</f>
        <v>0</v>
      </c>
      <c r="F669" s="3">
        <f>SUMIFS(salestable[Quantity Sold],salestable[Item Name],Quantitytable[[#This Row],[Dish]])</f>
        <v>0</v>
      </c>
      <c r="G669" s="3">
        <f>'Quantity Table'!$E669*'Quantity Table'!$F669</f>
        <v>0</v>
      </c>
      <c r="H669" s="3">
        <f>_xlfn.IFNA(VLOOKUP(Quantitytable[[#This Row],[Ingredient ]],Shoppingtable[[Item Name]:[BALANCE Cash]],5,FALSE),0)*Quantitytable[[#This Row],[NeededQuantity]]</f>
        <v>0.4</v>
      </c>
      <c r="I669" s="3">
        <f>SUMIF(Quantitytable[Dish],Quantitytable[[#This Row],[Dish]],Quantitytable[Cost Per Dish Per Item])</f>
        <v>16.024073809080353</v>
      </c>
      <c r="J669" s="18" t="s">
        <v>502</v>
      </c>
    </row>
    <row r="670" spans="2:10" x14ac:dyDescent="0.25">
      <c r="B670" s="13" t="s">
        <v>156</v>
      </c>
      <c r="C670" s="13" t="s">
        <v>406</v>
      </c>
      <c r="D670" s="13">
        <v>2</v>
      </c>
      <c r="E670" s="3">
        <f>IF(Quantitytable[[#This Row],[Units]]=0,0,SUMIFS(Quantitytable[NeededQuantity],Quantitytable[Dish],Quantitytable[[#This Row],[Dish]],Quantitytable[[Ingredient ]],Quantitytable[[#This Row],[Ingredient ]]))</f>
        <v>0</v>
      </c>
      <c r="F670" s="3">
        <f>SUMIFS(salestable[Quantity Sold],salestable[Item Name],Quantitytable[[#This Row],[Dish]])</f>
        <v>0</v>
      </c>
      <c r="G670" s="3">
        <f>'Quantity Table'!$E670*'Quantity Table'!$F670</f>
        <v>0</v>
      </c>
      <c r="H670" s="3">
        <f>_xlfn.IFNA(VLOOKUP(Quantitytable[[#This Row],[Ingredient ]],Shoppingtable[[Item Name]:[BALANCE Cash]],5,FALSE),0)*Quantitytable[[#This Row],[NeededQuantity]]</f>
        <v>0.23121387283236994</v>
      </c>
      <c r="I670" s="3">
        <f>SUMIF(Quantitytable[Dish],Quantitytable[[#This Row],[Dish]],Quantitytable[Cost Per Dish Per Item])</f>
        <v>16.024073809080353</v>
      </c>
      <c r="J670" s="18" t="s">
        <v>502</v>
      </c>
    </row>
    <row r="671" spans="2:10" x14ac:dyDescent="0.25">
      <c r="B671" s="13" t="s">
        <v>156</v>
      </c>
      <c r="C671" s="13" t="s">
        <v>419</v>
      </c>
      <c r="D671" s="13">
        <v>2</v>
      </c>
      <c r="E671" s="3">
        <f>IF(Quantitytable[[#This Row],[Units]]=0,0,SUMIFS(Quantitytable[NeededQuantity],Quantitytable[Dish],Quantitytable[[#This Row],[Dish]],Quantitytable[[Ingredient ]],Quantitytable[[#This Row],[Ingredient ]]))</f>
        <v>0</v>
      </c>
      <c r="F671" s="3">
        <f>SUMIFS(salestable[Quantity Sold],salestable[Item Name],Quantitytable[[#This Row],[Dish]])</f>
        <v>0</v>
      </c>
      <c r="G671" s="3">
        <f>'Quantity Table'!$E671*'Quantity Table'!$F671</f>
        <v>0</v>
      </c>
      <c r="H671" s="3">
        <f>_xlfn.IFNA(VLOOKUP(Quantitytable[[#This Row],[Ingredient ]],Shoppingtable[[Item Name]:[BALANCE Cash]],5,FALSE),0)*Quantitytable[[#This Row],[NeededQuantity]]</f>
        <v>0.22727272727272727</v>
      </c>
      <c r="I671" s="3">
        <f>SUMIF(Quantitytable[Dish],Quantitytable[[#This Row],[Dish]],Quantitytable[Cost Per Dish Per Item])</f>
        <v>16.024073809080353</v>
      </c>
      <c r="J671" s="18" t="s">
        <v>502</v>
      </c>
    </row>
    <row r="672" spans="2:10" x14ac:dyDescent="0.25">
      <c r="B672" s="13" t="s">
        <v>156</v>
      </c>
      <c r="C672" s="13" t="s">
        <v>49</v>
      </c>
      <c r="D672" s="13">
        <v>2.5</v>
      </c>
      <c r="E672" s="3">
        <f>IF(Quantitytable[[#This Row],[Units]]=0,0,SUMIFS(Quantitytable[NeededQuantity],Quantitytable[Dish],Quantitytable[[#This Row],[Dish]],Quantitytable[[Ingredient ]],Quantitytable[[#This Row],[Ingredient ]]))</f>
        <v>0</v>
      </c>
      <c r="F672" s="3">
        <f>SUMIFS(salestable[Quantity Sold],salestable[Item Name],Quantitytable[[#This Row],[Dish]])</f>
        <v>0</v>
      </c>
      <c r="G672" s="3">
        <f>'Quantity Table'!$E672*'Quantity Table'!$F672</f>
        <v>0</v>
      </c>
      <c r="H672" s="3">
        <f>_xlfn.IFNA(VLOOKUP(Quantitytable[[#This Row],[Ingredient ]],Shoppingtable[[Item Name]:[BALANCE Cash]],5,FALSE),0)*Quantitytable[[#This Row],[NeededQuantity]]</f>
        <v>0.6578947368421052</v>
      </c>
      <c r="I672" s="3">
        <f>SUMIF(Quantitytable[Dish],Quantitytable[[#This Row],[Dish]],Quantitytable[Cost Per Dish Per Item])</f>
        <v>16.024073809080353</v>
      </c>
      <c r="J672" s="18" t="s">
        <v>502</v>
      </c>
    </row>
    <row r="673" spans="2:10" x14ac:dyDescent="0.25">
      <c r="B673" s="13" t="s">
        <v>156</v>
      </c>
      <c r="C673" s="13" t="s">
        <v>402</v>
      </c>
      <c r="D673" s="13">
        <v>2.5</v>
      </c>
      <c r="E673" s="3">
        <f>IF(Quantitytable[[#This Row],[Units]]=0,0,SUMIFS(Quantitytable[NeededQuantity],Quantitytable[Dish],Quantitytable[[#This Row],[Dish]],Quantitytable[[Ingredient ]],Quantitytable[[#This Row],[Ingredient ]]))</f>
        <v>0</v>
      </c>
      <c r="F673" s="3">
        <f>SUMIFS(salestable[Quantity Sold],salestable[Item Name],Quantitytable[[#This Row],[Dish]])</f>
        <v>0</v>
      </c>
      <c r="G673" s="3">
        <f>'Quantity Table'!$E673*'Quantity Table'!$F673</f>
        <v>0</v>
      </c>
      <c r="H673" s="3">
        <f>_xlfn.IFNA(VLOOKUP(Quantitytable[[#This Row],[Ingredient ]],Shoppingtable[[Item Name]:[BALANCE Cash]],5,FALSE),0)*Quantitytable[[#This Row],[NeededQuantity]]</f>
        <v>0.5</v>
      </c>
      <c r="I673" s="3">
        <f>SUMIF(Quantitytable[Dish],Quantitytable[[#This Row],[Dish]],Quantitytable[Cost Per Dish Per Item])</f>
        <v>16.024073809080353</v>
      </c>
      <c r="J673" s="18" t="s">
        <v>502</v>
      </c>
    </row>
    <row r="674" spans="2:10" x14ac:dyDescent="0.25">
      <c r="B674" s="13" t="s">
        <v>156</v>
      </c>
      <c r="C674" s="13" t="s">
        <v>418</v>
      </c>
      <c r="D674" s="13">
        <v>5</v>
      </c>
      <c r="E674" s="3">
        <f>IF(Quantitytable[[#This Row],[Units]]=0,0,SUMIFS(Quantitytable[NeededQuantity],Quantitytable[Dish],Quantitytable[[#This Row],[Dish]],Quantitytable[[Ingredient ]],Quantitytable[[#This Row],[Ingredient ]]))</f>
        <v>0</v>
      </c>
      <c r="F674" s="3">
        <f>SUMIFS(salestable[Quantity Sold],salestable[Item Name],Quantitytable[[#This Row],[Dish]])</f>
        <v>0</v>
      </c>
      <c r="G674" s="3">
        <f>'Quantity Table'!$E674*'Quantity Table'!$F674</f>
        <v>0</v>
      </c>
      <c r="H674" s="3">
        <f>_xlfn.IFNA(VLOOKUP(Quantitytable[[#This Row],[Ingredient ]],Shoppingtable[[Item Name]:[BALANCE Cash]],5,FALSE),0)*Quantitytable[[#This Row],[NeededQuantity]]</f>
        <v>0.75</v>
      </c>
      <c r="I674" s="3">
        <f>SUMIF(Quantitytable[Dish],Quantitytable[[#This Row],[Dish]],Quantitytable[Cost Per Dish Per Item])</f>
        <v>16.024073809080353</v>
      </c>
      <c r="J674" s="18" t="s">
        <v>502</v>
      </c>
    </row>
    <row r="675" spans="2:10" x14ac:dyDescent="0.25">
      <c r="B675" s="13" t="s">
        <v>156</v>
      </c>
      <c r="C675" s="13" t="s">
        <v>506</v>
      </c>
      <c r="D675" s="13">
        <v>5</v>
      </c>
      <c r="E675" s="3">
        <f>IF(Quantitytable[[#This Row],[Units]]=0,0,SUMIFS(Quantitytable[NeededQuantity],Quantitytable[Dish],Quantitytable[[#This Row],[Dish]],Quantitytable[[Ingredient ]],Quantitytable[[#This Row],[Ingredient ]]))</f>
        <v>0</v>
      </c>
      <c r="F675" s="3">
        <f>SUMIFS(salestable[Quantity Sold],salestable[Item Name],Quantitytable[[#This Row],[Dish]])</f>
        <v>0</v>
      </c>
      <c r="G675" s="3">
        <f>'Quantity Table'!$E675*'Quantity Table'!$F675</f>
        <v>0</v>
      </c>
      <c r="H675" s="3">
        <f>_xlfn.IFNA(VLOOKUP(Quantitytable[[#This Row],[Ingredient ]],Shoppingtable[[Item Name]:[BALANCE Cash]],5,FALSE),0)*Quantitytable[[#This Row],[NeededQuantity]]</f>
        <v>0.72072072072072069</v>
      </c>
      <c r="I675" s="3">
        <f>SUMIF(Quantitytable[Dish],Quantitytable[[#This Row],[Dish]],Quantitytable[Cost Per Dish Per Item])</f>
        <v>16.024073809080353</v>
      </c>
      <c r="J675" s="18" t="s">
        <v>502</v>
      </c>
    </row>
    <row r="676" spans="2:10" x14ac:dyDescent="0.25">
      <c r="B676" s="13" t="s">
        <v>156</v>
      </c>
      <c r="C676" s="13" t="s">
        <v>507</v>
      </c>
      <c r="D676" s="13">
        <v>5</v>
      </c>
      <c r="E676" s="3">
        <f>IF(Quantitytable[[#This Row],[Units]]=0,0,SUMIFS(Quantitytable[NeededQuantity],Quantitytable[Dish],Quantitytable[[#This Row],[Dish]],Quantitytable[[Ingredient ]],Quantitytable[[#This Row],[Ingredient ]]))</f>
        <v>0</v>
      </c>
      <c r="F676" s="3">
        <f>SUMIFS(salestable[Quantity Sold],salestable[Item Name],Quantitytable[[#This Row],[Dish]])</f>
        <v>0</v>
      </c>
      <c r="G676" s="3">
        <f>'Quantity Table'!$E676*'Quantity Table'!$F676</f>
        <v>0</v>
      </c>
      <c r="H676" s="3">
        <f>_xlfn.IFNA(VLOOKUP(Quantitytable[[#This Row],[Ingredient ]],Shoppingtable[[Item Name]:[BALANCE Cash]],5,FALSE),0)*Quantitytable[[#This Row],[NeededQuantity]]</f>
        <v>0.56497175141242939</v>
      </c>
      <c r="I676" s="3">
        <f>SUMIF(Quantitytable[Dish],Quantitytable[[#This Row],[Dish]],Quantitytable[Cost Per Dish Per Item])</f>
        <v>16.024073809080353</v>
      </c>
      <c r="J676" s="18" t="s">
        <v>502</v>
      </c>
    </row>
    <row r="677" spans="2:10" x14ac:dyDescent="0.25">
      <c r="B677" s="13" t="s">
        <v>156</v>
      </c>
      <c r="C677" s="13" t="s">
        <v>560</v>
      </c>
      <c r="D677" s="13">
        <v>210</v>
      </c>
      <c r="E677" s="3">
        <f>IF(Quantitytable[[#This Row],[Units]]=0,0,SUMIFS(Quantitytable[NeededQuantity],Quantitytable[Dish],Quantitytable[[#This Row],[Dish]],Quantitytable[[Ingredient ]],Quantitytable[[#This Row],[Ingredient ]]))</f>
        <v>0</v>
      </c>
      <c r="F677" s="3">
        <f>SUMIFS(salestable[Quantity Sold],salestable[Item Name],Quantitytable[[#This Row],[Dish]])</f>
        <v>0</v>
      </c>
      <c r="G677" s="3">
        <f>'Quantity Table'!$E677*'Quantity Table'!$F677</f>
        <v>0</v>
      </c>
      <c r="H677" s="3">
        <f>_xlfn.IFNA(VLOOKUP(Quantitytable[[#This Row],[Ingredient ]],Shoppingtable[[Item Name]:[BALANCE Cash]],5,FALSE),0)*Quantitytable[[#This Row],[NeededQuantity]]</f>
        <v>4.6619999999999999</v>
      </c>
      <c r="I677" s="3">
        <f>SUMIF(Quantitytable[Dish],Quantitytable[[#This Row],[Dish]],Quantitytable[Cost Per Dish Per Item])</f>
        <v>16.024073809080353</v>
      </c>
      <c r="J677" s="18" t="s">
        <v>502</v>
      </c>
    </row>
    <row r="678" spans="2:10" x14ac:dyDescent="0.25">
      <c r="B678" s="13" t="s">
        <v>156</v>
      </c>
      <c r="C678" s="13" t="s">
        <v>413</v>
      </c>
      <c r="D678" s="13">
        <v>25</v>
      </c>
      <c r="E678" s="3">
        <f>IF(Quantitytable[[#This Row],[Units]]=0,0,SUMIFS(Quantitytable[NeededQuantity],Quantitytable[Dish],Quantitytable[[#This Row],[Dish]],Quantitytable[[Ingredient ]],Quantitytable[[#This Row],[Ingredient ]]))</f>
        <v>0</v>
      </c>
      <c r="F678" s="3">
        <f>SUMIFS(salestable[Quantity Sold],salestable[Item Name],Quantitytable[[#This Row],[Dish]])</f>
        <v>0</v>
      </c>
      <c r="G678" s="3">
        <f>'Quantity Table'!$E678*'Quantity Table'!$F678</f>
        <v>0</v>
      </c>
      <c r="H678" s="3">
        <f>_xlfn.IFNA(VLOOKUP(Quantitytable[[#This Row],[Ingredient ]],Shoppingtable[[Item Name]:[BALANCE Cash]],5,FALSE),0)*Quantitytable[[#This Row],[NeededQuantity]]</f>
        <v>3.65</v>
      </c>
      <c r="I678" s="3">
        <f>SUMIF(Quantitytable[Dish],Quantitytable[[#This Row],[Dish]],Quantitytable[Cost Per Dish Per Item])</f>
        <v>16.024073809080353</v>
      </c>
      <c r="J678" s="18" t="s">
        <v>502</v>
      </c>
    </row>
    <row r="679" spans="2:10" x14ac:dyDescent="0.25">
      <c r="B679" s="13" t="s">
        <v>156</v>
      </c>
      <c r="C679" s="13" t="s">
        <v>399</v>
      </c>
      <c r="D679" s="13">
        <v>40</v>
      </c>
      <c r="E679" s="3">
        <f>IF(Quantitytable[[#This Row],[Units]]=0,0,SUMIFS(Quantitytable[NeededQuantity],Quantitytable[Dish],Quantitytable[[#This Row],[Dish]],Quantitytable[[Ingredient ]],Quantitytable[[#This Row],[Ingredient ]]))</f>
        <v>0</v>
      </c>
      <c r="F679" s="3">
        <f>SUMIFS(salestable[Quantity Sold],salestable[Item Name],Quantitytable[[#This Row],[Dish]])</f>
        <v>0</v>
      </c>
      <c r="G679" s="3">
        <f>'Quantity Table'!$E679*'Quantity Table'!$F679</f>
        <v>0</v>
      </c>
      <c r="H679" s="3">
        <f>_xlfn.IFNA(VLOOKUP(Quantitytable[[#This Row],[Ingredient ]],Shoppingtable[[Item Name]:[BALANCE Cash]],5,FALSE),0)*Quantitytable[[#This Row],[NeededQuantity]]</f>
        <v>1.6600000000000001</v>
      </c>
      <c r="I679" s="3">
        <f>SUMIF(Quantitytable[Dish],Quantitytable[[#This Row],[Dish]],Quantitytable[Cost Per Dish Per Item])</f>
        <v>16.024073809080353</v>
      </c>
      <c r="J679" s="18" t="s">
        <v>502</v>
      </c>
    </row>
    <row r="680" spans="2:10" x14ac:dyDescent="0.25">
      <c r="B680" s="13" t="s">
        <v>156</v>
      </c>
      <c r="C680" s="13" t="s">
        <v>104</v>
      </c>
      <c r="D680" s="13">
        <v>50</v>
      </c>
      <c r="E680" s="3">
        <f>IF(Quantitytable[[#This Row],[Units]]=0,0,SUMIFS(Quantitytable[NeededQuantity],Quantitytable[Dish],Quantitytable[[#This Row],[Dish]],Quantitytable[[Ingredient ]],Quantitytable[[#This Row],[Ingredient ]]))</f>
        <v>0</v>
      </c>
      <c r="F680" s="3">
        <f>SUMIFS(salestable[Quantity Sold],salestable[Item Name],Quantitytable[[#This Row],[Dish]])</f>
        <v>0</v>
      </c>
      <c r="G680" s="3">
        <f>'Quantity Table'!$E680*'Quantity Table'!$F680</f>
        <v>0</v>
      </c>
      <c r="H680" s="3">
        <f>_xlfn.IFNA(VLOOKUP(Quantitytable[[#This Row],[Ingredient ]],Shoppingtable[[Item Name]:[BALANCE Cash]],5,FALSE),0)*Quantitytable[[#This Row],[NeededQuantity]]</f>
        <v>1.5</v>
      </c>
      <c r="I680" s="3">
        <f>SUMIF(Quantitytable[Dish],Quantitytable[[#This Row],[Dish]],Quantitytable[Cost Per Dish Per Item])</f>
        <v>16.024073809080353</v>
      </c>
      <c r="J680" s="18" t="s">
        <v>502</v>
      </c>
    </row>
    <row r="681" spans="2:10" x14ac:dyDescent="0.25">
      <c r="B681" s="13" t="s">
        <v>628</v>
      </c>
      <c r="C681" s="13" t="s">
        <v>104</v>
      </c>
      <c r="D681" s="13">
        <v>80</v>
      </c>
      <c r="E681" s="3">
        <f>IF(Quantitytable[[#This Row],[Units]]=0,0,SUMIFS(Quantitytable[NeededQuantity],Quantitytable[Dish],Quantitytable[[#This Row],[Dish]],Quantitytable[[Ingredient ]],Quantitytable[[#This Row],[Ingredient ]]))</f>
        <v>0</v>
      </c>
      <c r="F681" s="3">
        <f>SUMIFS(salestable[Quantity Sold],salestable[Item Name],Quantitytable[[#This Row],[Dish]])</f>
        <v>0</v>
      </c>
      <c r="G681" s="3">
        <f>'Quantity Table'!$E681*'Quantity Table'!$F681</f>
        <v>0</v>
      </c>
      <c r="H681" s="3">
        <f>_xlfn.IFNA(VLOOKUP(Quantitytable[[#This Row],[Ingredient ]],Shoppingtable[[Item Name]:[BALANCE Cash]],5,FALSE),0)*Quantitytable[[#This Row],[NeededQuantity]]</f>
        <v>2.4</v>
      </c>
      <c r="I681" s="3">
        <f>SUMIF(Quantitytable[Dish],Quantitytable[[#This Row],[Dish]],Quantitytable[Cost Per Dish Per Item])</f>
        <v>44.198321678321676</v>
      </c>
      <c r="J681" s="18" t="s">
        <v>502</v>
      </c>
    </row>
    <row r="682" spans="2:10" x14ac:dyDescent="0.25">
      <c r="B682" s="13" t="s">
        <v>628</v>
      </c>
      <c r="C682" s="13" t="s">
        <v>44</v>
      </c>
      <c r="D682" s="13">
        <v>140</v>
      </c>
      <c r="E682" s="3">
        <f>IF(Quantitytable[[#This Row],[Units]]=0,0,SUMIFS(Quantitytable[NeededQuantity],Quantitytable[Dish],Quantitytable[[#This Row],[Dish]],Quantitytable[[Ingredient ]],Quantitytable[[#This Row],[Ingredient ]]))</f>
        <v>0</v>
      </c>
      <c r="F682" s="3">
        <f>SUMIFS(salestable[Quantity Sold],salestable[Item Name],Quantitytable[[#This Row],[Dish]])</f>
        <v>0</v>
      </c>
      <c r="G682" s="3">
        <f>'Quantity Table'!$E682*'Quantity Table'!$F682</f>
        <v>0</v>
      </c>
      <c r="H682" s="3">
        <f>_xlfn.IFNA(VLOOKUP(Quantitytable[[#This Row],[Ingredient ]],Shoppingtable[[Item Name]:[BALANCE Cash]],5,FALSE),0)*Quantitytable[[#This Row],[NeededQuantity]]</f>
        <v>4</v>
      </c>
      <c r="I682" s="3">
        <f>SUMIF(Quantitytable[Dish],Quantitytable[[#This Row],[Dish]],Quantitytable[Cost Per Dish Per Item])</f>
        <v>44.198321678321676</v>
      </c>
      <c r="J682" s="18" t="s">
        <v>502</v>
      </c>
    </row>
    <row r="683" spans="2:10" x14ac:dyDescent="0.25">
      <c r="B683" s="13" t="s">
        <v>628</v>
      </c>
      <c r="C683" s="13" t="s">
        <v>75</v>
      </c>
      <c r="D683" s="13">
        <v>35</v>
      </c>
      <c r="E683" s="3">
        <f>IF(Quantitytable[[#This Row],[Units]]=0,0,SUMIFS(Quantitytable[NeededQuantity],Quantitytable[Dish],Quantitytable[[#This Row],[Dish]],Quantitytable[[Ingredient ]],Quantitytable[[#This Row],[Ingredient ]]))</f>
        <v>0</v>
      </c>
      <c r="F683" s="3">
        <f>SUMIFS(salestable[Quantity Sold],salestable[Item Name],Quantitytable[[#This Row],[Dish]])</f>
        <v>0</v>
      </c>
      <c r="G683" s="3">
        <f>'Quantity Table'!$E683*'Quantity Table'!$F683</f>
        <v>0</v>
      </c>
      <c r="H683" s="3">
        <f>_xlfn.IFNA(VLOOKUP(Quantitytable[[#This Row],[Ingredient ]],Shoppingtable[[Item Name]:[BALANCE Cash]],5,FALSE),0)*Quantitytable[[#This Row],[NeededQuantity]]</f>
        <v>5.1099999999999994</v>
      </c>
      <c r="I683" s="3">
        <f>SUMIF(Quantitytable[Dish],Quantitytable[[#This Row],[Dish]],Quantitytable[Cost Per Dish Per Item])</f>
        <v>44.198321678321676</v>
      </c>
      <c r="J683" s="18" t="s">
        <v>502</v>
      </c>
    </row>
    <row r="684" spans="2:10" x14ac:dyDescent="0.25">
      <c r="B684" s="13" t="s">
        <v>628</v>
      </c>
      <c r="C684" s="13" t="s">
        <v>576</v>
      </c>
      <c r="D684" s="13">
        <v>50</v>
      </c>
      <c r="E684" s="3">
        <f>IF(Quantitytable[[#This Row],[Units]]=0,0,SUMIFS(Quantitytable[NeededQuantity],Quantitytable[Dish],Quantitytable[[#This Row],[Dish]],Quantitytable[[Ingredient ]],Quantitytable[[#This Row],[Ingredient ]]))</f>
        <v>0</v>
      </c>
      <c r="F684" s="3">
        <f>SUMIFS(salestable[Quantity Sold],salestable[Item Name],Quantitytable[[#This Row],[Dish]])</f>
        <v>0</v>
      </c>
      <c r="G684" s="3">
        <f>'Quantity Table'!$E684*'Quantity Table'!$F684</f>
        <v>0</v>
      </c>
      <c r="H684" s="3">
        <f>_xlfn.IFNA(VLOOKUP(Quantitytable[[#This Row],[Ingredient ]],Shoppingtable[[Item Name]:[BALANCE Cash]],5,FALSE),0)*Quantitytable[[#This Row],[NeededQuantity]]</f>
        <v>2.9166666666666665</v>
      </c>
      <c r="I684" s="3">
        <f>SUMIF(Quantitytable[Dish],Quantitytable[[#This Row],[Dish]],Quantitytable[Cost Per Dish Per Item])</f>
        <v>44.198321678321676</v>
      </c>
      <c r="J684" s="18" t="s">
        <v>502</v>
      </c>
    </row>
    <row r="685" spans="2:10" x14ac:dyDescent="0.25">
      <c r="B685" s="13" t="s">
        <v>628</v>
      </c>
      <c r="C685" s="13" t="s">
        <v>577</v>
      </c>
      <c r="D685" s="13">
        <v>50</v>
      </c>
      <c r="E685" s="3">
        <f>IF(Quantitytable[[#This Row],[Units]]=0,0,SUMIFS(Quantitytable[NeededQuantity],Quantitytable[Dish],Quantitytable[[#This Row],[Dish]],Quantitytable[[Ingredient ]],Quantitytable[[#This Row],[Ingredient ]]))</f>
        <v>0</v>
      </c>
      <c r="F685" s="3">
        <f>SUMIFS(salestable[Quantity Sold],salestable[Item Name],Quantitytable[[#This Row],[Dish]])</f>
        <v>0</v>
      </c>
      <c r="G685" s="3">
        <f>'Quantity Table'!$E685*'Quantity Table'!$F685</f>
        <v>0</v>
      </c>
      <c r="H685" s="3">
        <f>_xlfn.IFNA(VLOOKUP(Quantitytable[[#This Row],[Ingredient ]],Shoppingtable[[Item Name]:[BALANCE Cash]],5,FALSE),0)*Quantitytable[[#This Row],[NeededQuantity]]</f>
        <v>2.8846153846153846</v>
      </c>
      <c r="I685" s="3">
        <f>SUMIF(Quantitytable[Dish],Quantitytable[[#This Row],[Dish]],Quantitytable[Cost Per Dish Per Item])</f>
        <v>44.198321678321676</v>
      </c>
      <c r="J685" s="18" t="s">
        <v>502</v>
      </c>
    </row>
    <row r="686" spans="2:10" x14ac:dyDescent="0.25">
      <c r="B686" s="13" t="s">
        <v>628</v>
      </c>
      <c r="C686" s="13" t="s">
        <v>98</v>
      </c>
      <c r="D686" s="13">
        <v>80</v>
      </c>
      <c r="E686" s="3">
        <f>IF(Quantitytable[[#This Row],[Units]]=0,0,SUMIFS(Quantitytable[NeededQuantity],Quantitytable[Dish],Quantitytable[[#This Row],[Dish]],Quantitytable[[Ingredient ]],Quantitytable[[#This Row],[Ingredient ]]))</f>
        <v>0</v>
      </c>
      <c r="F686" s="3">
        <f>SUMIFS(salestable[Quantity Sold],salestable[Item Name],Quantitytable[[#This Row],[Dish]])</f>
        <v>0</v>
      </c>
      <c r="G686" s="3">
        <f>'Quantity Table'!$E686*'Quantity Table'!$F686</f>
        <v>0</v>
      </c>
      <c r="H686" s="3">
        <f>_xlfn.IFNA(VLOOKUP(Quantitytable[[#This Row],[Ingredient ]],Shoppingtable[[Item Name]:[BALANCE Cash]],5,FALSE),0)*Quantitytable[[#This Row],[NeededQuantity]]</f>
        <v>4.3333333333333339</v>
      </c>
      <c r="I686" s="3">
        <f>SUMIF(Quantitytable[Dish],Quantitytable[[#This Row],[Dish]],Quantitytable[Cost Per Dish Per Item])</f>
        <v>44.198321678321676</v>
      </c>
      <c r="J686" s="18" t="s">
        <v>502</v>
      </c>
    </row>
    <row r="687" spans="2:10" x14ac:dyDescent="0.25">
      <c r="B687" s="13" t="s">
        <v>628</v>
      </c>
      <c r="C687" s="13" t="s">
        <v>419</v>
      </c>
      <c r="D687" s="13">
        <v>4</v>
      </c>
      <c r="E687" s="3">
        <f>IF(Quantitytable[[#This Row],[Units]]=0,0,SUMIFS(Quantitytable[NeededQuantity],Quantitytable[Dish],Quantitytable[[#This Row],[Dish]],Quantitytable[[Ingredient ]],Quantitytable[[#This Row],[Ingredient ]]))</f>
        <v>0</v>
      </c>
      <c r="F687" s="3">
        <f>SUMIFS(salestable[Quantity Sold],salestable[Item Name],Quantitytable[[#This Row],[Dish]])</f>
        <v>0</v>
      </c>
      <c r="G687" s="3">
        <f>'Quantity Table'!$E687*'Quantity Table'!$F687</f>
        <v>0</v>
      </c>
      <c r="H687" s="3">
        <f>_xlfn.IFNA(VLOOKUP(Quantitytable[[#This Row],[Ingredient ]],Shoppingtable[[Item Name]:[BALANCE Cash]],5,FALSE),0)*Quantitytable[[#This Row],[NeededQuantity]]</f>
        <v>0.45454545454545453</v>
      </c>
      <c r="I687" s="3">
        <f>SUMIF(Quantitytable[Dish],Quantitytable[[#This Row],[Dish]],Quantitytable[Cost Per Dish Per Item])</f>
        <v>44.198321678321676</v>
      </c>
      <c r="J687" s="18" t="s">
        <v>502</v>
      </c>
    </row>
    <row r="688" spans="2:10" x14ac:dyDescent="0.25">
      <c r="B688" s="13" t="s">
        <v>628</v>
      </c>
      <c r="C688" s="13" t="s">
        <v>104</v>
      </c>
      <c r="D688" s="13">
        <v>80</v>
      </c>
      <c r="E688" s="3">
        <f>IF(Quantitytable[[#This Row],[Units]]=0,0,SUMIFS(Quantitytable[NeededQuantity],Quantitytable[Dish],Quantitytable[[#This Row],[Dish]],Quantitytable[[Ingredient ]],Quantitytable[[#This Row],[Ingredient ]]))</f>
        <v>0</v>
      </c>
      <c r="F688" s="3">
        <f>SUMIFS(salestable[Quantity Sold],salestable[Item Name],Quantitytable[[#This Row],[Dish]])</f>
        <v>0</v>
      </c>
      <c r="G688" s="3">
        <f>'Quantity Table'!$E688*'Quantity Table'!$F688</f>
        <v>0</v>
      </c>
      <c r="H688" s="3">
        <f>_xlfn.IFNA(VLOOKUP(Quantitytable[[#This Row],[Ingredient ]],Shoppingtable[[Item Name]:[BALANCE Cash]],5,FALSE),0)*Quantitytable[[#This Row],[NeededQuantity]]</f>
        <v>2.4</v>
      </c>
      <c r="I688" s="3">
        <f>SUMIF(Quantitytable[Dish],Quantitytable[[#This Row],[Dish]],Quantitytable[Cost Per Dish Per Item])</f>
        <v>44.198321678321676</v>
      </c>
      <c r="J688" s="18" t="s">
        <v>502</v>
      </c>
    </row>
    <row r="689" spans="2:10" x14ac:dyDescent="0.25">
      <c r="B689" s="13" t="s">
        <v>628</v>
      </c>
      <c r="C689" s="13" t="s">
        <v>44</v>
      </c>
      <c r="D689" s="13">
        <v>140</v>
      </c>
      <c r="E689" s="3">
        <f>IF(Quantitytable[[#This Row],[Units]]=0,0,SUMIFS(Quantitytable[NeededQuantity],Quantitytable[Dish],Quantitytable[[#This Row],[Dish]],Quantitytable[[Ingredient ]],Quantitytable[[#This Row],[Ingredient ]]))</f>
        <v>0</v>
      </c>
      <c r="F689" s="3">
        <f>SUMIFS(salestable[Quantity Sold],salestable[Item Name],Quantitytable[[#This Row],[Dish]])</f>
        <v>0</v>
      </c>
      <c r="G689" s="3">
        <f>'Quantity Table'!$E689*'Quantity Table'!$F689</f>
        <v>0</v>
      </c>
      <c r="H689" s="3">
        <f>_xlfn.IFNA(VLOOKUP(Quantitytable[[#This Row],[Ingredient ]],Shoppingtable[[Item Name]:[BALANCE Cash]],5,FALSE),0)*Quantitytable[[#This Row],[NeededQuantity]]</f>
        <v>4</v>
      </c>
      <c r="I689" s="3">
        <f>SUMIF(Quantitytable[Dish],Quantitytable[[#This Row],[Dish]],Quantitytable[Cost Per Dish Per Item])</f>
        <v>44.198321678321676</v>
      </c>
      <c r="J689" s="18" t="s">
        <v>502</v>
      </c>
    </row>
    <row r="690" spans="2:10" x14ac:dyDescent="0.25">
      <c r="B690" s="13" t="s">
        <v>628</v>
      </c>
      <c r="C690" s="13" t="s">
        <v>75</v>
      </c>
      <c r="D690" s="13">
        <v>35</v>
      </c>
      <c r="E690" s="3">
        <f>IF(Quantitytable[[#This Row],[Units]]=0,0,SUMIFS(Quantitytable[NeededQuantity],Quantitytable[Dish],Quantitytable[[#This Row],[Dish]],Quantitytable[[Ingredient ]],Quantitytable[[#This Row],[Ingredient ]]))</f>
        <v>0</v>
      </c>
      <c r="F690" s="3">
        <f>SUMIFS(salestable[Quantity Sold],salestable[Item Name],Quantitytable[[#This Row],[Dish]])</f>
        <v>0</v>
      </c>
      <c r="G690" s="3">
        <f>'Quantity Table'!$E690*'Quantity Table'!$F690</f>
        <v>0</v>
      </c>
      <c r="H690" s="3">
        <f>_xlfn.IFNA(VLOOKUP(Quantitytable[[#This Row],[Ingredient ]],Shoppingtable[[Item Name]:[BALANCE Cash]],5,FALSE),0)*Quantitytable[[#This Row],[NeededQuantity]]</f>
        <v>5.1099999999999994</v>
      </c>
      <c r="I690" s="3">
        <f>SUMIF(Quantitytable[Dish],Quantitytable[[#This Row],[Dish]],Quantitytable[Cost Per Dish Per Item])</f>
        <v>44.198321678321676</v>
      </c>
      <c r="J690" s="18" t="s">
        <v>502</v>
      </c>
    </row>
    <row r="691" spans="2:10" x14ac:dyDescent="0.25">
      <c r="B691" s="13" t="s">
        <v>628</v>
      </c>
      <c r="C691" s="13" t="s">
        <v>576</v>
      </c>
      <c r="D691" s="13">
        <v>50</v>
      </c>
      <c r="E691" s="3">
        <f>IF(Quantitytable[[#This Row],[Units]]=0,0,SUMIFS(Quantitytable[NeededQuantity],Quantitytable[Dish],Quantitytable[[#This Row],[Dish]],Quantitytable[[Ingredient ]],Quantitytable[[#This Row],[Ingredient ]]))</f>
        <v>0</v>
      </c>
      <c r="F691" s="3">
        <f>SUMIFS(salestable[Quantity Sold],salestable[Item Name],Quantitytable[[#This Row],[Dish]])</f>
        <v>0</v>
      </c>
      <c r="G691" s="3">
        <f>'Quantity Table'!$E691*'Quantity Table'!$F691</f>
        <v>0</v>
      </c>
      <c r="H691" s="3">
        <f>_xlfn.IFNA(VLOOKUP(Quantitytable[[#This Row],[Ingredient ]],Shoppingtable[[Item Name]:[BALANCE Cash]],5,FALSE),0)*Quantitytable[[#This Row],[NeededQuantity]]</f>
        <v>2.9166666666666665</v>
      </c>
      <c r="I691" s="3">
        <f>SUMIF(Quantitytable[Dish],Quantitytable[[#This Row],[Dish]],Quantitytable[Cost Per Dish Per Item])</f>
        <v>44.198321678321676</v>
      </c>
      <c r="J691" s="18" t="s">
        <v>502</v>
      </c>
    </row>
    <row r="692" spans="2:10" x14ac:dyDescent="0.25">
      <c r="B692" s="13" t="s">
        <v>628</v>
      </c>
      <c r="C692" s="13" t="s">
        <v>577</v>
      </c>
      <c r="D692" s="13">
        <v>50</v>
      </c>
      <c r="E692" s="3">
        <f>IF(Quantitytable[[#This Row],[Units]]=0,0,SUMIFS(Quantitytable[NeededQuantity],Quantitytable[Dish],Quantitytable[[#This Row],[Dish]],Quantitytable[[Ingredient ]],Quantitytable[[#This Row],[Ingredient ]]))</f>
        <v>0</v>
      </c>
      <c r="F692" s="3">
        <f>SUMIFS(salestable[Quantity Sold],salestable[Item Name],Quantitytable[[#This Row],[Dish]])</f>
        <v>0</v>
      </c>
      <c r="G692" s="3">
        <f>'Quantity Table'!$E692*'Quantity Table'!$F692</f>
        <v>0</v>
      </c>
      <c r="H692" s="3">
        <f>_xlfn.IFNA(VLOOKUP(Quantitytable[[#This Row],[Ingredient ]],Shoppingtable[[Item Name]:[BALANCE Cash]],5,FALSE),0)*Quantitytable[[#This Row],[NeededQuantity]]</f>
        <v>2.8846153846153846</v>
      </c>
      <c r="I692" s="3">
        <f>SUMIF(Quantitytable[Dish],Quantitytable[[#This Row],[Dish]],Quantitytable[Cost Per Dish Per Item])</f>
        <v>44.198321678321676</v>
      </c>
      <c r="J692" s="18" t="s">
        <v>502</v>
      </c>
    </row>
    <row r="693" spans="2:10" x14ac:dyDescent="0.25">
      <c r="B693" s="13" t="s">
        <v>628</v>
      </c>
      <c r="C693" s="13" t="s">
        <v>98</v>
      </c>
      <c r="D693" s="13">
        <v>80</v>
      </c>
      <c r="E693" s="3">
        <f>IF(Quantitytable[[#This Row],[Units]]=0,0,SUMIFS(Quantitytable[NeededQuantity],Quantitytable[Dish],Quantitytable[[#This Row],[Dish]],Quantitytable[[Ingredient ]],Quantitytable[[#This Row],[Ingredient ]]))</f>
        <v>0</v>
      </c>
      <c r="F693" s="3">
        <f>SUMIFS(salestable[Quantity Sold],salestable[Item Name],Quantitytable[[#This Row],[Dish]])</f>
        <v>0</v>
      </c>
      <c r="G693" s="3">
        <f>'Quantity Table'!$E693*'Quantity Table'!$F693</f>
        <v>0</v>
      </c>
      <c r="H693" s="3">
        <f>_xlfn.IFNA(VLOOKUP(Quantitytable[[#This Row],[Ingredient ]],Shoppingtable[[Item Name]:[BALANCE Cash]],5,FALSE),0)*Quantitytable[[#This Row],[NeededQuantity]]</f>
        <v>4.3333333333333339</v>
      </c>
      <c r="I693" s="3">
        <f>SUMIF(Quantitytable[Dish],Quantitytable[[#This Row],[Dish]],Quantitytable[Cost Per Dish Per Item])</f>
        <v>44.198321678321676</v>
      </c>
      <c r="J693" s="18" t="s">
        <v>502</v>
      </c>
    </row>
    <row r="694" spans="2:10" x14ac:dyDescent="0.25">
      <c r="B694" s="13" t="s">
        <v>628</v>
      </c>
      <c r="C694" s="13" t="s">
        <v>419</v>
      </c>
      <c r="D694" s="13">
        <v>4</v>
      </c>
      <c r="E694" s="3">
        <f>IF(Quantitytable[[#This Row],[Units]]=0,0,SUMIFS(Quantitytable[NeededQuantity],Quantitytable[Dish],Quantitytable[[#This Row],[Dish]],Quantitytable[[Ingredient ]],Quantitytable[[#This Row],[Ingredient ]]))</f>
        <v>0</v>
      </c>
      <c r="F694" s="3">
        <f>SUMIFS(salestable[Quantity Sold],salestable[Item Name],Quantitytable[[#This Row],[Dish]])</f>
        <v>0</v>
      </c>
      <c r="G694" s="3">
        <f>'Quantity Table'!$E694*'Quantity Table'!$F694</f>
        <v>0</v>
      </c>
      <c r="H694" s="3">
        <f>_xlfn.IFNA(VLOOKUP(Quantitytable[[#This Row],[Ingredient ]],Shoppingtable[[Item Name]:[BALANCE Cash]],5,FALSE),0)*Quantitytable[[#This Row],[NeededQuantity]]</f>
        <v>0.45454545454545453</v>
      </c>
      <c r="I694" s="3">
        <f>SUMIF(Quantitytable[Dish],Quantitytable[[#This Row],[Dish]],Quantitytable[Cost Per Dish Per Item])</f>
        <v>44.198321678321676</v>
      </c>
      <c r="J694" s="18" t="s">
        <v>502</v>
      </c>
    </row>
  </sheetData>
  <phoneticPr fontId="4" type="noConversion"/>
  <conditionalFormatting sqref="B264">
    <cfRule type="duplicateValues" dxfId="7" priority="3"/>
  </conditionalFormatting>
  <conditionalFormatting sqref="J7:J694">
    <cfRule type="containsText" dxfId="6" priority="4" operator="containsText" text="Non-Live">
      <formula>NOT(ISERROR(SEARCH("Non-Live",J7)))</formula>
    </cfRule>
  </conditionalFormatting>
  <dataValidations count="1">
    <dataValidation type="list" allowBlank="1" showInputMessage="1" showErrorMessage="1" sqref="J7:J694" xr:uid="{FB519CA6-0F53-4247-A209-756CBD56D6DA}">
      <formula1>"Live,Non-Live"</formula1>
    </dataValidation>
  </dataValidations>
  <pageMargins left="0.7" right="0.7" top="0.75" bottom="0.75" header="0.3" footer="0.3"/>
  <pageSetup orientation="portrait" r:id="rId2"/>
  <tableParts count="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085542A8-F6CA-4004-B354-6443F804A1B4}">
          <x14:formula1>
            <xm:f>Inventory!$B$7:$B$195</xm:f>
          </x14:formula1>
          <xm:sqref>C7:C174 C176:C694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BB6C-F055-430E-BF75-660DE78D2838}">
  <dimension ref="A1:I431"/>
  <sheetViews>
    <sheetView workbookViewId="0">
      <selection activeCell="A343" sqref="A343"/>
    </sheetView>
  </sheetViews>
  <sheetFormatPr defaultRowHeight="15" x14ac:dyDescent="0.25"/>
  <cols>
    <col min="1" max="1" width="41" customWidth="1"/>
    <col min="2" max="2" width="33.140625" customWidth="1"/>
  </cols>
  <sheetData>
    <row r="1" spans="1:9" x14ac:dyDescent="0.25">
      <c r="A1" s="28" t="s">
        <v>212</v>
      </c>
      <c r="B1" s="29" t="s">
        <v>25</v>
      </c>
      <c r="C1" s="29"/>
      <c r="D1" s="29" t="e">
        <f>IF(Quantitytable[[#This Row],[Units]]=0,0,SUMIFS(Quantitytable[NeededQuantity],Quantitytable[Dish],Quantitytable[[#This Row],[Dish]],Quantitytable[[Ingredient ]],Quantitytable[[#This Row],[Ingredient ]]))</f>
        <v>#VALUE!</v>
      </c>
      <c r="E1" s="29">
        <f>SUMIFS(salestable[Quantity Sold],salestable[Item Name],Quantitytable[[#This Row],[Dish]])</f>
        <v>0</v>
      </c>
      <c r="F1" s="29">
        <f>'Quantity Table'!$E359*'Quantity Table'!$F359</f>
        <v>0</v>
      </c>
      <c r="G1" s="29" t="e">
        <f>_xlfn.IFNA(VLOOKUP(Quantitytable[[#This Row],[Ingredient ]],Shoppingtable[[Item Name]:[BALANCE Cash]],5,FALSE),0)*Quantitytable[[#This Row],[NeededQuantity]]</f>
        <v>#VALUE!</v>
      </c>
      <c r="H1" s="29">
        <f>SUMIF(Quantitytable[Dish],Quantitytable[[#This Row],[Dish]],Quantitytable[Cost Per Dish Per Item])</f>
        <v>0</v>
      </c>
      <c r="I1" s="30" t="s">
        <v>501</v>
      </c>
    </row>
    <row r="2" spans="1:9" x14ac:dyDescent="0.25">
      <c r="A2" s="28" t="s">
        <v>319</v>
      </c>
      <c r="B2" s="29" t="s">
        <v>40</v>
      </c>
      <c r="C2" s="29"/>
      <c r="D2" s="29" t="e">
        <f>IF(Quantitytable[[#This Row],[Units]]=0,0,SUMIFS(Quantitytable[NeededQuantity],Quantitytable[Dish],Quantitytable[[#This Row],[Dish]],Quantitytable[[Ingredient ]],Quantitytable[[#This Row],[Ingredient ]]))</f>
        <v>#VALUE!</v>
      </c>
      <c r="E2" s="29">
        <f>SUMIFS(salestable[Quantity Sold],salestable[Item Name],Quantitytable[[#This Row],[Dish]])</f>
        <v>0</v>
      </c>
      <c r="F2" s="29">
        <f>'Quantity Table'!$E360*'Quantity Table'!$F360</f>
        <v>0</v>
      </c>
      <c r="G2" s="29" t="e">
        <f>_xlfn.IFNA(VLOOKUP(Quantitytable[[#This Row],[Ingredient ]],Shoppingtable[[Item Name]:[BALANCE Cash]],5,FALSE),0)*Quantitytable[[#This Row],[NeededQuantity]]</f>
        <v>#VALUE!</v>
      </c>
      <c r="H2" s="29">
        <f>SUMIF(Quantitytable[Dish],Quantitytable[[#This Row],[Dish]],Quantitytable[Cost Per Dish Per Item])</f>
        <v>0</v>
      </c>
      <c r="I2" s="30" t="s">
        <v>501</v>
      </c>
    </row>
    <row r="3" spans="1:9" x14ac:dyDescent="0.25">
      <c r="A3" s="28" t="s">
        <v>319</v>
      </c>
      <c r="B3" s="29" t="s">
        <v>25</v>
      </c>
      <c r="C3" s="29"/>
      <c r="D3" s="29" t="e">
        <f>IF(Quantitytable[[#This Row],[Units]]=0,0,SUMIFS(Quantitytable[NeededQuantity],Quantitytable[Dish],Quantitytable[[#This Row],[Dish]],Quantitytable[[Ingredient ]],Quantitytable[[#This Row],[Ingredient ]]))</f>
        <v>#VALUE!</v>
      </c>
      <c r="E3" s="29">
        <f>SUMIFS(salestable[Quantity Sold],salestable[Item Name],Quantitytable[[#This Row],[Dish]])</f>
        <v>0</v>
      </c>
      <c r="F3" s="29">
        <f>'Quantity Table'!$E361*'Quantity Table'!$F361</f>
        <v>0</v>
      </c>
      <c r="G3" s="29" t="e">
        <f>_xlfn.IFNA(VLOOKUP(Quantitytable[[#This Row],[Ingredient ]],Shoppingtable[[Item Name]:[BALANCE Cash]],5,FALSE),0)*Quantitytable[[#This Row],[NeededQuantity]]</f>
        <v>#VALUE!</v>
      </c>
      <c r="H3" s="29">
        <f>SUMIF(Quantitytable[Dish],Quantitytable[[#This Row],[Dish]],Quantitytable[Cost Per Dish Per Item])</f>
        <v>0</v>
      </c>
      <c r="I3" s="30" t="s">
        <v>501</v>
      </c>
    </row>
    <row r="4" spans="1:9" x14ac:dyDescent="0.25">
      <c r="A4" s="28" t="s">
        <v>319</v>
      </c>
      <c r="B4" s="29" t="s">
        <v>111</v>
      </c>
      <c r="C4" s="29"/>
      <c r="D4" s="29" t="e">
        <f>IF(Quantitytable[[#This Row],[Units]]=0,0,SUMIFS(Quantitytable[NeededQuantity],Quantitytable[Dish],Quantitytable[[#This Row],[Dish]],Quantitytable[[Ingredient ]],Quantitytable[[#This Row],[Ingredient ]]))</f>
        <v>#VALUE!</v>
      </c>
      <c r="E4" s="29">
        <f>SUMIFS(salestable[Quantity Sold],salestable[Item Name],Quantitytable[[#This Row],[Dish]])</f>
        <v>0</v>
      </c>
      <c r="F4" s="29">
        <f>'Quantity Table'!$E362*'Quantity Table'!$F362</f>
        <v>0</v>
      </c>
      <c r="G4" s="29" t="e">
        <f>_xlfn.IFNA(VLOOKUP(Quantitytable[[#This Row],[Ingredient ]],Shoppingtable[[Item Name]:[BALANCE Cash]],5,FALSE),0)*Quantitytable[[#This Row],[NeededQuantity]]</f>
        <v>#VALUE!</v>
      </c>
      <c r="H4" s="29">
        <f>SUMIF(Quantitytable[Dish],Quantitytable[[#This Row],[Dish]],Quantitytable[Cost Per Dish Per Item])</f>
        <v>0</v>
      </c>
      <c r="I4" s="30" t="s">
        <v>501</v>
      </c>
    </row>
    <row r="5" spans="1:9" x14ac:dyDescent="0.25">
      <c r="A5" s="28" t="s">
        <v>321</v>
      </c>
      <c r="B5" s="29" t="s">
        <v>40</v>
      </c>
      <c r="C5" s="29"/>
      <c r="D5" s="29" t="e">
        <f>IF(Quantitytable[[#This Row],[Units]]=0,0,SUMIFS(Quantitytable[NeededQuantity],Quantitytable[Dish],Quantitytable[[#This Row],[Dish]],Quantitytable[[Ingredient ]],Quantitytable[[#This Row],[Ingredient ]]))</f>
        <v>#VALUE!</v>
      </c>
      <c r="E5" s="29">
        <f>SUMIFS(salestable[Quantity Sold],salestable[Item Name],Quantitytable[[#This Row],[Dish]])</f>
        <v>0</v>
      </c>
      <c r="F5" s="29">
        <f>'Quantity Table'!$E363*'Quantity Table'!$F363</f>
        <v>0</v>
      </c>
      <c r="G5" s="29" t="e">
        <f>_xlfn.IFNA(VLOOKUP(Quantitytable[[#This Row],[Ingredient ]],Shoppingtable[[Item Name]:[BALANCE Cash]],5,FALSE),0)*Quantitytable[[#This Row],[NeededQuantity]]</f>
        <v>#VALUE!</v>
      </c>
      <c r="H5" s="29">
        <f>SUMIF(Quantitytable[Dish],Quantitytable[[#This Row],[Dish]],Quantitytable[Cost Per Dish Per Item])</f>
        <v>0</v>
      </c>
      <c r="I5" s="30" t="s">
        <v>501</v>
      </c>
    </row>
    <row r="6" spans="1:9" x14ac:dyDescent="0.25">
      <c r="A6" s="28" t="s">
        <v>321</v>
      </c>
      <c r="B6" s="29" t="s">
        <v>25</v>
      </c>
      <c r="C6" s="29"/>
      <c r="D6" s="29" t="e">
        <f>IF(Quantitytable[[#This Row],[Units]]=0,0,SUMIFS(Quantitytable[NeededQuantity],Quantitytable[Dish],Quantitytable[[#This Row],[Dish]],Quantitytable[[Ingredient ]],Quantitytable[[#This Row],[Ingredient ]]))</f>
        <v>#VALUE!</v>
      </c>
      <c r="E6" s="29">
        <f>SUMIFS(salestable[Quantity Sold],salestable[Item Name],Quantitytable[[#This Row],[Dish]])</f>
        <v>0</v>
      </c>
      <c r="F6" s="29">
        <f>'Quantity Table'!$E364*'Quantity Table'!$F364</f>
        <v>0</v>
      </c>
      <c r="G6" s="29" t="e">
        <f>_xlfn.IFNA(VLOOKUP(Quantitytable[[#This Row],[Ingredient ]],Shoppingtable[[Item Name]:[BALANCE Cash]],5,FALSE),0)*Quantitytable[[#This Row],[NeededQuantity]]</f>
        <v>#VALUE!</v>
      </c>
      <c r="H6" s="29">
        <f>SUMIF(Quantitytable[Dish],Quantitytable[[#This Row],[Dish]],Quantitytable[Cost Per Dish Per Item])</f>
        <v>0</v>
      </c>
      <c r="I6" s="30" t="s">
        <v>501</v>
      </c>
    </row>
    <row r="7" spans="1:9" x14ac:dyDescent="0.25">
      <c r="A7" s="28" t="s">
        <v>260</v>
      </c>
      <c r="B7" s="29" t="s">
        <v>65</v>
      </c>
      <c r="C7" s="29"/>
      <c r="D7" s="29">
        <f>IF(Quantitytable[[#This Row],[Units]]=0,0,SUMIFS(Quantitytable[NeededQuantity],Quantitytable[Dish],Quantitytable[[#This Row],[Dish]],Quantitytable[[Ingredient ]],Quantitytable[[#This Row],[Ingredient ]]))</f>
        <v>0</v>
      </c>
      <c r="E7" s="29">
        <f>SUMIFS(salestable[Quantity Sold],salestable[Item Name],Quantitytable[[#This Row],[Dish]])</f>
        <v>0</v>
      </c>
      <c r="F7" s="29">
        <f>'Quantity Table'!$E365*'Quantity Table'!$F365</f>
        <v>0</v>
      </c>
      <c r="G7" s="29">
        <f>_xlfn.IFNA(VLOOKUP(Quantitytable[[#This Row],[Ingredient ]],Shoppingtable[[Item Name]:[BALANCE Cash]],5,FALSE),0)*Quantitytable[[#This Row],[NeededQuantity]]</f>
        <v>1.3139999999999998</v>
      </c>
      <c r="H7" s="29">
        <f>SUMIF(Quantitytable[Dish],Quantitytable[[#This Row],[Dish]],Quantitytable[Cost Per Dish Per Item])</f>
        <v>27.297516483516485</v>
      </c>
      <c r="I7" s="30" t="s">
        <v>501</v>
      </c>
    </row>
    <row r="8" spans="1:9" x14ac:dyDescent="0.25">
      <c r="A8" s="28" t="s">
        <v>260</v>
      </c>
      <c r="B8" s="29" t="s">
        <v>25</v>
      </c>
      <c r="C8" s="29"/>
      <c r="D8" s="29">
        <f>IF(Quantitytable[[#This Row],[Units]]=0,0,SUMIFS(Quantitytable[NeededQuantity],Quantitytable[Dish],Quantitytable[[#This Row],[Dish]],Quantitytable[[Ingredient ]],Quantitytable[[#This Row],[Ingredient ]]))</f>
        <v>0</v>
      </c>
      <c r="E8" s="29">
        <f>SUMIFS(salestable[Quantity Sold],salestable[Item Name],Quantitytable[[#This Row],[Dish]])</f>
        <v>0</v>
      </c>
      <c r="F8" s="29">
        <f>'Quantity Table'!$E366*'Quantity Table'!$F366</f>
        <v>0</v>
      </c>
      <c r="G8" s="29">
        <f>_xlfn.IFNA(VLOOKUP(Quantitytable[[#This Row],[Ingredient ]],Shoppingtable[[Item Name]:[BALANCE Cash]],5,FALSE),0)*Quantitytable[[#This Row],[NeededQuantity]]</f>
        <v>5.7692307692307692</v>
      </c>
      <c r="H8" s="29">
        <f>SUMIF(Quantitytable[Dish],Quantitytable[[#This Row],[Dish]],Quantitytable[Cost Per Dish Per Item])</f>
        <v>27.297516483516485</v>
      </c>
      <c r="I8" s="30" t="s">
        <v>501</v>
      </c>
    </row>
    <row r="9" spans="1:9" x14ac:dyDescent="0.25">
      <c r="A9" s="28" t="s">
        <v>222</v>
      </c>
      <c r="B9" s="29" t="s">
        <v>45</v>
      </c>
      <c r="C9" s="29"/>
      <c r="D9" s="29">
        <f>IF(Quantitytable[[#This Row],[Units]]=0,0,SUMIFS(Quantitytable[NeededQuantity],Quantitytable[Dish],Quantitytable[[#This Row],[Dish]],Quantitytable[[Ingredient ]],Quantitytable[[#This Row],[Ingredient ]]))</f>
        <v>0</v>
      </c>
      <c r="E9" s="29">
        <f>SUMIFS(salestable[Quantity Sold],salestable[Item Name],Quantitytable[[#This Row],[Dish]])</f>
        <v>0</v>
      </c>
      <c r="F9" s="29">
        <f>'Quantity Table'!$E372*'Quantity Table'!$F372</f>
        <v>0</v>
      </c>
      <c r="G9" s="29">
        <f>_xlfn.IFNA(VLOOKUP(Quantitytable[[#This Row],[Ingredient ]],Shoppingtable[[Item Name]:[BALANCE Cash]],5,FALSE),0)*Quantitytable[[#This Row],[NeededQuantity]]</f>
        <v>5.833333333333333</v>
      </c>
      <c r="H9" s="29">
        <f>SUMIF(Quantitytable[Dish],Quantitytable[[#This Row],[Dish]],Quantitytable[Cost Per Dish Per Item])</f>
        <v>27.297516483516485</v>
      </c>
      <c r="I9" s="30" t="s">
        <v>501</v>
      </c>
    </row>
    <row r="10" spans="1:9" x14ac:dyDescent="0.25">
      <c r="A10" s="28" t="s">
        <v>222</v>
      </c>
      <c r="B10" s="29" t="s">
        <v>93</v>
      </c>
      <c r="C10" s="29"/>
      <c r="D10" s="29">
        <f>IF(Quantitytable[[#This Row],[Units]]=0,0,SUMIFS(Quantitytable[NeededQuantity],Quantitytable[Dish],Quantitytable[[#This Row],[Dish]],Quantitytable[[Ingredient ]],Quantitytable[[#This Row],[Ingredient ]]))</f>
        <v>0</v>
      </c>
      <c r="E10" s="29">
        <f>SUMIFS(salestable[Quantity Sold],salestable[Item Name],Quantitytable[[#This Row],[Dish]])</f>
        <v>0</v>
      </c>
      <c r="F10" s="29">
        <f>'Quantity Table'!$E373*'Quantity Table'!$F373</f>
        <v>0</v>
      </c>
      <c r="G10" s="29">
        <f>_xlfn.IFNA(VLOOKUP(Quantitytable[[#This Row],[Ingredient ]],Shoppingtable[[Item Name]:[BALANCE Cash]],5,FALSE),0)*Quantitytable[[#This Row],[NeededQuantity]]</f>
        <v>8.6666666666666679</v>
      </c>
      <c r="H10" s="29">
        <f>SUMIF(Quantitytable[Dish],Quantitytable[[#This Row],[Dish]],Quantitytable[Cost Per Dish Per Item])</f>
        <v>27.297516483516485</v>
      </c>
      <c r="I10" s="30" t="s">
        <v>501</v>
      </c>
    </row>
    <row r="11" spans="1:9" x14ac:dyDescent="0.25">
      <c r="A11" s="28" t="s">
        <v>222</v>
      </c>
      <c r="B11" s="29" t="s">
        <v>25</v>
      </c>
      <c r="C11" s="29"/>
      <c r="D11" s="29">
        <f>IF(Quantitytable[[#This Row],[Units]]=0,0,SUMIFS(Quantitytable[NeededQuantity],Quantitytable[Dish],Quantitytable[[#This Row],[Dish]],Quantitytable[[Ingredient ]],Quantitytable[[#This Row],[Ingredient ]]))</f>
        <v>0</v>
      </c>
      <c r="E11" s="29">
        <f>SUMIFS(salestable[Quantity Sold],salestable[Item Name],Quantitytable[[#This Row],[Dish]])</f>
        <v>0</v>
      </c>
      <c r="F11" s="29">
        <f>'Quantity Table'!$E374*'Quantity Table'!$F374</f>
        <v>0</v>
      </c>
      <c r="G11" s="29">
        <f>_xlfn.IFNA(VLOOKUP(Quantitytable[[#This Row],[Ingredient ]],Shoppingtable[[Item Name]:[BALANCE Cash]],5,FALSE),0)*Quantitytable[[#This Row],[NeededQuantity]]</f>
        <v>5.7142857142857144</v>
      </c>
      <c r="H11" s="29">
        <f>SUMIF(Quantitytable[Dish],Quantitytable[[#This Row],[Dish]],Quantitytable[Cost Per Dish Per Item])</f>
        <v>27.297516483516485</v>
      </c>
      <c r="I11" s="30" t="s">
        <v>501</v>
      </c>
    </row>
    <row r="12" spans="1:9" x14ac:dyDescent="0.25">
      <c r="A12" s="28" t="s">
        <v>310</v>
      </c>
      <c r="B12" s="29" t="s">
        <v>45</v>
      </c>
      <c r="C12" s="29"/>
      <c r="D12" s="29">
        <f>IF(Quantitytable[[#This Row],[Units]]=0,0,SUMIFS(Quantitytable[NeededQuantity],Quantitytable[Dish],Quantitytable[[#This Row],[Dish]],Quantitytable[[Ingredient ]],Quantitytable[[#This Row],[Ingredient ]]))</f>
        <v>0</v>
      </c>
      <c r="E12" s="29">
        <f>SUMIFS(salestable[Quantity Sold],salestable[Item Name],Quantitytable[[#This Row],[Dish]])</f>
        <v>0</v>
      </c>
      <c r="F12" s="29">
        <f>'Quantity Table'!$E375*'Quantity Table'!$F375</f>
        <v>0</v>
      </c>
      <c r="G12" s="29">
        <f>_xlfn.IFNA(VLOOKUP(Quantitytable[[#This Row],[Ingredient ]],Shoppingtable[[Item Name]:[BALANCE Cash]],5,FALSE),0)*Quantitytable[[#This Row],[NeededQuantity]]</f>
        <v>22.08</v>
      </c>
      <c r="H12" s="29">
        <f>SUMIF(Quantitytable[Dish],Quantitytable[[#This Row],[Dish]],Quantitytable[Cost Per Dish Per Item])</f>
        <v>29.108285714285714</v>
      </c>
      <c r="I12" s="30" t="s">
        <v>501</v>
      </c>
    </row>
    <row r="13" spans="1:9" x14ac:dyDescent="0.25">
      <c r="A13" s="28" t="s">
        <v>310</v>
      </c>
      <c r="B13" s="29" t="s">
        <v>25</v>
      </c>
      <c r="C13" s="29"/>
      <c r="D13" s="29">
        <f>IF(Quantitytable[[#This Row],[Units]]=0,0,SUMIFS(Quantitytable[NeededQuantity],Quantitytable[Dish],Quantitytable[[#This Row],[Dish]],Quantitytable[[Ingredient ]],Quantitytable[[#This Row],[Ingredient ]]))</f>
        <v>0</v>
      </c>
      <c r="E13" s="29">
        <f>SUMIFS(salestable[Quantity Sold],salestable[Item Name],Quantitytable[[#This Row],[Dish]])</f>
        <v>0</v>
      </c>
      <c r="F13" s="29">
        <f>'Quantity Table'!$E376*'Quantity Table'!$F376</f>
        <v>0</v>
      </c>
      <c r="G13" s="29">
        <f>_xlfn.IFNA(VLOOKUP(Quantitytable[[#This Row],[Ingredient ]],Shoppingtable[[Item Name]:[BALANCE Cash]],5,FALSE),0)*Quantitytable[[#This Row],[NeededQuantity]]</f>
        <v>1.3139999999999998</v>
      </c>
      <c r="H13" s="29">
        <f>SUMIF(Quantitytable[Dish],Quantitytable[[#This Row],[Dish]],Quantitytable[Cost Per Dish Per Item])</f>
        <v>29.108285714285714</v>
      </c>
      <c r="I13" s="30" t="s">
        <v>501</v>
      </c>
    </row>
    <row r="14" spans="1:9" x14ac:dyDescent="0.25">
      <c r="A14" s="28" t="s">
        <v>314</v>
      </c>
      <c r="B14" s="29" t="s">
        <v>45</v>
      </c>
      <c r="C14" s="29"/>
      <c r="D14" s="29">
        <f>IF(Quantitytable[[#This Row],[Units]]=0,0,SUMIFS(Quantitytable[NeededQuantity],Quantitytable[Dish],Quantitytable[[#This Row],[Dish]],Quantitytable[[Ingredient ]],Quantitytable[[#This Row],[Ingredient ]]))</f>
        <v>0</v>
      </c>
      <c r="E14" s="29">
        <f>SUMIFS(salestable[Quantity Sold],salestable[Item Name],Quantitytable[[#This Row],[Dish]])</f>
        <v>0</v>
      </c>
      <c r="F14" s="29">
        <f>'Quantity Table'!$E377*'Quantity Table'!$F377</f>
        <v>0</v>
      </c>
      <c r="G14" s="29">
        <f>_xlfn.IFNA(VLOOKUP(Quantitytable[[#This Row],[Ingredient ]],Shoppingtable[[Item Name]:[BALANCE Cash]],5,FALSE),0)*Quantitytable[[#This Row],[NeededQuantity]]</f>
        <v>5.7142857142857144</v>
      </c>
      <c r="H14" s="29">
        <f>SUMIF(Quantitytable[Dish],Quantitytable[[#This Row],[Dish]],Quantitytable[Cost Per Dish Per Item])</f>
        <v>29.108285714285714</v>
      </c>
      <c r="I14" s="30" t="s">
        <v>501</v>
      </c>
    </row>
    <row r="15" spans="1:9" x14ac:dyDescent="0.25">
      <c r="A15" s="28" t="s">
        <v>314</v>
      </c>
      <c r="B15" s="29" t="s">
        <v>50</v>
      </c>
      <c r="C15" s="29"/>
      <c r="D15" s="29">
        <f>IF(Quantitytable[[#This Row],[Units]]=0,0,SUMIFS(Quantitytable[NeededQuantity],Quantitytable[Dish],Quantitytable[[#This Row],[Dish]],Quantitytable[[Ingredient ]],Quantitytable[[#This Row],[Ingredient ]]))</f>
        <v>0</v>
      </c>
      <c r="E15" s="29">
        <f>SUMIFS(salestable[Quantity Sold],salestable[Item Name],Quantitytable[[#This Row],[Dish]])</f>
        <v>0</v>
      </c>
      <c r="F15" s="29">
        <f>'Quantity Table'!$E378*'Quantity Table'!$F378</f>
        <v>0</v>
      </c>
      <c r="G15" s="29">
        <f>_xlfn.IFNA(VLOOKUP(Quantitytable[[#This Row],[Ingredient ]],Shoppingtable[[Item Name]:[BALANCE Cash]],5,FALSE),0)*Quantitytable[[#This Row],[NeededQuantity]]</f>
        <v>13.3125</v>
      </c>
      <c r="H15" s="29">
        <f>SUMIF(Quantitytable[Dish],Quantitytable[[#This Row],[Dish]],Quantitytable[Cost Per Dish Per Item])</f>
        <v>20.340785714285715</v>
      </c>
      <c r="I15" s="30" t="s">
        <v>501</v>
      </c>
    </row>
    <row r="16" spans="1:9" x14ac:dyDescent="0.25">
      <c r="A16" s="28" t="s">
        <v>314</v>
      </c>
      <c r="B16" s="29" t="s">
        <v>25</v>
      </c>
      <c r="C16" s="29"/>
      <c r="D16" s="29">
        <f>IF(Quantitytable[[#This Row],[Units]]=0,0,SUMIFS(Quantitytable[NeededQuantity],Quantitytable[Dish],Quantitytable[[#This Row],[Dish]],Quantitytable[[Ingredient ]],Quantitytable[[#This Row],[Ingredient ]]))</f>
        <v>0</v>
      </c>
      <c r="E16" s="29">
        <f>SUMIFS(salestable[Quantity Sold],salestable[Item Name],Quantitytable[[#This Row],[Dish]])</f>
        <v>0</v>
      </c>
      <c r="F16" s="29">
        <f>'Quantity Table'!$E379*'Quantity Table'!$F379</f>
        <v>0</v>
      </c>
      <c r="G16" s="29">
        <f>_xlfn.IFNA(VLOOKUP(Quantitytable[[#This Row],[Ingredient ]],Shoppingtable[[Item Name]:[BALANCE Cash]],5,FALSE),0)*Quantitytable[[#This Row],[NeededQuantity]]</f>
        <v>1.3139999999999998</v>
      </c>
      <c r="H16" s="29">
        <f>SUMIF(Quantitytable[Dish],Quantitytable[[#This Row],[Dish]],Quantitytable[Cost Per Dish Per Item])</f>
        <v>20.340785714285715</v>
      </c>
      <c r="I16" s="30" t="s">
        <v>501</v>
      </c>
    </row>
    <row r="17" spans="1:9" x14ac:dyDescent="0.25">
      <c r="A17" s="28" t="s">
        <v>331</v>
      </c>
      <c r="B17" s="29" t="s">
        <v>24</v>
      </c>
      <c r="C17" s="29"/>
      <c r="D17" s="29">
        <f>IF(Quantitytable[[#This Row],[Units]]=0,0,SUMIFS(Quantitytable[NeededQuantity],Quantitytable[Dish],Quantitytable[[#This Row],[Dish]],Quantitytable[[Ingredient ]],Quantitytable[[#This Row],[Ingredient ]]))</f>
        <v>0</v>
      </c>
      <c r="E17" s="29">
        <f>SUMIFS(salestable[Quantity Sold],salestable[Item Name],Quantitytable[[#This Row],[Dish]])</f>
        <v>0</v>
      </c>
      <c r="F17" s="29">
        <f>'Quantity Table'!$E380*'Quantity Table'!$F380</f>
        <v>0</v>
      </c>
      <c r="G17" s="29">
        <f>_xlfn.IFNA(VLOOKUP(Quantitytable[[#This Row],[Ingredient ]],Shoppingtable[[Item Name]:[BALANCE Cash]],5,FALSE),0)*Quantitytable[[#This Row],[NeededQuantity]]</f>
        <v>5.7142857142857144</v>
      </c>
      <c r="H17" s="29">
        <f>SUMIF(Quantitytable[Dish],Quantitytable[[#This Row],[Dish]],Quantitytable[Cost Per Dish Per Item])</f>
        <v>20.340785714285715</v>
      </c>
      <c r="I17" s="30" t="s">
        <v>501</v>
      </c>
    </row>
    <row r="18" spans="1:9" x14ac:dyDescent="0.25">
      <c r="A18" s="28" t="s">
        <v>331</v>
      </c>
      <c r="B18" s="29" t="s">
        <v>45</v>
      </c>
      <c r="C18" s="29"/>
      <c r="D18" s="29">
        <f>IF(Quantitytable[[#This Row],[Units]]=0,0,SUMIFS(Quantitytable[NeededQuantity],Quantitytable[Dish],Quantitytable[[#This Row],[Dish]],Quantitytable[[Ingredient ]],Quantitytable[[#This Row],[Ingredient ]]))</f>
        <v>0</v>
      </c>
      <c r="E18" s="29">
        <f>SUMIFS(salestable[Quantity Sold],salestable[Item Name],Quantitytable[[#This Row],[Dish]])</f>
        <v>0</v>
      </c>
      <c r="F18" s="29">
        <f>'Quantity Table'!$E381*'Quantity Table'!$F381</f>
        <v>0</v>
      </c>
      <c r="G18" s="29">
        <f>_xlfn.IFNA(VLOOKUP(Quantitytable[[#This Row],[Ingredient ]],Shoppingtable[[Item Name]:[BALANCE Cash]],5,FALSE),0)*Quantitytable[[#This Row],[NeededQuantity]]</f>
        <v>7.4</v>
      </c>
      <c r="H18" s="29">
        <f>SUMIF(Quantitytable[Dish],Quantitytable[[#This Row],[Dish]],Quantitytable[Cost Per Dish Per Item])</f>
        <v>33.383516483516487</v>
      </c>
      <c r="I18" s="30" t="s">
        <v>501</v>
      </c>
    </row>
    <row r="19" spans="1:9" x14ac:dyDescent="0.25">
      <c r="A19" s="28" t="s">
        <v>331</v>
      </c>
      <c r="B19" s="29" t="s">
        <v>84</v>
      </c>
      <c r="C19" s="29"/>
      <c r="D19" s="29">
        <f>IF(Quantitytable[[#This Row],[Units]]=0,0,SUMIFS(Quantitytable[NeededQuantity],Quantitytable[Dish],Quantitytable[[#This Row],[Dish]],Quantitytable[[Ingredient ]],Quantitytable[[#This Row],[Ingredient ]]))</f>
        <v>0</v>
      </c>
      <c r="E19" s="29">
        <f>SUMIFS(salestable[Quantity Sold],salestable[Item Name],Quantitytable[[#This Row],[Dish]])</f>
        <v>0</v>
      </c>
      <c r="F19" s="29">
        <f>'Quantity Table'!$E382*'Quantity Table'!$F382</f>
        <v>0</v>
      </c>
      <c r="G19" s="29">
        <f>_xlfn.IFNA(VLOOKUP(Quantitytable[[#This Row],[Ingredient ]],Shoppingtable[[Item Name]:[BALANCE Cash]],5,FALSE),0)*Quantitytable[[#This Row],[NeededQuantity]]</f>
        <v>5.833333333333333</v>
      </c>
      <c r="H19" s="29">
        <f>SUMIF(Quantitytable[Dish],Quantitytable[[#This Row],[Dish]],Quantitytable[Cost Per Dish Per Item])</f>
        <v>33.383516483516487</v>
      </c>
      <c r="I19" s="30" t="s">
        <v>501</v>
      </c>
    </row>
    <row r="20" spans="1:9" x14ac:dyDescent="0.25">
      <c r="A20" s="28" t="s">
        <v>333</v>
      </c>
      <c r="B20" s="29" t="s">
        <v>24</v>
      </c>
      <c r="C20" s="29"/>
      <c r="D20" s="29">
        <f>IF(Quantitytable[[#This Row],[Units]]=0,0,SUMIFS(Quantitytable[NeededQuantity],Quantitytable[Dish],Quantitytable[[#This Row],[Dish]],Quantitytable[[Ingredient ]],Quantitytable[[#This Row],[Ingredient ]]))</f>
        <v>0</v>
      </c>
      <c r="E20" s="29">
        <f>SUMIFS(salestable[Quantity Sold],salestable[Item Name],Quantitytable[[#This Row],[Dish]])</f>
        <v>0</v>
      </c>
      <c r="F20" s="29">
        <f>'Quantity Table'!$E383*'Quantity Table'!$F383</f>
        <v>0</v>
      </c>
      <c r="G20" s="29">
        <f>_xlfn.IFNA(VLOOKUP(Quantitytable[[#This Row],[Ingredient ]],Shoppingtable[[Item Name]:[BALANCE Cash]],5,FALSE),0)*Quantitytable[[#This Row],[NeededQuantity]]</f>
        <v>5.7692307692307692</v>
      </c>
      <c r="H20" s="29">
        <f>SUMIF(Quantitytable[Dish],Quantitytable[[#This Row],[Dish]],Quantitytable[Cost Per Dish Per Item])</f>
        <v>33.383516483516487</v>
      </c>
      <c r="I20" s="30" t="s">
        <v>501</v>
      </c>
    </row>
    <row r="21" spans="1:9" x14ac:dyDescent="0.25">
      <c r="A21" s="28" t="s">
        <v>333</v>
      </c>
      <c r="B21" s="29" t="s">
        <v>45</v>
      </c>
      <c r="C21" s="29"/>
      <c r="D21" s="29">
        <f>IF(Quantitytable[[#This Row],[Units]]=0,0,SUMIFS(Quantitytable[NeededQuantity],Quantitytable[Dish],Quantitytable[[#This Row],[Dish]],Quantitytable[[Ingredient ]],Quantitytable[[#This Row],[Ingredient ]]))</f>
        <v>0</v>
      </c>
      <c r="E21" s="29">
        <f>SUMIFS(salestable[Quantity Sold],salestable[Item Name],Quantitytable[[#This Row],[Dish]])</f>
        <v>0</v>
      </c>
      <c r="F21" s="29">
        <f>'Quantity Table'!$E384*'Quantity Table'!$F384</f>
        <v>0</v>
      </c>
      <c r="G21" s="29">
        <f>_xlfn.IFNA(VLOOKUP(Quantitytable[[#This Row],[Ingredient ]],Shoppingtable[[Item Name]:[BALANCE Cash]],5,FALSE),0)*Quantitytable[[#This Row],[NeededQuantity]]</f>
        <v>8.6666666666666679</v>
      </c>
      <c r="H21" s="29">
        <f>SUMIF(Quantitytable[Dish],Quantitytable[[#This Row],[Dish]],Quantitytable[Cost Per Dish Per Item])</f>
        <v>33.383516483516487</v>
      </c>
      <c r="I21" s="30" t="s">
        <v>501</v>
      </c>
    </row>
    <row r="22" spans="1:9" x14ac:dyDescent="0.25">
      <c r="A22" s="28" t="s">
        <v>333</v>
      </c>
      <c r="B22" s="29" t="s">
        <v>84</v>
      </c>
      <c r="C22" s="29"/>
      <c r="D22" s="29">
        <f>IF(Quantitytable[[#This Row],[Units]]=0,0,SUMIFS(Quantitytable[NeededQuantity],Quantitytable[Dish],Quantitytable[[#This Row],[Dish]],Quantitytable[[Ingredient ]],Quantitytable[[#This Row],[Ingredient ]]))</f>
        <v>0</v>
      </c>
      <c r="E22" s="29">
        <f>SUMIFS(salestable[Quantity Sold],salestable[Item Name],Quantitytable[[#This Row],[Dish]])</f>
        <v>0</v>
      </c>
      <c r="F22" s="29">
        <f>'Quantity Table'!$E385*'Quantity Table'!$F385</f>
        <v>0</v>
      </c>
      <c r="G22" s="29">
        <f>_xlfn.IFNA(VLOOKUP(Quantitytable[[#This Row],[Ingredient ]],Shoppingtable[[Item Name]:[BALANCE Cash]],5,FALSE),0)*Quantitytable[[#This Row],[NeededQuantity]]</f>
        <v>5.7142857142857144</v>
      </c>
      <c r="H22" s="29">
        <f>SUMIF(Quantitytable[Dish],Quantitytable[[#This Row],[Dish]],Quantitytable[Cost Per Dish Per Item])</f>
        <v>33.383516483516487</v>
      </c>
      <c r="I22" s="30" t="s">
        <v>501</v>
      </c>
    </row>
    <row r="23" spans="1:9" x14ac:dyDescent="0.25">
      <c r="A23" s="28" t="s">
        <v>193</v>
      </c>
      <c r="B23" s="29" t="s">
        <v>45</v>
      </c>
      <c r="C23" s="29"/>
      <c r="D23" s="29">
        <f>IF(Quantitytable[[#This Row],[Units]]=0,0,SUMIFS(Quantitytable[NeededQuantity],Quantitytable[Dish],Quantitytable[[#This Row],[Dish]],Quantitytable[[Ingredient ]],Quantitytable[[#This Row],[Ingredient ]]))</f>
        <v>0</v>
      </c>
      <c r="E23" s="29">
        <f>SUMIFS(salestable[Quantity Sold],salestable[Item Name],Quantitytable[[#This Row],[Dish]])</f>
        <v>0</v>
      </c>
      <c r="F23" s="29">
        <f>'Quantity Table'!$E389*'Quantity Table'!$F389</f>
        <v>0</v>
      </c>
      <c r="G23" s="29">
        <f>_xlfn.IFNA(VLOOKUP(Quantitytable[[#This Row],[Ingredient ]],Shoppingtable[[Item Name]:[BALANCE Cash]],5,FALSE),0)*Quantitytable[[#This Row],[NeededQuantity]]</f>
        <v>7.4</v>
      </c>
      <c r="H23" s="29">
        <f>SUMIF(Quantitytable[Dish],Quantitytable[[#This Row],[Dish]],Quantitytable[Cost Per Dish Per Item])</f>
        <v>35.194285714285712</v>
      </c>
      <c r="I23" s="30" t="s">
        <v>501</v>
      </c>
    </row>
    <row r="24" spans="1:9" x14ac:dyDescent="0.25">
      <c r="A24" s="28" t="s">
        <v>193</v>
      </c>
      <c r="B24" s="29" t="s">
        <v>93</v>
      </c>
      <c r="C24" s="29"/>
      <c r="D24" s="29">
        <f>IF(Quantitytable[[#This Row],[Units]]=0,0,SUMIFS(Quantitytable[NeededQuantity],Quantitytable[Dish],Quantitytable[[#This Row],[Dish]],Quantitytable[[Ingredient ]],Quantitytable[[#This Row],[Ingredient ]]))</f>
        <v>0</v>
      </c>
      <c r="E24" s="29">
        <f>SUMIFS(salestable[Quantity Sold],salestable[Item Name],Quantitytable[[#This Row],[Dish]])</f>
        <v>0</v>
      </c>
      <c r="F24" s="29">
        <f>'Quantity Table'!$E390*'Quantity Table'!$F390</f>
        <v>0</v>
      </c>
      <c r="G24" s="29">
        <f>_xlfn.IFNA(VLOOKUP(Quantitytable[[#This Row],[Ingredient ]],Shoppingtable[[Item Name]:[BALANCE Cash]],5,FALSE),0)*Quantitytable[[#This Row],[NeededQuantity]]</f>
        <v>22.08</v>
      </c>
      <c r="H24" s="29">
        <f>SUMIF(Quantitytable[Dish],Quantitytable[[#This Row],[Dish]],Quantitytable[Cost Per Dish Per Item])</f>
        <v>35.194285714285712</v>
      </c>
      <c r="I24" s="30" t="s">
        <v>501</v>
      </c>
    </row>
    <row r="25" spans="1:9" x14ac:dyDescent="0.25">
      <c r="A25" s="28" t="s">
        <v>193</v>
      </c>
      <c r="B25" s="29" t="s">
        <v>25</v>
      </c>
      <c r="C25" s="29"/>
      <c r="D25" s="29">
        <f>IF(Quantitytable[[#This Row],[Units]]=0,0,SUMIFS(Quantitytable[NeededQuantity],Quantitytable[Dish],Quantitytable[[#This Row],[Dish]],Quantitytable[[Ingredient ]],Quantitytable[[#This Row],[Ingredient ]]))</f>
        <v>0</v>
      </c>
      <c r="E25" s="29">
        <f>SUMIFS(salestable[Quantity Sold],salestable[Item Name],Quantitytable[[#This Row],[Dish]])</f>
        <v>0</v>
      </c>
      <c r="F25" s="29">
        <f>'Quantity Table'!$E391*'Quantity Table'!$F391</f>
        <v>0</v>
      </c>
      <c r="G25" s="29">
        <f>_xlfn.IFNA(VLOOKUP(Quantitytable[[#This Row],[Ingredient ]],Shoppingtable[[Item Name]:[BALANCE Cash]],5,FALSE),0)*Quantitytable[[#This Row],[NeededQuantity]]</f>
        <v>5.7142857142857144</v>
      </c>
      <c r="H25" s="29">
        <f>SUMIF(Quantitytable[Dish],Quantitytable[[#This Row],[Dish]],Quantitytable[Cost Per Dish Per Item])</f>
        <v>35.194285714285712</v>
      </c>
      <c r="I25" s="30" t="s">
        <v>501</v>
      </c>
    </row>
    <row r="26" spans="1:9" x14ac:dyDescent="0.25">
      <c r="A26" s="28" t="s">
        <v>342</v>
      </c>
      <c r="B26" s="29" t="s">
        <v>45</v>
      </c>
      <c r="C26" s="29"/>
      <c r="D26" s="29">
        <f>IF(Quantitytable[[#This Row],[Units]]=0,0,SUMIFS(Quantitytable[NeededQuantity],Quantitytable[Dish],Quantitytable[[#This Row],[Dish]],Quantitytable[[Ingredient ]],Quantitytable[[#This Row],[Ingredient ]]))</f>
        <v>0</v>
      </c>
      <c r="E26" s="29">
        <f>SUMIFS(salestable[Quantity Sold],salestable[Item Name],Quantitytable[[#This Row],[Dish]])</f>
        <v>0</v>
      </c>
      <c r="F26" s="29" t="e">
        <f>'Quantity Sample'!$D6*'Quantity Sample'!$E6</f>
        <v>#VALUE!</v>
      </c>
      <c r="G26" s="29">
        <f>_xlfn.IFNA(VLOOKUP(Quantitytable[[#This Row],[Ingredient ]],Shoppingtable[[Item Name]:[BALANCE Cash]],5,FALSE),0)*Quantitytable[[#This Row],[NeededQuantity]]</f>
        <v>7.4</v>
      </c>
      <c r="H26" s="29">
        <f>SUMIF(Quantitytable[Dish],Quantitytable[[#This Row],[Dish]],Quantitytable[Cost Per Dish Per Item])</f>
        <v>26.426785714285714</v>
      </c>
      <c r="I26" s="30" t="s">
        <v>501</v>
      </c>
    </row>
    <row r="27" spans="1:9" x14ac:dyDescent="0.25">
      <c r="A27" s="28" t="s">
        <v>342</v>
      </c>
      <c r="B27" s="29" t="s">
        <v>81</v>
      </c>
      <c r="C27" s="29"/>
      <c r="D27" s="29">
        <f>IF(Quantitytable[[#This Row],[Units]]=0,0,SUMIFS(Quantitytable[NeededQuantity],Quantitytable[Dish],Quantitytable[[#This Row],[Dish]],Quantitytable[[Ingredient ]],Quantitytable[[#This Row],[Ingredient ]]))</f>
        <v>0</v>
      </c>
      <c r="E27" s="29">
        <f>SUMIFS(salestable[Quantity Sold],salestable[Item Name],Quantitytable[[#This Row],[Dish]])</f>
        <v>0</v>
      </c>
      <c r="F27" s="29">
        <f>'Quantity Sample'!$D7*'Quantity Sample'!$E7</f>
        <v>0</v>
      </c>
      <c r="G27" s="29">
        <f>_xlfn.IFNA(VLOOKUP(Quantitytable[[#This Row],[Ingredient ]],Shoppingtable[[Item Name]:[BALANCE Cash]],5,FALSE),0)*Quantitytable[[#This Row],[NeededQuantity]]</f>
        <v>13.3125</v>
      </c>
      <c r="H27" s="29">
        <f>SUMIF(Quantitytable[Dish],Quantitytable[[#This Row],[Dish]],Quantitytable[Cost Per Dish Per Item])</f>
        <v>26.426785714285714</v>
      </c>
      <c r="I27" s="30" t="s">
        <v>501</v>
      </c>
    </row>
    <row r="28" spans="1:9" x14ac:dyDescent="0.25">
      <c r="A28" s="28" t="s">
        <v>342</v>
      </c>
      <c r="B28" s="29" t="s">
        <v>100</v>
      </c>
      <c r="C28" s="29"/>
      <c r="D28" s="29">
        <f>IF(Quantitytable[[#This Row],[Units]]=0,0,SUMIFS(Quantitytable[NeededQuantity],Quantitytable[Dish],Quantitytable[[#This Row],[Dish]],Quantitytable[[Ingredient ]],Quantitytable[[#This Row],[Ingredient ]]))</f>
        <v>0</v>
      </c>
      <c r="E28" s="29">
        <f>SUMIFS(salestable[Quantity Sold],salestable[Item Name],Quantitytable[[#This Row],[Dish]])</f>
        <v>0</v>
      </c>
      <c r="F28" s="29">
        <f>'Quantity Sample'!$D8*'Quantity Sample'!$E8</f>
        <v>0</v>
      </c>
      <c r="G28" s="29">
        <f>_xlfn.IFNA(VLOOKUP(Quantitytable[[#This Row],[Ingredient ]],Shoppingtable[[Item Name]:[BALANCE Cash]],5,FALSE),0)*Quantitytable[[#This Row],[NeededQuantity]]</f>
        <v>5.7142857142857144</v>
      </c>
      <c r="H28" s="29">
        <f>SUMIF(Quantitytable[Dish],Quantitytable[[#This Row],[Dish]],Quantitytable[Cost Per Dish Per Item])</f>
        <v>26.426785714285714</v>
      </c>
      <c r="I28" s="30" t="s">
        <v>501</v>
      </c>
    </row>
    <row r="29" spans="1:9" x14ac:dyDescent="0.25">
      <c r="A29" s="28" t="s">
        <v>236</v>
      </c>
      <c r="B29" s="29" t="s">
        <v>45</v>
      </c>
      <c r="C29" s="29"/>
      <c r="D29" s="29">
        <f>IF(Quantitytable[[#This Row],[Units]]=0,0,SUMIFS(Quantitytable[NeededQuantity],Quantitytable[Dish],Quantitytable[[#This Row],[Dish]],Quantitytable[[Ingredient ]],Quantitytable[[#This Row],[Ingredient ]]))</f>
        <v>0</v>
      </c>
      <c r="E29" s="29">
        <f>SUMIFS(salestable[Quantity Sold],salestable[Item Name],Quantitytable[[#This Row],[Dish]])</f>
        <v>0</v>
      </c>
      <c r="F29" s="29">
        <f>'Quantity Sample'!$D9*'Quantity Sample'!$E9</f>
        <v>0</v>
      </c>
      <c r="G29" s="29">
        <f>_xlfn.IFNA(VLOOKUP(Quantitytable[[#This Row],[Ingredient ]],Shoppingtable[[Item Name]:[BALANCE Cash]],5,FALSE),0)*Quantitytable[[#This Row],[NeededQuantity]]</f>
        <v>0.6</v>
      </c>
      <c r="H29" s="29">
        <f>SUMIF(Quantitytable[Dish],Quantitytable[[#This Row],[Dish]],Quantitytable[Cost Per Dish Per Item])</f>
        <v>47.316102540972935</v>
      </c>
      <c r="I29" s="30" t="s">
        <v>501</v>
      </c>
    </row>
    <row r="30" spans="1:9" x14ac:dyDescent="0.25">
      <c r="A30" s="28" t="s">
        <v>236</v>
      </c>
      <c r="B30" s="29" t="s">
        <v>101</v>
      </c>
      <c r="C30" s="29"/>
      <c r="D30" s="29">
        <f>IF(Quantitytable[[#This Row],[Units]]=0,0,SUMIFS(Quantitytable[NeededQuantity],Quantitytable[Dish],Quantitytable[[#This Row],[Dish]],Quantitytable[[Ingredient ]],Quantitytable[[#This Row],[Ingredient ]]))</f>
        <v>0</v>
      </c>
      <c r="E30" s="29">
        <f>SUMIFS(salestable[Quantity Sold],salestable[Item Name],Quantitytable[[#This Row],[Dish]])</f>
        <v>0</v>
      </c>
      <c r="F30" s="29">
        <f>'Quantity Sample'!$D10*'Quantity Sample'!$E10</f>
        <v>0</v>
      </c>
      <c r="G30" s="29">
        <f>_xlfn.IFNA(VLOOKUP(Quantitytable[[#This Row],[Ingredient ]],Shoppingtable[[Item Name]:[BALANCE Cash]],5,FALSE),0)*Quantitytable[[#This Row],[NeededQuantity]]</f>
        <v>0.62222222222222223</v>
      </c>
      <c r="H30" s="29">
        <f>SUMIF(Quantitytable[Dish],Quantitytable[[#This Row],[Dish]],Quantitytable[Cost Per Dish Per Item])</f>
        <v>47.316102540972935</v>
      </c>
      <c r="I30" s="30" t="s">
        <v>501</v>
      </c>
    </row>
    <row r="31" spans="1:9" x14ac:dyDescent="0.25">
      <c r="A31" s="28" t="s">
        <v>236</v>
      </c>
      <c r="B31" s="29" t="s">
        <v>25</v>
      </c>
      <c r="C31" s="29"/>
      <c r="D31" s="29">
        <f>IF(Quantitytable[[#This Row],[Units]]=0,0,SUMIFS(Quantitytable[NeededQuantity],Quantitytable[Dish],Quantitytable[[#This Row],[Dish]],Quantitytable[[Ingredient ]],Quantitytable[[#This Row],[Ingredient ]]))</f>
        <v>0</v>
      </c>
      <c r="E31" s="29">
        <f>SUMIFS(salestable[Quantity Sold],salestable[Item Name],Quantitytable[[#This Row],[Dish]])</f>
        <v>0</v>
      </c>
      <c r="F31" s="29">
        <f>'Quantity Sample'!$D11*'Quantity Sample'!$E11</f>
        <v>0</v>
      </c>
      <c r="G31" s="29">
        <f>_xlfn.IFNA(VLOOKUP(Quantitytable[[#This Row],[Ingredient ]],Shoppingtable[[Item Name]:[BALANCE Cash]],5,FALSE),0)*Quantitytable[[#This Row],[NeededQuantity]]</f>
        <v>0.6</v>
      </c>
      <c r="H31" s="29">
        <f>SUMIF(Quantitytable[Dish],Quantitytable[[#This Row],[Dish]],Quantitytable[Cost Per Dish Per Item])</f>
        <v>47.316102540972935</v>
      </c>
      <c r="I31" s="30" t="s">
        <v>501</v>
      </c>
    </row>
    <row r="32" spans="1:9" x14ac:dyDescent="0.25">
      <c r="A32" s="28" t="s">
        <v>315</v>
      </c>
      <c r="B32" s="29" t="s">
        <v>45</v>
      </c>
      <c r="C32" s="29"/>
      <c r="D32" s="29">
        <f>IF(Quantitytable[[#This Row],[Units]]=0,0,SUMIFS(Quantitytable[NeededQuantity],Quantitytable[Dish],Quantitytable[[#This Row],[Dish]],Quantitytable[[Ingredient ]],Quantitytable[[#This Row],[Ingredient ]]))</f>
        <v>0</v>
      </c>
      <c r="E32" s="29">
        <f>SUMIFS(salestable[Quantity Sold],salestable[Item Name],Quantitytable[[#This Row],[Dish]])</f>
        <v>0</v>
      </c>
      <c r="F32" s="29">
        <f>'Quantity Sample'!$D12*'Quantity Sample'!$E12</f>
        <v>0</v>
      </c>
      <c r="G32" s="29">
        <f>_xlfn.IFNA(VLOOKUP(Quantitytable[[#This Row],[Ingredient ]],Shoppingtable[[Item Name]:[BALANCE Cash]],5,FALSE),0)*Quantitytable[[#This Row],[NeededQuantity]]</f>
        <v>0.72941176470588232</v>
      </c>
      <c r="H32" s="29">
        <f>SUMIF(Quantitytable[Dish],Quantitytable[[#This Row],[Dish]],Quantitytable[Cost Per Dish Per Item])</f>
        <v>47.316102540972935</v>
      </c>
      <c r="I32" s="30" t="s">
        <v>501</v>
      </c>
    </row>
    <row r="33" spans="1:9" x14ac:dyDescent="0.25">
      <c r="A33" s="28" t="s">
        <v>315</v>
      </c>
      <c r="B33" s="29" t="s">
        <v>50</v>
      </c>
      <c r="C33" s="29"/>
      <c r="D33" s="29">
        <f>IF(Quantitytable[[#This Row],[Units]]=0,0,SUMIFS(Quantitytable[NeededQuantity],Quantitytable[Dish],Quantitytable[[#This Row],[Dish]],Quantitytable[[Ingredient ]],Quantitytable[[#This Row],[Ingredient ]]))</f>
        <v>0</v>
      </c>
      <c r="E33" s="29">
        <f>SUMIFS(salestable[Quantity Sold],salestable[Item Name],Quantitytable[[#This Row],[Dish]])</f>
        <v>0</v>
      </c>
      <c r="F33" s="29">
        <f>'Quantity Sample'!$D13*'Quantity Sample'!$E13</f>
        <v>0</v>
      </c>
      <c r="G33" s="29">
        <f>_xlfn.IFNA(VLOOKUP(Quantitytable[[#This Row],[Ingredient ]],Shoppingtable[[Item Name]:[BALANCE Cash]],5,FALSE),0)*Quantitytable[[#This Row],[NeededQuantity]]</f>
        <v>2.1</v>
      </c>
      <c r="H33" s="29">
        <f>SUMIF(Quantitytable[Dish],Quantitytable[[#This Row],[Dish]],Quantitytable[Cost Per Dish Per Item])</f>
        <v>47.316102540972935</v>
      </c>
      <c r="I33" s="30" t="s">
        <v>501</v>
      </c>
    </row>
    <row r="34" spans="1:9" x14ac:dyDescent="0.25">
      <c r="A34" s="28" t="s">
        <v>315</v>
      </c>
      <c r="B34" s="29" t="s">
        <v>25</v>
      </c>
      <c r="C34" s="29"/>
      <c r="D34" s="29">
        <f>IF(Quantitytable[[#This Row],[Units]]=0,0,SUMIFS(Quantitytable[NeededQuantity],Quantitytable[Dish],Quantitytable[[#This Row],[Dish]],Quantitytable[[Ingredient ]],Quantitytable[[#This Row],[Ingredient ]]))</f>
        <v>0</v>
      </c>
      <c r="E34" s="29">
        <f>SUMIFS(salestable[Quantity Sold],salestable[Item Name],Quantitytable[[#This Row],[Dish]])</f>
        <v>0</v>
      </c>
      <c r="F34" s="29">
        <f>'Quantity Sample'!$D14*'Quantity Sample'!$E14</f>
        <v>0</v>
      </c>
      <c r="G34" s="29">
        <f>_xlfn.IFNA(VLOOKUP(Quantitytable[[#This Row],[Ingredient ]],Shoppingtable[[Item Name]:[BALANCE Cash]],5,FALSE),0)*Quantitytable[[#This Row],[NeededQuantity]]</f>
        <v>0.22598870056497175</v>
      </c>
      <c r="H34" s="29">
        <f>SUMIF(Quantitytable[Dish],Quantitytable[[#This Row],[Dish]],Quantitytable[Cost Per Dish Per Item])</f>
        <v>47.316102540972935</v>
      </c>
      <c r="I34" s="30" t="s">
        <v>501</v>
      </c>
    </row>
    <row r="35" spans="1:9" x14ac:dyDescent="0.25">
      <c r="A35" s="28" t="s">
        <v>194</v>
      </c>
      <c r="B35" s="29" t="s">
        <v>45</v>
      </c>
      <c r="C35" s="29"/>
      <c r="D35" s="29">
        <f>IF(Quantitytable[[#This Row],[Units]]=0,0,SUMIFS(Quantitytable[NeededQuantity],Quantitytable[Dish],Quantitytable[[#This Row],[Dish]],Quantitytable[[Ingredient ]],Quantitytable[[#This Row],[Ingredient ]]))</f>
        <v>0</v>
      </c>
      <c r="E35" s="29">
        <f>SUMIFS(salestable[Quantity Sold],salestable[Item Name],Quantitytable[[#This Row],[Dish]])</f>
        <v>0</v>
      </c>
      <c r="F35" s="29">
        <f>'Quantity Sample'!$D17*'Quantity Sample'!$E17</f>
        <v>0</v>
      </c>
      <c r="G35" s="29">
        <f>_xlfn.IFNA(VLOOKUP(Quantitytable[[#This Row],[Ingredient ]],Shoppingtable[[Item Name]:[BALANCE Cash]],5,FALSE),0)*Quantitytable[[#This Row],[NeededQuantity]]</f>
        <v>0.8</v>
      </c>
      <c r="H35" s="29">
        <f>SUMIF(Quantitytable[Dish],Quantitytable[[#This Row],[Dish]],Quantitytable[Cost Per Dish Per Item])</f>
        <v>47.316102540972935</v>
      </c>
      <c r="I35" s="30" t="s">
        <v>501</v>
      </c>
    </row>
    <row r="36" spans="1:9" x14ac:dyDescent="0.25">
      <c r="A36" s="28" t="s">
        <v>194</v>
      </c>
      <c r="B36" s="29" t="s">
        <v>73</v>
      </c>
      <c r="C36" s="29"/>
      <c r="D36" s="29">
        <f>IF(Quantitytable[[#This Row],[Units]]=0,0,SUMIFS(Quantitytable[NeededQuantity],Quantitytable[Dish],Quantitytable[[#This Row],[Dish]],Quantitytable[[Ingredient ]],Quantitytable[[#This Row],[Ingredient ]]))</f>
        <v>0</v>
      </c>
      <c r="E36" s="29">
        <f>SUMIFS(salestable[Quantity Sold],salestable[Item Name],Quantitytable[[#This Row],[Dish]])</f>
        <v>0</v>
      </c>
      <c r="F36" s="29">
        <f>'Quantity Sample'!$D18*'Quantity Sample'!$E18</f>
        <v>0</v>
      </c>
      <c r="G36" s="29">
        <f>_xlfn.IFNA(VLOOKUP(Quantitytable[[#This Row],[Ingredient ]],Shoppingtable[[Item Name]:[BALANCE Cash]],5,FALSE),0)*Quantitytable[[#This Row],[NeededQuantity]]</f>
        <v>5.84</v>
      </c>
      <c r="H36" s="29">
        <f>SUMIF(Quantitytable[Dish],Quantitytable[[#This Row],[Dish]],Quantitytable[Cost Per Dish Per Item])</f>
        <v>47.316102540972935</v>
      </c>
      <c r="I36" s="30" t="s">
        <v>501</v>
      </c>
    </row>
    <row r="37" spans="1:9" x14ac:dyDescent="0.25">
      <c r="A37" s="28" t="s">
        <v>194</v>
      </c>
      <c r="B37" s="29" t="s">
        <v>25</v>
      </c>
      <c r="C37" s="29"/>
      <c r="D37" s="29">
        <f>IF(Quantitytable[[#This Row],[Units]]=0,0,SUMIFS(Quantitytable[NeededQuantity],Quantitytable[Dish],Quantitytable[[#This Row],[Dish]],Quantitytable[[Ingredient ]],Quantitytable[[#This Row],[Ingredient ]]))</f>
        <v>0</v>
      </c>
      <c r="E37" s="29">
        <f>SUMIFS(salestable[Quantity Sold],salestable[Item Name],Quantitytable[[#This Row],[Dish]])</f>
        <v>0</v>
      </c>
      <c r="F37" s="29">
        <f>'Quantity Sample'!$D19*'Quantity Sample'!$E19</f>
        <v>0</v>
      </c>
      <c r="G37" s="29">
        <f>_xlfn.IFNA(VLOOKUP(Quantitytable[[#This Row],[Ingredient ]],Shoppingtable[[Item Name]:[BALANCE Cash]],5,FALSE),0)*Quantitytable[[#This Row],[NeededQuantity]]</f>
        <v>1.5</v>
      </c>
      <c r="H37" s="29">
        <f>SUMIF(Quantitytable[Dish],Quantitytable[[#This Row],[Dish]],Quantitytable[Cost Per Dish Per Item])</f>
        <v>47.316102540972935</v>
      </c>
      <c r="I37" s="30" t="s">
        <v>501</v>
      </c>
    </row>
    <row r="38" spans="1:9" x14ac:dyDescent="0.25">
      <c r="A38" s="28" t="s">
        <v>192</v>
      </c>
      <c r="B38" s="29" t="s">
        <v>45</v>
      </c>
      <c r="C38" s="29"/>
      <c r="D38" s="29">
        <f>IF(Quantitytable[[#This Row],[Units]]=0,0,SUMIFS(Quantitytable[NeededQuantity],Quantitytable[Dish],Quantitytable[[#This Row],[Dish]],Quantitytable[[Ingredient ]],Quantitytable[[#This Row],[Ingredient ]]))</f>
        <v>0</v>
      </c>
      <c r="E38" s="29">
        <f>SUMIFS(salestable[Quantity Sold],salestable[Item Name],Quantitytable[[#This Row],[Dish]])</f>
        <v>0</v>
      </c>
      <c r="F38" s="29">
        <f>'Quantity Sample'!$D25*'Quantity Sample'!$E25</f>
        <v>0</v>
      </c>
      <c r="G38" s="29">
        <f>_xlfn.IFNA(VLOOKUP(Quantitytable[[#This Row],[Ingredient ]],Shoppingtable[[Item Name]:[BALANCE Cash]],5,FALSE),0)*Quantitytable[[#This Row],[NeededQuantity]]</f>
        <v>4.666666666666667</v>
      </c>
      <c r="H38" s="29">
        <f>SUMIF(Quantitytable[Dish],Quantitytable[[#This Row],[Dish]],Quantitytable[Cost Per Dish Per Item])</f>
        <v>47.316102540972935</v>
      </c>
      <c r="I38" s="30" t="s">
        <v>501</v>
      </c>
    </row>
    <row r="39" spans="1:9" x14ac:dyDescent="0.25">
      <c r="A39" s="28" t="s">
        <v>192</v>
      </c>
      <c r="B39" s="29" t="s">
        <v>73</v>
      </c>
      <c r="C39" s="29"/>
      <c r="D39" s="29">
        <f>IF(Quantitytable[[#This Row],[Units]]=0,0,SUMIFS(Quantitytable[NeededQuantity],Quantitytable[Dish],Quantitytable[[#This Row],[Dish]],Quantitytable[[Ingredient ]],Quantitytable[[#This Row],[Ingredient ]]))</f>
        <v>0</v>
      </c>
      <c r="E39" s="29">
        <f>SUMIFS(salestable[Quantity Sold],salestable[Item Name],Quantitytable[[#This Row],[Dish]])</f>
        <v>0</v>
      </c>
      <c r="F39" s="29">
        <f>'Quantity Sample'!$D26*'Quantity Sample'!$E26</f>
        <v>0</v>
      </c>
      <c r="G39" s="29">
        <f>_xlfn.IFNA(VLOOKUP(Quantitytable[[#This Row],[Ingredient ]],Shoppingtable[[Item Name]:[BALANCE Cash]],5,FALSE),0)*Quantitytable[[#This Row],[NeededQuantity]]</f>
        <v>4.6153846153846159</v>
      </c>
      <c r="H39" s="29">
        <f>SUMIF(Quantitytable[Dish],Quantitytable[[#This Row],[Dish]],Quantitytable[Cost Per Dish Per Item])</f>
        <v>47.316102540972935</v>
      </c>
      <c r="I39" s="30" t="s">
        <v>501</v>
      </c>
    </row>
    <row r="40" spans="1:9" x14ac:dyDescent="0.25">
      <c r="A40" s="28" t="s">
        <v>192</v>
      </c>
      <c r="B40" s="29" t="s">
        <v>99</v>
      </c>
      <c r="C40" s="29"/>
      <c r="D40" s="29">
        <f>IF(Quantitytable[[#This Row],[Units]]=0,0,SUMIFS(Quantitytable[NeededQuantity],Quantitytable[Dish],Quantitytable[[#This Row],[Dish]],Quantitytable[[Ingredient ]],Quantitytable[[#This Row],[Ingredient ]]))</f>
        <v>0</v>
      </c>
      <c r="E40" s="29">
        <f>SUMIFS(salestable[Quantity Sold],salestable[Item Name],Quantitytable[[#This Row],[Dish]])</f>
        <v>0</v>
      </c>
      <c r="F40" s="29">
        <f>'Quantity Sample'!$D27*'Quantity Sample'!$E27</f>
        <v>0</v>
      </c>
      <c r="G40" s="29">
        <f>_xlfn.IFNA(VLOOKUP(Quantitytable[[#This Row],[Ingredient ]],Shoppingtable[[Item Name]:[BALANCE Cash]],5,FALSE),0)*Quantitytable[[#This Row],[NeededQuantity]]</f>
        <v>3.3200000000000003</v>
      </c>
      <c r="H40" s="29">
        <f>SUMIF(Quantitytable[Dish],Quantitytable[[#This Row],[Dish]],Quantitytable[Cost Per Dish Per Item])</f>
        <v>47.316102540972935</v>
      </c>
      <c r="I40" s="30" t="s">
        <v>501</v>
      </c>
    </row>
    <row r="41" spans="1:9" x14ac:dyDescent="0.25">
      <c r="A41" s="28" t="s">
        <v>338</v>
      </c>
      <c r="B41" s="29" t="s">
        <v>24</v>
      </c>
      <c r="C41" s="29"/>
      <c r="D41" s="29">
        <f>IF(Quantitytable[[#This Row],[Units]]=0,0,SUMIFS(Quantitytable[NeededQuantity],Quantitytable[Dish],Quantitytable[[#This Row],[Dish]],Quantitytable[[Ingredient ]],Quantitytable[[#This Row],[Ingredient ]]))</f>
        <v>0</v>
      </c>
      <c r="E41" s="29">
        <f>SUMIFS(salestable[Quantity Sold],salestable[Item Name],Quantitytable[[#This Row],[Dish]])</f>
        <v>0</v>
      </c>
      <c r="F41" s="29">
        <f>'Quantity Sample'!$D28*'Quantity Sample'!$E28</f>
        <v>0</v>
      </c>
      <c r="G41" s="29">
        <f>_xlfn.IFNA(VLOOKUP(Quantitytable[[#This Row],[Ingredient ]],Shoppingtable[[Item Name]:[BALANCE Cash]],5,FALSE),0)*Quantitytable[[#This Row],[NeededQuantity]]</f>
        <v>8.125</v>
      </c>
      <c r="H41" s="29">
        <f>SUMIF(Quantitytable[Dish],Quantitytable[[#This Row],[Dish]],Quantitytable[Cost Per Dish Per Item])</f>
        <v>47.316102540972935</v>
      </c>
      <c r="I41" s="30" t="s">
        <v>501</v>
      </c>
    </row>
    <row r="42" spans="1:9" x14ac:dyDescent="0.25">
      <c r="A42" s="28" t="s">
        <v>338</v>
      </c>
      <c r="B42" s="29" t="s">
        <v>46</v>
      </c>
      <c r="C42" s="29"/>
      <c r="D42" s="29">
        <f>IF(Quantitytable[[#This Row],[Units]]=0,0,SUMIFS(Quantitytable[NeededQuantity],Quantitytable[Dish],Quantitytable[[#This Row],[Dish]],Quantitytable[[Ingredient ]],Quantitytable[[#This Row],[Ingredient ]]))</f>
        <v>0</v>
      </c>
      <c r="E42" s="29">
        <f>SUMIFS(salestable[Quantity Sold],salestable[Item Name],Quantitytable[[#This Row],[Dish]])</f>
        <v>0</v>
      </c>
      <c r="F42" s="29">
        <f>'Quantity Sample'!$D29*'Quantity Sample'!$E29</f>
        <v>0</v>
      </c>
      <c r="G42" s="29">
        <f>_xlfn.IFNA(VLOOKUP(Quantitytable[[#This Row],[Ingredient ]],Shoppingtable[[Item Name]:[BALANCE Cash]],5,FALSE),0)*Quantitytable[[#This Row],[NeededQuantity]]</f>
        <v>9</v>
      </c>
      <c r="H42" s="29">
        <f>SUMIF(Quantitytable[Dish],Quantitytable[[#This Row],[Dish]],Quantitytable[Cost Per Dish Per Item])</f>
        <v>47.316102540972935</v>
      </c>
      <c r="I42" s="30" t="s">
        <v>501</v>
      </c>
    </row>
    <row r="43" spans="1:9" x14ac:dyDescent="0.25">
      <c r="A43" s="28" t="s">
        <v>338</v>
      </c>
      <c r="B43" s="29" t="s">
        <v>84</v>
      </c>
      <c r="C43" s="29"/>
      <c r="D43" s="29">
        <f>IF(Quantitytable[[#This Row],[Units]]=0,0,SUMIFS(Quantitytable[NeededQuantity],Quantitytable[Dish],Quantitytable[[#This Row],[Dish]],Quantitytable[[Ingredient ]],Quantitytable[[#This Row],[Ingredient ]]))</f>
        <v>0</v>
      </c>
      <c r="E43" s="29">
        <f>SUMIFS(salestable[Quantity Sold],salestable[Item Name],Quantitytable[[#This Row],[Dish]])</f>
        <v>0</v>
      </c>
      <c r="F43" s="29">
        <f>'Quantity Sample'!$D30*'Quantity Sample'!$E30</f>
        <v>0</v>
      </c>
      <c r="G43" s="29">
        <f>_xlfn.IFNA(VLOOKUP(Quantitytable[[#This Row],[Ingredient ]],Shoppingtable[[Item Name]:[BALANCE Cash]],5,FALSE),0)*Quantitytable[[#This Row],[NeededQuantity]]</f>
        <v>4.5714285714285712</v>
      </c>
      <c r="H43" s="29">
        <f>SUMIF(Quantitytable[Dish],Quantitytable[[#This Row],[Dish]],Quantitytable[Cost Per Dish Per Item])</f>
        <v>47.316102540972935</v>
      </c>
      <c r="I43" s="30" t="s">
        <v>501</v>
      </c>
    </row>
    <row r="44" spans="1:9" x14ac:dyDescent="0.25">
      <c r="A44" s="28" t="s">
        <v>152</v>
      </c>
      <c r="B44" s="29" t="s">
        <v>46</v>
      </c>
      <c r="C44" s="29"/>
      <c r="D44" s="29">
        <f>IF(Quantitytable[[#This Row],[Units]]=0,0,SUMIFS(Quantitytable[NeededQuantity],Quantitytable[Dish],Quantitytable[[#This Row],[Dish]],Quantitytable[[Ingredient ]],Quantitytable[[#This Row],[Ingredient ]]))</f>
        <v>0</v>
      </c>
      <c r="E44" s="29">
        <f>SUMIFS(salestable[Quantity Sold],salestable[Item Name],Quantitytable[[#This Row],[Dish]])</f>
        <v>0</v>
      </c>
      <c r="F44" s="29">
        <f>'Quantity Sample'!$D31*'Quantity Sample'!$E31</f>
        <v>0</v>
      </c>
      <c r="G44" s="29">
        <f>_xlfn.IFNA(VLOOKUP(Quantitytable[[#This Row],[Ingredient ]],Shoppingtable[[Item Name]:[BALANCE Cash]],5,FALSE),0)*Quantitytable[[#This Row],[NeededQuantity]]</f>
        <v>0.6</v>
      </c>
      <c r="H44" s="29">
        <f>SUMIF(Quantitytable[Dish],Quantitytable[[#This Row],[Dish]],Quantitytable[Cost Per Dish Per Item])</f>
        <v>51.989051258921648</v>
      </c>
      <c r="I44" s="30" t="s">
        <v>501</v>
      </c>
    </row>
    <row r="45" spans="1:9" x14ac:dyDescent="0.25">
      <c r="A45" s="28" t="s">
        <v>152</v>
      </c>
      <c r="B45" s="29" t="s">
        <v>50</v>
      </c>
      <c r="C45" s="29"/>
      <c r="D45" s="29">
        <f>IF(Quantitytable[[#This Row],[Units]]=0,0,SUMIFS(Quantitytable[NeededQuantity],Quantitytable[Dish],Quantitytable[[#This Row],[Dish]],Quantitytable[[Ingredient ]],Quantitytable[[#This Row],[Ingredient ]]))</f>
        <v>0</v>
      </c>
      <c r="E45" s="29">
        <f>SUMIFS(salestable[Quantity Sold],salestable[Item Name],Quantitytable[[#This Row],[Dish]])</f>
        <v>0</v>
      </c>
      <c r="F45" s="29">
        <f>'Quantity Sample'!$D32*'Quantity Sample'!$E32</f>
        <v>0</v>
      </c>
      <c r="G45" s="29">
        <f>_xlfn.IFNA(VLOOKUP(Quantitytable[[#This Row],[Ingredient ]],Shoppingtable[[Item Name]:[BALANCE Cash]],5,FALSE),0)*Quantitytable[[#This Row],[NeededQuantity]]</f>
        <v>0.62222222222222223</v>
      </c>
      <c r="H45" s="29">
        <f>SUMIF(Quantitytable[Dish],Quantitytable[[#This Row],[Dish]],Quantitytable[Cost Per Dish Per Item])</f>
        <v>51.989051258921648</v>
      </c>
      <c r="I45" s="30" t="s">
        <v>501</v>
      </c>
    </row>
    <row r="46" spans="1:9" x14ac:dyDescent="0.25">
      <c r="A46" s="28" t="s">
        <v>152</v>
      </c>
      <c r="B46" s="29" t="s">
        <v>25</v>
      </c>
      <c r="C46" s="29"/>
      <c r="D46" s="29">
        <f>IF(Quantitytable[[#This Row],[Units]]=0,0,SUMIFS(Quantitytable[NeededQuantity],Quantitytable[Dish],Quantitytable[[#This Row],[Dish]],Quantitytable[[Ingredient ]],Quantitytable[[#This Row],[Ingredient ]]))</f>
        <v>0</v>
      </c>
      <c r="E46" s="29">
        <f>SUMIFS(salestable[Quantity Sold],salestable[Item Name],Quantitytable[[#This Row],[Dish]])</f>
        <v>0</v>
      </c>
      <c r="F46" s="29">
        <f>'Quantity Sample'!$D33*'Quantity Sample'!$E33</f>
        <v>0</v>
      </c>
      <c r="G46" s="29">
        <f>_xlfn.IFNA(VLOOKUP(Quantitytable[[#This Row],[Ingredient ]],Shoppingtable[[Item Name]:[BALANCE Cash]],5,FALSE),0)*Quantitytable[[#This Row],[NeededQuantity]]</f>
        <v>0.6</v>
      </c>
      <c r="H46" s="29">
        <f>SUMIF(Quantitytable[Dish],Quantitytable[[#This Row],[Dish]],Quantitytable[Cost Per Dish Per Item])</f>
        <v>51.989051258921648</v>
      </c>
      <c r="I46" s="30" t="s">
        <v>501</v>
      </c>
    </row>
    <row r="47" spans="1:9" x14ac:dyDescent="0.25">
      <c r="A47" s="28" t="s">
        <v>337</v>
      </c>
      <c r="B47" s="29" t="s">
        <v>46</v>
      </c>
      <c r="C47" s="29"/>
      <c r="D47" s="29">
        <f>IF(Quantitytable[[#This Row],[Units]]=0,0,SUMIFS(Quantitytable[NeededQuantity],Quantitytable[Dish],Quantitytable[[#This Row],[Dish]],Quantitytable[[Ingredient ]],Quantitytable[[#This Row],[Ingredient ]]))</f>
        <v>0</v>
      </c>
      <c r="E47" s="29">
        <f>SUMIFS(salestable[Quantity Sold],salestable[Item Name],Quantitytable[[#This Row],[Dish]])</f>
        <v>0</v>
      </c>
      <c r="F47" s="29">
        <f>'Quantity Sample'!$D34*'Quantity Sample'!$E34</f>
        <v>0</v>
      </c>
      <c r="G47" s="29">
        <f>_xlfn.IFNA(VLOOKUP(Quantitytable[[#This Row],[Ingredient ]],Shoppingtable[[Item Name]:[BALANCE Cash]],5,FALSE),0)*Quantitytable[[#This Row],[NeededQuantity]]</f>
        <v>0.72941176470588232</v>
      </c>
      <c r="H47" s="29">
        <f>SUMIF(Quantitytable[Dish],Quantitytable[[#This Row],[Dish]],Quantitytable[Cost Per Dish Per Item])</f>
        <v>51.989051258921648</v>
      </c>
      <c r="I47" s="30" t="s">
        <v>501</v>
      </c>
    </row>
    <row r="48" spans="1:9" x14ac:dyDescent="0.25">
      <c r="A48" s="28" t="s">
        <v>337</v>
      </c>
      <c r="B48" s="29" t="s">
        <v>50</v>
      </c>
      <c r="C48" s="29"/>
      <c r="D48" s="29">
        <f>IF(Quantitytable[[#This Row],[Units]]=0,0,SUMIFS(Quantitytable[NeededQuantity],Quantitytable[Dish],Quantitytable[[#This Row],[Dish]],Quantitytable[[Ingredient ]],Quantitytable[[#This Row],[Ingredient ]]))</f>
        <v>0</v>
      </c>
      <c r="E48" s="29">
        <f>SUMIFS(salestable[Quantity Sold],salestable[Item Name],Quantitytable[[#This Row],[Dish]])</f>
        <v>0</v>
      </c>
      <c r="F48" s="29">
        <f>'Quantity Sample'!$D35*'Quantity Sample'!$E35</f>
        <v>0</v>
      </c>
      <c r="G48" s="29">
        <f>_xlfn.IFNA(VLOOKUP(Quantitytable[[#This Row],[Ingredient ]],Shoppingtable[[Item Name]:[BALANCE Cash]],5,FALSE),0)*Quantitytable[[#This Row],[NeededQuantity]]</f>
        <v>2.1</v>
      </c>
      <c r="H48" s="29">
        <f>SUMIF(Quantitytable[Dish],Quantitytable[[#This Row],[Dish]],Quantitytable[Cost Per Dish Per Item])</f>
        <v>51.989051258921648</v>
      </c>
      <c r="I48" s="30" t="s">
        <v>501</v>
      </c>
    </row>
    <row r="49" spans="1:9" x14ac:dyDescent="0.25">
      <c r="A49" s="28" t="s">
        <v>337</v>
      </c>
      <c r="B49" s="29" t="s">
        <v>25</v>
      </c>
      <c r="C49" s="29"/>
      <c r="D49" s="29">
        <f>IF(Quantitytable[[#This Row],[Units]]=0,0,SUMIFS(Quantitytable[NeededQuantity],Quantitytable[Dish],Quantitytable[[#This Row],[Dish]],Quantitytable[[Ingredient ]],Quantitytable[[#This Row],[Ingredient ]]))</f>
        <v>0</v>
      </c>
      <c r="E49" s="29">
        <f>SUMIFS(salestable[Quantity Sold],salestable[Item Name],Quantitytable[[#This Row],[Dish]])</f>
        <v>0</v>
      </c>
      <c r="F49" s="29">
        <f>'Quantity Sample'!$D36*'Quantity Sample'!$E36</f>
        <v>0</v>
      </c>
      <c r="G49" s="29">
        <f>_xlfn.IFNA(VLOOKUP(Quantitytable[[#This Row],[Ingredient ]],Shoppingtable[[Item Name]:[BALANCE Cash]],5,FALSE),0)*Quantitytable[[#This Row],[NeededQuantity]]</f>
        <v>0.22598870056497175</v>
      </c>
      <c r="H49" s="29">
        <f>SUMIF(Quantitytable[Dish],Quantitytable[[#This Row],[Dish]],Quantitytable[Cost Per Dish Per Item])</f>
        <v>51.989051258921648</v>
      </c>
      <c r="I49" s="30" t="s">
        <v>501</v>
      </c>
    </row>
    <row r="50" spans="1:9" x14ac:dyDescent="0.25">
      <c r="A50" s="28" t="s">
        <v>335</v>
      </c>
      <c r="B50" s="29" t="s">
        <v>46</v>
      </c>
      <c r="C50" s="29"/>
      <c r="D50" s="29">
        <f>IF(Quantitytable[[#This Row],[Units]]=0,0,SUMIFS(Quantitytable[NeededQuantity],Quantitytable[Dish],Quantitytable[[#This Row],[Dish]],Quantitytable[[Ingredient ]],Quantitytable[[#This Row],[Ingredient ]]))</f>
        <v>0</v>
      </c>
      <c r="E50" s="29">
        <f>SUMIFS(salestable[Quantity Sold],salestable[Item Name],Quantitytable[[#This Row],[Dish]])</f>
        <v>0</v>
      </c>
      <c r="F50" s="29">
        <f>'Quantity Sample'!$D37*'Quantity Sample'!$E37</f>
        <v>0</v>
      </c>
      <c r="G50" s="29">
        <f>_xlfn.IFNA(VLOOKUP(Quantitytable[[#This Row],[Ingredient ]],Shoppingtable[[Item Name]:[BALANCE Cash]],5,FALSE),0)*Quantitytable[[#This Row],[NeededQuantity]]</f>
        <v>0.8</v>
      </c>
      <c r="H50" s="29">
        <f>SUMIF(Quantitytable[Dish],Quantitytable[[#This Row],[Dish]],Quantitytable[Cost Per Dish Per Item])</f>
        <v>51.989051258921648</v>
      </c>
      <c r="I50" s="30" t="s">
        <v>501</v>
      </c>
    </row>
    <row r="51" spans="1:9" x14ac:dyDescent="0.25">
      <c r="A51" s="28" t="s">
        <v>335</v>
      </c>
      <c r="B51" s="29" t="s">
        <v>50</v>
      </c>
      <c r="C51" s="29"/>
      <c r="D51" s="29">
        <f>IF(Quantitytable[[#This Row],[Units]]=0,0,SUMIFS(Quantitytable[NeededQuantity],Quantitytable[Dish],Quantitytable[[#This Row],[Dish]],Quantitytable[[Ingredient ]],Quantitytable[[#This Row],[Ingredient ]]))</f>
        <v>0</v>
      </c>
      <c r="E51" s="29">
        <f>SUMIFS(salestable[Quantity Sold],salestable[Item Name],Quantitytable[[#This Row],[Dish]])</f>
        <v>0</v>
      </c>
      <c r="F51" s="29">
        <f>'Quantity Sample'!$D38*'Quantity Sample'!$E38</f>
        <v>0</v>
      </c>
      <c r="G51" s="29">
        <f>_xlfn.IFNA(VLOOKUP(Quantitytable[[#This Row],[Ingredient ]],Shoppingtable[[Item Name]:[BALANCE Cash]],5,FALSE),0)*Quantitytable[[#This Row],[NeededQuantity]]</f>
        <v>5.84</v>
      </c>
      <c r="H51" s="29">
        <f>SUMIF(Quantitytable[Dish],Quantitytable[[#This Row],[Dish]],Quantitytable[Cost Per Dish Per Item])</f>
        <v>51.989051258921648</v>
      </c>
      <c r="I51" s="30" t="s">
        <v>501</v>
      </c>
    </row>
    <row r="52" spans="1:9" x14ac:dyDescent="0.25">
      <c r="A52" s="28" t="s">
        <v>335</v>
      </c>
      <c r="B52" s="29" t="s">
        <v>25</v>
      </c>
      <c r="C52" s="29"/>
      <c r="D52" s="29">
        <f>IF(Quantitytable[[#This Row],[Units]]=0,0,SUMIFS(Quantitytable[NeededQuantity],Quantitytable[Dish],Quantitytable[[#This Row],[Dish]],Quantitytable[[Ingredient ]],Quantitytable[[#This Row],[Ingredient ]]))</f>
        <v>0</v>
      </c>
      <c r="E52" s="29">
        <f>SUMIFS(salestable[Quantity Sold],salestable[Item Name],Quantitytable[[#This Row],[Dish]])</f>
        <v>0</v>
      </c>
      <c r="F52" s="29">
        <f>'Quantity Sample'!$D39*'Quantity Sample'!$E39</f>
        <v>0</v>
      </c>
      <c r="G52" s="29">
        <f>_xlfn.IFNA(VLOOKUP(Quantitytable[[#This Row],[Ingredient ]],Shoppingtable[[Item Name]:[BALANCE Cash]],5,FALSE),0)*Quantitytable[[#This Row],[NeededQuantity]]</f>
        <v>1.5</v>
      </c>
      <c r="H52" s="29">
        <f>SUMIF(Quantitytable[Dish],Quantitytable[[#This Row],[Dish]],Quantitytable[Cost Per Dish Per Item])</f>
        <v>51.989051258921648</v>
      </c>
      <c r="I52" s="30" t="s">
        <v>501</v>
      </c>
    </row>
    <row r="53" spans="1:9" x14ac:dyDescent="0.25">
      <c r="A53" s="28" t="s">
        <v>239</v>
      </c>
      <c r="B53" s="29" t="s">
        <v>44</v>
      </c>
      <c r="C53" s="29"/>
      <c r="D53" s="29">
        <f>IF(Quantitytable[[#This Row],[Units]]=0,0,SUMIFS(Quantitytable[NeededQuantity],Quantitytable[Dish],Quantitytable[[#This Row],[Dish]],Quantitytable[[Ingredient ]],Quantitytable[[#This Row],[Ingredient ]]))</f>
        <v>0</v>
      </c>
      <c r="E53" s="29">
        <f>SUMIFS(salestable[Quantity Sold],salestable[Item Name],Quantitytable[[#This Row],[Dish]])</f>
        <v>0</v>
      </c>
      <c r="F53" s="29">
        <f>'Quantity Sample'!$D40*'Quantity Sample'!$E40</f>
        <v>0</v>
      </c>
      <c r="G53" s="29">
        <f>_xlfn.IFNA(VLOOKUP(Quantitytable[[#This Row],[Ingredient ]],Shoppingtable[[Item Name]:[BALANCE Cash]],5,FALSE),0)*Quantitytable[[#This Row],[NeededQuantity]]</f>
        <v>3.3200000000000003</v>
      </c>
      <c r="H53" s="29">
        <f>SUMIF(Quantitytable[Dish],Quantitytable[[#This Row],[Dish]],Quantitytable[Cost Per Dish Per Item])</f>
        <v>51.989051258921648</v>
      </c>
      <c r="I53" s="30" t="s">
        <v>501</v>
      </c>
    </row>
    <row r="54" spans="1:9" x14ac:dyDescent="0.25">
      <c r="A54" s="28" t="s">
        <v>239</v>
      </c>
      <c r="B54" s="29" t="s">
        <v>48</v>
      </c>
      <c r="C54" s="29"/>
      <c r="D54" s="29">
        <f>IF(Quantitytable[[#This Row],[Units]]=0,0,SUMIFS(Quantitytable[NeededQuantity],Quantitytable[Dish],Quantitytable[[#This Row],[Dish]],Quantitytable[[Ingredient ]],Quantitytable[[#This Row],[Ingredient ]]))</f>
        <v>0</v>
      </c>
      <c r="E54" s="29">
        <f>SUMIFS(salestable[Quantity Sold],salestable[Item Name],Quantitytable[[#This Row],[Dish]])</f>
        <v>0</v>
      </c>
      <c r="F54" s="29">
        <f>'Quantity Sample'!$D41*'Quantity Sample'!$E41</f>
        <v>0</v>
      </c>
      <c r="G54" s="29">
        <f>_xlfn.IFNA(VLOOKUP(Quantitytable[[#This Row],[Ingredient ]],Shoppingtable[[Item Name]:[BALANCE Cash]],5,FALSE),0)*Quantitytable[[#This Row],[NeededQuantity]]</f>
        <v>22.08</v>
      </c>
      <c r="H54" s="29">
        <f>SUMIF(Quantitytable[Dish],Quantitytable[[#This Row],[Dish]],Quantitytable[Cost Per Dish Per Item])</f>
        <v>51.989051258921648</v>
      </c>
      <c r="I54" s="30" t="s">
        <v>501</v>
      </c>
    </row>
    <row r="55" spans="1:9" x14ac:dyDescent="0.25">
      <c r="A55" s="28" t="s">
        <v>239</v>
      </c>
      <c r="B55" s="29" t="s">
        <v>25</v>
      </c>
      <c r="C55" s="29"/>
      <c r="D55" s="29">
        <f>IF(Quantitytable[[#This Row],[Units]]=0,0,SUMIFS(Quantitytable[NeededQuantity],Quantitytable[Dish],Quantitytable[[#This Row],[Dish]],Quantitytable[[Ingredient ]],Quantitytable[[#This Row],[Ingredient ]]))</f>
        <v>0</v>
      </c>
      <c r="E55" s="29">
        <f>SUMIFS(salestable[Quantity Sold],salestable[Item Name],Quantitytable[[#This Row],[Dish]])</f>
        <v>0</v>
      </c>
      <c r="F55" s="29">
        <f>'Quantity Sample'!$D42*'Quantity Sample'!$E42</f>
        <v>0</v>
      </c>
      <c r="G55" s="29">
        <f>_xlfn.IFNA(VLOOKUP(Quantitytable[[#This Row],[Ingredient ]],Shoppingtable[[Item Name]:[BALANCE Cash]],5,FALSE),0)*Quantitytable[[#This Row],[NeededQuantity]]</f>
        <v>9</v>
      </c>
      <c r="H55" s="29">
        <f>SUMIF(Quantitytable[Dish],Quantitytable[[#This Row],[Dish]],Quantitytable[Cost Per Dish Per Item])</f>
        <v>51.989051258921648</v>
      </c>
      <c r="I55" s="30" t="s">
        <v>501</v>
      </c>
    </row>
    <row r="56" spans="1:9" x14ac:dyDescent="0.25">
      <c r="A56" s="28" t="s">
        <v>197</v>
      </c>
      <c r="B56" s="29" t="s">
        <v>48</v>
      </c>
      <c r="C56" s="29"/>
      <c r="D56" s="29">
        <f>IF(Quantitytable[[#This Row],[Units]]=0,0,SUMIFS(Quantitytable[NeededQuantity],Quantitytable[Dish],Quantitytable[[#This Row],[Dish]],Quantitytable[[Ingredient ]],Quantitytable[[#This Row],[Ingredient ]]))</f>
        <v>0</v>
      </c>
      <c r="E56" s="29">
        <f>SUMIFS(salestable[Quantity Sold],salestable[Item Name],Quantitytable[[#This Row],[Dish]])</f>
        <v>0</v>
      </c>
      <c r="F56" s="29">
        <f>'Quantity Sample'!$D43*'Quantity Sample'!$E43</f>
        <v>0</v>
      </c>
      <c r="G56" s="29">
        <f>_xlfn.IFNA(VLOOKUP(Quantitytable[[#This Row],[Ingredient ]],Shoppingtable[[Item Name]:[BALANCE Cash]],5,FALSE),0)*Quantitytable[[#This Row],[NeededQuantity]]</f>
        <v>4.5714285714285712</v>
      </c>
      <c r="H56" s="29">
        <f>SUMIF(Quantitytable[Dish],Quantitytable[[#This Row],[Dish]],Quantitytable[Cost Per Dish Per Item])</f>
        <v>51.989051258921648</v>
      </c>
      <c r="I56" s="30" t="s">
        <v>501</v>
      </c>
    </row>
    <row r="57" spans="1:9" x14ac:dyDescent="0.25">
      <c r="A57" s="28" t="s">
        <v>197</v>
      </c>
      <c r="B57" s="29" t="s">
        <v>73</v>
      </c>
      <c r="C57" s="29"/>
      <c r="D57" s="29">
        <f>IF(Quantitytable[[#This Row],[Units]]=0,0,SUMIFS(Quantitytable[NeededQuantity],Quantitytable[Dish],Quantitytable[[#This Row],[Dish]],Quantitytable[[Ingredient ]],Quantitytable[[#This Row],[Ingredient ]]))</f>
        <v>0</v>
      </c>
      <c r="E57" s="29">
        <f>SUMIFS(salestable[Quantity Sold],salestable[Item Name],Quantitytable[[#This Row],[Dish]])</f>
        <v>0</v>
      </c>
      <c r="F57" s="29">
        <f>'Quantity Sample'!$D44*'Quantity Sample'!$E44</f>
        <v>0</v>
      </c>
      <c r="G57" s="29">
        <f>_xlfn.IFNA(VLOOKUP(Quantitytable[[#This Row],[Ingredient ]],Shoppingtable[[Item Name]:[BALANCE Cash]],5,FALSE),0)*Quantitytable[[#This Row],[NeededQuantity]]</f>
        <v>0.6</v>
      </c>
      <c r="H57" s="29">
        <f>SUMIF(Quantitytable[Dish],Quantitytable[[#This Row],[Dish]],Quantitytable[Cost Per Dish Per Item])</f>
        <v>43.22155125892165</v>
      </c>
      <c r="I57" s="30" t="s">
        <v>501</v>
      </c>
    </row>
    <row r="58" spans="1:9" x14ac:dyDescent="0.25">
      <c r="A58" s="28" t="s">
        <v>197</v>
      </c>
      <c r="B58" s="29" t="s">
        <v>25</v>
      </c>
      <c r="C58" s="29"/>
      <c r="D58" s="29">
        <f>IF(Quantitytable[[#This Row],[Units]]=0,0,SUMIFS(Quantitytable[NeededQuantity],Quantitytable[Dish],Quantitytable[[#This Row],[Dish]],Quantitytable[[Ingredient ]],Quantitytable[[#This Row],[Ingredient ]]))</f>
        <v>0</v>
      </c>
      <c r="E58" s="29">
        <f>SUMIFS(salestable[Quantity Sold],salestable[Item Name],Quantitytable[[#This Row],[Dish]])</f>
        <v>0</v>
      </c>
      <c r="F58" s="29">
        <f>'Quantity Sample'!$D45*'Quantity Sample'!$E45</f>
        <v>0</v>
      </c>
      <c r="G58" s="29">
        <f>_xlfn.IFNA(VLOOKUP(Quantitytable[[#This Row],[Ingredient ]],Shoppingtable[[Item Name]:[BALANCE Cash]],5,FALSE),0)*Quantitytable[[#This Row],[NeededQuantity]]</f>
        <v>0.62222222222222223</v>
      </c>
      <c r="H58" s="29">
        <f>SUMIF(Quantitytable[Dish],Quantitytable[[#This Row],[Dish]],Quantitytable[Cost Per Dish Per Item])</f>
        <v>43.22155125892165</v>
      </c>
      <c r="I58" s="30" t="s">
        <v>501</v>
      </c>
    </row>
    <row r="59" spans="1:9" x14ac:dyDescent="0.25">
      <c r="A59" s="28" t="s">
        <v>255</v>
      </c>
      <c r="B59" s="29" t="s">
        <v>48</v>
      </c>
      <c r="C59" s="29"/>
      <c r="D59" s="29">
        <f>IF(Quantitytable[[#This Row],[Units]]=0,0,SUMIFS(Quantitytable[NeededQuantity],Quantitytable[Dish],Quantitytable[[#This Row],[Dish]],Quantitytable[[Ingredient ]],Quantitytable[[#This Row],[Ingredient ]]))</f>
        <v>0</v>
      </c>
      <c r="E59" s="29">
        <f>SUMIFS(salestable[Quantity Sold],salestable[Item Name],Quantitytable[[#This Row],[Dish]])</f>
        <v>0</v>
      </c>
      <c r="F59" s="29">
        <f>'Quantity Sample'!$D46*'Quantity Sample'!$E46</f>
        <v>0</v>
      </c>
      <c r="G59" s="29">
        <f>_xlfn.IFNA(VLOOKUP(Quantitytable[[#This Row],[Ingredient ]],Shoppingtable[[Item Name]:[BALANCE Cash]],5,FALSE),0)*Quantitytable[[#This Row],[NeededQuantity]]</f>
        <v>0.6</v>
      </c>
      <c r="H59" s="29">
        <f>SUMIF(Quantitytable[Dish],Quantitytable[[#This Row],[Dish]],Quantitytable[Cost Per Dish Per Item])</f>
        <v>43.22155125892165</v>
      </c>
      <c r="I59" s="30" t="s">
        <v>501</v>
      </c>
    </row>
    <row r="60" spans="1:9" x14ac:dyDescent="0.25">
      <c r="A60" s="28" t="s">
        <v>255</v>
      </c>
      <c r="B60" s="29" t="s">
        <v>86</v>
      </c>
      <c r="C60" s="29"/>
      <c r="D60" s="29">
        <f>IF(Quantitytable[[#This Row],[Units]]=0,0,SUMIFS(Quantitytable[NeededQuantity],Quantitytable[Dish],Quantitytable[[#This Row],[Dish]],Quantitytable[[Ingredient ]],Quantitytable[[#This Row],[Ingredient ]]))</f>
        <v>0</v>
      </c>
      <c r="E60" s="29">
        <f>SUMIFS(salestable[Quantity Sold],salestable[Item Name],Quantitytable[[#This Row],[Dish]])</f>
        <v>0</v>
      </c>
      <c r="F60" s="29">
        <f>'Quantity Sample'!$D47*'Quantity Sample'!$E47</f>
        <v>0</v>
      </c>
      <c r="G60" s="29">
        <f>_xlfn.IFNA(VLOOKUP(Quantitytable[[#This Row],[Ingredient ]],Shoppingtable[[Item Name]:[BALANCE Cash]],5,FALSE),0)*Quantitytable[[#This Row],[NeededQuantity]]</f>
        <v>0.72941176470588232</v>
      </c>
      <c r="H60" s="29">
        <f>SUMIF(Quantitytable[Dish],Quantitytable[[#This Row],[Dish]],Quantitytable[Cost Per Dish Per Item])</f>
        <v>43.22155125892165</v>
      </c>
      <c r="I60" s="30" t="s">
        <v>501</v>
      </c>
    </row>
    <row r="61" spans="1:9" x14ac:dyDescent="0.25">
      <c r="A61" s="28" t="s">
        <v>255</v>
      </c>
      <c r="B61" s="29" t="s">
        <v>107</v>
      </c>
      <c r="C61" s="29"/>
      <c r="D61" s="29">
        <f>IF(Quantitytable[[#This Row],[Units]]=0,0,SUMIFS(Quantitytable[NeededQuantity],Quantitytable[Dish],Quantitytable[[#This Row],[Dish]],Quantitytable[[Ingredient ]],Quantitytable[[#This Row],[Ingredient ]]))</f>
        <v>0</v>
      </c>
      <c r="E61" s="29">
        <f>SUMIFS(salestable[Quantity Sold],salestable[Item Name],Quantitytable[[#This Row],[Dish]])</f>
        <v>0</v>
      </c>
      <c r="F61" s="29">
        <f>'Quantity Sample'!$D48*'Quantity Sample'!$E48</f>
        <v>0</v>
      </c>
      <c r="G61" s="29">
        <f>_xlfn.IFNA(VLOOKUP(Quantitytable[[#This Row],[Ingredient ]],Shoppingtable[[Item Name]:[BALANCE Cash]],5,FALSE),0)*Quantitytable[[#This Row],[NeededQuantity]]</f>
        <v>2.1</v>
      </c>
      <c r="H61" s="29">
        <f>SUMIF(Quantitytable[Dish],Quantitytable[[#This Row],[Dish]],Quantitytable[Cost Per Dish Per Item])</f>
        <v>43.22155125892165</v>
      </c>
      <c r="I61" s="30" t="s">
        <v>501</v>
      </c>
    </row>
    <row r="62" spans="1:9" x14ac:dyDescent="0.25">
      <c r="A62" s="28" t="s">
        <v>251</v>
      </c>
      <c r="B62" s="29" t="s">
        <v>34</v>
      </c>
      <c r="C62" s="29"/>
      <c r="D62" s="29">
        <f>IF(Quantitytable[[#This Row],[Units]]=0,0,SUMIFS(Quantitytable[NeededQuantity],Quantitytable[Dish],Quantitytable[[#This Row],[Dish]],Quantitytable[[Ingredient ]],Quantitytable[[#This Row],[Ingredient ]]))</f>
        <v>0</v>
      </c>
      <c r="E62" s="29">
        <f>SUMIFS(salestable[Quantity Sold],salestable[Item Name],Quantitytable[[#This Row],[Dish]])</f>
        <v>0</v>
      </c>
      <c r="F62" s="29">
        <f>'Quantity Sample'!$D49*'Quantity Sample'!$E49</f>
        <v>0</v>
      </c>
      <c r="G62" s="29">
        <f>_xlfn.IFNA(VLOOKUP(Quantitytable[[#This Row],[Ingredient ]],Shoppingtable[[Item Name]:[BALANCE Cash]],5,FALSE),0)*Quantitytable[[#This Row],[NeededQuantity]]</f>
        <v>0.22598870056497175</v>
      </c>
      <c r="H62" s="29">
        <f>SUMIF(Quantitytable[Dish],Quantitytable[[#This Row],[Dish]],Quantitytable[Cost Per Dish Per Item])</f>
        <v>43.22155125892165</v>
      </c>
      <c r="I62" s="30" t="s">
        <v>501</v>
      </c>
    </row>
    <row r="63" spans="1:9" x14ac:dyDescent="0.25">
      <c r="A63" s="28" t="s">
        <v>251</v>
      </c>
      <c r="B63" s="29" t="s">
        <v>57</v>
      </c>
      <c r="C63" s="29"/>
      <c r="D63" s="29">
        <f>IF(Quantitytable[[#This Row],[Units]]=0,0,SUMIFS(Quantitytable[NeededQuantity],Quantitytable[Dish],Quantitytable[[#This Row],[Dish]],Quantitytable[[Ingredient ]],Quantitytable[[#This Row],[Ingredient ]]))</f>
        <v>0</v>
      </c>
      <c r="E63" s="29">
        <f>SUMIFS(salestable[Quantity Sold],salestable[Item Name],Quantitytable[[#This Row],[Dish]])</f>
        <v>0</v>
      </c>
      <c r="F63" s="29">
        <f>'Quantity Sample'!$D50*'Quantity Sample'!$E50</f>
        <v>0</v>
      </c>
      <c r="G63" s="29">
        <f>_xlfn.IFNA(VLOOKUP(Quantitytable[[#This Row],[Ingredient ]],Shoppingtable[[Item Name]:[BALANCE Cash]],5,FALSE),0)*Quantitytable[[#This Row],[NeededQuantity]]</f>
        <v>0.8</v>
      </c>
      <c r="H63" s="29">
        <f>SUMIF(Quantitytable[Dish],Quantitytable[[#This Row],[Dish]],Quantitytable[Cost Per Dish Per Item])</f>
        <v>43.22155125892165</v>
      </c>
      <c r="I63" s="30" t="s">
        <v>501</v>
      </c>
    </row>
    <row r="64" spans="1:9" x14ac:dyDescent="0.25">
      <c r="A64" s="28" t="s">
        <v>195</v>
      </c>
      <c r="B64" s="29"/>
      <c r="C64" s="29"/>
      <c r="D64" s="29">
        <f>IF(Quantitytable[[#This Row],[Units]]=0,0,SUMIFS(Quantitytable[NeededQuantity],Quantitytable[Dish],Quantitytable[[#This Row],[Dish]],Quantitytable[[Ingredient ]],Quantitytable[[#This Row],[Ingredient ]]))</f>
        <v>0</v>
      </c>
      <c r="E64" s="29">
        <f>SUMIFS(salestable[Quantity Sold],salestable[Item Name],Quantitytable[[#This Row],[Dish]])</f>
        <v>0</v>
      </c>
      <c r="F64" s="29">
        <f>'Quantity Sample'!$D51*'Quantity Sample'!$E51</f>
        <v>0</v>
      </c>
      <c r="G64" s="29">
        <f>_xlfn.IFNA(VLOOKUP(Quantitytable[[#This Row],[Ingredient ]],Shoppingtable[[Item Name]:[BALANCE Cash]],5,FALSE),0)*Quantitytable[[#This Row],[NeededQuantity]]</f>
        <v>5.84</v>
      </c>
      <c r="H64" s="29">
        <f>SUMIF(Quantitytable[Dish],Quantitytable[[#This Row],[Dish]],Quantitytable[Cost Per Dish Per Item])</f>
        <v>43.22155125892165</v>
      </c>
      <c r="I64" s="30" t="s">
        <v>501</v>
      </c>
    </row>
    <row r="65" spans="1:9" x14ac:dyDescent="0.25">
      <c r="A65" s="28" t="s">
        <v>244</v>
      </c>
      <c r="B65" s="29" t="s">
        <v>64</v>
      </c>
      <c r="C65" s="29"/>
      <c r="D65" s="29">
        <f>IF(Quantitytable[[#This Row],[Units]]=0,0,SUMIFS(Quantitytable[NeededQuantity],Quantitytable[Dish],Quantitytable[[#This Row],[Dish]],Quantitytable[[Ingredient ]],Quantitytable[[#This Row],[Ingredient ]]))</f>
        <v>0</v>
      </c>
      <c r="E65" s="29">
        <f>SUMIFS(salestable[Quantity Sold],salestable[Item Name],Quantitytable[[#This Row],[Dish]])</f>
        <v>0</v>
      </c>
      <c r="F65" s="29">
        <f>'Quantity Sample'!$D52*'Quantity Sample'!$E52</f>
        <v>0</v>
      </c>
      <c r="G65" s="29">
        <f>_xlfn.IFNA(VLOOKUP(Quantitytable[[#This Row],[Ingredient ]],Shoppingtable[[Item Name]:[BALANCE Cash]],5,FALSE),0)*Quantitytable[[#This Row],[NeededQuantity]]</f>
        <v>1.5</v>
      </c>
      <c r="H65" s="29">
        <f>SUMIF(Quantitytable[Dish],Quantitytable[[#This Row],[Dish]],Quantitytable[Cost Per Dish Per Item])</f>
        <v>43.22155125892165</v>
      </c>
      <c r="I65" s="30" t="s">
        <v>501</v>
      </c>
    </row>
    <row r="66" spans="1:9" x14ac:dyDescent="0.25">
      <c r="A66" s="28" t="s">
        <v>244</v>
      </c>
      <c r="B66" s="29" t="s">
        <v>102</v>
      </c>
      <c r="C66" s="29"/>
      <c r="D66" s="29">
        <f>IF(Quantitytable[[#This Row],[Units]]=0,0,SUMIFS(Quantitytable[NeededQuantity],Quantitytable[Dish],Quantitytable[[#This Row],[Dish]],Quantitytable[[Ingredient ]],Quantitytable[[#This Row],[Ingredient ]]))</f>
        <v>0</v>
      </c>
      <c r="E66" s="29">
        <f>SUMIFS(salestable[Quantity Sold],salestable[Item Name],Quantitytable[[#This Row],[Dish]])</f>
        <v>0</v>
      </c>
      <c r="F66" s="29">
        <f>'Quantity Sample'!$D53*'Quantity Sample'!$E53</f>
        <v>0</v>
      </c>
      <c r="G66" s="29">
        <f>_xlfn.IFNA(VLOOKUP(Quantitytable[[#This Row],[Ingredient ]],Shoppingtable[[Item Name]:[BALANCE Cash]],5,FALSE),0)*Quantitytable[[#This Row],[NeededQuantity]]</f>
        <v>3.3200000000000003</v>
      </c>
      <c r="H66" s="29">
        <f>SUMIF(Quantitytable[Dish],Quantitytable[[#This Row],[Dish]],Quantitytable[Cost Per Dish Per Item])</f>
        <v>43.22155125892165</v>
      </c>
      <c r="I66" s="30" t="s">
        <v>501</v>
      </c>
    </row>
    <row r="67" spans="1:9" x14ac:dyDescent="0.25">
      <c r="A67" s="28" t="s">
        <v>244</v>
      </c>
      <c r="B67" s="29" t="s">
        <v>108</v>
      </c>
      <c r="C67" s="29"/>
      <c r="D67" s="29">
        <f>IF(Quantitytable[[#This Row],[Units]]=0,0,SUMIFS(Quantitytable[NeededQuantity],Quantitytable[Dish],Quantitytable[[#This Row],[Dish]],Quantitytable[[Ingredient ]],Quantitytable[[#This Row],[Ingredient ]]))</f>
        <v>0</v>
      </c>
      <c r="E67" s="29">
        <f>SUMIFS(salestable[Quantity Sold],salestable[Item Name],Quantitytable[[#This Row],[Dish]])</f>
        <v>0</v>
      </c>
      <c r="F67" s="29">
        <f>'Quantity Sample'!$D54*'Quantity Sample'!$E54</f>
        <v>0</v>
      </c>
      <c r="G67" s="29">
        <f>_xlfn.IFNA(VLOOKUP(Quantitytable[[#This Row],[Ingredient ]],Shoppingtable[[Item Name]:[BALANCE Cash]],5,FALSE),0)*Quantitytable[[#This Row],[NeededQuantity]]</f>
        <v>13.3125</v>
      </c>
      <c r="H67" s="29">
        <f>SUMIF(Quantitytable[Dish],Quantitytable[[#This Row],[Dish]],Quantitytable[Cost Per Dish Per Item])</f>
        <v>43.22155125892165</v>
      </c>
      <c r="I67" s="30" t="s">
        <v>501</v>
      </c>
    </row>
    <row r="68" spans="1:9" x14ac:dyDescent="0.25">
      <c r="A68" s="28" t="s">
        <v>261</v>
      </c>
      <c r="B68" s="29" t="s">
        <v>41</v>
      </c>
      <c r="C68" s="29"/>
      <c r="D68" s="29">
        <f>IF(Quantitytable[[#This Row],[Units]]=0,0,SUMIFS(Quantitytable[NeededQuantity],Quantitytable[Dish],Quantitytable[[#This Row],[Dish]],Quantitytable[[Ingredient ]],Quantitytable[[#This Row],[Ingredient ]]))</f>
        <v>0</v>
      </c>
      <c r="E68" s="29">
        <f>SUMIFS(salestable[Quantity Sold],salestable[Item Name],Quantitytable[[#This Row],[Dish]])</f>
        <v>0</v>
      </c>
      <c r="F68" s="29">
        <f>'Quantity Sample'!$D55*'Quantity Sample'!$E55</f>
        <v>0</v>
      </c>
      <c r="G68" s="29">
        <f>_xlfn.IFNA(VLOOKUP(Quantitytable[[#This Row],[Ingredient ]],Shoppingtable[[Item Name]:[BALANCE Cash]],5,FALSE),0)*Quantitytable[[#This Row],[NeededQuantity]]</f>
        <v>9</v>
      </c>
      <c r="H68" s="29">
        <f>SUMIF(Quantitytable[Dish],Quantitytable[[#This Row],[Dish]],Quantitytable[Cost Per Dish Per Item])</f>
        <v>43.22155125892165</v>
      </c>
      <c r="I68" s="30" t="s">
        <v>501</v>
      </c>
    </row>
    <row r="69" spans="1:9" x14ac:dyDescent="0.25">
      <c r="A69" s="28" t="s">
        <v>261</v>
      </c>
      <c r="B69" s="29" t="s">
        <v>89</v>
      </c>
      <c r="C69" s="29"/>
      <c r="D69" s="29">
        <f>IF(Quantitytable[[#This Row],[Units]]=0,0,SUMIFS(Quantitytable[NeededQuantity],Quantitytable[Dish],Quantitytable[[#This Row],[Dish]],Quantitytable[[Ingredient ]],Quantitytable[[#This Row],[Ingredient ]]))</f>
        <v>0</v>
      </c>
      <c r="E69" s="29">
        <f>SUMIFS(salestable[Quantity Sold],salestable[Item Name],Quantitytable[[#This Row],[Dish]])</f>
        <v>0</v>
      </c>
      <c r="F69" s="29">
        <f>'Quantity Sample'!$D56*'Quantity Sample'!$E56</f>
        <v>0</v>
      </c>
      <c r="G69" s="29">
        <f>_xlfn.IFNA(VLOOKUP(Quantitytable[[#This Row],[Ingredient ]],Shoppingtable[[Item Name]:[BALANCE Cash]],5,FALSE),0)*Quantitytable[[#This Row],[NeededQuantity]]</f>
        <v>4.5714285714285712</v>
      </c>
      <c r="H69" s="29">
        <f>SUMIF(Quantitytable[Dish],Quantitytable[[#This Row],[Dish]],Quantitytable[Cost Per Dish Per Item])</f>
        <v>43.22155125892165</v>
      </c>
      <c r="I69" s="30" t="s">
        <v>501</v>
      </c>
    </row>
    <row r="70" spans="1:9" x14ac:dyDescent="0.25">
      <c r="A70" s="28" t="s">
        <v>261</v>
      </c>
      <c r="B70" s="29" t="s">
        <v>25</v>
      </c>
      <c r="C70" s="29"/>
      <c r="D70" s="29">
        <f>IF(Quantitytable[[#This Row],[Units]]=0,0,SUMIFS(Quantitytable[NeededQuantity],Quantitytable[Dish],Quantitytable[[#This Row],[Dish]],Quantitytable[[Ingredient ]],Quantitytable[[#This Row],[Ingredient ]]))</f>
        <v>0</v>
      </c>
      <c r="E70" s="29">
        <f>SUMIFS(salestable[Quantity Sold],salestable[Item Name],Quantitytable[[#This Row],[Dish]])</f>
        <v>0</v>
      </c>
      <c r="F70" s="29">
        <f>'Quantity Sample'!$D57*'Quantity Sample'!$E57</f>
        <v>0</v>
      </c>
      <c r="G70" s="29">
        <f>_xlfn.IFNA(VLOOKUP(Quantitytable[[#This Row],[Ingredient ]],Shoppingtable[[Item Name]:[BALANCE Cash]],5,FALSE),0)*Quantitytable[[#This Row],[NeededQuantity]]</f>
        <v>2.5</v>
      </c>
      <c r="H70" s="29">
        <f>SUMIF(Quantitytable[Dish],Quantitytable[[#This Row],[Dish]],Quantitytable[Cost Per Dish Per Item])</f>
        <v>2.75</v>
      </c>
      <c r="I70" s="30" t="s">
        <v>501</v>
      </c>
    </row>
    <row r="71" spans="1:9" x14ac:dyDescent="0.25">
      <c r="A71" s="28" t="s">
        <v>246</v>
      </c>
      <c r="B71" s="29" t="s">
        <v>9</v>
      </c>
      <c r="C71" s="29"/>
      <c r="D71" s="29">
        <f>IF(Quantitytable[[#This Row],[Units]]=0,0,SUMIFS(Quantitytable[NeededQuantity],Quantitytable[Dish],Quantitytable[[#This Row],[Dish]],Quantitytable[[Ingredient ]],Quantitytable[[#This Row],[Ingredient ]]))</f>
        <v>0</v>
      </c>
      <c r="E71" s="29">
        <f>SUMIFS(salestable[Quantity Sold],salestable[Item Name],Quantitytable[[#This Row],[Dish]])</f>
        <v>0</v>
      </c>
      <c r="F71" s="29">
        <f>'Quantity Sample'!$D58*'Quantity Sample'!$E58</f>
        <v>0</v>
      </c>
      <c r="G71" s="29">
        <f>_xlfn.IFNA(VLOOKUP(Quantitytable[[#This Row],[Ingredient ]],Shoppingtable[[Item Name]:[BALANCE Cash]],5,FALSE),0)*Quantitytable[[#This Row],[NeededQuantity]]</f>
        <v>0.25</v>
      </c>
      <c r="H71" s="29">
        <f>SUMIF(Quantitytable[Dish],Quantitytable[[#This Row],[Dish]],Quantitytable[Cost Per Dish Per Item])</f>
        <v>2.75</v>
      </c>
      <c r="I71" s="30" t="s">
        <v>501</v>
      </c>
    </row>
    <row r="72" spans="1:9" x14ac:dyDescent="0.25">
      <c r="A72" s="28" t="s">
        <v>269</v>
      </c>
      <c r="B72" s="29" t="s">
        <v>10</v>
      </c>
      <c r="C72" s="29"/>
      <c r="D72" s="29">
        <f>IF(Quantitytable[[#This Row],[Units]]=0,0,SUMIFS(Quantitytable[NeededQuantity],Quantitytable[Dish],Quantitytable[[#This Row],[Dish]],Quantitytable[[Ingredient ]],Quantitytable[[#This Row],[Ingredient ]]))</f>
        <v>0</v>
      </c>
      <c r="E72" s="29">
        <f>SUMIFS(salestable[Quantity Sold],salestable[Item Name],Quantitytable[[#This Row],[Dish]])</f>
        <v>0</v>
      </c>
      <c r="F72" s="29">
        <f>'Quantity Sample'!$D59*'Quantity Sample'!$E59</f>
        <v>0</v>
      </c>
      <c r="G72" s="29">
        <f>_xlfn.IFNA(VLOOKUP(Quantitytable[[#This Row],[Ingredient ]],Shoppingtable[[Item Name]:[BALANCE Cash]],5,FALSE),0)*Quantitytable[[#This Row],[NeededQuantity]]</f>
        <v>7</v>
      </c>
      <c r="H72" s="29">
        <f>SUMIF(Quantitytable[Dish],Quantitytable[[#This Row],[Dish]],Quantitytable[Cost Per Dish Per Item])</f>
        <v>7</v>
      </c>
      <c r="I72" s="30" t="s">
        <v>501</v>
      </c>
    </row>
    <row r="73" spans="1:9" x14ac:dyDescent="0.25">
      <c r="A73" s="28" t="s">
        <v>383</v>
      </c>
      <c r="B73" s="29" t="s">
        <v>25</v>
      </c>
      <c r="C73" s="29"/>
      <c r="D73" s="29">
        <f>IF(Quantitytable[[#This Row],[Units]]=0,0,SUMIFS(Quantitytable[NeededQuantity],Quantitytable[Dish],Quantitytable[[#This Row],[Dish]],Quantitytable[[Ingredient ]],Quantitytable[[#This Row],[Ingredient ]]))</f>
        <v>0</v>
      </c>
      <c r="E73" s="29">
        <f>SUMIFS(salestable[Quantity Sold],salestable[Item Name],Quantitytable[[#This Row],[Dish]])</f>
        <v>0</v>
      </c>
      <c r="F73" s="29">
        <f>'Quantity Sample'!$D60*'Quantity Sample'!$E60</f>
        <v>0</v>
      </c>
      <c r="G73" s="29">
        <f>_xlfn.IFNA(VLOOKUP(Quantitytable[[#This Row],[Ingredient ]],Shoppingtable[[Item Name]:[BALANCE Cash]],5,FALSE),0)*Quantitytable[[#This Row],[NeededQuantity]]</f>
        <v>5</v>
      </c>
      <c r="H73" s="29">
        <f>SUMIF(Quantitytable[Dish],Quantitytable[[#This Row],[Dish]],Quantitytable[Cost Per Dish Per Item])</f>
        <v>16.899999999999999</v>
      </c>
      <c r="I73" s="30" t="s">
        <v>501</v>
      </c>
    </row>
    <row r="74" spans="1:9" x14ac:dyDescent="0.25">
      <c r="A74" s="28" t="s">
        <v>241</v>
      </c>
      <c r="B74" s="29" t="s">
        <v>112</v>
      </c>
      <c r="C74" s="29"/>
      <c r="D74" s="29">
        <f>IF(Quantitytable[[#This Row],[Units]]=0,0,SUMIFS(Quantitytable[NeededQuantity],Quantitytable[Dish],Quantitytable[[#This Row],[Dish]],Quantitytable[[Ingredient ]],Quantitytable[[#This Row],[Ingredient ]]))</f>
        <v>0</v>
      </c>
      <c r="E74" s="29">
        <f>SUMIFS(salestable[Quantity Sold],salestable[Item Name],Quantitytable[[#This Row],[Dish]])</f>
        <v>0</v>
      </c>
      <c r="F74" s="29">
        <f>'Quantity Sample'!$D61*'Quantity Sample'!$E61</f>
        <v>0</v>
      </c>
      <c r="G74" s="29">
        <f>_xlfn.IFNA(VLOOKUP(Quantitytable[[#This Row],[Ingredient ]],Shoppingtable[[Item Name]:[BALANCE Cash]],5,FALSE),0)*Quantitytable[[#This Row],[NeededQuantity]]</f>
        <v>0.5</v>
      </c>
      <c r="H74" s="29">
        <f>SUMIF(Quantitytable[Dish],Quantitytable[[#This Row],[Dish]],Quantitytable[Cost Per Dish Per Item])</f>
        <v>16.899999999999999</v>
      </c>
      <c r="I74" s="30" t="s">
        <v>501</v>
      </c>
    </row>
    <row r="75" spans="1:9" x14ac:dyDescent="0.25">
      <c r="A75" s="28" t="s">
        <v>241</v>
      </c>
      <c r="B75" s="29" t="s">
        <v>67</v>
      </c>
      <c r="C75" s="29"/>
      <c r="D75" s="29">
        <f>IF(Quantitytable[[#This Row],[Units]]=0,0,SUMIFS(Quantitytable[NeededQuantity],Quantitytable[Dish],Quantitytable[[#This Row],[Dish]],Quantitytable[[Ingredient ]],Quantitytable[[#This Row],[Ingredient ]]))</f>
        <v>0</v>
      </c>
      <c r="E75" s="29">
        <f>SUMIFS(salestable[Quantity Sold],salestable[Item Name],Quantitytable[[#This Row],[Dish]])</f>
        <v>0</v>
      </c>
      <c r="F75" s="29">
        <f>'Quantity Sample'!$D62*'Quantity Sample'!$E62</f>
        <v>0</v>
      </c>
      <c r="G75" s="29">
        <f>_xlfn.IFNA(VLOOKUP(Quantitytable[[#This Row],[Ingredient ]],Shoppingtable[[Item Name]:[BALANCE Cash]],5,FALSE),0)*Quantitytable[[#This Row],[NeededQuantity]]</f>
        <v>11.4</v>
      </c>
      <c r="H75" s="29">
        <f>SUMIF(Quantitytable[Dish],Quantitytable[[#This Row],[Dish]],Quantitytable[Cost Per Dish Per Item])</f>
        <v>16.899999999999999</v>
      </c>
      <c r="I75" s="30" t="s">
        <v>501</v>
      </c>
    </row>
    <row r="76" spans="1:9" x14ac:dyDescent="0.25">
      <c r="A76" s="28" t="s">
        <v>241</v>
      </c>
      <c r="B76" s="29" t="s">
        <v>102</v>
      </c>
      <c r="C76" s="29"/>
      <c r="D76" s="29">
        <f>IF(Quantitytable[[#This Row],[Units]]=0,0,SUMIFS(Quantitytable[NeededQuantity],Quantitytable[Dish],Quantitytable[[#This Row],[Dish]],Quantitytable[[Ingredient ]],Quantitytable[[#This Row],[Ingredient ]]))</f>
        <v>0</v>
      </c>
      <c r="E76" s="29">
        <f>SUMIFS(salestable[Quantity Sold],salestable[Item Name],Quantitytable[[#This Row],[Dish]])</f>
        <v>0</v>
      </c>
      <c r="F76" s="29">
        <f>'Quantity Sample'!$D63*'Quantity Sample'!$E63</f>
        <v>0</v>
      </c>
      <c r="G76" s="29">
        <f>_xlfn.IFNA(VLOOKUP(Quantitytable[[#This Row],[Ingredient ]],Shoppingtable[[Item Name]:[BALANCE Cash]],5,FALSE),0)*Quantitytable[[#This Row],[NeededQuantity]]</f>
        <v>2.9166666666666665</v>
      </c>
      <c r="H76" s="29">
        <f>SUMIF(Quantitytable[Dish],Quantitytable[[#This Row],[Dish]],Quantitytable[Cost Per Dish Per Item])</f>
        <v>22.543706293706297</v>
      </c>
      <c r="I76" s="30" t="s">
        <v>501</v>
      </c>
    </row>
    <row r="77" spans="1:9" x14ac:dyDescent="0.25">
      <c r="A77" s="28" t="s">
        <v>164</v>
      </c>
      <c r="B77" s="29" t="s">
        <v>12</v>
      </c>
      <c r="C77" s="29"/>
      <c r="D77" s="29">
        <f>IF(Quantitytable[[#This Row],[Units]]=0,0,SUMIFS(Quantitytable[NeededQuantity],Quantitytable[Dish],Quantitytable[[#This Row],[Dish]],Quantitytable[[Ingredient ]],Quantitytable[[#This Row],[Ingredient ]]))</f>
        <v>0</v>
      </c>
      <c r="E77" s="29">
        <f>SUMIFS(salestable[Quantity Sold],salestable[Item Name],Quantitytable[[#This Row],[Dish]])</f>
        <v>0</v>
      </c>
      <c r="F77" s="29">
        <f>'Quantity Sample'!$D64*'Quantity Sample'!$E64</f>
        <v>0</v>
      </c>
      <c r="G77" s="29">
        <f>_xlfn.IFNA(VLOOKUP(Quantitytable[[#This Row],[Ingredient ]],Shoppingtable[[Item Name]:[BALANCE Cash]],5,FALSE),0)*Quantitytable[[#This Row],[NeededQuantity]]</f>
        <v>2.8846153846153846</v>
      </c>
      <c r="H77" s="29">
        <f>SUMIF(Quantitytable[Dish],Quantitytable[[#This Row],[Dish]],Quantitytable[Cost Per Dish Per Item])</f>
        <v>22.543706293706297</v>
      </c>
      <c r="I77" s="30" t="s">
        <v>501</v>
      </c>
    </row>
    <row r="78" spans="1:9" x14ac:dyDescent="0.25">
      <c r="A78" s="28" t="s">
        <v>164</v>
      </c>
      <c r="B78" s="29" t="s">
        <v>26</v>
      </c>
      <c r="C78" s="29"/>
      <c r="D78" s="29">
        <f>IF(Quantitytable[[#This Row],[Units]]=0,0,SUMIFS(Quantitytable[NeededQuantity],Quantitytable[Dish],Quantitytable[[#This Row],[Dish]],Quantitytable[[Ingredient ]],Quantitytable[[#This Row],[Ingredient ]]))</f>
        <v>0</v>
      </c>
      <c r="E78" s="29">
        <f>SUMIFS(salestable[Quantity Sold],salestable[Item Name],Quantitytable[[#This Row],[Dish]])</f>
        <v>0</v>
      </c>
      <c r="F78" s="29">
        <f>'Quantity Sample'!$D65*'Quantity Sample'!$E65</f>
        <v>0</v>
      </c>
      <c r="G78" s="29">
        <f>_xlfn.IFNA(VLOOKUP(Quantitytable[[#This Row],[Ingredient ]],Shoppingtable[[Item Name]:[BALANCE Cash]],5,FALSE),0)*Quantitytable[[#This Row],[NeededQuantity]]</f>
        <v>4.3333333333333339</v>
      </c>
      <c r="H78" s="29">
        <f>SUMIF(Quantitytable[Dish],Quantitytable[[#This Row],[Dish]],Quantitytable[Cost Per Dish Per Item])</f>
        <v>22.543706293706297</v>
      </c>
      <c r="I78" s="30" t="s">
        <v>501</v>
      </c>
    </row>
    <row r="79" spans="1:9" x14ac:dyDescent="0.25">
      <c r="A79" s="28" t="s">
        <v>164</v>
      </c>
      <c r="B79" s="29" t="s">
        <v>25</v>
      </c>
      <c r="C79" s="29"/>
      <c r="D79" s="29">
        <f>IF(Quantitytable[[#This Row],[Units]]=0,0,SUMIFS(Quantitytable[NeededQuantity],Quantitytable[Dish],Quantitytable[[#This Row],[Dish]],Quantitytable[[Ingredient ]],Quantitytable[[#This Row],[Ingredient ]]))</f>
        <v>0</v>
      </c>
      <c r="E79" s="29">
        <f>SUMIFS(salestable[Quantity Sold],salestable[Item Name],Quantitytable[[#This Row],[Dish]])</f>
        <v>0</v>
      </c>
      <c r="F79" s="29">
        <f>'Quantity Sample'!$D66*'Quantity Sample'!$E66</f>
        <v>0</v>
      </c>
      <c r="G79" s="29">
        <f>_xlfn.IFNA(VLOOKUP(Quantitytable[[#This Row],[Ingredient ]],Shoppingtable[[Item Name]:[BALANCE Cash]],5,FALSE),0)*Quantitytable[[#This Row],[NeededQuantity]]</f>
        <v>7.5</v>
      </c>
      <c r="H79" s="29">
        <f>SUMIF(Quantitytable[Dish],Quantitytable[[#This Row],[Dish]],Quantitytable[Cost Per Dish Per Item])</f>
        <v>22.543706293706297</v>
      </c>
      <c r="I79" s="30" t="s">
        <v>501</v>
      </c>
    </row>
    <row r="80" spans="1:9" x14ac:dyDescent="0.25">
      <c r="A80" s="28" t="s">
        <v>259</v>
      </c>
      <c r="B80" s="29" t="s">
        <v>16</v>
      </c>
      <c r="C80" s="29"/>
      <c r="D80" s="29">
        <f>IF(Quantitytable[[#This Row],[Units]]=0,0,SUMIFS(Quantitytable[NeededQuantity],Quantitytable[Dish],Quantitytable[[#This Row],[Dish]],Quantitytable[[Ingredient ]],Quantitytable[[#This Row],[Ingredient ]]))</f>
        <v>0</v>
      </c>
      <c r="E80" s="29">
        <f>SUMIFS(salestable[Quantity Sold],salestable[Item Name],Quantitytable[[#This Row],[Dish]])</f>
        <v>0</v>
      </c>
      <c r="F80" s="29">
        <f>'Quantity Sample'!$D67*'Quantity Sample'!$E67</f>
        <v>0</v>
      </c>
      <c r="G80" s="29">
        <f>_xlfn.IFNA(VLOOKUP(Quantitytable[[#This Row],[Ingredient ]],Shoppingtable[[Item Name]:[BALANCE Cash]],5,FALSE),0)*Quantitytable[[#This Row],[NeededQuantity]]</f>
        <v>0.90909090909090906</v>
      </c>
      <c r="H80" s="29">
        <f>SUMIF(Quantitytable[Dish],Quantitytable[[#This Row],[Dish]],Quantitytable[Cost Per Dish Per Item])</f>
        <v>22.543706293706297</v>
      </c>
      <c r="I80" s="30" t="s">
        <v>501</v>
      </c>
    </row>
    <row r="81" spans="1:9" x14ac:dyDescent="0.25">
      <c r="A81" s="28" t="s">
        <v>259</v>
      </c>
      <c r="B81" s="29" t="s">
        <v>26</v>
      </c>
      <c r="C81" s="29"/>
      <c r="D81" s="29">
        <f>IF(Quantitytable[[#This Row],[Units]]=0,0,SUMIFS(Quantitytable[NeededQuantity],Quantitytable[Dish],Quantitytable[[#This Row],[Dish]],Quantitytable[[Ingredient ]],Quantitytable[[#This Row],[Ingredient ]]))</f>
        <v>0</v>
      </c>
      <c r="E81" s="29">
        <f>SUMIFS(salestable[Quantity Sold],salestable[Item Name],Quantitytable[[#This Row],[Dish]])</f>
        <v>0</v>
      </c>
      <c r="F81" s="29">
        <f>'Quantity Sample'!$D68*'Quantity Sample'!$E68</f>
        <v>0</v>
      </c>
      <c r="G81" s="29">
        <f>_xlfn.IFNA(VLOOKUP(Quantitytable[[#This Row],[Ingredient ]],Shoppingtable[[Item Name]:[BALANCE Cash]],5,FALSE),0)*Quantitytable[[#This Row],[NeededQuantity]]</f>
        <v>4</v>
      </c>
      <c r="H81" s="29">
        <f>SUMIF(Quantitytable[Dish],Quantitytable[[#This Row],[Dish]],Quantitytable[Cost Per Dish Per Item])</f>
        <v>22.543706293706297</v>
      </c>
      <c r="I81" s="30" t="s">
        <v>501</v>
      </c>
    </row>
    <row r="82" spans="1:9" x14ac:dyDescent="0.25">
      <c r="A82" s="28" t="s">
        <v>259</v>
      </c>
      <c r="B82" s="29" t="s">
        <v>25</v>
      </c>
      <c r="C82" s="29"/>
      <c r="D82" s="29">
        <f>IF(Quantitytable[[#This Row],[Units]]=0,0,SUMIFS(Quantitytable[NeededQuantity],Quantitytable[Dish],Quantitytable[[#This Row],[Dish]],Quantitytable[[Ingredient ]],Quantitytable[[#This Row],[Ingredient ]]))</f>
        <v>0</v>
      </c>
      <c r="E82" s="29">
        <f>SUMIFS(salestable[Quantity Sold],salestable[Item Name],Quantitytable[[#This Row],[Dish]])</f>
        <v>0</v>
      </c>
      <c r="F82" s="29">
        <f>'Quantity Sample'!$D69*'Quantity Sample'!$E69</f>
        <v>0</v>
      </c>
      <c r="G82" s="29">
        <f>_xlfn.IFNA(VLOOKUP(Quantitytable[[#This Row],[Ingredient ]],Shoppingtable[[Item Name]:[BALANCE Cash]],5,FALSE),0)*Quantitytable[[#This Row],[NeededQuantity]]</f>
        <v>22.08</v>
      </c>
      <c r="H82" s="29">
        <f>SUMIF(Quantitytable[Dish],Quantitytable[[#This Row],[Dish]],Quantitytable[Cost Per Dish Per Item])</f>
        <v>34.489090909090905</v>
      </c>
      <c r="I82" s="30" t="s">
        <v>501</v>
      </c>
    </row>
    <row r="83" spans="1:9" x14ac:dyDescent="0.25">
      <c r="A83" s="28" t="s">
        <v>205</v>
      </c>
      <c r="B83" s="29" t="s">
        <v>26</v>
      </c>
      <c r="C83" s="29"/>
      <c r="D83" s="29">
        <f>IF(Quantitytable[[#This Row],[Units]]=0,0,SUMIFS(Quantitytable[NeededQuantity],Quantitytable[Dish],Quantitytable[[#This Row],[Dish]],Quantitytable[[Ingredient ]],Quantitytable[[#This Row],[Ingredient ]]))</f>
        <v>0</v>
      </c>
      <c r="E83" s="29">
        <f>SUMIFS(salestable[Quantity Sold],salestable[Item Name],Quantitytable[[#This Row],[Dish]])</f>
        <v>0</v>
      </c>
      <c r="F83" s="29">
        <f>'Quantity Sample'!$D73*'Quantity Sample'!$E73</f>
        <v>0</v>
      </c>
      <c r="G83" s="29">
        <f>_xlfn.IFNA(VLOOKUP(Quantitytable[[#This Row],[Ingredient ]],Shoppingtable[[Item Name]:[BALANCE Cash]],5,FALSE),0)*Quantitytable[[#This Row],[NeededQuantity]]</f>
        <v>7.5</v>
      </c>
      <c r="H83" s="29">
        <f>SUMIF(Quantitytable[Dish],Quantitytable[[#This Row],[Dish]],Quantitytable[Cost Per Dish Per Item])</f>
        <v>34.489090909090905</v>
      </c>
      <c r="I83" s="30" t="s">
        <v>501</v>
      </c>
    </row>
    <row r="84" spans="1:9" x14ac:dyDescent="0.25">
      <c r="A84" s="28" t="s">
        <v>205</v>
      </c>
      <c r="B84" s="29" t="s">
        <v>43</v>
      </c>
      <c r="C84" s="29"/>
      <c r="D84" s="29">
        <f>IF(Quantitytable[[#This Row],[Units]]=0,0,SUMIFS(Quantitytable[NeededQuantity],Quantitytable[Dish],Quantitytable[[#This Row],[Dish]],Quantitytable[[Ingredient ]],Quantitytable[[#This Row],[Ingredient ]]))</f>
        <v>0</v>
      </c>
      <c r="E84" s="29">
        <f>SUMIFS(salestable[Quantity Sold],salestable[Item Name],Quantitytable[[#This Row],[Dish]])</f>
        <v>0</v>
      </c>
      <c r="F84" s="29">
        <f>'Quantity Sample'!$D74*'Quantity Sample'!$E74</f>
        <v>0</v>
      </c>
      <c r="G84" s="29">
        <f>_xlfn.IFNA(VLOOKUP(Quantitytable[[#This Row],[Ingredient ]],Shoppingtable[[Item Name]:[BALANCE Cash]],5,FALSE),0)*Quantitytable[[#This Row],[NeededQuantity]]</f>
        <v>0.90909090909090906</v>
      </c>
      <c r="H84" s="29">
        <f>SUMIF(Quantitytable[Dish],Quantitytable[[#This Row],[Dish]],Quantitytable[Cost Per Dish Per Item])</f>
        <v>34.489090909090905</v>
      </c>
      <c r="I84" s="30" t="s">
        <v>501</v>
      </c>
    </row>
    <row r="85" spans="1:9" x14ac:dyDescent="0.25">
      <c r="A85" s="28" t="s">
        <v>205</v>
      </c>
      <c r="B85" s="29" t="s">
        <v>25</v>
      </c>
      <c r="C85" s="29"/>
      <c r="D85" s="29">
        <f>IF(Quantitytable[[#This Row],[Units]]=0,0,SUMIFS(Quantitytable[NeededQuantity],Quantitytable[Dish],Quantitytable[[#This Row],[Dish]],Quantitytable[[Ingredient ]],Quantitytable[[#This Row],[Ingredient ]]))</f>
        <v>0</v>
      </c>
      <c r="E85" s="29">
        <f>SUMIFS(salestable[Quantity Sold],salestable[Item Name],Quantitytable[[#This Row],[Dish]])</f>
        <v>0</v>
      </c>
      <c r="F85" s="29">
        <f>'Quantity Sample'!$D75*'Quantity Sample'!$E75</f>
        <v>0</v>
      </c>
      <c r="G85" s="29">
        <f>_xlfn.IFNA(VLOOKUP(Quantitytable[[#This Row],[Ingredient ]],Shoppingtable[[Item Name]:[BALANCE Cash]],5,FALSE),0)*Quantitytable[[#This Row],[NeededQuantity]]</f>
        <v>4</v>
      </c>
      <c r="H85" s="29">
        <f>SUMIF(Quantitytable[Dish],Quantitytable[[#This Row],[Dish]],Quantitytable[Cost Per Dish Per Item])</f>
        <v>34.489090909090905</v>
      </c>
      <c r="I85" s="30" t="s">
        <v>501</v>
      </c>
    </row>
    <row r="86" spans="1:9" x14ac:dyDescent="0.25">
      <c r="A86" s="28" t="s">
        <v>217</v>
      </c>
      <c r="B86" s="29" t="s">
        <v>28</v>
      </c>
      <c r="C86" s="29"/>
      <c r="D86" s="29">
        <f>IF(Quantitytable[[#This Row],[Units]]=0,0,SUMIFS(Quantitytable[NeededQuantity],Quantitytable[Dish],Quantitytable[[#This Row],[Dish]],Quantitytable[[Ingredient ]],Quantitytable[[#This Row],[Ingredient ]]))</f>
        <v>0</v>
      </c>
      <c r="E86" s="29">
        <f>SUMIFS(salestable[Quantity Sold],salestable[Item Name],Quantitytable[[#This Row],[Dish]])</f>
        <v>0</v>
      </c>
      <c r="F86" s="29">
        <f>'Quantity Sample'!$D76*'Quantity Sample'!$E76</f>
        <v>0</v>
      </c>
      <c r="G86" s="29">
        <f>_xlfn.IFNA(VLOOKUP(Quantitytable[[#This Row],[Ingredient ]],Shoppingtable[[Item Name]:[BALANCE Cash]],5,FALSE),0)*Quantitytable[[#This Row],[NeededQuantity]]</f>
        <v>13.3125</v>
      </c>
      <c r="H86" s="29">
        <f>SUMIF(Quantitytable[Dish],Quantitytable[[#This Row],[Dish]],Quantitytable[Cost Per Dish Per Item])</f>
        <v>25.72159090909091</v>
      </c>
      <c r="I86" s="30" t="s">
        <v>501</v>
      </c>
    </row>
    <row r="87" spans="1:9" x14ac:dyDescent="0.25">
      <c r="A87" s="28" t="s">
        <v>217</v>
      </c>
      <c r="B87" s="29" t="s">
        <v>93</v>
      </c>
      <c r="C87" s="29"/>
      <c r="D87" s="29">
        <f>IF(Quantitytable[[#This Row],[Units]]=0,0,SUMIFS(Quantitytable[NeededQuantity],Quantitytable[Dish],Quantitytable[[#This Row],[Dish]],Quantitytable[[Ingredient ]],Quantitytable[[#This Row],[Ingredient ]]))</f>
        <v>0</v>
      </c>
      <c r="E87" s="29">
        <f>SUMIFS(salestable[Quantity Sold],salestable[Item Name],Quantitytable[[#This Row],[Dish]])</f>
        <v>0</v>
      </c>
      <c r="F87" s="29">
        <f>'Quantity Sample'!$D77*'Quantity Sample'!$E77</f>
        <v>0</v>
      </c>
      <c r="G87" s="29">
        <f>_xlfn.IFNA(VLOOKUP(Quantitytable[[#This Row],[Ingredient ]],Shoppingtable[[Item Name]:[BALANCE Cash]],5,FALSE),0)*Quantitytable[[#This Row],[NeededQuantity]]</f>
        <v>7.5</v>
      </c>
      <c r="H87" s="29">
        <f>SUMIF(Quantitytable[Dish],Quantitytable[[#This Row],[Dish]],Quantitytable[Cost Per Dish Per Item])</f>
        <v>25.72159090909091</v>
      </c>
      <c r="I87" s="30" t="s">
        <v>501</v>
      </c>
    </row>
    <row r="88" spans="1:9" x14ac:dyDescent="0.25">
      <c r="A88" s="28" t="s">
        <v>217</v>
      </c>
      <c r="B88" s="29" t="s">
        <v>25</v>
      </c>
      <c r="C88" s="29"/>
      <c r="D88" s="29">
        <f>IF(Quantitytable[[#This Row],[Units]]=0,0,SUMIFS(Quantitytable[NeededQuantity],Quantitytable[Dish],Quantitytable[[#This Row],[Dish]],Quantitytable[[Ingredient ]],Quantitytable[[#This Row],[Ingredient ]]))</f>
        <v>0</v>
      </c>
      <c r="E88" s="29">
        <f>SUMIFS(salestable[Quantity Sold],salestable[Item Name],Quantitytable[[#This Row],[Dish]])</f>
        <v>0</v>
      </c>
      <c r="F88" s="29">
        <f>'Quantity Sample'!$D78*'Quantity Sample'!$E78</f>
        <v>0</v>
      </c>
      <c r="G88" s="29">
        <f>_xlfn.IFNA(VLOOKUP(Quantitytable[[#This Row],[Ingredient ]],Shoppingtable[[Item Name]:[BALANCE Cash]],5,FALSE),0)*Quantitytable[[#This Row],[NeededQuantity]]</f>
        <v>0.90909090909090906</v>
      </c>
      <c r="H88" s="29">
        <f>SUMIF(Quantitytable[Dish],Quantitytable[[#This Row],[Dish]],Quantitytable[Cost Per Dish Per Item])</f>
        <v>25.72159090909091</v>
      </c>
      <c r="I88" s="30" t="s">
        <v>501</v>
      </c>
    </row>
    <row r="89" spans="1:9" x14ac:dyDescent="0.25">
      <c r="A89" s="28" t="s">
        <v>206</v>
      </c>
      <c r="B89" s="29" t="s">
        <v>26</v>
      </c>
      <c r="C89" s="29"/>
      <c r="D89" s="29">
        <f>IF(Quantitytable[[#This Row],[Units]]=0,0,SUMIFS(Quantitytable[NeededQuantity],Quantitytable[Dish],Quantitytable[[#This Row],[Dish]],Quantitytable[[Ingredient ]],Quantitytable[[#This Row],[Ingredient ]]))</f>
        <v>0</v>
      </c>
      <c r="E89" s="29">
        <f>SUMIFS(salestable[Quantity Sold],salestable[Item Name],Quantitytable[[#This Row],[Dish]])</f>
        <v>0</v>
      </c>
      <c r="F89" s="29">
        <f>'Quantity Sample'!$D79*'Quantity Sample'!$E79</f>
        <v>0</v>
      </c>
      <c r="G89" s="29">
        <f>_xlfn.IFNA(VLOOKUP(Quantitytable[[#This Row],[Ingredient ]],Shoppingtable[[Item Name]:[BALANCE Cash]],5,FALSE),0)*Quantitytable[[#This Row],[NeededQuantity]]</f>
        <v>4</v>
      </c>
      <c r="H89" s="29">
        <f>SUMIF(Quantitytable[Dish],Quantitytable[[#This Row],[Dish]],Quantitytable[Cost Per Dish Per Item])</f>
        <v>25.72159090909091</v>
      </c>
      <c r="I89" s="30" t="s">
        <v>501</v>
      </c>
    </row>
    <row r="90" spans="1:9" x14ac:dyDescent="0.25">
      <c r="A90" s="28" t="s">
        <v>206</v>
      </c>
      <c r="B90" s="29" t="s">
        <v>75</v>
      </c>
      <c r="C90" s="29"/>
      <c r="D90" s="29">
        <f>IF(Quantitytable[[#This Row],[Units]]=0,0,SUMIFS(Quantitytable[NeededQuantity],Quantitytable[Dish],Quantitytable[[#This Row],[Dish]],Quantitytable[[Ingredient ]],Quantitytable[[#This Row],[Ingredient ]]))</f>
        <v>0</v>
      </c>
      <c r="E90" s="29">
        <f>SUMIFS(salestable[Quantity Sold],salestable[Item Name],Quantitytable[[#This Row],[Dish]])</f>
        <v>0</v>
      </c>
      <c r="F90" s="29">
        <f>'Quantity Sample'!$D80*'Quantity Sample'!$E80</f>
        <v>0</v>
      </c>
      <c r="G90" s="29">
        <f>_xlfn.IFNA(VLOOKUP(Quantitytable[[#This Row],[Ingredient ]],Shoppingtable[[Item Name]:[BALANCE Cash]],5,FALSE),0)*Quantitytable[[#This Row],[NeededQuantity]]</f>
        <v>0.3</v>
      </c>
      <c r="H90" s="29">
        <f>SUMIF(Quantitytable[Dish],Quantitytable[[#This Row],[Dish]],Quantitytable[Cost Per Dish Per Item])</f>
        <v>11.7</v>
      </c>
      <c r="I90" s="30" t="s">
        <v>501</v>
      </c>
    </row>
    <row r="91" spans="1:9" x14ac:dyDescent="0.25">
      <c r="A91" s="28" t="s">
        <v>206</v>
      </c>
      <c r="B91" s="29" t="s">
        <v>25</v>
      </c>
      <c r="C91" s="29"/>
      <c r="D91" s="29">
        <f>IF(Quantitytable[[#This Row],[Units]]=0,0,SUMIFS(Quantitytable[NeededQuantity],Quantitytable[Dish],Quantitytable[[#This Row],[Dish]],Quantitytable[[Ingredient ]],Quantitytable[[#This Row],[Ingredient ]]))</f>
        <v>0</v>
      </c>
      <c r="E91" s="29">
        <f>SUMIFS(salestable[Quantity Sold],salestable[Item Name],Quantitytable[[#This Row],[Dish]])</f>
        <v>0</v>
      </c>
      <c r="F91" s="29">
        <f>'Quantity Sample'!$D81*'Quantity Sample'!$E81</f>
        <v>0</v>
      </c>
      <c r="G91" s="29">
        <f>_xlfn.IFNA(VLOOKUP(Quantitytable[[#This Row],[Ingredient ]],Shoppingtable[[Item Name]:[BALANCE Cash]],5,FALSE),0)*Quantitytable[[#This Row],[NeededQuantity]]</f>
        <v>3.75</v>
      </c>
      <c r="H91" s="29">
        <f>SUMIF(Quantitytable[Dish],Quantitytable[[#This Row],[Dish]],Quantitytable[Cost Per Dish Per Item])</f>
        <v>11.7</v>
      </c>
      <c r="I91" s="30" t="s">
        <v>501</v>
      </c>
    </row>
    <row r="92" spans="1:9" x14ac:dyDescent="0.25">
      <c r="A92" s="28" t="s">
        <v>327</v>
      </c>
      <c r="B92" s="29" t="s">
        <v>26</v>
      </c>
      <c r="C92" s="29"/>
      <c r="D92" s="29">
        <f>IF(Quantitytable[[#This Row],[Units]]=0,0,SUMIFS(Quantitytable[NeededQuantity],Quantitytable[Dish],Quantitytable[[#This Row],[Dish]],Quantitytable[[Ingredient ]],Quantitytable[[#This Row],[Ingredient ]]))</f>
        <v>0</v>
      </c>
      <c r="E92" s="29">
        <f>SUMIFS(salestable[Quantity Sold],salestable[Item Name],Quantitytable[[#This Row],[Dish]])</f>
        <v>0</v>
      </c>
      <c r="F92" s="29">
        <f>'Quantity Sample'!$D82*'Quantity Sample'!$E82</f>
        <v>0</v>
      </c>
      <c r="G92" s="29">
        <f>_xlfn.IFNA(VLOOKUP(Quantitytable[[#This Row],[Ingredient ]],Shoppingtable[[Item Name]:[BALANCE Cash]],5,FALSE),0)*Quantitytable[[#This Row],[NeededQuantity]]</f>
        <v>3.65</v>
      </c>
      <c r="H92" s="29">
        <f>SUMIF(Quantitytable[Dish],Quantitytable[[#This Row],[Dish]],Quantitytable[Cost Per Dish Per Item])</f>
        <v>11.7</v>
      </c>
      <c r="I92" s="30" t="s">
        <v>501</v>
      </c>
    </row>
    <row r="93" spans="1:9" x14ac:dyDescent="0.25">
      <c r="A93" s="28" t="s">
        <v>327</v>
      </c>
      <c r="B93" s="29" t="s">
        <v>94</v>
      </c>
      <c r="C93" s="29"/>
      <c r="D93" s="29">
        <f>IF(Quantitytable[[#This Row],[Units]]=0,0,SUMIFS(Quantitytable[NeededQuantity],Quantitytable[Dish],Quantitytable[[#This Row],[Dish]],Quantitytable[[Ingredient ]],Quantitytable[[#This Row],[Ingredient ]]))</f>
        <v>0</v>
      </c>
      <c r="E93" s="29">
        <f>SUMIFS(salestable[Quantity Sold],salestable[Item Name],Quantitytable[[#This Row],[Dish]])</f>
        <v>0</v>
      </c>
      <c r="F93" s="29">
        <f>'Quantity Sample'!$D83*'Quantity Sample'!$E83</f>
        <v>0</v>
      </c>
      <c r="G93" s="29">
        <f>_xlfn.IFNA(VLOOKUP(Quantitytable[[#This Row],[Ingredient ]],Shoppingtable[[Item Name]:[BALANCE Cash]],5,FALSE),0)*Quantitytable[[#This Row],[NeededQuantity]]</f>
        <v>4</v>
      </c>
      <c r="H93" s="29">
        <f>SUMIF(Quantitytable[Dish],Quantitytable[[#This Row],[Dish]],Quantitytable[Cost Per Dish Per Item])</f>
        <v>11.7</v>
      </c>
      <c r="I93" s="30" t="s">
        <v>501</v>
      </c>
    </row>
    <row r="94" spans="1:9" x14ac:dyDescent="0.25">
      <c r="A94" s="28" t="s">
        <v>327</v>
      </c>
      <c r="B94" s="29" t="s">
        <v>25</v>
      </c>
      <c r="C94" s="29"/>
      <c r="D94" s="29">
        <f>IF(Quantitytable[[#This Row],[Units]]=0,0,SUMIFS(Quantitytable[NeededQuantity],Quantitytable[Dish],Quantitytable[[#This Row],[Dish]],Quantitytable[[Ingredient ]],Quantitytable[[#This Row],[Ingredient ]]))</f>
        <v>0</v>
      </c>
      <c r="E94" s="29">
        <f>SUMIFS(salestable[Quantity Sold],salestable[Item Name],Quantitytable[[#This Row],[Dish]])</f>
        <v>0</v>
      </c>
      <c r="F94" s="29">
        <f>'Quantity Sample'!$D84*'Quantity Sample'!$E84</f>
        <v>0</v>
      </c>
      <c r="G94" s="29">
        <f>_xlfn.IFNA(VLOOKUP(Quantitytable[[#This Row],[Ingredient ]],Shoppingtable[[Item Name]:[BALANCE Cash]],5,FALSE),0)*Quantitytable[[#This Row],[NeededQuantity]]</f>
        <v>0.3</v>
      </c>
      <c r="H94" s="29">
        <f>SUMIF(Quantitytable[Dish],Quantitytable[[#This Row],[Dish]],Quantitytable[Cost Per Dish Per Item])</f>
        <v>33.78</v>
      </c>
      <c r="I94" s="30" t="s">
        <v>501</v>
      </c>
    </row>
    <row r="95" spans="1:9" x14ac:dyDescent="0.25">
      <c r="A95" s="28" t="s">
        <v>159</v>
      </c>
      <c r="B95" s="29" t="s">
        <v>26</v>
      </c>
      <c r="C95" s="29"/>
      <c r="D95" s="29">
        <f>IF(Quantitytable[[#This Row],[Units]]=0,0,SUMIFS(Quantitytable[NeededQuantity],Quantitytable[Dish],Quantitytable[[#This Row],[Dish]],Quantitytable[[Ingredient ]],Quantitytable[[#This Row],[Ingredient ]]))</f>
        <v>0</v>
      </c>
      <c r="E95" s="29">
        <f>SUMIFS(salestable[Quantity Sold],salestable[Item Name],Quantitytable[[#This Row],[Dish]])</f>
        <v>0</v>
      </c>
      <c r="F95" s="29">
        <f>'Quantity Sample'!$D85*'Quantity Sample'!$E85</f>
        <v>0</v>
      </c>
      <c r="G95" s="29">
        <f>_xlfn.IFNA(VLOOKUP(Quantitytable[[#This Row],[Ingredient ]],Shoppingtable[[Item Name]:[BALANCE Cash]],5,FALSE),0)*Quantitytable[[#This Row],[NeededQuantity]]</f>
        <v>3.75</v>
      </c>
      <c r="H95" s="29">
        <f>SUMIF(Quantitytable[Dish],Quantitytable[[#This Row],[Dish]],Quantitytable[Cost Per Dish Per Item])</f>
        <v>33.78</v>
      </c>
      <c r="I95" s="30" t="s">
        <v>501</v>
      </c>
    </row>
    <row r="96" spans="1:9" x14ac:dyDescent="0.25">
      <c r="A96" s="28" t="s">
        <v>159</v>
      </c>
      <c r="B96" s="29" t="s">
        <v>93</v>
      </c>
      <c r="C96" s="29"/>
      <c r="D96" s="29">
        <f>IF(Quantitytable[[#This Row],[Units]]=0,0,SUMIFS(Quantitytable[NeededQuantity],Quantitytable[Dish],Quantitytable[[#This Row],[Dish]],Quantitytable[[Ingredient ]],Quantitytable[[#This Row],[Ingredient ]]))</f>
        <v>0</v>
      </c>
      <c r="E96" s="29">
        <f>SUMIFS(salestable[Quantity Sold],salestable[Item Name],Quantitytable[[#This Row],[Dish]])</f>
        <v>0</v>
      </c>
      <c r="F96" s="29">
        <f>'Quantity Sample'!$D86*'Quantity Sample'!$E86</f>
        <v>0</v>
      </c>
      <c r="G96" s="29">
        <f>_xlfn.IFNA(VLOOKUP(Quantitytable[[#This Row],[Ingredient ]],Shoppingtable[[Item Name]:[BALANCE Cash]],5,FALSE),0)*Quantitytable[[#This Row],[NeededQuantity]]</f>
        <v>3.65</v>
      </c>
      <c r="H96" s="29">
        <f>SUMIF(Quantitytable[Dish],Quantitytable[[#This Row],[Dish]],Quantitytable[Cost Per Dish Per Item])</f>
        <v>33.78</v>
      </c>
      <c r="I96" s="30" t="s">
        <v>501</v>
      </c>
    </row>
    <row r="97" spans="1:9" x14ac:dyDescent="0.25">
      <c r="A97" s="28" t="s">
        <v>159</v>
      </c>
      <c r="B97" s="29" t="s">
        <v>25</v>
      </c>
      <c r="C97" s="29"/>
      <c r="D97" s="29">
        <f>IF(Quantitytable[[#This Row],[Units]]=0,0,SUMIFS(Quantitytable[NeededQuantity],Quantitytable[Dish],Quantitytable[[#This Row],[Dish]],Quantitytable[[Ingredient ]],Quantitytable[[#This Row],[Ingredient ]]))</f>
        <v>0</v>
      </c>
      <c r="E97" s="29">
        <f>SUMIFS(salestable[Quantity Sold],salestable[Item Name],Quantitytable[[#This Row],[Dish]])</f>
        <v>0</v>
      </c>
      <c r="F97" s="29">
        <f>'Quantity Sample'!$D87*'Quantity Sample'!$E87</f>
        <v>0</v>
      </c>
      <c r="G97" s="29">
        <f>_xlfn.IFNA(VLOOKUP(Quantitytable[[#This Row],[Ingredient ]],Shoppingtable[[Item Name]:[BALANCE Cash]],5,FALSE),0)*Quantitytable[[#This Row],[NeededQuantity]]</f>
        <v>22.08</v>
      </c>
      <c r="H97" s="29">
        <f>SUMIF(Quantitytable[Dish],Quantitytable[[#This Row],[Dish]],Quantitytable[Cost Per Dish Per Item])</f>
        <v>33.78</v>
      </c>
      <c r="I97" s="30" t="s">
        <v>501</v>
      </c>
    </row>
    <row r="98" spans="1:9" x14ac:dyDescent="0.25">
      <c r="A98" s="28" t="s">
        <v>304</v>
      </c>
      <c r="B98" s="29" t="s">
        <v>26</v>
      </c>
      <c r="C98" s="29"/>
      <c r="D98" s="29">
        <f>IF(Quantitytable[[#This Row],[Units]]=0,0,SUMIFS(Quantitytable[NeededQuantity],Quantitytable[Dish],Quantitytable[[#This Row],[Dish]],Quantitytable[[Ingredient ]],Quantitytable[[#This Row],[Ingredient ]]))</f>
        <v>0</v>
      </c>
      <c r="E98" s="29">
        <f>SUMIFS(salestable[Quantity Sold],salestable[Item Name],Quantitytable[[#This Row],[Dish]])</f>
        <v>0</v>
      </c>
      <c r="F98" s="29">
        <f>'Quantity Sample'!$D88*'Quantity Sample'!$E88</f>
        <v>0</v>
      </c>
      <c r="G98" s="29">
        <f>_xlfn.IFNA(VLOOKUP(Quantitytable[[#This Row],[Ingredient ]],Shoppingtable[[Item Name]:[BALANCE Cash]],5,FALSE),0)*Quantitytable[[#This Row],[NeededQuantity]]</f>
        <v>4</v>
      </c>
      <c r="H98" s="29">
        <f>SUMIF(Quantitytable[Dish],Quantitytable[[#This Row],[Dish]],Quantitytable[Cost Per Dish Per Item])</f>
        <v>33.78</v>
      </c>
      <c r="I98" s="30" t="s">
        <v>501</v>
      </c>
    </row>
    <row r="99" spans="1:9" x14ac:dyDescent="0.25">
      <c r="A99" s="28" t="s">
        <v>304</v>
      </c>
      <c r="B99" s="29" t="s">
        <v>84</v>
      </c>
      <c r="C99" s="29"/>
      <c r="D99" s="29">
        <f>IF(Quantitytable[[#This Row],[Units]]=0,0,SUMIFS(Quantitytable[NeededQuantity],Quantitytable[Dish],Quantitytable[[#This Row],[Dish]],Quantitytable[[Ingredient ]],Quantitytable[[#This Row],[Ingredient ]]))</f>
        <v>0</v>
      </c>
      <c r="E99" s="29">
        <f>SUMIFS(salestable[Quantity Sold],salestable[Item Name],Quantitytable[[#This Row],[Dish]])</f>
        <v>0</v>
      </c>
      <c r="F99" s="29">
        <f>'Quantity Sample'!$D89*'Quantity Sample'!$E89</f>
        <v>0</v>
      </c>
      <c r="G99" s="29">
        <f>_xlfn.IFNA(VLOOKUP(Quantitytable[[#This Row],[Ingredient ]],Shoppingtable[[Item Name]:[BALANCE Cash]],5,FALSE),0)*Quantitytable[[#This Row],[NeededQuantity]]</f>
        <v>0.3</v>
      </c>
      <c r="H99" s="29">
        <f>SUMIF(Quantitytable[Dish],Quantitytable[[#This Row],[Dish]],Quantitytable[Cost Per Dish Per Item])</f>
        <v>25.012499999999999</v>
      </c>
      <c r="I99" s="30" t="s">
        <v>501</v>
      </c>
    </row>
    <row r="100" spans="1:9" x14ac:dyDescent="0.25">
      <c r="A100" s="28" t="s">
        <v>304</v>
      </c>
      <c r="B100" s="29" t="s">
        <v>25</v>
      </c>
      <c r="C100" s="29"/>
      <c r="D100" s="29">
        <f>IF(Quantitytable[[#This Row],[Units]]=0,0,SUMIFS(Quantitytable[NeededQuantity],Quantitytable[Dish],Quantitytable[[#This Row],[Dish]],Quantitytable[[Ingredient ]],Quantitytable[[#This Row],[Ingredient ]]))</f>
        <v>0</v>
      </c>
      <c r="E100" s="29">
        <f>SUMIFS(salestable[Quantity Sold],salestable[Item Name],Quantitytable[[#This Row],[Dish]])</f>
        <v>0</v>
      </c>
      <c r="F100" s="29">
        <f>'Quantity Sample'!$D90*'Quantity Sample'!$E90</f>
        <v>0</v>
      </c>
      <c r="G100" s="29">
        <f>_xlfn.IFNA(VLOOKUP(Quantitytable[[#This Row],[Ingredient ]],Shoppingtable[[Item Name]:[BALANCE Cash]],5,FALSE),0)*Quantitytable[[#This Row],[NeededQuantity]]</f>
        <v>3.75</v>
      </c>
      <c r="H100" s="29">
        <f>SUMIF(Quantitytable[Dish],Quantitytable[[#This Row],[Dish]],Quantitytable[Cost Per Dish Per Item])</f>
        <v>25.012499999999999</v>
      </c>
      <c r="I100" s="30" t="s">
        <v>501</v>
      </c>
    </row>
    <row r="101" spans="1:9" x14ac:dyDescent="0.25">
      <c r="A101" s="28" t="s">
        <v>300</v>
      </c>
      <c r="B101" s="29" t="s">
        <v>26</v>
      </c>
      <c r="C101" s="29"/>
      <c r="D101" s="29">
        <f>IF(Quantitytable[[#This Row],[Units]]=0,0,SUMIFS(Quantitytable[NeededQuantity],Quantitytable[Dish],Quantitytable[[#This Row],[Dish]],Quantitytable[[Ingredient ]],Quantitytable[[#This Row],[Ingredient ]]))</f>
        <v>0</v>
      </c>
      <c r="E101" s="29">
        <f>SUMIFS(salestable[Quantity Sold],salestable[Item Name],Quantitytable[[#This Row],[Dish]])</f>
        <v>0</v>
      </c>
      <c r="F101" s="29">
        <f>'Quantity Sample'!$D91*'Quantity Sample'!$E91</f>
        <v>0</v>
      </c>
      <c r="G101" s="29">
        <f>_xlfn.IFNA(VLOOKUP(Quantitytable[[#This Row],[Ingredient ]],Shoppingtable[[Item Name]:[BALANCE Cash]],5,FALSE),0)*Quantitytable[[#This Row],[NeededQuantity]]</f>
        <v>3.65</v>
      </c>
      <c r="H101" s="29">
        <f>SUMIF(Quantitytable[Dish],Quantitytable[[#This Row],[Dish]],Quantitytable[Cost Per Dish Per Item])</f>
        <v>25.012499999999999</v>
      </c>
      <c r="I101" s="30" t="s">
        <v>501</v>
      </c>
    </row>
    <row r="102" spans="1:9" x14ac:dyDescent="0.25">
      <c r="A102" s="28" t="s">
        <v>300</v>
      </c>
      <c r="B102" s="29" t="s">
        <v>84</v>
      </c>
      <c r="C102" s="29"/>
      <c r="D102" s="29">
        <f>IF(Quantitytable[[#This Row],[Units]]=0,0,SUMIFS(Quantitytable[NeededQuantity],Quantitytable[Dish],Quantitytable[[#This Row],[Dish]],Quantitytable[[Ingredient ]],Quantitytable[[#This Row],[Ingredient ]]))</f>
        <v>0</v>
      </c>
      <c r="E102" s="29">
        <f>SUMIFS(salestable[Quantity Sold],salestable[Item Name],Quantitytable[[#This Row],[Dish]])</f>
        <v>0</v>
      </c>
      <c r="F102" s="29">
        <f>'Quantity Sample'!$D92*'Quantity Sample'!$E92</f>
        <v>0</v>
      </c>
      <c r="G102" s="29">
        <f>_xlfn.IFNA(VLOOKUP(Quantitytable[[#This Row],[Ingredient ]],Shoppingtable[[Item Name]:[BALANCE Cash]],5,FALSE),0)*Quantitytable[[#This Row],[NeededQuantity]]</f>
        <v>13.3125</v>
      </c>
      <c r="H102" s="29">
        <f>SUMIF(Quantitytable[Dish],Quantitytable[[#This Row],[Dish]],Quantitytable[Cost Per Dish Per Item])</f>
        <v>25.012499999999999</v>
      </c>
      <c r="I102" s="30" t="s">
        <v>501</v>
      </c>
    </row>
    <row r="103" spans="1:9" x14ac:dyDescent="0.25">
      <c r="A103" s="28" t="s">
        <v>300</v>
      </c>
      <c r="B103" s="29" t="s">
        <v>25</v>
      </c>
      <c r="C103" s="29"/>
      <c r="D103" s="29">
        <f>IF(Quantitytable[[#This Row],[Units]]=0,0,SUMIFS(Quantitytable[NeededQuantity],Quantitytable[Dish],Quantitytable[[#This Row],[Dish]],Quantitytable[[Ingredient ]],Quantitytable[[#This Row],[Ingredient ]]))</f>
        <v>0</v>
      </c>
      <c r="E103" s="29">
        <f>SUMIFS(salestable[Quantity Sold],salestable[Item Name],Quantitytable[[#This Row],[Dish]])</f>
        <v>0</v>
      </c>
      <c r="F103" s="29">
        <f>'Quantity Sample'!$D93*'Quantity Sample'!$E93</f>
        <v>0</v>
      </c>
      <c r="G103" s="29">
        <f>_xlfn.IFNA(VLOOKUP(Quantitytable[[#This Row],[Ingredient ]],Shoppingtable[[Item Name]:[BALANCE Cash]],5,FALSE),0)*Quantitytable[[#This Row],[NeededQuantity]]</f>
        <v>4</v>
      </c>
      <c r="H103" s="29">
        <f>SUMIF(Quantitytable[Dish],Quantitytable[[#This Row],[Dish]],Quantitytable[Cost Per Dish Per Item])</f>
        <v>25.012499999999999</v>
      </c>
      <c r="I103" s="30" t="s">
        <v>501</v>
      </c>
    </row>
    <row r="104" spans="1:9" x14ac:dyDescent="0.25">
      <c r="A104" s="28" t="s">
        <v>201</v>
      </c>
      <c r="B104" s="29" t="s">
        <v>26</v>
      </c>
      <c r="C104" s="29"/>
      <c r="D104" s="29">
        <f>IF(Quantitytable[[#This Row],[Units]]=0,0,SUMIFS(Quantitytable[NeededQuantity],Quantitytable[Dish],Quantitytable[[#This Row],[Dish]],Quantitytable[[Ingredient ]],Quantitytable[[#This Row],[Ingredient ]]))</f>
        <v>0</v>
      </c>
      <c r="E104" s="29">
        <f>SUMIFS(salestable[Quantity Sold],salestable[Item Name],Quantitytable[[#This Row],[Dish]])</f>
        <v>0</v>
      </c>
      <c r="F104" s="29">
        <f>'Quantity Sample'!$D94*'Quantity Sample'!$E94</f>
        <v>0</v>
      </c>
      <c r="G104" s="29">
        <f>_xlfn.IFNA(VLOOKUP(Quantitytable[[#This Row],[Ingredient ]],Shoppingtable[[Item Name]:[BALANCE Cash]],5,FALSE),0)*Quantitytable[[#This Row],[NeededQuantity]]</f>
        <v>0.62222222222222223</v>
      </c>
      <c r="H104" s="29">
        <f>SUMIF(Quantitytable[Dish],Quantitytable[[#This Row],[Dish]],Quantitytable[Cost Per Dish Per Item])</f>
        <v>9.5008638407193331</v>
      </c>
      <c r="I104" s="30" t="s">
        <v>501</v>
      </c>
    </row>
    <row r="105" spans="1:9" x14ac:dyDescent="0.25">
      <c r="A105" s="28" t="s">
        <v>201</v>
      </c>
      <c r="B105" s="29" t="s">
        <v>32</v>
      </c>
      <c r="C105" s="29"/>
      <c r="D105" s="29">
        <f>IF(Quantitytable[[#This Row],[Units]]=0,0,SUMIFS(Quantitytable[NeededQuantity],Quantitytable[Dish],Quantitytable[[#This Row],[Dish]],Quantitytable[[Ingredient ]],Quantitytable[[#This Row],[Ingredient ]]))</f>
        <v>0</v>
      </c>
      <c r="E105" s="29">
        <f>SUMIFS(salestable[Quantity Sold],salestable[Item Name],Quantitytable[[#This Row],[Dish]])</f>
        <v>0</v>
      </c>
      <c r="F105" s="29">
        <f>'Quantity Sample'!$D95*'Quantity Sample'!$E95</f>
        <v>0</v>
      </c>
      <c r="G105" s="29">
        <f>_xlfn.IFNA(VLOOKUP(Quantitytable[[#This Row],[Ingredient ]],Shoppingtable[[Item Name]:[BALANCE Cash]],5,FALSE),0)*Quantitytable[[#This Row],[NeededQuantity]]</f>
        <v>0.5</v>
      </c>
      <c r="H105" s="29">
        <f>SUMIF(Quantitytable[Dish],Quantitytable[[#This Row],[Dish]],Quantitytable[Cost Per Dish Per Item])</f>
        <v>9.5008638407193331</v>
      </c>
      <c r="I105" s="30" t="s">
        <v>501</v>
      </c>
    </row>
    <row r="106" spans="1:9" x14ac:dyDescent="0.25">
      <c r="A106" s="28" t="s">
        <v>201</v>
      </c>
      <c r="B106" s="29" t="s">
        <v>81</v>
      </c>
      <c r="C106" s="29"/>
      <c r="D106" s="29">
        <f>IF(Quantitytable[[#This Row],[Units]]=0,0,SUMIFS(Quantitytable[NeededQuantity],Quantitytable[Dish],Quantitytable[[#This Row],[Dish]],Quantitytable[[Ingredient ]],Quantitytable[[#This Row],[Ingredient ]]))</f>
        <v>0</v>
      </c>
      <c r="E106" s="29">
        <f>SUMIFS(salestable[Quantity Sold],salestable[Item Name],Quantitytable[[#This Row],[Dish]])</f>
        <v>0</v>
      </c>
      <c r="F106" s="29">
        <f>'Quantity Sample'!$D96*'Quantity Sample'!$E96</f>
        <v>0</v>
      </c>
      <c r="G106" s="29">
        <f>_xlfn.IFNA(VLOOKUP(Quantitytable[[#This Row],[Ingredient ]],Shoppingtable[[Item Name]:[BALANCE Cash]],5,FALSE),0)*Quantitytable[[#This Row],[NeededQuantity]]</f>
        <v>0.89999999999999991</v>
      </c>
      <c r="H106" s="29">
        <f>SUMIF(Quantitytable[Dish],Quantitytable[[#This Row],[Dish]],Quantitytable[Cost Per Dish Per Item])</f>
        <v>9.5008638407193331</v>
      </c>
      <c r="I106" s="30" t="s">
        <v>501</v>
      </c>
    </row>
    <row r="107" spans="1:9" x14ac:dyDescent="0.25">
      <c r="A107" s="28" t="s">
        <v>213</v>
      </c>
      <c r="B107" s="29" t="s">
        <v>26</v>
      </c>
      <c r="C107" s="29"/>
      <c r="D107" s="29">
        <f>IF(Quantitytable[[#This Row],[Units]]=0,0,SUMIFS(Quantitytable[NeededQuantity],Quantitytable[Dish],Quantitytable[[#This Row],[Dish]],Quantitytable[[Ingredient ]],Quantitytable[[#This Row],[Ingredient ]]))</f>
        <v>0</v>
      </c>
      <c r="E107" s="29">
        <f>SUMIFS(salestable[Quantity Sold],salestable[Item Name],Quantitytable[[#This Row],[Dish]])</f>
        <v>0</v>
      </c>
      <c r="F107" s="29">
        <f>'Quantity Sample'!$D97*'Quantity Sample'!$E97</f>
        <v>0</v>
      </c>
      <c r="G107" s="29">
        <f>_xlfn.IFNA(VLOOKUP(Quantitytable[[#This Row],[Ingredient ]],Shoppingtable[[Item Name]:[BALANCE Cash]],5,FALSE),0)*Quantitytable[[#This Row],[NeededQuantity]]</f>
        <v>1</v>
      </c>
      <c r="H107" s="29">
        <f>SUMIF(Quantitytable[Dish],Quantitytable[[#This Row],[Dish]],Quantitytable[Cost Per Dish Per Item])</f>
        <v>9.5008638407193331</v>
      </c>
      <c r="I107" s="30" t="s">
        <v>501</v>
      </c>
    </row>
    <row r="108" spans="1:9" x14ac:dyDescent="0.25">
      <c r="A108" s="28" t="s">
        <v>213</v>
      </c>
      <c r="B108" s="29" t="s">
        <v>44</v>
      </c>
      <c r="C108" s="29"/>
      <c r="D108" s="29">
        <f>IF(Quantitytable[[#This Row],[Units]]=0,0,SUMIFS(Quantitytable[NeededQuantity],Quantitytable[Dish],Quantitytable[[#This Row],[Dish]],Quantitytable[[Ingredient ]],Quantitytable[[#This Row],[Ingredient ]]))</f>
        <v>0</v>
      </c>
      <c r="E108" s="29">
        <f>SUMIFS(salestable[Quantity Sold],salestable[Item Name],Quantitytable[[#This Row],[Dish]])</f>
        <v>0</v>
      </c>
      <c r="F108" s="29">
        <f>'Quantity Sample'!$D98*'Quantity Sample'!$E98</f>
        <v>0</v>
      </c>
      <c r="G108" s="29">
        <f>_xlfn.IFNA(VLOOKUP(Quantitytable[[#This Row],[Ingredient ]],Shoppingtable[[Item Name]:[BALANCE Cash]],5,FALSE),0)*Quantitytable[[#This Row],[NeededQuantity]]</f>
        <v>0.69364161849710981</v>
      </c>
      <c r="H108" s="29">
        <f>SUMIF(Quantitytable[Dish],Quantitytable[[#This Row],[Dish]],Quantitytable[Cost Per Dish Per Item])</f>
        <v>9.5008638407193331</v>
      </c>
      <c r="I108" s="30" t="s">
        <v>501</v>
      </c>
    </row>
    <row r="109" spans="1:9" x14ac:dyDescent="0.25">
      <c r="A109" s="28" t="s">
        <v>213</v>
      </c>
      <c r="B109" s="29" t="s">
        <v>25</v>
      </c>
      <c r="C109" s="29"/>
      <c r="D109" s="29">
        <f>IF(Quantitytable[[#This Row],[Units]]=0,0,SUMIFS(Quantitytable[NeededQuantity],Quantitytable[Dish],Quantitytable[[#This Row],[Dish]],Quantitytable[[Ingredient ]],Quantitytable[[#This Row],[Ingredient ]]))</f>
        <v>0</v>
      </c>
      <c r="E109" s="29">
        <f>SUMIFS(salestable[Quantity Sold],salestable[Item Name],Quantitytable[[#This Row],[Dish]])</f>
        <v>0</v>
      </c>
      <c r="F109" s="29">
        <f>'Quantity Sample'!$D99*'Quantity Sample'!$E99</f>
        <v>0</v>
      </c>
      <c r="G109" s="29">
        <f>_xlfn.IFNA(VLOOKUP(Quantitytable[[#This Row],[Ingredient ]],Shoppingtable[[Item Name]:[BALANCE Cash]],5,FALSE),0)*Quantitytable[[#This Row],[NeededQuantity]]</f>
        <v>1.46</v>
      </c>
      <c r="H109" s="29">
        <f>SUMIF(Quantitytable[Dish],Quantitytable[[#This Row],[Dish]],Quantitytable[Cost Per Dish Per Item])</f>
        <v>9.5008638407193331</v>
      </c>
      <c r="I109" s="30" t="s">
        <v>501</v>
      </c>
    </row>
    <row r="110" spans="1:9" x14ac:dyDescent="0.25">
      <c r="A110" s="28" t="s">
        <v>221</v>
      </c>
      <c r="B110" s="29" t="s">
        <v>26</v>
      </c>
      <c r="C110" s="29"/>
      <c r="D110" s="29">
        <f>IF(Quantitytable[[#This Row],[Units]]=0,0,SUMIFS(Quantitytable[NeededQuantity],Quantitytable[Dish],Quantitytable[[#This Row],[Dish]],Quantitytable[[Ingredient ]],Quantitytable[[#This Row],[Ingredient ]]))</f>
        <v>0</v>
      </c>
      <c r="E110" s="29">
        <f>SUMIFS(salestable[Quantity Sold],salestable[Item Name],Quantitytable[[#This Row],[Dish]])</f>
        <v>0</v>
      </c>
      <c r="F110" s="29">
        <f>'Quantity Sample'!$D100*'Quantity Sample'!$E100</f>
        <v>0</v>
      </c>
      <c r="G110" s="29">
        <f>_xlfn.IFNA(VLOOKUP(Quantitytable[[#This Row],[Ingredient ]],Shoppingtable[[Item Name]:[BALANCE Cash]],5,FALSE),0)*Quantitytable[[#This Row],[NeededQuantity]]</f>
        <v>2.25</v>
      </c>
      <c r="H110" s="29">
        <f>SUMIF(Quantitytable[Dish],Quantitytable[[#This Row],[Dish]],Quantitytable[Cost Per Dish Per Item])</f>
        <v>9.5008638407193331</v>
      </c>
      <c r="I110" s="30" t="s">
        <v>501</v>
      </c>
    </row>
    <row r="111" spans="1:9" x14ac:dyDescent="0.25">
      <c r="A111" s="28" t="s">
        <v>221</v>
      </c>
      <c r="B111" s="29" t="s">
        <v>93</v>
      </c>
      <c r="C111" s="29"/>
      <c r="D111" s="29">
        <f>IF(Quantitytable[[#This Row],[Units]]=0,0,SUMIFS(Quantitytable[NeededQuantity],Quantitytable[Dish],Quantitytable[[#This Row],[Dish]],Quantitytable[[Ingredient ]],Quantitytable[[#This Row],[Ingredient ]]))</f>
        <v>0</v>
      </c>
      <c r="E111" s="29">
        <f>SUMIFS(salestable[Quantity Sold],salestable[Item Name],Quantitytable[[#This Row],[Dish]])</f>
        <v>0</v>
      </c>
      <c r="F111" s="29">
        <f>'Quantity Sample'!$D101*'Quantity Sample'!$E101</f>
        <v>0</v>
      </c>
      <c r="G111" s="29">
        <f>_xlfn.IFNA(VLOOKUP(Quantitytable[[#This Row],[Ingredient ]],Shoppingtable[[Item Name]:[BALANCE Cash]],5,FALSE),0)*Quantitytable[[#This Row],[NeededQuantity]]</f>
        <v>2.0750000000000002</v>
      </c>
      <c r="H111" s="29">
        <f>SUMIF(Quantitytable[Dish],Quantitytable[[#This Row],[Dish]],Quantitytable[Cost Per Dish Per Item])</f>
        <v>9.5008638407193331</v>
      </c>
      <c r="I111" s="30" t="s">
        <v>501</v>
      </c>
    </row>
    <row r="112" spans="1:9" x14ac:dyDescent="0.25">
      <c r="A112" s="28" t="s">
        <v>221</v>
      </c>
      <c r="B112" s="29" t="s">
        <v>25</v>
      </c>
      <c r="C112" s="29"/>
      <c r="D112" s="29">
        <f>IF(Quantitytable[[#This Row],[Units]]=0,0,SUMIFS(Quantitytable[NeededQuantity],Quantitytable[Dish],Quantitytable[[#This Row],[Dish]],Quantitytable[[Ingredient ]],Quantitytable[[#This Row],[Ingredient ]]))</f>
        <v>0</v>
      </c>
      <c r="E112" s="29">
        <f>SUMIFS(salestable[Quantity Sold],salestable[Item Name],Quantitytable[[#This Row],[Dish]])</f>
        <v>0</v>
      </c>
      <c r="F112" s="29">
        <f>'Quantity Sample'!$D102*'Quantity Sample'!$E102</f>
        <v>0</v>
      </c>
      <c r="G112" s="29">
        <f>_xlfn.IFNA(VLOOKUP(Quantitytable[[#This Row],[Ingredient ]],Shoppingtable[[Item Name]:[BALANCE Cash]],5,FALSE),0)*Quantitytable[[#This Row],[NeededQuantity]]</f>
        <v>0.15000000000000002</v>
      </c>
      <c r="H112" s="29">
        <f>SUMIF(Quantitytable[Dish],Quantitytable[[#This Row],[Dish]],Quantitytable[Cost Per Dish Per Item])</f>
        <v>9.0399999999999991</v>
      </c>
      <c r="I112" s="30" t="s">
        <v>501</v>
      </c>
    </row>
    <row r="113" spans="1:9" x14ac:dyDescent="0.25">
      <c r="A113" s="28" t="s">
        <v>219</v>
      </c>
      <c r="B113" s="29" t="s">
        <v>26</v>
      </c>
      <c r="C113" s="29"/>
      <c r="D113" s="29">
        <f>IF(Quantitytable[[#This Row],[Units]]=0,0,SUMIFS(Quantitytable[NeededQuantity],Quantitytable[Dish],Quantitytable[[#This Row],[Dish]],Quantitytable[[Ingredient ]],Quantitytable[[#This Row],[Ingredient ]]))</f>
        <v>0</v>
      </c>
      <c r="E113" s="29">
        <f>SUMIFS(salestable[Quantity Sold],salestable[Item Name],Quantitytable[[#This Row],[Dish]])</f>
        <v>0</v>
      </c>
      <c r="F113" s="29">
        <f>'Quantity Sample'!$D103*'Quantity Sample'!$E103</f>
        <v>0</v>
      </c>
      <c r="G113" s="29">
        <f>_xlfn.IFNA(VLOOKUP(Quantitytable[[#This Row],[Ingredient ]],Shoppingtable[[Item Name]:[BALANCE Cash]],5,FALSE),0)*Quantitytable[[#This Row],[NeededQuantity]]</f>
        <v>3.65</v>
      </c>
      <c r="H113" s="29">
        <f>SUMIF(Quantitytable[Dish],Quantitytable[[#This Row],[Dish]],Quantitytable[Cost Per Dish Per Item])</f>
        <v>9.0399999999999991</v>
      </c>
      <c r="I113" s="30" t="s">
        <v>501</v>
      </c>
    </row>
    <row r="114" spans="1:9" x14ac:dyDescent="0.25">
      <c r="A114" s="28" t="s">
        <v>219</v>
      </c>
      <c r="B114" s="29" t="s">
        <v>93</v>
      </c>
      <c r="C114" s="29"/>
      <c r="D114" s="29">
        <f>IF(Quantitytable[[#This Row],[Units]]=0,0,SUMIFS(Quantitytable[NeededQuantity],Quantitytable[Dish],Quantitytable[[#This Row],[Dish]],Quantitytable[[Ingredient ]],Quantitytable[[#This Row],[Ingredient ]]))</f>
        <v>0</v>
      </c>
      <c r="E114" s="29">
        <f>SUMIFS(salestable[Quantity Sold],salestable[Item Name],Quantitytable[[#This Row],[Dish]])</f>
        <v>0</v>
      </c>
      <c r="F114" s="29">
        <f>'Quantity Sample'!$D104*'Quantity Sample'!$E104</f>
        <v>0</v>
      </c>
      <c r="G114" s="29">
        <f>_xlfn.IFNA(VLOOKUP(Quantitytable[[#This Row],[Ingredient ]],Shoppingtable[[Item Name]:[BALANCE Cash]],5,FALSE),0)*Quantitytable[[#This Row],[NeededQuantity]]</f>
        <v>5.24</v>
      </c>
      <c r="H114" s="29">
        <f>SUMIF(Quantitytable[Dish],Quantitytable[[#This Row],[Dish]],Quantitytable[Cost Per Dish Per Item])</f>
        <v>9.0399999999999991</v>
      </c>
      <c r="I114" s="30" t="s">
        <v>501</v>
      </c>
    </row>
    <row r="115" spans="1:9" x14ac:dyDescent="0.25">
      <c r="A115" s="28" t="s">
        <v>219</v>
      </c>
      <c r="B115" s="29" t="s">
        <v>25</v>
      </c>
      <c r="C115" s="29"/>
      <c r="D115" s="29">
        <f>IF(Quantitytable[[#This Row],[Units]]=0,0,SUMIFS(Quantitytable[NeededQuantity],Quantitytable[Dish],Quantitytable[[#This Row],[Dish]],Quantitytable[[Ingredient ]],Quantitytable[[#This Row],[Ingredient ]]))</f>
        <v>0</v>
      </c>
      <c r="E115" s="29">
        <f>SUMIFS(salestable[Quantity Sold],salestable[Item Name],Quantitytable[[#This Row],[Dish]])</f>
        <v>0</v>
      </c>
      <c r="F115" s="29">
        <f>'Quantity Sample'!$D105*'Quantity Sample'!$E105</f>
        <v>0</v>
      </c>
      <c r="G115" s="29">
        <f>_xlfn.IFNA(VLOOKUP(Quantitytable[[#This Row],[Ingredient ]],Shoppingtable[[Item Name]:[BALANCE Cash]],5,FALSE),0)*Quantitytable[[#This Row],[NeededQuantity]]</f>
        <v>0.15000000000000002</v>
      </c>
      <c r="H115" s="29">
        <f>SUMIF(Quantitytable[Dish],Quantitytable[[#This Row],[Dish]],Quantitytable[Cost Per Dish Per Item])</f>
        <v>31.119999999999997</v>
      </c>
      <c r="I115" s="30" t="s">
        <v>501</v>
      </c>
    </row>
    <row r="116" spans="1:9" x14ac:dyDescent="0.25">
      <c r="A116" s="28" t="s">
        <v>298</v>
      </c>
      <c r="B116" s="29" t="s">
        <v>26</v>
      </c>
      <c r="C116" s="29"/>
      <c r="D116" s="29">
        <f>IF(Quantitytable[[#This Row],[Units]]=0,0,SUMIFS(Quantitytable[NeededQuantity],Quantitytable[Dish],Quantitytable[[#This Row],[Dish]],Quantitytable[[Ingredient ]],Quantitytable[[#This Row],[Ingredient ]]))</f>
        <v>0</v>
      </c>
      <c r="E116" s="29">
        <f>SUMIFS(salestable[Quantity Sold],salestable[Item Name],Quantitytable[[#This Row],[Dish]])</f>
        <v>0</v>
      </c>
      <c r="F116" s="29">
        <f>'Quantity Sample'!$D106*'Quantity Sample'!$E106</f>
        <v>0</v>
      </c>
      <c r="G116" s="29">
        <f>_xlfn.IFNA(VLOOKUP(Quantitytable[[#This Row],[Ingredient ]],Shoppingtable[[Item Name]:[BALANCE Cash]],5,FALSE),0)*Quantitytable[[#This Row],[NeededQuantity]]</f>
        <v>3.65</v>
      </c>
      <c r="H116" s="29">
        <f>SUMIF(Quantitytable[Dish],Quantitytable[[#This Row],[Dish]],Quantitytable[Cost Per Dish Per Item])</f>
        <v>31.119999999999997</v>
      </c>
      <c r="I116" s="30" t="s">
        <v>501</v>
      </c>
    </row>
    <row r="117" spans="1:9" x14ac:dyDescent="0.25">
      <c r="A117" s="28" t="s">
        <v>298</v>
      </c>
      <c r="B117" s="29" t="s">
        <v>25</v>
      </c>
      <c r="C117" s="29"/>
      <c r="D117" s="29">
        <f>IF(Quantitytable[[#This Row],[Units]]=0,0,SUMIFS(Quantitytable[NeededQuantity],Quantitytable[Dish],Quantitytable[[#This Row],[Dish]],Quantitytable[[Ingredient ]],Quantitytable[[#This Row],[Ingredient ]]))</f>
        <v>0</v>
      </c>
      <c r="E117" s="29">
        <f>SUMIFS(salestable[Quantity Sold],salestable[Item Name],Quantitytable[[#This Row],[Dish]])</f>
        <v>0</v>
      </c>
      <c r="F117" s="29">
        <f>'Quantity Sample'!$D107*'Quantity Sample'!$E107</f>
        <v>0</v>
      </c>
      <c r="G117" s="29">
        <f>_xlfn.IFNA(VLOOKUP(Quantitytable[[#This Row],[Ingredient ]],Shoppingtable[[Item Name]:[BALANCE Cash]],5,FALSE),0)*Quantitytable[[#This Row],[NeededQuantity]]</f>
        <v>5.24</v>
      </c>
      <c r="H117" s="29">
        <f>SUMIF(Quantitytable[Dish],Quantitytable[[#This Row],[Dish]],Quantitytable[Cost Per Dish Per Item])</f>
        <v>31.119999999999997</v>
      </c>
      <c r="I117" s="30" t="s">
        <v>501</v>
      </c>
    </row>
    <row r="118" spans="1:9" x14ac:dyDescent="0.25">
      <c r="A118" s="28" t="s">
        <v>153</v>
      </c>
      <c r="B118" s="29" t="s">
        <v>26</v>
      </c>
      <c r="C118" s="29"/>
      <c r="D118" s="29">
        <f>IF(Quantitytable[[#This Row],[Units]]=0,0,SUMIFS(Quantitytable[NeededQuantity],Quantitytable[Dish],Quantitytable[[#This Row],[Dish]],Quantitytable[[Ingredient ]],Quantitytable[[#This Row],[Ingredient ]]))</f>
        <v>0</v>
      </c>
      <c r="E118" s="29">
        <f>SUMIFS(salestable[Quantity Sold],salestable[Item Name],Quantitytable[[#This Row],[Dish]])</f>
        <v>0</v>
      </c>
      <c r="F118" s="29">
        <f>'Quantity Sample'!$D108*'Quantity Sample'!$E108</f>
        <v>0</v>
      </c>
      <c r="G118" s="29">
        <f>_xlfn.IFNA(VLOOKUP(Quantitytable[[#This Row],[Ingredient ]],Shoppingtable[[Item Name]:[BALANCE Cash]],5,FALSE),0)*Quantitytable[[#This Row],[NeededQuantity]]</f>
        <v>22.08</v>
      </c>
      <c r="H118" s="29">
        <f>SUMIF(Quantitytable[Dish],Quantitytable[[#This Row],[Dish]],Quantitytable[Cost Per Dish Per Item])</f>
        <v>31.119999999999997</v>
      </c>
      <c r="I118" s="30" t="s">
        <v>501</v>
      </c>
    </row>
    <row r="119" spans="1:9" x14ac:dyDescent="0.25">
      <c r="A119" s="28" t="s">
        <v>153</v>
      </c>
      <c r="B119" s="29" t="s">
        <v>93</v>
      </c>
      <c r="C119" s="29"/>
      <c r="D119" s="29">
        <f>IF(Quantitytable[[#This Row],[Units]]=0,0,SUMIFS(Quantitytable[NeededQuantity],Quantitytable[Dish],Quantitytable[[#This Row],[Dish]],Quantitytable[[Ingredient ]],Quantitytable[[#This Row],[Ingredient ]]))</f>
        <v>0</v>
      </c>
      <c r="E119" s="29">
        <f>SUMIFS(salestable[Quantity Sold],salestable[Item Name],Quantitytable[[#This Row],[Dish]])</f>
        <v>0</v>
      </c>
      <c r="F119" s="29">
        <f>'Quantity Sample'!$D109*'Quantity Sample'!$E109</f>
        <v>0</v>
      </c>
      <c r="G119" s="29">
        <f>_xlfn.IFNA(VLOOKUP(Quantitytable[[#This Row],[Ingredient ]],Shoppingtable[[Item Name]:[BALANCE Cash]],5,FALSE),0)*Quantitytable[[#This Row],[NeededQuantity]]</f>
        <v>0.15000000000000002</v>
      </c>
      <c r="H119" s="29">
        <f>SUMIF(Quantitytable[Dish],Quantitytable[[#This Row],[Dish]],Quantitytable[Cost Per Dish Per Item])</f>
        <v>22.352499999999999</v>
      </c>
      <c r="I119" s="30" t="s">
        <v>501</v>
      </c>
    </row>
    <row r="120" spans="1:9" x14ac:dyDescent="0.25">
      <c r="A120" s="28" t="s">
        <v>153</v>
      </c>
      <c r="B120" s="29" t="s">
        <v>25</v>
      </c>
      <c r="C120" s="29"/>
      <c r="D120" s="29">
        <f>IF(Quantitytable[[#This Row],[Units]]=0,0,SUMIFS(Quantitytable[NeededQuantity],Quantitytable[Dish],Quantitytable[[#This Row],[Dish]],Quantitytable[[Ingredient ]],Quantitytable[[#This Row],[Ingredient ]]))</f>
        <v>0</v>
      </c>
      <c r="E120" s="29">
        <f>SUMIFS(salestable[Quantity Sold],salestable[Item Name],Quantitytable[[#This Row],[Dish]])</f>
        <v>0</v>
      </c>
      <c r="F120" s="29">
        <f>'Quantity Sample'!$D110*'Quantity Sample'!$E110</f>
        <v>0</v>
      </c>
      <c r="G120" s="29">
        <f>_xlfn.IFNA(VLOOKUP(Quantitytable[[#This Row],[Ingredient ]],Shoppingtable[[Item Name]:[BALANCE Cash]],5,FALSE),0)*Quantitytable[[#This Row],[NeededQuantity]]</f>
        <v>3.65</v>
      </c>
      <c r="H120" s="29">
        <f>SUMIF(Quantitytable[Dish],Quantitytable[[#This Row],[Dish]],Quantitytable[Cost Per Dish Per Item])</f>
        <v>22.352499999999999</v>
      </c>
      <c r="I120" s="30" t="s">
        <v>501</v>
      </c>
    </row>
    <row r="121" spans="1:9" x14ac:dyDescent="0.25">
      <c r="A121" s="28" t="s">
        <v>153</v>
      </c>
      <c r="B121" s="29" t="s">
        <v>11</v>
      </c>
      <c r="C121" s="29"/>
      <c r="D121" s="29">
        <f>IF(Quantitytable[[#This Row],[Units]]=0,0,SUMIFS(Quantitytable[NeededQuantity],Quantitytable[Dish],Quantitytable[[#This Row],[Dish]],Quantitytable[[Ingredient ]],Quantitytable[[#This Row],[Ingredient ]]))</f>
        <v>0</v>
      </c>
      <c r="E121" s="29">
        <f>SUMIFS(salestable[Quantity Sold],salestable[Item Name],Quantitytable[[#This Row],[Dish]])</f>
        <v>0</v>
      </c>
      <c r="F121" s="29">
        <f>'Quantity Sample'!$D111*'Quantity Sample'!$E111</f>
        <v>0</v>
      </c>
      <c r="G121" s="29">
        <f>_xlfn.IFNA(VLOOKUP(Quantitytable[[#This Row],[Ingredient ]],Shoppingtable[[Item Name]:[BALANCE Cash]],5,FALSE),0)*Quantitytable[[#This Row],[NeededQuantity]]</f>
        <v>5.24</v>
      </c>
      <c r="H121" s="29">
        <f>SUMIF(Quantitytable[Dish],Quantitytable[[#This Row],[Dish]],Quantitytable[Cost Per Dish Per Item])</f>
        <v>22.352499999999999</v>
      </c>
      <c r="I121" s="30" t="s">
        <v>501</v>
      </c>
    </row>
    <row r="122" spans="1:9" x14ac:dyDescent="0.25">
      <c r="A122" s="28" t="s">
        <v>291</v>
      </c>
      <c r="B122" s="29" t="s">
        <v>26</v>
      </c>
      <c r="C122" s="29"/>
      <c r="D122" s="29">
        <f>IF(Quantitytable[[#This Row],[Units]]=0,0,SUMIFS(Quantitytable[NeededQuantity],Quantitytable[Dish],Quantitytable[[#This Row],[Dish]],Quantitytable[[Ingredient ]],Quantitytable[[#This Row],[Ingredient ]]))</f>
        <v>0</v>
      </c>
      <c r="E122" s="29">
        <f>SUMIFS(salestable[Quantity Sold],salestable[Item Name],Quantitytable[[#This Row],[Dish]])</f>
        <v>0</v>
      </c>
      <c r="F122" s="29">
        <f>'Quantity Sample'!$D112*'Quantity Sample'!$E112</f>
        <v>0</v>
      </c>
      <c r="G122" s="29">
        <f>_xlfn.IFNA(VLOOKUP(Quantitytable[[#This Row],[Ingredient ]],Shoppingtable[[Item Name]:[BALANCE Cash]],5,FALSE),0)*Quantitytable[[#This Row],[NeededQuantity]]</f>
        <v>13.3125</v>
      </c>
      <c r="H122" s="29">
        <f>SUMIF(Quantitytable[Dish],Quantitytable[[#This Row],[Dish]],Quantitytable[Cost Per Dish Per Item])</f>
        <v>22.352499999999999</v>
      </c>
      <c r="I122" s="30" t="s">
        <v>501</v>
      </c>
    </row>
    <row r="123" spans="1:9" x14ac:dyDescent="0.25">
      <c r="A123" s="28" t="s">
        <v>291</v>
      </c>
      <c r="B123" s="29" t="s">
        <v>48</v>
      </c>
      <c r="C123" s="29"/>
      <c r="D123" s="29">
        <f>IF(Quantitytable[[#This Row],[Units]]=0,0,SUMIFS(Quantitytable[NeededQuantity],Quantitytable[Dish],Quantitytable[[#This Row],[Dish]],Quantitytable[[Ingredient ]],Quantitytable[[#This Row],[Ingredient ]]))</f>
        <v>0</v>
      </c>
      <c r="E123" s="29">
        <f>SUMIFS(salestable[Quantity Sold],salestable[Item Name],Quantitytable[[#This Row],[Dish]])</f>
        <v>0</v>
      </c>
      <c r="F123" s="29">
        <f>'Quantity Sample'!$D113*'Quantity Sample'!$E113</f>
        <v>0</v>
      </c>
      <c r="G123" s="29">
        <f>_xlfn.IFNA(VLOOKUP(Quantitytable[[#This Row],[Ingredient ]],Shoppingtable[[Item Name]:[BALANCE Cash]],5,FALSE),0)*Quantitytable[[#This Row],[NeededQuantity]]</f>
        <v>0.5</v>
      </c>
      <c r="H123" s="29">
        <f>SUMIF(Quantitytable[Dish],Quantitytable[[#This Row],[Dish]],Quantitytable[Cost Per Dish Per Item])</f>
        <v>29.576893939393941</v>
      </c>
      <c r="I123" s="30" t="s">
        <v>501</v>
      </c>
    </row>
    <row r="124" spans="1:9" x14ac:dyDescent="0.25">
      <c r="A124" s="28" t="s">
        <v>291</v>
      </c>
      <c r="B124" s="29" t="s">
        <v>25</v>
      </c>
      <c r="C124" s="29"/>
      <c r="D124" s="29">
        <f>IF(Quantitytable[[#This Row],[Units]]=0,0,SUMIFS(Quantitytable[NeededQuantity],Quantitytable[Dish],Quantitytable[[#This Row],[Dish]],Quantitytable[[Ingredient ]],Quantitytable[[#This Row],[Ingredient ]]))</f>
        <v>0</v>
      </c>
      <c r="E124" s="29">
        <f>SUMIFS(salestable[Quantity Sold],salestable[Item Name],Quantitytable[[#This Row],[Dish]])</f>
        <v>0</v>
      </c>
      <c r="F124" s="29">
        <f>'Quantity Sample'!$D114*'Quantity Sample'!$E114</f>
        <v>0</v>
      </c>
      <c r="G124" s="29">
        <f>_xlfn.IFNA(VLOOKUP(Quantitytable[[#This Row],[Ingredient ]],Shoppingtable[[Item Name]:[BALANCE Cash]],5,FALSE),0)*Quantitytable[[#This Row],[NeededQuantity]]</f>
        <v>0.1875</v>
      </c>
      <c r="H124" s="29">
        <f>SUMIF(Quantitytable[Dish],Quantitytable[[#This Row],[Dish]],Quantitytable[Cost Per Dish Per Item])</f>
        <v>29.576893939393941</v>
      </c>
      <c r="I124" s="30" t="s">
        <v>501</v>
      </c>
    </row>
    <row r="125" spans="1:9" x14ac:dyDescent="0.25">
      <c r="A125" s="28" t="s">
        <v>163</v>
      </c>
      <c r="B125" s="29" t="s">
        <v>26</v>
      </c>
      <c r="C125" s="29"/>
      <c r="D125" s="29">
        <f>IF(Quantitytable[[#This Row],[Units]]=0,0,SUMIFS(Quantitytable[NeededQuantity],Quantitytable[Dish],Quantitytable[[#This Row],[Dish]],Quantitytable[[Ingredient ]],Quantitytable[[#This Row],[Ingredient ]]))</f>
        <v>0</v>
      </c>
      <c r="E125" s="29">
        <f>SUMIFS(salestable[Quantity Sold],salestable[Item Name],Quantitytable[[#This Row],[Dish]])</f>
        <v>0</v>
      </c>
      <c r="F125" s="29">
        <f>'Quantity Sample'!$D115*'Quantity Sample'!$E115</f>
        <v>0</v>
      </c>
      <c r="G125" s="29">
        <f>_xlfn.IFNA(VLOOKUP(Quantitytable[[#This Row],[Ingredient ]],Shoppingtable[[Item Name]:[BALANCE Cash]],5,FALSE),0)*Quantitytable[[#This Row],[NeededQuantity]]</f>
        <v>0</v>
      </c>
      <c r="H125" s="29">
        <f>SUMIF(Quantitytable[Dish],Quantitytable[[#This Row],[Dish]],Quantitytable[Cost Per Dish Per Item])</f>
        <v>29.576893939393941</v>
      </c>
      <c r="I125" s="30" t="s">
        <v>501</v>
      </c>
    </row>
    <row r="126" spans="1:9" x14ac:dyDescent="0.25">
      <c r="A126" s="28" t="s">
        <v>163</v>
      </c>
      <c r="B126" s="29" t="s">
        <v>77</v>
      </c>
      <c r="C126" s="29"/>
      <c r="D126" s="29">
        <f>IF(Quantitytable[[#This Row],[Units]]=0,0,SUMIFS(Quantitytable[NeededQuantity],Quantitytable[Dish],Quantitytable[[#This Row],[Dish]],Quantitytable[[Ingredient ]],Quantitytable[[#This Row],[Ingredient ]]))</f>
        <v>0</v>
      </c>
      <c r="E126" s="29">
        <f>SUMIFS(salestable[Quantity Sold],salestable[Item Name],Quantitytable[[#This Row],[Dish]])</f>
        <v>0</v>
      </c>
      <c r="F126" s="29">
        <f>'Quantity Sample'!$D116*'Quantity Sample'!$E116</f>
        <v>0</v>
      </c>
      <c r="G126" s="29">
        <f>_xlfn.IFNA(VLOOKUP(Quantitytable[[#This Row],[Ingredient ]],Shoppingtable[[Item Name]:[BALANCE Cash]],5,FALSE),0)*Quantitytable[[#This Row],[NeededQuantity]]</f>
        <v>0.6</v>
      </c>
      <c r="H126" s="29">
        <f>SUMIF(Quantitytable[Dish],Quantitytable[[#This Row],[Dish]],Quantitytable[Cost Per Dish Per Item])</f>
        <v>29.576893939393941</v>
      </c>
      <c r="I126" s="30" t="s">
        <v>501</v>
      </c>
    </row>
    <row r="127" spans="1:9" x14ac:dyDescent="0.25">
      <c r="A127" s="28" t="s">
        <v>163</v>
      </c>
      <c r="B127" s="29" t="s">
        <v>25</v>
      </c>
      <c r="C127" s="29"/>
      <c r="D127" s="29">
        <f>IF(Quantitytable[[#This Row],[Units]]=0,0,SUMIFS(Quantitytable[NeededQuantity],Quantitytable[Dish],Quantitytable[[#This Row],[Dish]],Quantitytable[[Ingredient ]],Quantitytable[[#This Row],[Ingredient ]]))</f>
        <v>0</v>
      </c>
      <c r="E127" s="29">
        <f>SUMIFS(salestable[Quantity Sold],salestable[Item Name],Quantitytable[[#This Row],[Dish]])</f>
        <v>0</v>
      </c>
      <c r="F127" s="29">
        <f>'Quantity Sample'!$D117*'Quantity Sample'!$E117</f>
        <v>0</v>
      </c>
      <c r="G127" s="29">
        <f>_xlfn.IFNA(VLOOKUP(Quantitytable[[#This Row],[Ingredient ]],Shoppingtable[[Item Name]:[BALANCE Cash]],5,FALSE),0)*Quantitytable[[#This Row],[NeededQuantity]]</f>
        <v>0.56000000000000005</v>
      </c>
      <c r="H127" s="29">
        <f>SUMIF(Quantitytable[Dish],Quantitytable[[#This Row],[Dish]],Quantitytable[Cost Per Dish Per Item])</f>
        <v>29.576893939393941</v>
      </c>
      <c r="I127" s="30" t="s">
        <v>501</v>
      </c>
    </row>
    <row r="128" spans="1:9" x14ac:dyDescent="0.25">
      <c r="A128" s="28" t="s">
        <v>150</v>
      </c>
      <c r="B128" s="29" t="s">
        <v>26</v>
      </c>
      <c r="C128" s="29"/>
      <c r="D128" s="29">
        <f>IF(Quantitytable[[#This Row],[Units]]=0,0,SUMIFS(Quantitytable[NeededQuantity],Quantitytable[Dish],Quantitytable[[#This Row],[Dish]],Quantitytable[[Ingredient ]],Quantitytable[[#This Row],[Ingredient ]]))</f>
        <v>0</v>
      </c>
      <c r="E128" s="29">
        <f>SUMIFS(salestable[Quantity Sold],salestable[Item Name],Quantitytable[[#This Row],[Dish]])</f>
        <v>0</v>
      </c>
      <c r="F128" s="29">
        <f>'Quantity Sample'!$D118*'Quantity Sample'!$E118</f>
        <v>0</v>
      </c>
      <c r="G128" s="29">
        <f>_xlfn.IFNA(VLOOKUP(Quantitytable[[#This Row],[Ingredient ]],Shoppingtable[[Item Name]:[BALANCE Cash]],5,FALSE),0)*Quantitytable[[#This Row],[NeededQuantity]]</f>
        <v>0.4</v>
      </c>
      <c r="H128" s="29">
        <f>SUMIF(Quantitytable[Dish],Quantitytable[[#This Row],[Dish]],Quantitytable[Cost Per Dish Per Item])</f>
        <v>29.576893939393941</v>
      </c>
      <c r="I128" s="30" t="s">
        <v>501</v>
      </c>
    </row>
    <row r="129" spans="1:9" x14ac:dyDescent="0.25">
      <c r="A129" s="28" t="s">
        <v>150</v>
      </c>
      <c r="B129" s="29" t="s">
        <v>50</v>
      </c>
      <c r="C129" s="29"/>
      <c r="D129" s="29">
        <f>IF(Quantitytable[[#This Row],[Units]]=0,0,SUMIFS(Quantitytable[NeededQuantity],Quantitytable[Dish],Quantitytable[[#This Row],[Dish]],Quantitytable[[Ingredient ]],Quantitytable[[#This Row],[Ingredient ]]))</f>
        <v>0</v>
      </c>
      <c r="E129" s="29">
        <f>SUMIFS(salestable[Quantity Sold],salestable[Item Name],Quantitytable[[#This Row],[Dish]])</f>
        <v>0</v>
      </c>
      <c r="F129" s="29">
        <f>'Quantity Sample'!$D119*'Quantity Sample'!$E119</f>
        <v>0</v>
      </c>
      <c r="G129" s="29">
        <f>_xlfn.IFNA(VLOOKUP(Quantitytable[[#This Row],[Ingredient ]],Shoppingtable[[Item Name]:[BALANCE Cash]],5,FALSE),0)*Quantitytable[[#This Row],[NeededQuantity]]</f>
        <v>2.1</v>
      </c>
      <c r="H129" s="29">
        <f>SUMIF(Quantitytable[Dish],Quantitytable[[#This Row],[Dish]],Quantitytable[Cost Per Dish Per Item])</f>
        <v>29.576893939393941</v>
      </c>
      <c r="I129" s="30" t="s">
        <v>501</v>
      </c>
    </row>
    <row r="130" spans="1:9" x14ac:dyDescent="0.25">
      <c r="A130" s="28" t="s">
        <v>150</v>
      </c>
      <c r="B130" s="29" t="s">
        <v>25</v>
      </c>
      <c r="C130" s="29"/>
      <c r="D130" s="29">
        <f>IF(Quantitytable[[#This Row],[Units]]=0,0,SUMIFS(Quantitytable[NeededQuantity],Quantitytable[Dish],Quantitytable[[#This Row],[Dish]],Quantitytable[[Ingredient ]],Quantitytable[[#This Row],[Ingredient ]]))</f>
        <v>0</v>
      </c>
      <c r="E130" s="29">
        <f>SUMIFS(salestable[Quantity Sold],salestable[Item Name],Quantitytable[[#This Row],[Dish]])</f>
        <v>0</v>
      </c>
      <c r="F130" s="29">
        <f>'Quantity Sample'!$D120*'Quantity Sample'!$E120</f>
        <v>0</v>
      </c>
      <c r="G130" s="29">
        <f>_xlfn.IFNA(VLOOKUP(Quantitytable[[#This Row],[Ingredient ]],Shoppingtable[[Item Name]:[BALANCE Cash]],5,FALSE),0)*Quantitytable[[#This Row],[NeededQuantity]]</f>
        <v>0.83333333333333326</v>
      </c>
      <c r="H130" s="29">
        <f>SUMIF(Quantitytable[Dish],Quantitytable[[#This Row],[Dish]],Quantitytable[Cost Per Dish Per Item])</f>
        <v>29.576893939393941</v>
      </c>
      <c r="I130" s="30" t="s">
        <v>501</v>
      </c>
    </row>
    <row r="131" spans="1:9" x14ac:dyDescent="0.25">
      <c r="A131" s="28" t="s">
        <v>178</v>
      </c>
      <c r="B131" s="29" t="s">
        <v>26</v>
      </c>
      <c r="C131" s="29"/>
      <c r="D131" s="29">
        <f>IF(Quantitytable[[#This Row],[Units]]=0,0,SUMIFS(Quantitytable[NeededQuantity],Quantitytable[Dish],Quantitytable[[#This Row],[Dish]],Quantitytable[[Ingredient ]],Quantitytable[[#This Row],[Ingredient ]]))</f>
        <v>0</v>
      </c>
      <c r="E131" s="29">
        <f>SUMIFS(salestable[Quantity Sold],salestable[Item Name],Quantitytable[[#This Row],[Dish]])</f>
        <v>0</v>
      </c>
      <c r="F131" s="29">
        <f>'Quantity Sample'!$D121*'Quantity Sample'!$E121</f>
        <v>0</v>
      </c>
      <c r="G131" s="29">
        <f>_xlfn.IFNA(VLOOKUP(Quantitytable[[#This Row],[Ingredient ]],Shoppingtable[[Item Name]:[BALANCE Cash]],5,FALSE),0)*Quantitytable[[#This Row],[NeededQuantity]]</f>
        <v>1</v>
      </c>
      <c r="H131" s="29">
        <f>SUMIF(Quantitytable[Dish],Quantitytable[[#This Row],[Dish]],Quantitytable[Cost Per Dish Per Item])</f>
        <v>29.576893939393941</v>
      </c>
      <c r="I131" s="30" t="s">
        <v>501</v>
      </c>
    </row>
    <row r="132" spans="1:9" x14ac:dyDescent="0.25">
      <c r="A132" s="28" t="s">
        <v>178</v>
      </c>
      <c r="B132" s="29" t="s">
        <v>81</v>
      </c>
      <c r="C132" s="29"/>
      <c r="D132" s="29">
        <f>IF(Quantitytable[[#This Row],[Units]]=0,0,SUMIFS(Quantitytable[NeededQuantity],Quantitytable[Dish],Quantitytable[[#This Row],[Dish]],Quantitytable[[Ingredient ]],Quantitytable[[#This Row],[Ingredient ]]))</f>
        <v>0</v>
      </c>
      <c r="E132" s="29">
        <f>SUMIFS(salestable[Quantity Sold],salestable[Item Name],Quantitytable[[#This Row],[Dish]])</f>
        <v>0</v>
      </c>
      <c r="F132" s="29">
        <f>'Quantity Sample'!$D122*'Quantity Sample'!$E122</f>
        <v>0</v>
      </c>
      <c r="G132" s="29">
        <f>_xlfn.IFNA(VLOOKUP(Quantitytable[[#This Row],[Ingredient ]],Shoppingtable[[Item Name]:[BALANCE Cash]],5,FALSE),0)*Quantitytable[[#This Row],[NeededQuantity]]</f>
        <v>2.2727272727272725</v>
      </c>
      <c r="H132" s="29">
        <f>SUMIF(Quantitytable[Dish],Quantitytable[[#This Row],[Dish]],Quantitytable[Cost Per Dish Per Item])</f>
        <v>29.576893939393941</v>
      </c>
      <c r="I132" s="30" t="s">
        <v>501</v>
      </c>
    </row>
    <row r="133" spans="1:9" x14ac:dyDescent="0.25">
      <c r="A133" s="28" t="s">
        <v>178</v>
      </c>
      <c r="B133" s="29" t="s">
        <v>25</v>
      </c>
      <c r="C133" s="29"/>
      <c r="D133" s="29">
        <f>IF(Quantitytable[[#This Row],[Units]]=0,0,SUMIFS(Quantitytable[NeededQuantity],Quantitytable[Dish],Quantitytable[[#This Row],[Dish]],Quantitytable[[Ingredient ]],Quantitytable[[#This Row],[Ingredient ]]))</f>
        <v>0</v>
      </c>
      <c r="E133" s="29">
        <f>SUMIFS(salestable[Quantity Sold],salestable[Item Name],Quantitytable[[#This Row],[Dish]])</f>
        <v>0</v>
      </c>
      <c r="F133" s="29">
        <f>'Quantity Sample'!$D123*'Quantity Sample'!$E123</f>
        <v>0</v>
      </c>
      <c r="G133" s="29">
        <f>_xlfn.IFNA(VLOOKUP(Quantitytable[[#This Row],[Ingredient ]],Shoppingtable[[Item Name]:[BALANCE Cash]],5,FALSE),0)*Quantitytable[[#This Row],[NeededQuantity]]</f>
        <v>1.3333333333333333</v>
      </c>
      <c r="H133" s="29">
        <f>SUMIF(Quantitytable[Dish],Quantitytable[[#This Row],[Dish]],Quantitytable[Cost Per Dish Per Item])</f>
        <v>29.576893939393941</v>
      </c>
      <c r="I133" s="30" t="s">
        <v>501</v>
      </c>
    </row>
    <row r="134" spans="1:9" x14ac:dyDescent="0.25">
      <c r="A134" s="28" t="s">
        <v>166</v>
      </c>
      <c r="B134" s="29" t="s">
        <v>30</v>
      </c>
      <c r="C134" s="29"/>
      <c r="D134" s="29">
        <f>IF(Quantitytable[[#This Row],[Units]]=0,0,SUMIFS(Quantitytable[NeededQuantity],Quantitytable[Dish],Quantitytable[[#This Row],[Dish]],Quantitytable[[Ingredient ]],Quantitytable[[#This Row],[Ingredient ]]))</f>
        <v>0</v>
      </c>
      <c r="E134" s="29">
        <f>SUMIFS(salestable[Quantity Sold],salestable[Item Name],Quantitytable[[#This Row],[Dish]])</f>
        <v>0</v>
      </c>
      <c r="F134" s="29">
        <f>'Quantity Sample'!$D124*'Quantity Sample'!$E124</f>
        <v>0</v>
      </c>
      <c r="G134" s="29">
        <f>_xlfn.IFNA(VLOOKUP(Quantitytable[[#This Row],[Ingredient ]],Shoppingtable[[Item Name]:[BALANCE Cash]],5,FALSE),0)*Quantitytable[[#This Row],[NeededQuantity]]</f>
        <v>0</v>
      </c>
      <c r="H134" s="29">
        <f>SUMIF(Quantitytable[Dish],Quantitytable[[#This Row],[Dish]],Quantitytable[Cost Per Dish Per Item])</f>
        <v>29.576893939393941</v>
      </c>
      <c r="I134" s="30" t="s">
        <v>501</v>
      </c>
    </row>
    <row r="135" spans="1:9" x14ac:dyDescent="0.25">
      <c r="A135" s="28" t="s">
        <v>380</v>
      </c>
      <c r="B135" s="29" t="s">
        <v>25</v>
      </c>
      <c r="C135" s="29"/>
      <c r="D135" s="29">
        <f>IF(Quantitytable[[#This Row],[Units]]=0,0,SUMIFS(Quantitytable[NeededQuantity],Quantitytable[Dish],Quantitytable[[#This Row],[Dish]],Quantitytable[[Ingredient ]],Quantitytable[[#This Row],[Ingredient ]]))</f>
        <v>0</v>
      </c>
      <c r="E135" s="29">
        <f>SUMIFS(salestable[Quantity Sold],salestable[Item Name],Quantitytable[[#This Row],[Dish]])</f>
        <v>0</v>
      </c>
      <c r="F135" s="29">
        <f>'Quantity Sample'!$D125*'Quantity Sample'!$E125</f>
        <v>0</v>
      </c>
      <c r="G135" s="29">
        <f>_xlfn.IFNA(VLOOKUP(Quantitytable[[#This Row],[Ingredient ]],Shoppingtable[[Item Name]:[BALANCE Cash]],5,FALSE),0)*Quantitytable[[#This Row],[NeededQuantity]]</f>
        <v>3.75</v>
      </c>
      <c r="H135" s="29">
        <f>SUMIF(Quantitytable[Dish],Quantitytable[[#This Row],[Dish]],Quantitytable[Cost Per Dish Per Item])</f>
        <v>29.576893939393941</v>
      </c>
      <c r="I135" s="30" t="s">
        <v>501</v>
      </c>
    </row>
    <row r="136" spans="1:9" x14ac:dyDescent="0.25">
      <c r="A136" s="28" t="s">
        <v>381</v>
      </c>
      <c r="B136" s="29" t="s">
        <v>75</v>
      </c>
      <c r="C136" s="29"/>
      <c r="D136" s="29">
        <f>IF(Quantitytable[[#This Row],[Units]]=0,0,SUMIFS(Quantitytable[NeededQuantity],Quantitytable[Dish],Quantitytable[[#This Row],[Dish]],Quantitytable[[Ingredient ]],Quantitytable[[#This Row],[Ingredient ]]))</f>
        <v>0</v>
      </c>
      <c r="E136" s="29">
        <f>SUMIFS(salestable[Quantity Sold],salestable[Item Name],Quantitytable[[#This Row],[Dish]])</f>
        <v>0</v>
      </c>
      <c r="F136" s="29">
        <f>'Quantity Sample'!$D126*'Quantity Sample'!$E126</f>
        <v>0</v>
      </c>
      <c r="G136" s="29">
        <f>_xlfn.IFNA(VLOOKUP(Quantitytable[[#This Row],[Ingredient ]],Shoppingtable[[Item Name]:[BALANCE Cash]],5,FALSE),0)*Quantitytable[[#This Row],[NeededQuantity]]</f>
        <v>3.65</v>
      </c>
      <c r="H136" s="29">
        <f>SUMIF(Quantitytable[Dish],Quantitytable[[#This Row],[Dish]],Quantitytable[Cost Per Dish Per Item])</f>
        <v>29.576893939393941</v>
      </c>
      <c r="I136" s="30" t="s">
        <v>501</v>
      </c>
    </row>
    <row r="137" spans="1:9" x14ac:dyDescent="0.25">
      <c r="A137" s="28" t="s">
        <v>165</v>
      </c>
      <c r="B137" s="29" t="s">
        <v>31</v>
      </c>
      <c r="C137" s="29"/>
      <c r="D137" s="29">
        <f>IF(Quantitytable[[#This Row],[Units]]=0,0,SUMIFS(Quantitytable[NeededQuantity],Quantitytable[Dish],Quantitytable[[#This Row],[Dish]],Quantitytable[[Ingredient ]],Quantitytable[[#This Row],[Ingredient ]]))</f>
        <v>0</v>
      </c>
      <c r="E137" s="29">
        <f>SUMIFS(salestable[Quantity Sold],salestable[Item Name],Quantitytable[[#This Row],[Dish]])</f>
        <v>0</v>
      </c>
      <c r="F137" s="29">
        <f>'Quantity Sample'!$D127*'Quantity Sample'!$E127</f>
        <v>0</v>
      </c>
      <c r="G137" s="29">
        <f>_xlfn.IFNA(VLOOKUP(Quantitytable[[#This Row],[Ingredient ]],Shoppingtable[[Item Name]:[BALANCE Cash]],5,FALSE),0)*Quantitytable[[#This Row],[NeededQuantity]]</f>
        <v>1.5</v>
      </c>
      <c r="H137" s="29">
        <f>SUMIF(Quantitytable[Dish],Quantitytable[[#This Row],[Dish]],Quantitytable[Cost Per Dish Per Item])</f>
        <v>29.576893939393941</v>
      </c>
      <c r="I137" s="30" t="s">
        <v>501</v>
      </c>
    </row>
    <row r="138" spans="1:9" x14ac:dyDescent="0.25">
      <c r="A138" s="28" t="s">
        <v>165</v>
      </c>
      <c r="B138" s="29" t="s">
        <v>25</v>
      </c>
      <c r="C138" s="29"/>
      <c r="D138" s="29">
        <f>IF(Quantitytable[[#This Row],[Units]]=0,0,SUMIFS(Quantitytable[NeededQuantity],Quantitytable[Dish],Quantitytable[[#This Row],[Dish]],Quantitytable[[Ingredient ]],Quantitytable[[#This Row],[Ingredient ]]))</f>
        <v>0</v>
      </c>
      <c r="E138" s="29">
        <f>SUMIFS(salestable[Quantity Sold],salestable[Item Name],Quantitytable[[#This Row],[Dish]])</f>
        <v>0</v>
      </c>
      <c r="F138" s="29">
        <f>'Quantity Sample'!$D128*'Quantity Sample'!$E128</f>
        <v>0</v>
      </c>
      <c r="G138" s="29">
        <f>_xlfn.IFNA(VLOOKUP(Quantitytable[[#This Row],[Ingredient ]],Shoppingtable[[Item Name]:[BALANCE Cash]],5,FALSE),0)*Quantitytable[[#This Row],[NeededQuantity]]</f>
        <v>1.5</v>
      </c>
      <c r="H138" s="29">
        <f>SUMIF(Quantitytable[Dish],Quantitytable[[#This Row],[Dish]],Quantitytable[Cost Per Dish Per Item])</f>
        <v>29.576893939393941</v>
      </c>
      <c r="I138" s="30" t="s">
        <v>501</v>
      </c>
    </row>
    <row r="139" spans="1:9" x14ac:dyDescent="0.25">
      <c r="A139" s="28" t="s">
        <v>292</v>
      </c>
      <c r="B139" s="29" t="s">
        <v>26</v>
      </c>
      <c r="C139" s="29"/>
      <c r="D139" s="29">
        <f>IF(Quantitytable[[#This Row],[Units]]=0,0,SUMIFS(Quantitytable[NeededQuantity],Quantitytable[Dish],Quantitytable[[#This Row],[Dish]],Quantitytable[[Ingredient ]],Quantitytable[[#This Row],[Ingredient ]]))</f>
        <v>0</v>
      </c>
      <c r="E139" s="29">
        <f>SUMIFS(salestable[Quantity Sold],salestable[Item Name],Quantitytable[[#This Row],[Dish]])</f>
        <v>0</v>
      </c>
      <c r="F139" s="29">
        <f>'Quantity Sample'!$D129*'Quantity Sample'!$E129</f>
        <v>0</v>
      </c>
      <c r="G139" s="29">
        <f>_xlfn.IFNA(VLOOKUP(Quantitytable[[#This Row],[Ingredient ]],Shoppingtable[[Item Name]:[BALANCE Cash]],5,FALSE),0)*Quantitytable[[#This Row],[NeededQuantity]]</f>
        <v>5.24</v>
      </c>
      <c r="H139" s="29">
        <f>SUMIF(Quantitytable[Dish],Quantitytable[[#This Row],[Dish]],Quantitytable[Cost Per Dish Per Item])</f>
        <v>29.576893939393941</v>
      </c>
      <c r="I139" s="30" t="s">
        <v>501</v>
      </c>
    </row>
    <row r="140" spans="1:9" x14ac:dyDescent="0.25">
      <c r="A140" s="28" t="s">
        <v>292</v>
      </c>
      <c r="B140" s="29" t="s">
        <v>25</v>
      </c>
      <c r="C140" s="29"/>
      <c r="D140" s="29">
        <f>IF(Quantitytable[[#This Row],[Units]]=0,0,SUMIFS(Quantitytable[NeededQuantity],Quantitytable[Dish],Quantitytable[[#This Row],[Dish]],Quantitytable[[Ingredient ]],Quantitytable[[#This Row],[Ingredient ]]))</f>
        <v>0</v>
      </c>
      <c r="E140" s="29">
        <f>SUMIFS(salestable[Quantity Sold],salestable[Item Name],Quantitytable[[#This Row],[Dish]])</f>
        <v>0</v>
      </c>
      <c r="F140" s="29">
        <f>'Quantity Sample'!$D130*'Quantity Sample'!$E130</f>
        <v>0</v>
      </c>
      <c r="G140" s="29">
        <f>_xlfn.IFNA(VLOOKUP(Quantitytable[[#This Row],[Ingredient ]],Shoppingtable[[Item Name]:[BALANCE Cash]],5,FALSE),0)*Quantitytable[[#This Row],[NeededQuantity]]</f>
        <v>4.1500000000000004</v>
      </c>
      <c r="H140" s="29">
        <f>SUMIF(Quantitytable[Dish],Quantitytable[[#This Row],[Dish]],Quantitytable[Cost Per Dish Per Item])</f>
        <v>29.576893939393941</v>
      </c>
      <c r="I140" s="30" t="s">
        <v>501</v>
      </c>
    </row>
    <row r="141" spans="1:9" x14ac:dyDescent="0.25">
      <c r="A141" s="28" t="s">
        <v>295</v>
      </c>
      <c r="B141" s="29" t="s">
        <v>26</v>
      </c>
      <c r="C141" s="29"/>
      <c r="D141" s="29">
        <f>IF(Quantitytable[[#This Row],[Units]]=0,0,SUMIFS(Quantitytable[NeededQuantity],Quantitytable[Dish],Quantitytable[[#This Row],[Dish]],Quantitytable[[Ingredient ]],Quantitytable[[#This Row],[Ingredient ]]))</f>
        <v>0</v>
      </c>
      <c r="E141" s="29">
        <f>SUMIFS(salestable[Quantity Sold],salestable[Item Name],Quantitytable[[#This Row],[Dish]])</f>
        <v>0</v>
      </c>
      <c r="F141" s="29">
        <f>'Quantity Sample'!$D131*'Quantity Sample'!$E131</f>
        <v>0</v>
      </c>
      <c r="G141" s="29">
        <f>_xlfn.IFNA(VLOOKUP(Quantitytable[[#This Row],[Ingredient ]],Shoppingtable[[Item Name]:[BALANCE Cash]],5,FALSE),0)*Quantitytable[[#This Row],[NeededQuantity]]</f>
        <v>0</v>
      </c>
      <c r="H141" s="29">
        <f>SUMIF(Quantitytable[Dish],Quantitytable[[#This Row],[Dish]],Quantitytable[Cost Per Dish Per Item])</f>
        <v>29.576893939393941</v>
      </c>
      <c r="I141" s="30" t="s">
        <v>501</v>
      </c>
    </row>
    <row r="142" spans="1:9" x14ac:dyDescent="0.25">
      <c r="A142" s="28" t="s">
        <v>295</v>
      </c>
      <c r="B142" s="29" t="s">
        <v>50</v>
      </c>
      <c r="C142" s="29"/>
      <c r="D142" s="29">
        <f>IF(Quantitytable[[#This Row],[Units]]=0,0,SUMIFS(Quantitytable[NeededQuantity],Quantitytable[Dish],Quantitytable[[#This Row],[Dish]],Quantitytable[[Ingredient ]],Quantitytable[[#This Row],[Ingredient ]]))</f>
        <v>0</v>
      </c>
      <c r="E142" s="29">
        <f>SUMIFS(salestable[Quantity Sold],salestable[Item Name],Quantitytable[[#This Row],[Dish]])</f>
        <v>0</v>
      </c>
      <c r="F142" s="29">
        <f>'Quantity Sample'!$D132*'Quantity Sample'!$E132</f>
        <v>0</v>
      </c>
      <c r="G142" s="29">
        <f>_xlfn.IFNA(VLOOKUP(Quantitytable[[#This Row],[Ingredient ]],Shoppingtable[[Item Name]:[BALANCE Cash]],5,FALSE),0)*Quantitytable[[#This Row],[NeededQuantity]]</f>
        <v>0.5</v>
      </c>
      <c r="H142" s="29">
        <f>SUMIF(Quantitytable[Dish],Quantitytable[[#This Row],[Dish]],Quantitytable[Cost Per Dish Per Item])</f>
        <v>31.766893939393938</v>
      </c>
      <c r="I142" s="30" t="s">
        <v>501</v>
      </c>
    </row>
    <row r="143" spans="1:9" x14ac:dyDescent="0.25">
      <c r="A143" s="28" t="s">
        <v>295</v>
      </c>
      <c r="B143" s="29" t="s">
        <v>25</v>
      </c>
      <c r="C143" s="29"/>
      <c r="D143" s="29">
        <f>IF(Quantitytable[[#This Row],[Units]]=0,0,SUMIFS(Quantitytable[NeededQuantity],Quantitytable[Dish],Quantitytable[[#This Row],[Dish]],Quantitytable[[Ingredient ]],Quantitytable[[#This Row],[Ingredient ]]))</f>
        <v>0</v>
      </c>
      <c r="E143" s="29">
        <f>SUMIFS(salestable[Quantity Sold],salestable[Item Name],Quantitytable[[#This Row],[Dish]])</f>
        <v>0</v>
      </c>
      <c r="F143" s="29">
        <f>'Quantity Sample'!$D133*'Quantity Sample'!$E133</f>
        <v>0</v>
      </c>
      <c r="G143" s="29">
        <f>_xlfn.IFNA(VLOOKUP(Quantitytable[[#This Row],[Ingredient ]],Shoppingtable[[Item Name]:[BALANCE Cash]],5,FALSE),0)*Quantitytable[[#This Row],[NeededQuantity]]</f>
        <v>0.1875</v>
      </c>
      <c r="H143" s="29">
        <f>SUMIF(Quantitytable[Dish],Quantitytable[[#This Row],[Dish]],Quantitytable[Cost Per Dish Per Item])</f>
        <v>31.766893939393938</v>
      </c>
      <c r="I143" s="30" t="s">
        <v>501</v>
      </c>
    </row>
    <row r="144" spans="1:9" x14ac:dyDescent="0.25">
      <c r="A144" s="28" t="s">
        <v>303</v>
      </c>
      <c r="B144" s="29" t="s">
        <v>26</v>
      </c>
      <c r="C144" s="29"/>
      <c r="D144" s="29">
        <f>IF(Quantitytable[[#This Row],[Units]]=0,0,SUMIFS(Quantitytable[NeededQuantity],Quantitytable[Dish],Quantitytable[[#This Row],[Dish]],Quantitytable[[Ingredient ]],Quantitytable[[#This Row],[Ingredient ]]))</f>
        <v>0</v>
      </c>
      <c r="E144" s="29">
        <f>SUMIFS(salestable[Quantity Sold],salestable[Item Name],Quantitytable[[#This Row],[Dish]])</f>
        <v>0</v>
      </c>
      <c r="F144" s="29">
        <f>'Quantity Sample'!$D134*'Quantity Sample'!$E134</f>
        <v>0</v>
      </c>
      <c r="G144" s="29">
        <f>_xlfn.IFNA(VLOOKUP(Quantitytable[[#This Row],[Ingredient ]],Shoppingtable[[Item Name]:[BALANCE Cash]],5,FALSE),0)*Quantitytable[[#This Row],[NeededQuantity]]</f>
        <v>0</v>
      </c>
      <c r="H144" s="29">
        <f>SUMIF(Quantitytable[Dish],Quantitytable[[#This Row],[Dish]],Quantitytable[Cost Per Dish Per Item])</f>
        <v>31.766893939393938</v>
      </c>
      <c r="I144" s="30" t="s">
        <v>501</v>
      </c>
    </row>
    <row r="145" spans="1:9" x14ac:dyDescent="0.25">
      <c r="A145" s="28" t="s">
        <v>303</v>
      </c>
      <c r="B145" s="29" t="s">
        <v>25</v>
      </c>
      <c r="C145" s="29"/>
      <c r="D145" s="29">
        <f>IF(Quantitytable[[#This Row],[Units]]=0,0,SUMIFS(Quantitytable[NeededQuantity],Quantitytable[Dish],Quantitytable[[#This Row],[Dish]],Quantitytable[[Ingredient ]],Quantitytable[[#This Row],[Ingredient ]]))</f>
        <v>0</v>
      </c>
      <c r="E145" s="29">
        <f>SUMIFS(salestable[Quantity Sold],salestable[Item Name],Quantitytable[[#This Row],[Dish]])</f>
        <v>0</v>
      </c>
      <c r="F145" s="29">
        <f>'Quantity Sample'!$D135*'Quantity Sample'!$E135</f>
        <v>0</v>
      </c>
      <c r="G145" s="29">
        <f>_xlfn.IFNA(VLOOKUP(Quantitytable[[#This Row],[Ingredient ]],Shoppingtable[[Item Name]:[BALANCE Cash]],5,FALSE),0)*Quantitytable[[#This Row],[NeededQuantity]]</f>
        <v>0.6</v>
      </c>
      <c r="H145" s="29">
        <f>SUMIF(Quantitytable[Dish],Quantitytable[[#This Row],[Dish]],Quantitytable[Cost Per Dish Per Item])</f>
        <v>31.766893939393938</v>
      </c>
      <c r="I145" s="30" t="s">
        <v>501</v>
      </c>
    </row>
    <row r="146" spans="1:9" x14ac:dyDescent="0.25">
      <c r="A146" s="28" t="s">
        <v>177</v>
      </c>
      <c r="B146" s="29" t="s">
        <v>26</v>
      </c>
      <c r="C146" s="29"/>
      <c r="D146" s="29">
        <f>IF(Quantitytable[[#This Row],[Units]]=0,0,SUMIFS(Quantitytable[NeededQuantity],Quantitytable[Dish],Quantitytable[[#This Row],[Dish]],Quantitytable[[Ingredient ]],Quantitytable[[#This Row],[Ingredient ]]))</f>
        <v>0</v>
      </c>
      <c r="E146" s="29">
        <f>SUMIFS(salestable[Quantity Sold],salestable[Item Name],Quantitytable[[#This Row],[Dish]])</f>
        <v>0</v>
      </c>
      <c r="F146" s="29">
        <f>'Quantity Sample'!$D136*'Quantity Sample'!$E136</f>
        <v>0</v>
      </c>
      <c r="G146" s="29">
        <f>_xlfn.IFNA(VLOOKUP(Quantitytable[[#This Row],[Ingredient ]],Shoppingtable[[Item Name]:[BALANCE Cash]],5,FALSE),0)*Quantitytable[[#This Row],[NeededQuantity]]</f>
        <v>0.56000000000000005</v>
      </c>
      <c r="H146" s="29">
        <f>SUMIF(Quantitytable[Dish],Quantitytable[[#This Row],[Dish]],Quantitytable[Cost Per Dish Per Item])</f>
        <v>31.766893939393938</v>
      </c>
      <c r="I146" s="30" t="s">
        <v>501</v>
      </c>
    </row>
    <row r="147" spans="1:9" x14ac:dyDescent="0.25">
      <c r="A147" s="28" t="s">
        <v>177</v>
      </c>
      <c r="B147" s="29" t="s">
        <v>73</v>
      </c>
      <c r="C147" s="29"/>
      <c r="D147" s="29">
        <f>IF(Quantitytable[[#This Row],[Units]]=0,0,SUMIFS(Quantitytable[NeededQuantity],Quantitytable[Dish],Quantitytable[[#This Row],[Dish]],Quantitytable[[Ingredient ]],Quantitytable[[#This Row],[Ingredient ]]))</f>
        <v>0</v>
      </c>
      <c r="E147" s="29">
        <f>SUMIFS(salestable[Quantity Sold],salestable[Item Name],Quantitytable[[#This Row],[Dish]])</f>
        <v>0</v>
      </c>
      <c r="F147" s="29">
        <f>'Quantity Sample'!$D137*'Quantity Sample'!$E137</f>
        <v>0</v>
      </c>
      <c r="G147" s="29">
        <f>_xlfn.IFNA(VLOOKUP(Quantitytable[[#This Row],[Ingredient ]],Shoppingtable[[Item Name]:[BALANCE Cash]],5,FALSE),0)*Quantitytable[[#This Row],[NeededQuantity]]</f>
        <v>0.4</v>
      </c>
      <c r="H147" s="29">
        <f>SUMIF(Quantitytable[Dish],Quantitytable[[#This Row],[Dish]],Quantitytable[Cost Per Dish Per Item])</f>
        <v>31.766893939393938</v>
      </c>
      <c r="I147" s="30" t="s">
        <v>501</v>
      </c>
    </row>
    <row r="148" spans="1:9" x14ac:dyDescent="0.25">
      <c r="A148" s="28" t="s">
        <v>177</v>
      </c>
      <c r="B148" s="29" t="s">
        <v>25</v>
      </c>
      <c r="C148" s="29"/>
      <c r="D148" s="29">
        <f>IF(Quantitytable[[#This Row],[Units]]=0,0,SUMIFS(Quantitytable[NeededQuantity],Quantitytable[Dish],Quantitytable[[#This Row],[Dish]],Quantitytable[[Ingredient ]],Quantitytable[[#This Row],[Ingredient ]]))</f>
        <v>0</v>
      </c>
      <c r="E148" s="29">
        <f>SUMIFS(salestable[Quantity Sold],salestable[Item Name],Quantitytable[[#This Row],[Dish]])</f>
        <v>0</v>
      </c>
      <c r="F148" s="29">
        <f>'Quantity Sample'!$D138*'Quantity Sample'!$E138</f>
        <v>0</v>
      </c>
      <c r="G148" s="29">
        <f>_xlfn.IFNA(VLOOKUP(Quantitytable[[#This Row],[Ingredient ]],Shoppingtable[[Item Name]:[BALANCE Cash]],5,FALSE),0)*Quantitytable[[#This Row],[NeededQuantity]]</f>
        <v>2.1</v>
      </c>
      <c r="H148" s="29">
        <f>SUMIF(Quantitytable[Dish],Quantitytable[[#This Row],[Dish]],Quantitytable[Cost Per Dish Per Item])</f>
        <v>31.766893939393938</v>
      </c>
      <c r="I148" s="30" t="s">
        <v>501</v>
      </c>
    </row>
    <row r="149" spans="1:9" x14ac:dyDescent="0.25">
      <c r="A149" s="28" t="s">
        <v>177</v>
      </c>
      <c r="B149" s="29" t="s">
        <v>11</v>
      </c>
      <c r="C149" s="29"/>
      <c r="D149" s="29">
        <f>IF(Quantitytable[[#This Row],[Units]]=0,0,SUMIFS(Quantitytable[NeededQuantity],Quantitytable[Dish],Quantitytable[[#This Row],[Dish]],Quantitytable[[Ingredient ]],Quantitytable[[#This Row],[Ingredient ]]))</f>
        <v>0</v>
      </c>
      <c r="E149" s="29">
        <f>SUMIFS(salestable[Quantity Sold],salestable[Item Name],Quantitytable[[#This Row],[Dish]])</f>
        <v>0</v>
      </c>
      <c r="F149" s="29">
        <f>'Quantity Sample'!$D139*'Quantity Sample'!$E139</f>
        <v>0</v>
      </c>
      <c r="G149" s="29">
        <f>_xlfn.IFNA(VLOOKUP(Quantitytable[[#This Row],[Ingredient ]],Shoppingtable[[Item Name]:[BALANCE Cash]],5,FALSE),0)*Quantitytable[[#This Row],[NeededQuantity]]</f>
        <v>0.83333333333333326</v>
      </c>
      <c r="H149" s="29">
        <f>SUMIF(Quantitytable[Dish],Quantitytable[[#This Row],[Dish]],Quantitytable[Cost Per Dish Per Item])</f>
        <v>31.766893939393938</v>
      </c>
      <c r="I149" s="30" t="s">
        <v>501</v>
      </c>
    </row>
    <row r="150" spans="1:9" x14ac:dyDescent="0.25">
      <c r="A150" s="28" t="s">
        <v>302</v>
      </c>
      <c r="B150" s="29" t="s">
        <v>26</v>
      </c>
      <c r="C150" s="29"/>
      <c r="D150" s="29">
        <f>IF(Quantitytable[[#This Row],[Units]]=0,0,SUMIFS(Quantitytable[NeededQuantity],Quantitytable[Dish],Quantitytable[[#This Row],[Dish]],Quantitytable[[Ingredient ]],Quantitytable[[#This Row],[Ingredient ]]))</f>
        <v>0</v>
      </c>
      <c r="E150" s="29">
        <f>SUMIFS(salestable[Quantity Sold],salestable[Item Name],Quantitytable[[#This Row],[Dish]])</f>
        <v>0</v>
      </c>
      <c r="F150" s="29">
        <f>'Quantity Sample'!$D140*'Quantity Sample'!$E140</f>
        <v>0</v>
      </c>
      <c r="G150" s="29">
        <f>_xlfn.IFNA(VLOOKUP(Quantitytable[[#This Row],[Ingredient ]],Shoppingtable[[Item Name]:[BALANCE Cash]],5,FALSE),0)*Quantitytable[[#This Row],[NeededQuantity]]</f>
        <v>1</v>
      </c>
      <c r="H150" s="29">
        <f>SUMIF(Quantitytable[Dish],Quantitytable[[#This Row],[Dish]],Quantitytable[Cost Per Dish Per Item])</f>
        <v>31.766893939393938</v>
      </c>
      <c r="I150" s="30" t="s">
        <v>501</v>
      </c>
    </row>
    <row r="151" spans="1:9" x14ac:dyDescent="0.25">
      <c r="A151" s="28" t="s">
        <v>302</v>
      </c>
      <c r="B151" s="29" t="s">
        <v>84</v>
      </c>
      <c r="C151" s="29"/>
      <c r="D151" s="29">
        <f>IF(Quantitytable[[#This Row],[Units]]=0,0,SUMIFS(Quantitytable[NeededQuantity],Quantitytable[Dish],Quantitytable[[#This Row],[Dish]],Quantitytable[[Ingredient ]],Quantitytable[[#This Row],[Ingredient ]]))</f>
        <v>0</v>
      </c>
      <c r="E151" s="29">
        <f>SUMIFS(salestable[Quantity Sold],salestable[Item Name],Quantitytable[[#This Row],[Dish]])</f>
        <v>0</v>
      </c>
      <c r="F151" s="29">
        <f>'Quantity Sample'!$D141*'Quantity Sample'!$E141</f>
        <v>0</v>
      </c>
      <c r="G151" s="29">
        <f>_xlfn.IFNA(VLOOKUP(Quantitytable[[#This Row],[Ingredient ]],Shoppingtable[[Item Name]:[BALANCE Cash]],5,FALSE),0)*Quantitytable[[#This Row],[NeededQuantity]]</f>
        <v>2.2727272727272725</v>
      </c>
      <c r="H151" s="29">
        <f>SUMIF(Quantitytable[Dish],Quantitytable[[#This Row],[Dish]],Quantitytable[Cost Per Dish Per Item])</f>
        <v>31.766893939393938</v>
      </c>
      <c r="I151" s="30" t="s">
        <v>501</v>
      </c>
    </row>
    <row r="152" spans="1:9" x14ac:dyDescent="0.25">
      <c r="A152" s="28" t="s">
        <v>302</v>
      </c>
      <c r="B152" s="29" t="s">
        <v>25</v>
      </c>
      <c r="C152" s="29"/>
      <c r="D152" s="29">
        <f>IF(Quantitytable[[#This Row],[Units]]=0,0,SUMIFS(Quantitytable[NeededQuantity],Quantitytable[Dish],Quantitytable[[#This Row],[Dish]],Quantitytable[[Ingredient ]],Quantitytable[[#This Row],[Ingredient ]]))</f>
        <v>0</v>
      </c>
      <c r="E152" s="29">
        <f>SUMIFS(salestable[Quantity Sold],salestable[Item Name],Quantitytable[[#This Row],[Dish]])</f>
        <v>0</v>
      </c>
      <c r="F152" s="29">
        <f>'Quantity Sample'!$D142*'Quantity Sample'!$E142</f>
        <v>0</v>
      </c>
      <c r="G152" s="29">
        <f>_xlfn.IFNA(VLOOKUP(Quantitytable[[#This Row],[Ingredient ]],Shoppingtable[[Item Name]:[BALANCE Cash]],5,FALSE),0)*Quantitytable[[#This Row],[NeededQuantity]]</f>
        <v>1.3333333333333333</v>
      </c>
      <c r="H152" s="29">
        <f>SUMIF(Quantitytable[Dish],Quantitytable[[#This Row],[Dish]],Quantitytable[Cost Per Dish Per Item])</f>
        <v>31.766893939393938</v>
      </c>
      <c r="I152" s="30" t="s">
        <v>501</v>
      </c>
    </row>
    <row r="153" spans="1:9" x14ac:dyDescent="0.25">
      <c r="A153" s="28" t="s">
        <v>179</v>
      </c>
      <c r="B153" s="29" t="s">
        <v>26</v>
      </c>
      <c r="C153" s="29"/>
      <c r="D153" s="29">
        <f>IF(Quantitytable[[#This Row],[Units]]=0,0,SUMIFS(Quantitytable[NeededQuantity],Quantitytable[Dish],Quantitytable[[#This Row],[Dish]],Quantitytable[[Ingredient ]],Quantitytable[[#This Row],[Ingredient ]]))</f>
        <v>0</v>
      </c>
      <c r="E153" s="29">
        <f>SUMIFS(salestable[Quantity Sold],salestable[Item Name],Quantitytable[[#This Row],[Dish]])</f>
        <v>0</v>
      </c>
      <c r="F153" s="29">
        <f>'Quantity Sample'!$D143*'Quantity Sample'!$E143</f>
        <v>0</v>
      </c>
      <c r="G153" s="29">
        <f>_xlfn.IFNA(VLOOKUP(Quantitytable[[#This Row],[Ingredient ]],Shoppingtable[[Item Name]:[BALANCE Cash]],5,FALSE),0)*Quantitytable[[#This Row],[NeededQuantity]]</f>
        <v>0</v>
      </c>
      <c r="H153" s="29">
        <f>SUMIF(Quantitytable[Dish],Quantitytable[[#This Row],[Dish]],Quantitytable[Cost Per Dish Per Item])</f>
        <v>31.766893939393938</v>
      </c>
      <c r="I153" s="30" t="s">
        <v>501</v>
      </c>
    </row>
    <row r="154" spans="1:9" x14ac:dyDescent="0.25">
      <c r="A154" s="28" t="s">
        <v>179</v>
      </c>
      <c r="B154" s="29" t="s">
        <v>26</v>
      </c>
      <c r="C154" s="29"/>
      <c r="D154" s="29">
        <f>IF(Quantitytable[[#This Row],[Units]]=0,0,SUMIFS(Quantitytable[NeededQuantity],Quantitytable[Dish],Quantitytable[[#This Row],[Dish]],Quantitytable[[Ingredient ]],Quantitytable[[#This Row],[Ingredient ]]))</f>
        <v>0</v>
      </c>
      <c r="E154" s="29">
        <f>SUMIFS(salestable[Quantity Sold],salestable[Item Name],Quantitytable[[#This Row],[Dish]])</f>
        <v>0</v>
      </c>
      <c r="F154" s="29">
        <f>'Quantity Sample'!$D144*'Quantity Sample'!$E144</f>
        <v>0</v>
      </c>
      <c r="G154" s="29">
        <f>_xlfn.IFNA(VLOOKUP(Quantitytable[[#This Row],[Ingredient ]],Shoppingtable[[Item Name]:[BALANCE Cash]],5,FALSE),0)*Quantitytable[[#This Row],[NeededQuantity]]</f>
        <v>3.75</v>
      </c>
      <c r="H154" s="29">
        <f>SUMIF(Quantitytable[Dish],Quantitytable[[#This Row],[Dish]],Quantitytable[Cost Per Dish Per Item])</f>
        <v>31.766893939393938</v>
      </c>
      <c r="I154" s="30" t="s">
        <v>501</v>
      </c>
    </row>
    <row r="155" spans="1:9" x14ac:dyDescent="0.25">
      <c r="A155" s="28" t="s">
        <v>179</v>
      </c>
      <c r="B155" s="29" t="s">
        <v>73</v>
      </c>
      <c r="C155" s="29"/>
      <c r="D155" s="29">
        <f>IF(Quantitytable[[#This Row],[Units]]=0,0,SUMIFS(Quantitytable[NeededQuantity],Quantitytable[Dish],Quantitytable[[#This Row],[Dish]],Quantitytable[[Ingredient ]],Quantitytable[[#This Row],[Ingredient ]]))</f>
        <v>0</v>
      </c>
      <c r="E155" s="29">
        <f>SUMIFS(salestable[Quantity Sold],salestable[Item Name],Quantitytable[[#This Row],[Dish]])</f>
        <v>0</v>
      </c>
      <c r="F155" s="29">
        <f>'Quantity Sample'!$D145*'Quantity Sample'!$E145</f>
        <v>0</v>
      </c>
      <c r="G155" s="29">
        <f>_xlfn.IFNA(VLOOKUP(Quantitytable[[#This Row],[Ingredient ]],Shoppingtable[[Item Name]:[BALANCE Cash]],5,FALSE),0)*Quantitytable[[#This Row],[NeededQuantity]]</f>
        <v>1.5</v>
      </c>
      <c r="H155" s="29">
        <f>SUMIF(Quantitytable[Dish],Quantitytable[[#This Row],[Dish]],Quantitytable[Cost Per Dish Per Item])</f>
        <v>31.766893939393938</v>
      </c>
      <c r="I155" s="30" t="s">
        <v>501</v>
      </c>
    </row>
    <row r="156" spans="1:9" x14ac:dyDescent="0.25">
      <c r="A156" s="28" t="s">
        <v>179</v>
      </c>
      <c r="B156" s="29" t="s">
        <v>73</v>
      </c>
      <c r="C156" s="29"/>
      <c r="D156" s="29">
        <f>IF(Quantitytable[[#This Row],[Units]]=0,0,SUMIFS(Quantitytable[NeededQuantity],Quantitytable[Dish],Quantitytable[[#This Row],[Dish]],Quantitytable[[Ingredient ]],Quantitytable[[#This Row],[Ingredient ]]))</f>
        <v>0</v>
      </c>
      <c r="E156" s="29">
        <f>SUMIFS(salestable[Quantity Sold],salestable[Item Name],Quantitytable[[#This Row],[Dish]])</f>
        <v>0</v>
      </c>
      <c r="F156" s="29">
        <f>'Quantity Sample'!$D146*'Quantity Sample'!$E146</f>
        <v>0</v>
      </c>
      <c r="G156" s="29">
        <f>_xlfn.IFNA(VLOOKUP(Quantitytable[[#This Row],[Ingredient ]],Shoppingtable[[Item Name]:[BALANCE Cash]],5,FALSE),0)*Quantitytable[[#This Row],[NeededQuantity]]</f>
        <v>5.84</v>
      </c>
      <c r="H156" s="29">
        <f>SUMIF(Quantitytable[Dish],Quantitytable[[#This Row],[Dish]],Quantitytable[Cost Per Dish Per Item])</f>
        <v>31.766893939393938</v>
      </c>
      <c r="I156" s="30" t="s">
        <v>501</v>
      </c>
    </row>
    <row r="157" spans="1:9" x14ac:dyDescent="0.25">
      <c r="A157" s="28" t="s">
        <v>179</v>
      </c>
      <c r="B157" s="29" t="s">
        <v>99</v>
      </c>
      <c r="C157" s="29"/>
      <c r="D157" s="29">
        <f>IF(Quantitytable[[#This Row],[Units]]=0,0,SUMIFS(Quantitytable[NeededQuantity],Quantitytable[Dish],Quantitytable[[#This Row],[Dish]],Quantitytable[[Ingredient ]],Quantitytable[[#This Row],[Ingredient ]]))</f>
        <v>0</v>
      </c>
      <c r="E157" s="29">
        <f>SUMIFS(salestable[Quantity Sold],salestable[Item Name],Quantitytable[[#This Row],[Dish]])</f>
        <v>0</v>
      </c>
      <c r="F157" s="29">
        <f>'Quantity Sample'!$D147*'Quantity Sample'!$E147</f>
        <v>0</v>
      </c>
      <c r="G157" s="29">
        <f>_xlfn.IFNA(VLOOKUP(Quantitytable[[#This Row],[Ingredient ]],Shoppingtable[[Item Name]:[BALANCE Cash]],5,FALSE),0)*Quantitytable[[#This Row],[NeededQuantity]]</f>
        <v>1.5</v>
      </c>
      <c r="H157" s="29">
        <f>SUMIF(Quantitytable[Dish],Quantitytable[[#This Row],[Dish]],Quantitytable[Cost Per Dish Per Item])</f>
        <v>31.766893939393938</v>
      </c>
      <c r="I157" s="30" t="s">
        <v>501</v>
      </c>
    </row>
    <row r="158" spans="1:9" x14ac:dyDescent="0.25">
      <c r="A158" s="28" t="s">
        <v>179</v>
      </c>
      <c r="B158" s="29" t="s">
        <v>99</v>
      </c>
      <c r="C158" s="29"/>
      <c r="D158" s="29">
        <f>IF(Quantitytable[[#This Row],[Units]]=0,0,SUMIFS(Quantitytable[NeededQuantity],Quantitytable[Dish],Quantitytable[[#This Row],[Dish]],Quantitytable[[Ingredient ]],Quantitytable[[#This Row],[Ingredient ]]))</f>
        <v>0</v>
      </c>
      <c r="E158" s="29">
        <f>SUMIFS(salestable[Quantity Sold],salestable[Item Name],Quantitytable[[#This Row],[Dish]])</f>
        <v>0</v>
      </c>
      <c r="F158" s="29">
        <f>'Quantity Sample'!$D148*'Quantity Sample'!$E148</f>
        <v>0</v>
      </c>
      <c r="G158" s="29">
        <f>_xlfn.IFNA(VLOOKUP(Quantitytable[[#This Row],[Ingredient ]],Shoppingtable[[Item Name]:[BALANCE Cash]],5,FALSE),0)*Quantitytable[[#This Row],[NeededQuantity]]</f>
        <v>5.24</v>
      </c>
      <c r="H158" s="29">
        <f>SUMIF(Quantitytable[Dish],Quantitytable[[#This Row],[Dish]],Quantitytable[Cost Per Dish Per Item])</f>
        <v>31.766893939393938</v>
      </c>
      <c r="I158" s="30" t="s">
        <v>501</v>
      </c>
    </row>
    <row r="159" spans="1:9" x14ac:dyDescent="0.25">
      <c r="A159" s="28" t="s">
        <v>299</v>
      </c>
      <c r="B159" s="29" t="s">
        <v>26</v>
      </c>
      <c r="C159" s="29"/>
      <c r="D159" s="29">
        <f>IF(Quantitytable[[#This Row],[Units]]=0,0,SUMIFS(Quantitytable[NeededQuantity],Quantitytable[Dish],Quantitytable[[#This Row],[Dish]],Quantitytable[[Ingredient ]],Quantitytable[[#This Row],[Ingredient ]]))</f>
        <v>0</v>
      </c>
      <c r="E159" s="29">
        <f>SUMIFS(salestable[Quantity Sold],salestable[Item Name],Quantitytable[[#This Row],[Dish]])</f>
        <v>0</v>
      </c>
      <c r="F159" s="29">
        <f>'Quantity Sample'!$D149*'Quantity Sample'!$E149</f>
        <v>0</v>
      </c>
      <c r="G159" s="29">
        <f>_xlfn.IFNA(VLOOKUP(Quantitytable[[#This Row],[Ingredient ]],Shoppingtable[[Item Name]:[BALANCE Cash]],5,FALSE),0)*Quantitytable[[#This Row],[NeededQuantity]]</f>
        <v>4.1500000000000004</v>
      </c>
      <c r="H159" s="29">
        <f>SUMIF(Quantitytable[Dish],Quantitytable[[#This Row],[Dish]],Quantitytable[Cost Per Dish Per Item])</f>
        <v>31.766893939393938</v>
      </c>
      <c r="I159" s="30" t="s">
        <v>501</v>
      </c>
    </row>
    <row r="160" spans="1:9" x14ac:dyDescent="0.25">
      <c r="A160" s="28" t="s">
        <v>299</v>
      </c>
      <c r="B160" s="29" t="s">
        <v>50</v>
      </c>
      <c r="C160" s="29"/>
      <c r="D160" s="29">
        <f>IF(Quantitytable[[#This Row],[Units]]=0,0,SUMIFS(Quantitytable[NeededQuantity],Quantitytable[Dish],Quantitytable[[#This Row],[Dish]],Quantitytable[[Ingredient ]],Quantitytable[[#This Row],[Ingredient ]]))</f>
        <v>0</v>
      </c>
      <c r="E160" s="29">
        <f>SUMIFS(salestable[Quantity Sold],salestable[Item Name],Quantitytable[[#This Row],[Dish]])</f>
        <v>0</v>
      </c>
      <c r="F160" s="29">
        <f>'Quantity Sample'!$D150*'Quantity Sample'!$E150</f>
        <v>0</v>
      </c>
      <c r="G160" s="29">
        <f>_xlfn.IFNA(VLOOKUP(Quantitytable[[#This Row],[Ingredient ]],Shoppingtable[[Item Name]:[BALANCE Cash]],5,FALSE),0)*Quantitytable[[#This Row],[NeededQuantity]]</f>
        <v>0</v>
      </c>
      <c r="H160" s="29">
        <f>SUMIF(Quantitytable[Dish],Quantitytable[[#This Row],[Dish]],Quantitytable[Cost Per Dish Per Item])</f>
        <v>0</v>
      </c>
      <c r="I160" s="30" t="s">
        <v>501</v>
      </c>
    </row>
    <row r="161" spans="1:9" x14ac:dyDescent="0.25">
      <c r="A161" s="28" t="s">
        <v>299</v>
      </c>
      <c r="B161" s="29" t="s">
        <v>25</v>
      </c>
      <c r="C161" s="29"/>
      <c r="D161" s="29">
        <f>IF(Quantitytable[[#This Row],[Units]]=0,0,SUMIFS(Quantitytable[NeededQuantity],Quantitytable[Dish],Quantitytable[[#This Row],[Dish]],Quantitytable[[Ingredient ]],Quantitytable[[#This Row],[Ingredient ]]))</f>
        <v>0</v>
      </c>
      <c r="E161" s="29">
        <f>SUMIFS(salestable[Quantity Sold],salestable[Item Name],Quantitytable[[#This Row],[Dish]])</f>
        <v>0</v>
      </c>
      <c r="F161" s="29">
        <f>'Quantity Sample'!$D151*'Quantity Sample'!$E151</f>
        <v>0</v>
      </c>
      <c r="G161" s="29">
        <f>_xlfn.IFNA(VLOOKUP(Quantitytable[[#This Row],[Ingredient ]],Shoppingtable[[Item Name]:[BALANCE Cash]],5,FALSE),0)*Quantitytable[[#This Row],[NeededQuantity]]</f>
        <v>0</v>
      </c>
      <c r="H161" s="29">
        <f>SUMIF(Quantitytable[Dish],Quantitytable[[#This Row],[Dish]],Quantitytable[Cost Per Dish Per Item])</f>
        <v>0</v>
      </c>
      <c r="I161" s="30" t="s">
        <v>501</v>
      </c>
    </row>
    <row r="162" spans="1:9" x14ac:dyDescent="0.25">
      <c r="A162" s="28" t="s">
        <v>270</v>
      </c>
      <c r="B162" s="29" t="s">
        <v>10</v>
      </c>
      <c r="C162" s="29"/>
      <c r="D162" s="29">
        <f>IF(Quantitytable[[#This Row],[Units]]=0,0,SUMIFS(Quantitytable[NeededQuantity],Quantitytable[Dish],Quantitytable[[#This Row],[Dish]],Quantitytable[[Ingredient ]],Quantitytable[[#This Row],[Ingredient ]]))</f>
        <v>0</v>
      </c>
      <c r="E162" s="29">
        <f>SUMIFS(salestable[Quantity Sold],salestable[Item Name],Quantitytable[[#This Row],[Dish]])</f>
        <v>0</v>
      </c>
      <c r="F162" s="29">
        <f>'Quantity Sample'!$D152*'Quantity Sample'!$E152</f>
        <v>0</v>
      </c>
      <c r="G162" s="29">
        <f>_xlfn.IFNA(VLOOKUP(Quantitytable[[#This Row],[Ingredient ]],Shoppingtable[[Item Name]:[BALANCE Cash]],5,FALSE),0)*Quantitytable[[#This Row],[NeededQuantity]]</f>
        <v>0</v>
      </c>
      <c r="H162" s="29">
        <f>SUMIF(Quantitytable[Dish],Quantitytable[[#This Row],[Dish]],Quantitytable[Cost Per Dish Per Item])</f>
        <v>0</v>
      </c>
      <c r="I162" s="30" t="s">
        <v>501</v>
      </c>
    </row>
    <row r="163" spans="1:9" x14ac:dyDescent="0.25">
      <c r="A163" s="28" t="s">
        <v>270</v>
      </c>
      <c r="B163" s="29" t="s">
        <v>50</v>
      </c>
      <c r="C163" s="29"/>
      <c r="D163" s="29">
        <f>IF(Quantitytable[[#This Row],[Units]]=0,0,SUMIFS(Quantitytable[NeededQuantity],Quantitytable[Dish],Quantitytable[[#This Row],[Dish]],Quantitytable[[Ingredient ]],Quantitytable[[#This Row],[Ingredient ]]))</f>
        <v>0</v>
      </c>
      <c r="E163" s="29">
        <f>SUMIFS(salestable[Quantity Sold],salestable[Item Name],Quantitytable[[#This Row],[Dish]])</f>
        <v>0</v>
      </c>
      <c r="F163" s="29">
        <f>'Quantity Sample'!$D153*'Quantity Sample'!$E153</f>
        <v>0</v>
      </c>
      <c r="G163" s="29">
        <f>_xlfn.IFNA(VLOOKUP(Quantitytable[[#This Row],[Ingredient ]],Shoppingtable[[Item Name]:[BALANCE Cash]],5,FALSE),0)*Quantitytable[[#This Row],[NeededQuantity]]</f>
        <v>0</v>
      </c>
      <c r="H163" s="29">
        <f>SUMIF(Quantitytable[Dish],Quantitytable[[#This Row],[Dish]],Quantitytable[Cost Per Dish Per Item])</f>
        <v>0</v>
      </c>
      <c r="I163" s="30" t="s">
        <v>501</v>
      </c>
    </row>
    <row r="164" spans="1:9" x14ac:dyDescent="0.25">
      <c r="A164" s="28" t="s">
        <v>270</v>
      </c>
      <c r="B164" s="29" t="s">
        <v>25</v>
      </c>
      <c r="C164" s="29"/>
      <c r="D164" s="29">
        <f>IF(Quantitytable[[#This Row],[Units]]=0,0,SUMIFS(Quantitytable[NeededQuantity],Quantitytable[Dish],Quantitytable[[#This Row],[Dish]],Quantitytable[[Ingredient ]],Quantitytable[[#This Row],[Ingredient ]]))</f>
        <v>0</v>
      </c>
      <c r="E164" s="29">
        <f>SUMIFS(salestable[Quantity Sold],salestable[Item Name],Quantitytable[[#This Row],[Dish]])</f>
        <v>0</v>
      </c>
      <c r="F164" s="29">
        <f>'Quantity Sample'!$D154*'Quantity Sample'!$E154</f>
        <v>0</v>
      </c>
      <c r="G164" s="29">
        <f>_xlfn.IFNA(VLOOKUP(Quantitytable[[#This Row],[Ingredient ]],Shoppingtable[[Item Name]:[BALANCE Cash]],5,FALSE),0)*Quantitytable[[#This Row],[NeededQuantity]]</f>
        <v>0</v>
      </c>
      <c r="H164" s="29">
        <f>SUMIF(Quantitytable[Dish],Quantitytable[[#This Row],[Dish]],Quantitytable[Cost Per Dish Per Item])</f>
        <v>0</v>
      </c>
      <c r="I164" s="30" t="s">
        <v>501</v>
      </c>
    </row>
    <row r="165" spans="1:9" x14ac:dyDescent="0.25">
      <c r="A165" s="28" t="s">
        <v>209</v>
      </c>
      <c r="B165" s="29" t="s">
        <v>26</v>
      </c>
      <c r="C165" s="29"/>
      <c r="D165" s="29">
        <f>IF(Quantitytable[[#This Row],[Units]]=0,0,SUMIFS(Quantitytable[NeededQuantity],Quantitytable[Dish],Quantitytable[[#This Row],[Dish]],Quantitytable[[Ingredient ]],Quantitytable[[#This Row],[Ingredient ]]))</f>
        <v>0</v>
      </c>
      <c r="E165" s="29">
        <f>SUMIFS(salestable[Quantity Sold],salestable[Item Name],Quantitytable[[#This Row],[Dish]])</f>
        <v>0</v>
      </c>
      <c r="F165" s="29">
        <f>'Quantity Sample'!$D155*'Quantity Sample'!$E155</f>
        <v>0</v>
      </c>
      <c r="G165" s="29">
        <f>_xlfn.IFNA(VLOOKUP(Quantitytable[[#This Row],[Ingredient ]],Shoppingtable[[Item Name]:[BALANCE Cash]],5,FALSE),0)*Quantitytable[[#This Row],[NeededQuantity]]</f>
        <v>0</v>
      </c>
      <c r="H165" s="29">
        <f>SUMIF(Quantitytable[Dish],Quantitytable[[#This Row],[Dish]],Quantitytable[Cost Per Dish Per Item])</f>
        <v>0</v>
      </c>
      <c r="I165" s="30" t="s">
        <v>501</v>
      </c>
    </row>
    <row r="166" spans="1:9" x14ac:dyDescent="0.25">
      <c r="A166" s="28" t="s">
        <v>209</v>
      </c>
      <c r="B166" s="29" t="s">
        <v>26</v>
      </c>
      <c r="C166" s="29"/>
      <c r="D166" s="29">
        <f>IF(Quantitytable[[#This Row],[Units]]=0,0,SUMIFS(Quantitytable[NeededQuantity],Quantitytable[Dish],Quantitytable[[#This Row],[Dish]],Quantitytable[[Ingredient ]],Quantitytable[[#This Row],[Ingredient ]]))</f>
        <v>0</v>
      </c>
      <c r="E166" s="29">
        <f>SUMIFS(salestable[Quantity Sold],salestable[Item Name],Quantitytable[[#This Row],[Dish]])</f>
        <v>0</v>
      </c>
      <c r="F166" s="29">
        <f>'Quantity Sample'!$D156*'Quantity Sample'!$E156</f>
        <v>0</v>
      </c>
      <c r="G166" s="29">
        <f>_xlfn.IFNA(VLOOKUP(Quantitytable[[#This Row],[Ingredient ]],Shoppingtable[[Item Name]:[BALANCE Cash]],5,FALSE),0)*Quantitytable[[#This Row],[NeededQuantity]]</f>
        <v>0</v>
      </c>
      <c r="H166" s="29">
        <f>SUMIF(Quantitytable[Dish],Quantitytable[[#This Row],[Dish]],Quantitytable[Cost Per Dish Per Item])</f>
        <v>0</v>
      </c>
      <c r="I166" s="30" t="s">
        <v>501</v>
      </c>
    </row>
    <row r="167" spans="1:9" x14ac:dyDescent="0.25">
      <c r="A167" s="28" t="s">
        <v>209</v>
      </c>
      <c r="B167" s="29" t="s">
        <v>32</v>
      </c>
      <c r="C167" s="29"/>
      <c r="D167" s="29">
        <f>IF(Quantitytable[[#This Row],[Units]]=0,0,SUMIFS(Quantitytable[NeededQuantity],Quantitytable[Dish],Quantitytable[[#This Row],[Dish]],Quantitytable[[Ingredient ]],Quantitytable[[#This Row],[Ingredient ]]))</f>
        <v>0</v>
      </c>
      <c r="E167" s="29">
        <f>SUMIFS(salestable[Quantity Sold],salestable[Item Name],Quantitytable[[#This Row],[Dish]])</f>
        <v>0</v>
      </c>
      <c r="F167" s="29">
        <f>'Quantity Sample'!$D157*'Quantity Sample'!$E157</f>
        <v>0</v>
      </c>
      <c r="G167" s="29">
        <f>_xlfn.IFNA(VLOOKUP(Quantitytable[[#This Row],[Ingredient ]],Shoppingtable[[Item Name]:[BALANCE Cash]],5,FALSE),0)*Quantitytable[[#This Row],[NeededQuantity]]</f>
        <v>0</v>
      </c>
      <c r="H167" s="29">
        <f>SUMIF(Quantitytable[Dish],Quantitytable[[#This Row],[Dish]],Quantitytable[Cost Per Dish Per Item])</f>
        <v>0</v>
      </c>
      <c r="I167" s="30" t="s">
        <v>501</v>
      </c>
    </row>
    <row r="168" spans="1:9" x14ac:dyDescent="0.25">
      <c r="A168" s="28" t="s">
        <v>209</v>
      </c>
      <c r="B168" s="29" t="s">
        <v>25</v>
      </c>
      <c r="C168" s="29"/>
      <c r="D168" s="29">
        <f>IF(Quantitytable[[#This Row],[Units]]=0,0,SUMIFS(Quantitytable[NeededQuantity],Quantitytable[Dish],Quantitytable[[#This Row],[Dish]],Quantitytable[[Ingredient ]],Quantitytable[[#This Row],[Ingredient ]]))</f>
        <v>0</v>
      </c>
      <c r="E168" s="29">
        <f>SUMIFS(salestable[Quantity Sold],salestable[Item Name],Quantitytable[[#This Row],[Dish]])</f>
        <v>0</v>
      </c>
      <c r="F168" s="29">
        <f>'Quantity Sample'!$D158*'Quantity Sample'!$E158</f>
        <v>0</v>
      </c>
      <c r="G168" s="29">
        <f>_xlfn.IFNA(VLOOKUP(Quantitytable[[#This Row],[Ingredient ]],Shoppingtable[[Item Name]:[BALANCE Cash]],5,FALSE),0)*Quantitytable[[#This Row],[NeededQuantity]]</f>
        <v>0</v>
      </c>
      <c r="H168" s="29">
        <f>SUMIF(Quantitytable[Dish],Quantitytable[[#This Row],[Dish]],Quantitytable[Cost Per Dish Per Item])</f>
        <v>0</v>
      </c>
      <c r="I168" s="30" t="s">
        <v>501</v>
      </c>
    </row>
    <row r="169" spans="1:9" x14ac:dyDescent="0.25">
      <c r="A169" s="28" t="s">
        <v>288</v>
      </c>
      <c r="B169" s="29" t="s">
        <v>26</v>
      </c>
      <c r="C169" s="29"/>
      <c r="D169" s="29">
        <f>IF(Quantitytable[[#This Row],[Units]]=0,0,SUMIFS(Quantitytable[NeededQuantity],Quantitytable[Dish],Quantitytable[[#This Row],[Dish]],Quantitytable[[Ingredient ]],Quantitytable[[#This Row],[Ingredient ]]))</f>
        <v>0</v>
      </c>
      <c r="E169" s="29">
        <f>SUMIFS(salestable[Quantity Sold],salestable[Item Name],Quantitytable[[#This Row],[Dish]])</f>
        <v>0</v>
      </c>
      <c r="F169" s="29">
        <f>'Quantity Sample'!$D159*'Quantity Sample'!$E159</f>
        <v>0</v>
      </c>
      <c r="G169" s="29">
        <f>_xlfn.IFNA(VLOOKUP(Quantitytable[[#This Row],[Ingredient ]],Shoppingtable[[Item Name]:[BALANCE Cash]],5,FALSE),0)*Quantitytable[[#This Row],[NeededQuantity]]</f>
        <v>0</v>
      </c>
      <c r="H169" s="29">
        <f>SUMIF(Quantitytable[Dish],Quantitytable[[#This Row],[Dish]],Quantitytable[Cost Per Dish Per Item])</f>
        <v>0</v>
      </c>
      <c r="I169" s="30" t="s">
        <v>501</v>
      </c>
    </row>
    <row r="170" spans="1:9" x14ac:dyDescent="0.25">
      <c r="A170" s="28" t="s">
        <v>288</v>
      </c>
      <c r="B170" s="29" t="s">
        <v>50</v>
      </c>
      <c r="C170" s="29"/>
      <c r="D170" s="29">
        <f>IF(Quantitytable[[#This Row],[Units]]=0,0,SUMIFS(Quantitytable[NeededQuantity],Quantitytable[Dish],Quantitytable[[#This Row],[Dish]],Quantitytable[[Ingredient ]],Quantitytable[[#This Row],[Ingredient ]]))</f>
        <v>0</v>
      </c>
      <c r="E170" s="29">
        <f>SUMIFS(salestable[Quantity Sold],salestable[Item Name],Quantitytable[[#This Row],[Dish]])</f>
        <v>0</v>
      </c>
      <c r="F170" s="29">
        <f>'Quantity Sample'!$D160*'Quantity Sample'!$E160</f>
        <v>0</v>
      </c>
      <c r="G170" s="29">
        <f>_xlfn.IFNA(VLOOKUP(Quantitytable[[#This Row],[Ingredient ]],Shoppingtable[[Item Name]:[BALANCE Cash]],5,FALSE),0)*Quantitytable[[#This Row],[NeededQuantity]]</f>
        <v>0</v>
      </c>
      <c r="H170" s="29">
        <f>SUMIF(Quantitytable[Dish],Quantitytable[[#This Row],[Dish]],Quantitytable[Cost Per Dish Per Item])</f>
        <v>0</v>
      </c>
      <c r="I170" s="30" t="s">
        <v>501</v>
      </c>
    </row>
    <row r="171" spans="1:9" x14ac:dyDescent="0.25">
      <c r="A171" s="28" t="s">
        <v>288</v>
      </c>
      <c r="B171" s="29" t="s">
        <v>25</v>
      </c>
      <c r="C171" s="29"/>
      <c r="D171" s="29">
        <f>IF(Quantitytable[[#This Row],[Units]]=0,0,SUMIFS(Quantitytable[NeededQuantity],Quantitytable[Dish],Quantitytable[[#This Row],[Dish]],Quantitytable[[Ingredient ]],Quantitytable[[#This Row],[Ingredient ]]))</f>
        <v>0</v>
      </c>
      <c r="E171" s="29">
        <f>SUMIFS(salestable[Quantity Sold],salestable[Item Name],Quantitytable[[#This Row],[Dish]])</f>
        <v>0</v>
      </c>
      <c r="F171" s="29">
        <f>'Quantity Sample'!$D161*'Quantity Sample'!$E161</f>
        <v>0</v>
      </c>
      <c r="G171" s="29">
        <f>_xlfn.IFNA(VLOOKUP(Quantitytable[[#This Row],[Ingredient ]],Shoppingtable[[Item Name]:[BALANCE Cash]],5,FALSE),0)*Quantitytable[[#This Row],[NeededQuantity]]</f>
        <v>0</v>
      </c>
      <c r="H171" s="29">
        <f>SUMIF(Quantitytable[Dish],Quantitytable[[#This Row],[Dish]],Quantitytable[Cost Per Dish Per Item])</f>
        <v>0</v>
      </c>
      <c r="I171" s="30" t="s">
        <v>501</v>
      </c>
    </row>
    <row r="172" spans="1:9" x14ac:dyDescent="0.25">
      <c r="A172" s="28" t="s">
        <v>235</v>
      </c>
      <c r="B172" s="29" t="s">
        <v>32</v>
      </c>
      <c r="C172" s="29"/>
      <c r="D172" s="29">
        <f>IF(Quantitytable[[#This Row],[Units]]=0,0,SUMIFS(Quantitytable[NeededQuantity],Quantitytable[Dish],Quantitytable[[#This Row],[Dish]],Quantitytable[[Ingredient ]],Quantitytable[[#This Row],[Ingredient ]]))</f>
        <v>0</v>
      </c>
      <c r="E172" s="29">
        <f>SUMIFS(salestable[Quantity Sold],salestable[Item Name],Quantitytable[[#This Row],[Dish]])</f>
        <v>0</v>
      </c>
      <c r="F172" s="29">
        <f>'Quantity Sample'!$D162*'Quantity Sample'!$E162</f>
        <v>0</v>
      </c>
      <c r="G172" s="29">
        <f>_xlfn.IFNA(VLOOKUP(Quantitytable[[#This Row],[Ingredient ]],Shoppingtable[[Item Name]:[BALANCE Cash]],5,FALSE),0)*Quantitytable[[#This Row],[NeededQuantity]]</f>
        <v>0</v>
      </c>
      <c r="H172" s="29">
        <f>SUMIF(Quantitytable[Dish],Quantitytable[[#This Row],[Dish]],Quantitytable[Cost Per Dish Per Item])</f>
        <v>0</v>
      </c>
      <c r="I172" s="30" t="s">
        <v>501</v>
      </c>
    </row>
    <row r="173" spans="1:9" x14ac:dyDescent="0.25">
      <c r="A173" s="28" t="s">
        <v>235</v>
      </c>
      <c r="B173" s="29" t="s">
        <v>45</v>
      </c>
      <c r="C173" s="29"/>
      <c r="D173" s="29">
        <f>IF(Quantitytable[[#This Row],[Units]]=0,0,SUMIFS(Quantitytable[NeededQuantity],Quantitytable[Dish],Quantitytable[[#This Row],[Dish]],Quantitytable[[Ingredient ]],Quantitytable[[#This Row],[Ingredient ]]))</f>
        <v>0</v>
      </c>
      <c r="E173" s="29">
        <f>SUMIFS(salestable[Quantity Sold],salestable[Item Name],Quantitytable[[#This Row],[Dish]])</f>
        <v>0</v>
      </c>
      <c r="F173" s="29">
        <f>'Quantity Sample'!$D163*'Quantity Sample'!$E163</f>
        <v>0</v>
      </c>
      <c r="G173" s="29">
        <f>_xlfn.IFNA(VLOOKUP(Quantitytable[[#This Row],[Ingredient ]],Shoppingtable[[Item Name]:[BALANCE Cash]],5,FALSE),0)*Quantitytable[[#This Row],[NeededQuantity]]</f>
        <v>200</v>
      </c>
      <c r="H173" s="29">
        <f>SUMIF(Quantitytable[Dish],Quantitytable[[#This Row],[Dish]],Quantitytable[Cost Per Dish Per Item])</f>
        <v>276.56826384399909</v>
      </c>
      <c r="I173" s="30" t="s">
        <v>501</v>
      </c>
    </row>
    <row r="174" spans="1:9" x14ac:dyDescent="0.25">
      <c r="A174" s="28" t="s">
        <v>235</v>
      </c>
      <c r="B174" s="29" t="s">
        <v>45</v>
      </c>
      <c r="C174" s="29"/>
      <c r="D174" s="29">
        <f>IF(Quantitytable[[#This Row],[Units]]=0,0,SUMIFS(Quantitytable[NeededQuantity],Quantitytable[Dish],Quantitytable[[#This Row],[Dish]],Quantitytable[[Ingredient ]],Quantitytable[[#This Row],[Ingredient ]]))</f>
        <v>0</v>
      </c>
      <c r="E174" s="29">
        <f>SUMIFS(salestable[Quantity Sold],salestable[Item Name],Quantitytable[[#This Row],[Dish]])</f>
        <v>0</v>
      </c>
      <c r="F174" s="29">
        <f>'Quantity Sample'!$D164*'Quantity Sample'!$E164</f>
        <v>0</v>
      </c>
      <c r="G174" s="29">
        <f>_xlfn.IFNA(VLOOKUP(Quantitytable[[#This Row],[Ingredient ]],Shoppingtable[[Item Name]:[BALANCE Cash]],5,FALSE),0)*Quantitytable[[#This Row],[NeededQuantity]]</f>
        <v>8.3000000000000007</v>
      </c>
      <c r="H174" s="29">
        <f>SUMIF(Quantitytable[Dish],Quantitytable[[#This Row],[Dish]],Quantitytable[Cost Per Dish Per Item])</f>
        <v>276.56826384399909</v>
      </c>
      <c r="I174" s="30" t="s">
        <v>501</v>
      </c>
    </row>
    <row r="175" spans="1:9" x14ac:dyDescent="0.25">
      <c r="A175" s="28" t="s">
        <v>235</v>
      </c>
      <c r="B175" s="29" t="s">
        <v>25</v>
      </c>
      <c r="C175" s="29"/>
      <c r="D175" s="29">
        <f>IF(Quantitytable[[#This Row],[Units]]=0,0,SUMIFS(Quantitytable[NeededQuantity],Quantitytable[Dish],Quantitytable[[#This Row],[Dish]],Quantitytable[[Ingredient ]],Quantitytable[[#This Row],[Ingredient ]]))</f>
        <v>0</v>
      </c>
      <c r="E175" s="29">
        <f>SUMIFS(salestable[Quantity Sold],salestable[Item Name],Quantitytable[[#This Row],[Dish]])</f>
        <v>0</v>
      </c>
      <c r="F175" s="29">
        <f>'Quantity Sample'!$D165*'Quantity Sample'!$E165</f>
        <v>0</v>
      </c>
      <c r="G175" s="29">
        <f>_xlfn.IFNA(VLOOKUP(Quantitytable[[#This Row],[Ingredient ]],Shoppingtable[[Item Name]:[BALANCE Cash]],5,FALSE),0)*Quantitytable[[#This Row],[NeededQuantity]]</f>
        <v>3</v>
      </c>
      <c r="H175" s="29">
        <f>SUMIF(Quantitytable[Dish],Quantitytable[[#This Row],[Dish]],Quantitytable[Cost Per Dish Per Item])</f>
        <v>276.56826384399909</v>
      </c>
      <c r="I175" s="30" t="s">
        <v>501</v>
      </c>
    </row>
    <row r="176" spans="1:9" x14ac:dyDescent="0.25">
      <c r="A176" s="28" t="s">
        <v>235</v>
      </c>
      <c r="B176" s="29" t="s">
        <v>25</v>
      </c>
      <c r="C176" s="29"/>
      <c r="D176" s="29">
        <f>IF(Quantitytable[[#This Row],[Units]]=0,0,SUMIFS(Quantitytable[NeededQuantity],Quantitytable[Dish],Quantitytable[[#This Row],[Dish]],Quantitytable[[Ingredient ]],Quantitytable[[#This Row],[Ingredient ]]))</f>
        <v>0</v>
      </c>
      <c r="E176" s="29">
        <f>SUMIFS(salestable[Quantity Sold],salestable[Item Name],Quantitytable[[#This Row],[Dish]])</f>
        <v>0</v>
      </c>
      <c r="F176" s="29">
        <f>'Quantity Sample'!$D166*'Quantity Sample'!$E166</f>
        <v>0</v>
      </c>
      <c r="G176" s="29">
        <f>_xlfn.IFNA(VLOOKUP(Quantitytable[[#This Row],[Ingredient ]],Shoppingtable[[Item Name]:[BALANCE Cash]],5,FALSE),0)*Quantitytable[[#This Row],[NeededQuantity]]</f>
        <v>14.6</v>
      </c>
      <c r="H176" s="29">
        <f>SUMIF(Quantitytable[Dish],Quantitytable[[#This Row],[Dish]],Quantitytable[Cost Per Dish Per Item])</f>
        <v>276.56826384399909</v>
      </c>
      <c r="I176" s="30" t="s">
        <v>501</v>
      </c>
    </row>
    <row r="177" spans="1:9" x14ac:dyDescent="0.25">
      <c r="A177" s="28" t="s">
        <v>312</v>
      </c>
      <c r="B177" s="29" t="s">
        <v>45</v>
      </c>
      <c r="C177" s="29"/>
      <c r="D177" s="29">
        <f>IF(Quantitytable[[#This Row],[Units]]=0,0,SUMIFS(Quantitytable[NeededQuantity],Quantitytable[Dish],Quantitytable[[#This Row],[Dish]],Quantitytable[[Ingredient ]],Quantitytable[[#This Row],[Ingredient ]]))</f>
        <v>0</v>
      </c>
      <c r="E177" s="29">
        <f>SUMIFS(salestable[Quantity Sold],salestable[Item Name],Quantitytable[[#This Row],[Dish]])</f>
        <v>0</v>
      </c>
      <c r="F177" s="29">
        <f>'Quantity Sample'!$D167*'Quantity Sample'!$E167</f>
        <v>0</v>
      </c>
      <c r="G177" s="29">
        <f>_xlfn.IFNA(VLOOKUP(Quantitytable[[#This Row],[Ingredient ]],Shoppingtable[[Item Name]:[BALANCE Cash]],5,FALSE),0)*Quantitytable[[#This Row],[NeededQuantity]]</f>
        <v>0</v>
      </c>
      <c r="H177" s="29">
        <f>SUMIF(Quantitytable[Dish],Quantitytable[[#This Row],[Dish]],Quantitytable[Cost Per Dish Per Item])</f>
        <v>276.56826384399909</v>
      </c>
      <c r="I177" s="30" t="s">
        <v>501</v>
      </c>
    </row>
    <row r="178" spans="1:9" x14ac:dyDescent="0.25">
      <c r="A178" s="28" t="s">
        <v>312</v>
      </c>
      <c r="B178" s="29" t="s">
        <v>50</v>
      </c>
      <c r="C178" s="29"/>
      <c r="D178" s="29">
        <f>IF(Quantitytable[[#This Row],[Units]]=0,0,SUMIFS(Quantitytable[NeededQuantity],Quantitytable[Dish],Quantitytable[[#This Row],[Dish]],Quantitytable[[Ingredient ]],Quantitytable[[#This Row],[Ingredient ]]))</f>
        <v>0</v>
      </c>
      <c r="E178" s="29">
        <f>SUMIFS(salestable[Quantity Sold],salestable[Item Name],Quantitytable[[#This Row],[Dish]])</f>
        <v>0</v>
      </c>
      <c r="F178" s="29">
        <f>'Quantity Sample'!$D168*'Quantity Sample'!$E168</f>
        <v>0</v>
      </c>
      <c r="G178" s="29">
        <f>_xlfn.IFNA(VLOOKUP(Quantitytable[[#This Row],[Ingredient ]],Shoppingtable[[Item Name]:[BALANCE Cash]],5,FALSE),0)*Quantitytable[[#This Row],[NeededQuantity]]</f>
        <v>0.1875</v>
      </c>
      <c r="H178" s="29">
        <f>SUMIF(Quantitytable[Dish],Quantitytable[[#This Row],[Dish]],Quantitytable[Cost Per Dish Per Item])</f>
        <v>276.56826384399909</v>
      </c>
      <c r="I178" s="30" t="s">
        <v>501</v>
      </c>
    </row>
    <row r="179" spans="1:9" x14ac:dyDescent="0.25">
      <c r="A179" s="28" t="s">
        <v>312</v>
      </c>
      <c r="B179" s="29" t="s">
        <v>25</v>
      </c>
      <c r="C179" s="29"/>
      <c r="D179" s="29">
        <f>IF(Quantitytable[[#This Row],[Units]]=0,0,SUMIFS(Quantitytable[NeededQuantity],Quantitytable[Dish],Quantitytable[[#This Row],[Dish]],Quantitytable[[Ingredient ]],Quantitytable[[#This Row],[Ingredient ]]))</f>
        <v>0</v>
      </c>
      <c r="E179" s="29">
        <f>SUMIFS(salestable[Quantity Sold],salestable[Item Name],Quantitytable[[#This Row],[Dish]])</f>
        <v>0</v>
      </c>
      <c r="F179" s="29">
        <f>'Quantity Sample'!$D169*'Quantity Sample'!$E169</f>
        <v>0</v>
      </c>
      <c r="G179" s="29">
        <f>_xlfn.IFNA(VLOOKUP(Quantitytable[[#This Row],[Ingredient ]],Shoppingtable[[Item Name]:[BALANCE Cash]],5,FALSE),0)*Quantitytable[[#This Row],[NeededQuantity]]</f>
        <v>1</v>
      </c>
      <c r="H179" s="29">
        <f>SUMIF(Quantitytable[Dish],Quantitytable[[#This Row],[Dish]],Quantitytable[Cost Per Dish Per Item])</f>
        <v>276.56826384399909</v>
      </c>
      <c r="I179" s="30" t="s">
        <v>501</v>
      </c>
    </row>
    <row r="180" spans="1:9" x14ac:dyDescent="0.25">
      <c r="A180" s="28" t="s">
        <v>203</v>
      </c>
      <c r="B180" s="29" t="s">
        <v>19</v>
      </c>
      <c r="C180" s="29"/>
      <c r="D180" s="29">
        <f>IF(Quantitytable[[#This Row],[Units]]=0,0,SUMIFS(Quantitytable[NeededQuantity],Quantitytable[Dish],Quantitytable[[#This Row],[Dish]],Quantitytable[[Ingredient ]],Quantitytable[[#This Row],[Ingredient ]]))</f>
        <v>0</v>
      </c>
      <c r="E180" s="29">
        <f>SUMIFS(salestable[Quantity Sold],salestable[Item Name],Quantitytable[[#This Row],[Dish]])</f>
        <v>0</v>
      </c>
      <c r="F180" s="29">
        <f>'Quantity Sample'!$D170*'Quantity Sample'!$E170</f>
        <v>0</v>
      </c>
      <c r="G180" s="29">
        <f>_xlfn.IFNA(VLOOKUP(Quantitytable[[#This Row],[Ingredient ]],Shoppingtable[[Item Name]:[BALANCE Cash]],5,FALSE),0)*Quantitytable[[#This Row],[NeededQuantity]]</f>
        <v>0.21428571428571427</v>
      </c>
      <c r="H180" s="29">
        <f>SUMIF(Quantitytable[Dish],Quantitytable[[#This Row],[Dish]],Quantitytable[Cost Per Dish Per Item])</f>
        <v>276.56826384399909</v>
      </c>
      <c r="I180" s="30" t="s">
        <v>501</v>
      </c>
    </row>
    <row r="181" spans="1:9" x14ac:dyDescent="0.25">
      <c r="A181" s="28" t="s">
        <v>203</v>
      </c>
      <c r="B181" s="29" t="s">
        <v>19</v>
      </c>
      <c r="C181" s="29"/>
      <c r="D181" s="29">
        <f>IF(Quantitytable[[#This Row],[Units]]=0,0,SUMIFS(Quantitytable[NeededQuantity],Quantitytable[Dish],Quantitytable[[#This Row],[Dish]],Quantitytable[[Ingredient ]],Quantitytable[[#This Row],[Ingredient ]]))</f>
        <v>0</v>
      </c>
      <c r="E181" s="29">
        <f>SUMIFS(salestable[Quantity Sold],salestable[Item Name],Quantitytable[[#This Row],[Dish]])</f>
        <v>0</v>
      </c>
      <c r="F181" s="29">
        <f>'Quantity Sample'!$D171*'Quantity Sample'!$E171</f>
        <v>0</v>
      </c>
      <c r="G181" s="29">
        <f>_xlfn.IFNA(VLOOKUP(Quantitytable[[#This Row],[Ingredient ]],Shoppingtable[[Item Name]:[BALANCE Cash]],5,FALSE),0)*Quantitytable[[#This Row],[NeededQuantity]]</f>
        <v>0.15</v>
      </c>
      <c r="H181" s="29">
        <f>SUMIF(Quantitytable[Dish],Quantitytable[[#This Row],[Dish]],Quantitytable[Cost Per Dish Per Item])</f>
        <v>276.56826384399909</v>
      </c>
      <c r="I181" s="30" t="s">
        <v>501</v>
      </c>
    </row>
    <row r="182" spans="1:9" x14ac:dyDescent="0.25">
      <c r="A182" s="28" t="s">
        <v>203</v>
      </c>
      <c r="B182" s="29" t="s">
        <v>32</v>
      </c>
      <c r="C182" s="29"/>
      <c r="D182" s="29">
        <f>IF(Quantitytable[[#This Row],[Units]]=0,0,SUMIFS(Quantitytable[NeededQuantity],Quantitytable[Dish],Quantitytable[[#This Row],[Dish]],Quantitytable[[Ingredient ]],Quantitytable[[#This Row],[Ingredient ]]))</f>
        <v>0</v>
      </c>
      <c r="E182" s="29">
        <f>SUMIFS(salestable[Quantity Sold],salestable[Item Name],Quantitytable[[#This Row],[Dish]])</f>
        <v>0</v>
      </c>
      <c r="F182" s="29">
        <f>'Quantity Sample'!$D172*'Quantity Sample'!$E172</f>
        <v>0</v>
      </c>
      <c r="G182" s="29">
        <f>_xlfn.IFNA(VLOOKUP(Quantitytable[[#This Row],[Ingredient ]],Shoppingtable[[Item Name]:[BALANCE Cash]],5,FALSE),0)*Quantitytable[[#This Row],[NeededQuantity]]</f>
        <v>10</v>
      </c>
      <c r="H182" s="29">
        <f>SUMIF(Quantitytable[Dish],Quantitytable[[#This Row],[Dish]],Quantitytable[Cost Per Dish Per Item])</f>
        <v>276.56826384399909</v>
      </c>
      <c r="I182" s="30" t="s">
        <v>501</v>
      </c>
    </row>
    <row r="183" spans="1:9" x14ac:dyDescent="0.25">
      <c r="A183" s="28" t="s">
        <v>203</v>
      </c>
      <c r="B183" s="29" t="s">
        <v>25</v>
      </c>
      <c r="C183" s="29"/>
      <c r="D183" s="29">
        <f>IF(Quantitytable[[#This Row],[Units]]=0,0,SUMIFS(Quantitytable[NeededQuantity],Quantitytable[Dish],Quantitytable[[#This Row],[Dish]],Quantitytable[[Ingredient ]],Quantitytable[[#This Row],[Ingredient ]]))</f>
        <v>0</v>
      </c>
      <c r="E183" s="29">
        <f>SUMIFS(salestable[Quantity Sold],salestable[Item Name],Quantitytable[[#This Row],[Dish]])</f>
        <v>0</v>
      </c>
      <c r="F183" s="29">
        <f>'Quantity Sample'!$D173*'Quantity Sample'!$E173</f>
        <v>0</v>
      </c>
      <c r="G183" s="29">
        <f>_xlfn.IFNA(VLOOKUP(Quantitytable[[#This Row],[Ingredient ]],Shoppingtable[[Item Name]:[BALANCE Cash]],5,FALSE),0)*Quantitytable[[#This Row],[NeededQuantity]]</f>
        <v>16.875</v>
      </c>
      <c r="H183" s="29">
        <f>SUMIF(Quantitytable[Dish],Quantitytable[[#This Row],[Dish]],Quantitytable[Cost Per Dish Per Item])</f>
        <v>276.56826384399909</v>
      </c>
      <c r="I183" s="30" t="s">
        <v>501</v>
      </c>
    </row>
    <row r="184" spans="1:9" x14ac:dyDescent="0.25">
      <c r="A184" s="28" t="s">
        <v>265</v>
      </c>
      <c r="B184" s="29" t="s">
        <v>19</v>
      </c>
      <c r="C184" s="29"/>
      <c r="D184" s="29">
        <f>IF(Quantitytable[[#This Row],[Units]]=0,0,SUMIFS(Quantitytable[NeededQuantity],Quantitytable[Dish],Quantitytable[[#This Row],[Dish]],Quantitytable[[Ingredient ]],Quantitytable[[#This Row],[Ingredient ]]))</f>
        <v>0</v>
      </c>
      <c r="E184" s="29">
        <f>SUMIFS(salestable[Quantity Sold],salestable[Item Name],Quantitytable[[#This Row],[Dish]])</f>
        <v>0</v>
      </c>
      <c r="F184" s="29">
        <f>'Quantity Sample'!$D174*'Quantity Sample'!$E174</f>
        <v>0</v>
      </c>
      <c r="G184" s="29">
        <f>_xlfn.IFNA(VLOOKUP(Quantitytable[[#This Row],[Ingredient ]],Shoppingtable[[Item Name]:[BALANCE Cash]],5,FALSE),0)*Quantitytable[[#This Row],[NeededQuantity]]</f>
        <v>3</v>
      </c>
      <c r="H184" s="29">
        <f>SUMIF(Quantitytable[Dish],Quantitytable[[#This Row],[Dish]],Quantitytable[Cost Per Dish Per Item])</f>
        <v>276.56826384399909</v>
      </c>
      <c r="I184" s="30" t="s">
        <v>501</v>
      </c>
    </row>
    <row r="185" spans="1:9" x14ac:dyDescent="0.25">
      <c r="A185" s="28" t="s">
        <v>265</v>
      </c>
      <c r="B185" s="29" t="s">
        <v>51</v>
      </c>
      <c r="C185" s="29"/>
      <c r="D185" s="29">
        <f>IF(Quantitytable[[#This Row],[Units]]=0,0,SUMIFS(Quantitytable[NeededQuantity],Quantitytable[Dish],Quantitytable[[#This Row],[Dish]],Quantitytable[[Ingredient ]],Quantitytable[[#This Row],[Ingredient ]]))</f>
        <v>0</v>
      </c>
      <c r="E185" s="29">
        <f>SUMIFS(salestable[Quantity Sold],salestable[Item Name],Quantitytable[[#This Row],[Dish]])</f>
        <v>0</v>
      </c>
      <c r="F185" s="29">
        <f>'Quantity Sample'!$D175*'Quantity Sample'!$E175</f>
        <v>0</v>
      </c>
      <c r="G185" s="29">
        <f>_xlfn.IFNA(VLOOKUP(Quantitytable[[#This Row],[Ingredient ]],Shoppingtable[[Item Name]:[BALANCE Cash]],5,FALSE),0)*Quantitytable[[#This Row],[NeededQuantity]]</f>
        <v>2.8000000000000003</v>
      </c>
      <c r="H185" s="29">
        <f>SUMIF(Quantitytable[Dish],Quantitytable[[#This Row],[Dish]],Quantitytable[Cost Per Dish Per Item])</f>
        <v>276.56826384399909</v>
      </c>
      <c r="I185" s="30" t="s">
        <v>501</v>
      </c>
    </row>
    <row r="186" spans="1:9" x14ac:dyDescent="0.25">
      <c r="A186" s="28" t="s">
        <v>265</v>
      </c>
      <c r="B186" s="29" t="s">
        <v>25</v>
      </c>
      <c r="C186" s="29"/>
      <c r="D186" s="29">
        <f>IF(Quantitytable[[#This Row],[Units]]=0,0,SUMIFS(Quantitytable[NeededQuantity],Quantitytable[Dish],Quantitytable[[#This Row],[Dish]],Quantitytable[[Ingredient ]],Quantitytable[[#This Row],[Ingredient ]]))</f>
        <v>0</v>
      </c>
      <c r="E186" s="29">
        <f>SUMIFS(salestable[Quantity Sold],salestable[Item Name],Quantitytable[[#This Row],[Dish]])</f>
        <v>0</v>
      </c>
      <c r="F186" s="29">
        <f>'Quantity Sample'!$D176*'Quantity Sample'!$E176</f>
        <v>0</v>
      </c>
      <c r="G186" s="29">
        <f>_xlfn.IFNA(VLOOKUP(Quantitytable[[#This Row],[Ingredient ]],Shoppingtable[[Item Name]:[BALANCE Cash]],5,FALSE),0)*Quantitytable[[#This Row],[NeededQuantity]]</f>
        <v>10.5</v>
      </c>
      <c r="H186" s="29">
        <f>SUMIF(Quantitytable[Dish],Quantitytable[[#This Row],[Dish]],Quantitytable[Cost Per Dish Per Item])</f>
        <v>276.56826384399909</v>
      </c>
      <c r="I186" s="30" t="s">
        <v>501</v>
      </c>
    </row>
    <row r="187" spans="1:9" x14ac:dyDescent="0.25">
      <c r="A187" s="28" t="s">
        <v>275</v>
      </c>
      <c r="B187" s="29" t="s">
        <v>72</v>
      </c>
      <c r="C187" s="29"/>
      <c r="D187" s="29">
        <f>IF(Quantitytable[[#This Row],[Units]]=0,0,SUMIFS(Quantitytable[NeededQuantity],Quantitytable[Dish],Quantitytable[[#This Row],[Dish]],Quantitytable[[Ingredient ]],Quantitytable[[#This Row],[Ingredient ]]))</f>
        <v>0</v>
      </c>
      <c r="E187" s="29">
        <f>SUMIFS(salestable[Quantity Sold],salestable[Item Name],Quantitytable[[#This Row],[Dish]])</f>
        <v>0</v>
      </c>
      <c r="F187" s="29">
        <f>'Quantity Sample'!$D177*'Quantity Sample'!$E177</f>
        <v>0</v>
      </c>
      <c r="G187" s="29">
        <f>_xlfn.IFNA(VLOOKUP(Quantitytable[[#This Row],[Ingredient ]],Shoppingtable[[Item Name]:[BALANCE Cash]],5,FALSE),0)*Quantitytable[[#This Row],[NeededQuantity]]</f>
        <v>1.8235294117647058</v>
      </c>
      <c r="H187" s="29">
        <f>SUMIF(Quantitytable[Dish],Quantitytable[[#This Row],[Dish]],Quantitytable[Cost Per Dish Per Item])</f>
        <v>276.56826384399909</v>
      </c>
      <c r="I187" s="30" t="s">
        <v>501</v>
      </c>
    </row>
    <row r="188" spans="1:9" x14ac:dyDescent="0.25">
      <c r="A188" s="28" t="s">
        <v>275</v>
      </c>
      <c r="B188" s="29" t="s">
        <v>25</v>
      </c>
      <c r="C188" s="29"/>
      <c r="D188" s="29">
        <f>IF(Quantitytable[[#This Row],[Units]]=0,0,SUMIFS(Quantitytable[NeededQuantity],Quantitytable[Dish],Quantitytable[[#This Row],[Dish]],Quantitytable[[Ingredient ]],Quantitytable[[#This Row],[Ingredient ]]))</f>
        <v>0</v>
      </c>
      <c r="E188" s="29">
        <f>SUMIFS(salestable[Quantity Sold],salestable[Item Name],Quantitytable[[#This Row],[Dish]])</f>
        <v>0</v>
      </c>
      <c r="F188" s="29">
        <f>'Quantity Sample'!$D178*'Quantity Sample'!$E178</f>
        <v>0</v>
      </c>
      <c r="G188" s="29">
        <f>_xlfn.IFNA(VLOOKUP(Quantitytable[[#This Row],[Ingredient ]],Shoppingtable[[Item Name]:[BALANCE Cash]],5,FALSE),0)*Quantitytable[[#This Row],[NeededQuantity]]</f>
        <v>2.8846153846153846</v>
      </c>
      <c r="H188" s="29">
        <f>SUMIF(Quantitytable[Dish],Quantitytable[[#This Row],[Dish]],Quantitytable[Cost Per Dish Per Item])</f>
        <v>276.56826384399909</v>
      </c>
      <c r="I188" s="30" t="s">
        <v>501</v>
      </c>
    </row>
    <row r="189" spans="1:9" x14ac:dyDescent="0.25">
      <c r="A189" s="28" t="s">
        <v>262</v>
      </c>
      <c r="B189" s="29" t="s">
        <v>79</v>
      </c>
      <c r="C189" s="29"/>
      <c r="D189" s="29">
        <f>IF(Quantitytable[[#This Row],[Units]]=0,0,SUMIFS(Quantitytable[NeededQuantity],Quantitytable[Dish],Quantitytable[[#This Row],[Dish]],Quantitytable[[Ingredient ]],Quantitytable[[#This Row],[Ingredient ]]))</f>
        <v>0</v>
      </c>
      <c r="E189" s="29">
        <f>SUMIFS(salestable[Quantity Sold],salestable[Item Name],Quantitytable[[#This Row],[Dish]])</f>
        <v>0</v>
      </c>
      <c r="F189" s="29">
        <f>'Quantity Sample'!$D179*'Quantity Sample'!$E179</f>
        <v>0</v>
      </c>
      <c r="G189" s="29">
        <f>_xlfn.IFNA(VLOOKUP(Quantitytable[[#This Row],[Ingredient ]],Shoppingtable[[Item Name]:[BALANCE Cash]],5,FALSE),0)*Quantitytable[[#This Row],[NeededQuantity]]</f>
        <v>0.83333333333333326</v>
      </c>
      <c r="H189" s="29">
        <f>SUMIF(Quantitytable[Dish],Quantitytable[[#This Row],[Dish]],Quantitytable[Cost Per Dish Per Item])</f>
        <v>276.56826384399909</v>
      </c>
      <c r="I189" s="30" t="s">
        <v>501</v>
      </c>
    </row>
    <row r="190" spans="1:9" x14ac:dyDescent="0.25">
      <c r="A190" s="28" t="s">
        <v>262</v>
      </c>
      <c r="B190" s="29" t="s">
        <v>25</v>
      </c>
      <c r="C190" s="29"/>
      <c r="D190" s="29">
        <f>IF(Quantitytable[[#This Row],[Units]]=0,0,SUMIFS(Quantitytable[NeededQuantity],Quantitytable[Dish],Quantitytable[[#This Row],[Dish]],Quantitytable[[Ingredient ]],Quantitytable[[#This Row],[Ingredient ]]))</f>
        <v>0</v>
      </c>
      <c r="E190" s="29">
        <f>SUMIFS(salestable[Quantity Sold],salestable[Item Name],Quantitytable[[#This Row],[Dish]])</f>
        <v>0</v>
      </c>
      <c r="F190" s="29">
        <f>'Quantity Sample'!$D180*'Quantity Sample'!$E180</f>
        <v>0</v>
      </c>
      <c r="G190" s="29">
        <f>_xlfn.IFNA(VLOOKUP(Quantitytable[[#This Row],[Ingredient ]],Shoppingtable[[Item Name]:[BALANCE Cash]],5,FALSE),0)*Quantitytable[[#This Row],[NeededQuantity]]</f>
        <v>0.4</v>
      </c>
      <c r="H190" s="29">
        <f>SUMIF(Quantitytable[Dish],Quantitytable[[#This Row],[Dish]],Quantitytable[Cost Per Dish Per Item])</f>
        <v>276.56826384399909</v>
      </c>
      <c r="I190" s="30" t="s">
        <v>501</v>
      </c>
    </row>
    <row r="191" spans="1:9" x14ac:dyDescent="0.25">
      <c r="A191" s="28" t="s">
        <v>267</v>
      </c>
      <c r="B191" s="29" t="s">
        <v>50</v>
      </c>
      <c r="C191" s="29"/>
      <c r="D191" s="29">
        <f>IF(Quantitytable[[#This Row],[Units]]=0,0,SUMIFS(Quantitytable[NeededQuantity],Quantitytable[Dish],Quantitytable[[#This Row],[Dish]],Quantitytable[[Ingredient ]],Quantitytable[[#This Row],[Ingredient ]]))</f>
        <v>0</v>
      </c>
      <c r="E191" s="29">
        <f>SUMIFS(salestable[Quantity Sold],salestable[Item Name],Quantitytable[[#This Row],[Dish]])</f>
        <v>0</v>
      </c>
      <c r="F191" s="29">
        <f>'Quantity Sample'!$D181*'Quantity Sample'!$E181</f>
        <v>0</v>
      </c>
      <c r="G191" s="29">
        <f>_xlfn.IFNA(VLOOKUP(Quantitytable[[#This Row],[Ingredient ]],Shoppingtable[[Item Name]:[BALANCE Cash]],5,FALSE),0)*Quantitytable[[#This Row],[NeededQuantity]]</f>
        <v>55.199999999999996</v>
      </c>
      <c r="H191" s="29">
        <f>SUMIF(Quantitytable[Dish],Quantitytable[[#This Row],[Dish]],Quantitytable[Cost Per Dish Per Item])</f>
        <v>55.199999999999996</v>
      </c>
      <c r="I191" s="30" t="s">
        <v>501</v>
      </c>
    </row>
    <row r="192" spans="1:9" x14ac:dyDescent="0.25">
      <c r="A192" s="28" t="s">
        <v>267</v>
      </c>
      <c r="B192" s="29" t="s">
        <v>79</v>
      </c>
      <c r="C192" s="29"/>
      <c r="D192" s="29">
        <f>IF(Quantitytable[[#This Row],[Units]]=0,0,SUMIFS(Quantitytable[NeededQuantity],Quantitytable[Dish],Quantitytable[[#This Row],[Dish]],Quantitytable[[Ingredient ]],Quantitytable[[#This Row],[Ingredient ]]))</f>
        <v>0</v>
      </c>
      <c r="E192" s="29">
        <f>SUMIFS(salestable[Quantity Sold],salestable[Item Name],Quantitytable[[#This Row],[Dish]])</f>
        <v>0</v>
      </c>
      <c r="F192" s="29">
        <f>'Quantity Sample'!$D182*'Quantity Sample'!$E182</f>
        <v>0</v>
      </c>
      <c r="G192" s="29">
        <f>_xlfn.IFNA(VLOOKUP(Quantitytable[[#This Row],[Ingredient ]],Shoppingtable[[Item Name]:[BALANCE Cash]],5,FALSE),0)*Quantitytable[[#This Row],[NeededQuantity]]</f>
        <v>0.5</v>
      </c>
      <c r="H192" s="29">
        <f>SUMIF(Quantitytable[Dish],Quantitytable[[#This Row],[Dish]],Quantitytable[Cost Per Dish Per Item])</f>
        <v>38.879940237092192</v>
      </c>
      <c r="I192" s="30" t="s">
        <v>501</v>
      </c>
    </row>
    <row r="193" spans="1:9" x14ac:dyDescent="0.25">
      <c r="A193" s="28" t="s">
        <v>267</v>
      </c>
      <c r="B193" s="29" t="s">
        <v>25</v>
      </c>
      <c r="C193" s="29"/>
      <c r="D193" s="29">
        <f>IF(Quantitytable[[#This Row],[Units]]=0,0,SUMIFS(Quantitytable[NeededQuantity],Quantitytable[Dish],Quantitytable[[#This Row],[Dish]],Quantitytable[[Ingredient ]],Quantitytable[[#This Row],[Ingredient ]]))</f>
        <v>0</v>
      </c>
      <c r="E193" s="29">
        <f>SUMIFS(salestable[Quantity Sold],salestable[Item Name],Quantitytable[[#This Row],[Dish]])</f>
        <v>0</v>
      </c>
      <c r="F193" s="29">
        <f>'Quantity Sample'!$D183*'Quantity Sample'!$E183</f>
        <v>0</v>
      </c>
      <c r="G193" s="29">
        <f>_xlfn.IFNA(VLOOKUP(Quantitytable[[#This Row],[Ingredient ]],Shoppingtable[[Item Name]:[BALANCE Cash]],5,FALSE),0)*Quantitytable[[#This Row],[NeededQuantity]]</f>
        <v>0.75</v>
      </c>
      <c r="H193" s="29">
        <f>SUMIF(Quantitytable[Dish],Quantitytable[[#This Row],[Dish]],Quantitytable[Cost Per Dish Per Item])</f>
        <v>38.879940237092192</v>
      </c>
      <c r="I193" s="30" t="s">
        <v>501</v>
      </c>
    </row>
    <row r="194" spans="1:9" x14ac:dyDescent="0.25">
      <c r="A194" s="28" t="s">
        <v>212</v>
      </c>
      <c r="B194" s="29" t="s">
        <v>32</v>
      </c>
      <c r="C194" s="29"/>
      <c r="D194" s="29">
        <f>IF(Quantitytable[[#This Row],[Units]]=0,0,SUMIFS(Quantitytable[NeededQuantity],Quantitytable[Dish],Quantitytable[[#This Row],[Dish]],Quantitytable[[Ingredient ]],Quantitytable[[#This Row],[Ingredient ]]))</f>
        <v>0</v>
      </c>
      <c r="E194" s="29">
        <f>SUMIFS(salestable[Quantity Sold],salestable[Item Name],Quantitytable[[#This Row],[Dish]])</f>
        <v>0</v>
      </c>
      <c r="F194" s="29">
        <f>'Quantity Sample'!$D184*'Quantity Sample'!$E184</f>
        <v>0</v>
      </c>
      <c r="G194" s="29">
        <f>_xlfn.IFNA(VLOOKUP(Quantitytable[[#This Row],[Ingredient ]],Shoppingtable[[Item Name]:[BALANCE Cash]],5,FALSE),0)*Quantitytable[[#This Row],[NeededQuantity]]</f>
        <v>0.92485549132947975</v>
      </c>
      <c r="H194" s="29">
        <f>SUMIF(Quantitytable[Dish],Quantitytable[[#This Row],[Dish]],Quantitytable[Cost Per Dish Per Item])</f>
        <v>38.879940237092192</v>
      </c>
      <c r="I194" s="30" t="s">
        <v>501</v>
      </c>
    </row>
    <row r="195" spans="1:9" x14ac:dyDescent="0.25">
      <c r="A195" s="28" t="s">
        <v>212</v>
      </c>
      <c r="B195" s="29" t="s">
        <v>90</v>
      </c>
      <c r="C195" s="29"/>
      <c r="D195" s="29">
        <f>IF(Quantitytable[[#This Row],[Units]]=0,0,SUMIFS(Quantitytable[NeededQuantity],Quantitytable[Dish],Quantitytable[[#This Row],[Dish]],Quantitytable[[Ingredient ]],Quantitytable[[#This Row],[Ingredient ]]))</f>
        <v>0</v>
      </c>
      <c r="E195" s="29">
        <f>SUMIFS(salestable[Quantity Sold],salestable[Item Name],Quantitytable[[#This Row],[Dish]])</f>
        <v>0</v>
      </c>
      <c r="F195" s="29">
        <f>'Quantity Sample'!$D185*'Quantity Sample'!$E185</f>
        <v>0</v>
      </c>
      <c r="G195" s="29">
        <f>_xlfn.IFNA(VLOOKUP(Quantitytable[[#This Row],[Ingredient ]],Shoppingtable[[Item Name]:[BALANCE Cash]],5,FALSE),0)*Quantitytable[[#This Row],[NeededQuantity]]</f>
        <v>3.65</v>
      </c>
      <c r="H195" s="29">
        <f>SUMIF(Quantitytable[Dish],Quantitytable[[#This Row],[Dish]],Quantitytable[Cost Per Dish Per Item])</f>
        <v>38.879940237092192</v>
      </c>
      <c r="I195" s="30" t="s">
        <v>501</v>
      </c>
    </row>
    <row r="196" spans="1:9" x14ac:dyDescent="0.25">
      <c r="A196" s="28" t="s">
        <v>168</v>
      </c>
      <c r="B196" s="29" t="s">
        <v>75</v>
      </c>
      <c r="C196" s="29"/>
      <c r="D196" s="29">
        <f>IF(Quantitytable[[#This Row],[Units]]=0,0,SUMIFS(Quantitytable[NeededQuantity],Quantitytable[Dish],Quantitytable[[#This Row],[Dish]],Quantitytable[[Ingredient ]],Quantitytable[[#This Row],[Ingredient ]]))</f>
        <v>0</v>
      </c>
      <c r="E196" s="29">
        <f>SUMIFS(salestable[Quantity Sold],salestable[Item Name],Quantitytable[[#This Row],[Dish]])</f>
        <v>0</v>
      </c>
      <c r="F196" s="29">
        <f>'Quantity Sample'!$D186*'Quantity Sample'!$E186</f>
        <v>0</v>
      </c>
      <c r="G196" s="29">
        <f>_xlfn.IFNA(VLOOKUP(Quantitytable[[#This Row],[Ingredient ]],Shoppingtable[[Item Name]:[BALANCE Cash]],5,FALSE),0)*Quantitytable[[#This Row],[NeededQuantity]]</f>
        <v>17.055084745762713</v>
      </c>
      <c r="H196" s="29">
        <f>SUMIF(Quantitytable[Dish],Quantitytable[[#This Row],[Dish]],Quantitytable[Cost Per Dish Per Item])</f>
        <v>38.879940237092192</v>
      </c>
      <c r="I196" s="30" t="s">
        <v>501</v>
      </c>
    </row>
    <row r="197" spans="1:9" x14ac:dyDescent="0.25">
      <c r="A197" s="28" t="s">
        <v>168</v>
      </c>
      <c r="B197" s="29" t="s">
        <v>89</v>
      </c>
      <c r="C197" s="29"/>
      <c r="D197" s="29">
        <f>IF(Quantitytable[[#This Row],[Units]]=0,0,SUMIFS(Quantitytable[NeededQuantity],Quantitytable[Dish],Quantitytable[[#This Row],[Dish]],Quantitytable[[Ingredient ]],Quantitytable[[#This Row],[Ingredient ]]))</f>
        <v>0</v>
      </c>
      <c r="E197" s="29">
        <f>SUMIFS(salestable[Quantity Sold],salestable[Item Name],Quantitytable[[#This Row],[Dish]])</f>
        <v>0</v>
      </c>
      <c r="F197" s="29">
        <f>'Quantity Sample'!$D187*'Quantity Sample'!$E187</f>
        <v>0</v>
      </c>
      <c r="G197" s="29">
        <f>_xlfn.IFNA(VLOOKUP(Quantitytable[[#This Row],[Ingredient ]],Shoppingtable[[Item Name]:[BALANCE Cash]],5,FALSE),0)*Quantitytable[[#This Row],[NeededQuantity]]</f>
        <v>16</v>
      </c>
      <c r="H197" s="29">
        <f>SUMIF(Quantitytable[Dish],Quantitytable[[#This Row],[Dish]],Quantitytable[Cost Per Dish Per Item])</f>
        <v>38.879940237092192</v>
      </c>
      <c r="I197" s="30" t="s">
        <v>501</v>
      </c>
    </row>
    <row r="198" spans="1:9" x14ac:dyDescent="0.25">
      <c r="A198" s="28" t="s">
        <v>168</v>
      </c>
      <c r="B198" s="29" t="s">
        <v>96</v>
      </c>
      <c r="C198" s="29"/>
      <c r="D198" s="29">
        <f>IF(Quantitytable[[#This Row],[Units]]=0,0,SUMIFS(Quantitytable[NeededQuantity],Quantitytable[Dish],Quantitytable[[#This Row],[Dish]],Quantitytable[[Ingredient ]],Quantitytable[[#This Row],[Ingredient ]]))</f>
        <v>0</v>
      </c>
      <c r="E198" s="29">
        <f>SUMIFS(salestable[Quantity Sold],salestable[Item Name],Quantitytable[[#This Row],[Dish]])</f>
        <v>0</v>
      </c>
      <c r="F198" s="29">
        <f>'Quantity Sample'!$D188*'Quantity Sample'!$E188</f>
        <v>0</v>
      </c>
      <c r="G198" s="29">
        <f>_xlfn.IFNA(VLOOKUP(Quantitytable[[#This Row],[Ingredient ]],Shoppingtable[[Item Name]:[BALANCE Cash]],5,FALSE),0)*Quantitytable[[#This Row],[NeededQuantity]]</f>
        <v>0.78947368421052633</v>
      </c>
      <c r="H198" s="29">
        <f>SUMIF(Quantitytable[Dish],Quantitytable[[#This Row],[Dish]],Quantitytable[Cost Per Dish Per Item])</f>
        <v>31.810000991178512</v>
      </c>
      <c r="I198" s="30" t="s">
        <v>501</v>
      </c>
    </row>
    <row r="199" spans="1:9" x14ac:dyDescent="0.25">
      <c r="A199" s="28" t="s">
        <v>325</v>
      </c>
      <c r="B199" s="29" t="s">
        <v>71</v>
      </c>
      <c r="C199" s="29"/>
      <c r="D199" s="29">
        <f>IF(Quantitytable[[#This Row],[Units]]=0,0,SUMIFS(Quantitytable[NeededQuantity],Quantitytable[Dish],Quantitytable[[#This Row],[Dish]],Quantitytable[[Ingredient ]],Quantitytable[[#This Row],[Ingredient ]]))</f>
        <v>0</v>
      </c>
      <c r="E199" s="29">
        <f>SUMIFS(salestable[Quantity Sold],salestable[Item Name],Quantitytable[[#This Row],[Dish]])</f>
        <v>0</v>
      </c>
      <c r="F199" s="29">
        <f>'Quantity Sample'!$D189*'Quantity Sample'!$E189</f>
        <v>0</v>
      </c>
      <c r="G199" s="29">
        <f>_xlfn.IFNA(VLOOKUP(Quantitytable[[#This Row],[Ingredient ]],Shoppingtable[[Item Name]:[BALANCE Cash]],5,FALSE),0)*Quantitytable[[#This Row],[NeededQuantity]]</f>
        <v>1.5555555555555556</v>
      </c>
      <c r="H199" s="29">
        <f>SUMIF(Quantitytable[Dish],Quantitytable[[#This Row],[Dish]],Quantitytable[Cost Per Dish Per Item])</f>
        <v>31.810000991178512</v>
      </c>
      <c r="I199" s="30" t="s">
        <v>501</v>
      </c>
    </row>
    <row r="200" spans="1:9" x14ac:dyDescent="0.25">
      <c r="A200" s="28" t="s">
        <v>325</v>
      </c>
      <c r="B200" s="29" t="s">
        <v>11</v>
      </c>
      <c r="C200" s="29"/>
      <c r="D200" s="29">
        <f>IF(Quantitytable[[#This Row],[Units]]=0,0,SUMIFS(Quantitytable[NeededQuantity],Quantitytable[Dish],Quantitytable[[#This Row],[Dish]],Quantitytable[[Ingredient ]],Quantitytable[[#This Row],[Ingredient ]]))</f>
        <v>0</v>
      </c>
      <c r="E200" s="29">
        <f>SUMIFS(salestable[Quantity Sold],salestable[Item Name],Quantitytable[[#This Row],[Dish]])</f>
        <v>0</v>
      </c>
      <c r="F200" s="29">
        <f>'Quantity Sample'!$D190*'Quantity Sample'!$E190</f>
        <v>0</v>
      </c>
      <c r="G200" s="29">
        <f>_xlfn.IFNA(VLOOKUP(Quantitytable[[#This Row],[Ingredient ]],Shoppingtable[[Item Name]:[BALANCE Cash]],5,FALSE),0)*Quantitytable[[#This Row],[NeededQuantity]]</f>
        <v>0.56497175141242939</v>
      </c>
      <c r="H200" s="29">
        <f>SUMIF(Quantitytable[Dish],Quantitytable[[#This Row],[Dish]],Quantitytable[Cost Per Dish Per Item])</f>
        <v>31.810000991178512</v>
      </c>
      <c r="I200" s="30" t="s">
        <v>501</v>
      </c>
    </row>
    <row r="201" spans="1:9" x14ac:dyDescent="0.25">
      <c r="A201" s="28" t="s">
        <v>282</v>
      </c>
      <c r="B201" s="29" t="s">
        <v>10</v>
      </c>
      <c r="C201" s="29"/>
      <c r="D201" s="29">
        <f>IF(Quantitytable[[#This Row],[Units]]=0,0,SUMIFS(Quantitytable[NeededQuantity],Quantitytable[Dish],Quantitytable[[#This Row],[Dish]],Quantitytable[[Ingredient ]],Quantitytable[[#This Row],[Ingredient ]]))</f>
        <v>0</v>
      </c>
      <c r="E201" s="29">
        <f>SUMIFS(salestable[Quantity Sold],salestable[Item Name],Quantitytable[[#This Row],[Dish]])</f>
        <v>0</v>
      </c>
      <c r="F201" s="29">
        <f>'Quantity Sample'!$D191*'Quantity Sample'!$E191</f>
        <v>0</v>
      </c>
      <c r="G201" s="29">
        <f>_xlfn.IFNA(VLOOKUP(Quantitytable[[#This Row],[Ingredient ]],Shoppingtable[[Item Name]:[BALANCE Cash]],5,FALSE),0)*Quantitytable[[#This Row],[NeededQuantity]]</f>
        <v>1.5</v>
      </c>
      <c r="H201" s="29">
        <f>SUMIF(Quantitytable[Dish],Quantitytable[[#This Row],[Dish]],Quantitytable[Cost Per Dish Per Item])</f>
        <v>31.810000991178512</v>
      </c>
      <c r="I201" s="30" t="s">
        <v>501</v>
      </c>
    </row>
    <row r="202" spans="1:9" x14ac:dyDescent="0.25">
      <c r="A202" s="28" t="s">
        <v>282</v>
      </c>
      <c r="B202" s="29" t="s">
        <v>47</v>
      </c>
      <c r="C202" s="29"/>
      <c r="D202" s="29">
        <f>IF(Quantitytable[[#This Row],[Units]]=0,0,SUMIFS(Quantitytable[NeededQuantity],Quantitytable[Dish],Quantitytable[[#This Row],[Dish]],Quantitytable[[Ingredient ]],Quantitytable[[#This Row],[Ingredient ]]))</f>
        <v>0</v>
      </c>
      <c r="E202" s="29">
        <f>SUMIFS(salestable[Quantity Sold],salestable[Item Name],Quantitytable[[#This Row],[Dish]])</f>
        <v>0</v>
      </c>
      <c r="F202" s="29">
        <f>'Quantity Sample'!$D192*'Quantity Sample'!$E192</f>
        <v>0</v>
      </c>
      <c r="G202" s="29">
        <f>_xlfn.IFNA(VLOOKUP(Quantitytable[[#This Row],[Ingredient ]],Shoppingtable[[Item Name]:[BALANCE Cash]],5,FALSE),0)*Quantitytable[[#This Row],[NeededQuantity]]</f>
        <v>7.3999999999999995</v>
      </c>
      <c r="H202" s="29">
        <f>SUMIF(Quantitytable[Dish],Quantitytable[[#This Row],[Dish]],Quantitytable[Cost Per Dish Per Item])</f>
        <v>31.810000991178512</v>
      </c>
      <c r="I202" s="30" t="s">
        <v>501</v>
      </c>
    </row>
    <row r="203" spans="1:9" x14ac:dyDescent="0.25">
      <c r="A203" s="28" t="s">
        <v>282</v>
      </c>
      <c r="B203" s="29" t="s">
        <v>25</v>
      </c>
      <c r="C203" s="29"/>
      <c r="D203" s="29">
        <f>IF(Quantitytable[[#This Row],[Units]]=0,0,SUMIFS(Quantitytable[NeededQuantity],Quantitytable[Dish],Quantitytable[[#This Row],[Dish]],Quantitytable[[Ingredient ]],Quantitytable[[#This Row],[Ingredient ]]))</f>
        <v>0</v>
      </c>
      <c r="E203" s="29">
        <f>SUMIFS(salestable[Quantity Sold],salestable[Item Name],Quantitytable[[#This Row],[Dish]])</f>
        <v>0</v>
      </c>
      <c r="F203" s="29">
        <f>'Quantity Sample'!$D193*'Quantity Sample'!$E193</f>
        <v>0</v>
      </c>
      <c r="G203" s="29">
        <f>_xlfn.IFNA(VLOOKUP(Quantitytable[[#This Row],[Ingredient ]],Shoppingtable[[Item Name]:[BALANCE Cash]],5,FALSE),0)*Quantitytable[[#This Row],[NeededQuantity]]</f>
        <v>20</v>
      </c>
      <c r="H203" s="29">
        <f>SUMIF(Quantitytable[Dish],Quantitytable[[#This Row],[Dish]],Quantitytable[Cost Per Dish Per Item])</f>
        <v>31.810000991178512</v>
      </c>
      <c r="I203" s="30" t="s">
        <v>501</v>
      </c>
    </row>
    <row r="204" spans="1:9" x14ac:dyDescent="0.25">
      <c r="A204" s="28" t="s">
        <v>208</v>
      </c>
      <c r="B204" s="29" t="s">
        <v>26</v>
      </c>
      <c r="C204" s="29"/>
      <c r="D204" s="29">
        <f>IF(Quantitytable[[#This Row],[Units]]=0,0,SUMIFS(Quantitytable[NeededQuantity],Quantitytable[Dish],Quantitytable[[#This Row],[Dish]],Quantitytable[[Ingredient ]],Quantitytable[[#This Row],[Ingredient ]]))</f>
        <v>0</v>
      </c>
      <c r="E204" s="29">
        <f>SUMIFS(salestable[Quantity Sold],salestable[Item Name],Quantitytable[[#This Row],[Dish]])</f>
        <v>0</v>
      </c>
      <c r="F204" s="29">
        <f>'Quantity Sample'!$D194*'Quantity Sample'!$E194</f>
        <v>0</v>
      </c>
      <c r="G204" s="29">
        <f>_xlfn.IFNA(VLOOKUP(Quantitytable[[#This Row],[Ingredient ]],Shoppingtable[[Item Name]:[BALANCE Cash]],5,FALSE),0)*Quantitytable[[#This Row],[NeededQuantity]]</f>
        <v>2.5</v>
      </c>
      <c r="H204" s="29">
        <f>SUMIF(Quantitytable[Dish],Quantitytable[[#This Row],[Dish]],Quantitytable[Cost Per Dish Per Item])</f>
        <v>16.299999999999997</v>
      </c>
      <c r="I204" s="30" t="s">
        <v>501</v>
      </c>
    </row>
    <row r="205" spans="1:9" x14ac:dyDescent="0.25">
      <c r="A205" s="28" t="s">
        <v>208</v>
      </c>
      <c r="B205" s="29" t="s">
        <v>26</v>
      </c>
      <c r="C205" s="29"/>
      <c r="D205" s="29">
        <f>IF(Quantitytable[[#This Row],[Units]]=0,0,SUMIFS(Quantitytable[NeededQuantity],Quantitytable[Dish],Quantitytable[[#This Row],[Dish]],Quantitytable[[Ingredient ]],Quantitytable[[#This Row],[Ingredient ]]))</f>
        <v>0</v>
      </c>
      <c r="E205" s="29">
        <f>SUMIFS(salestable[Quantity Sold],salestable[Item Name],Quantitytable[[#This Row],[Dish]])</f>
        <v>0</v>
      </c>
      <c r="F205" s="29">
        <f>'Quantity Sample'!$D195*'Quantity Sample'!$E195</f>
        <v>0</v>
      </c>
      <c r="G205" s="29">
        <f>_xlfn.IFNA(VLOOKUP(Quantitytable[[#This Row],[Ingredient ]],Shoppingtable[[Item Name]:[BALANCE Cash]],5,FALSE),0)*Quantitytable[[#This Row],[NeededQuantity]]</f>
        <v>0.5</v>
      </c>
      <c r="H205" s="29">
        <f>SUMIF(Quantitytable[Dish],Quantitytable[[#This Row],[Dish]],Quantitytable[Cost Per Dish Per Item])</f>
        <v>16.299999999999997</v>
      </c>
      <c r="I205" s="30" t="s">
        <v>501</v>
      </c>
    </row>
    <row r="206" spans="1:9" x14ac:dyDescent="0.25">
      <c r="A206" s="28" t="s">
        <v>208</v>
      </c>
      <c r="B206" s="29" t="s">
        <v>47</v>
      </c>
      <c r="C206" s="29"/>
      <c r="D206" s="29">
        <f>IF(Quantitytable[[#This Row],[Units]]=0,0,SUMIFS(Quantitytable[NeededQuantity],Quantitytable[Dish],Quantitytable[[#This Row],[Dish]],Quantitytable[[Ingredient ]],Quantitytable[[#This Row],[Ingredient ]]))</f>
        <v>0</v>
      </c>
      <c r="E206" s="29">
        <f>SUMIFS(salestable[Quantity Sold],salestable[Item Name],Quantitytable[[#This Row],[Dish]])</f>
        <v>0</v>
      </c>
      <c r="F206" s="29">
        <f>'Quantity Sample'!$D196*'Quantity Sample'!$E196</f>
        <v>0</v>
      </c>
      <c r="G206" s="29">
        <f>_xlfn.IFNA(VLOOKUP(Quantitytable[[#This Row],[Ingredient ]],Shoppingtable[[Item Name]:[BALANCE Cash]],5,FALSE),0)*Quantitytable[[#This Row],[NeededQuantity]]</f>
        <v>13.299999999999999</v>
      </c>
      <c r="H206" s="29">
        <f>SUMIF(Quantitytable[Dish],Quantitytable[[#This Row],[Dish]],Quantitytable[Cost Per Dish Per Item])</f>
        <v>16.299999999999997</v>
      </c>
      <c r="I206" s="30" t="s">
        <v>501</v>
      </c>
    </row>
    <row r="207" spans="1:9" x14ac:dyDescent="0.25">
      <c r="A207" s="28" t="s">
        <v>208</v>
      </c>
      <c r="B207" s="29" t="s">
        <v>47</v>
      </c>
      <c r="C207" s="29"/>
      <c r="D207" s="29">
        <f>IF(Quantitytable[[#This Row],[Units]]=0,0,SUMIFS(Quantitytable[NeededQuantity],Quantitytable[Dish],Quantitytable[[#This Row],[Dish]],Quantitytable[[Ingredient ]],Quantitytable[[#This Row],[Ingredient ]]))</f>
        <v>0</v>
      </c>
      <c r="E207" s="29">
        <f>SUMIFS(salestable[Quantity Sold],salestable[Item Name],Quantitytable[[#This Row],[Dish]])</f>
        <v>0</v>
      </c>
      <c r="F207" s="29">
        <f>'Quantity Sample'!$D197*'Quantity Sample'!$E197</f>
        <v>0</v>
      </c>
      <c r="G207" s="29">
        <f>_xlfn.IFNA(VLOOKUP(Quantitytable[[#This Row],[Ingredient ]],Shoppingtable[[Item Name]:[BALANCE Cash]],5,FALSE),0)*Quantitytable[[#This Row],[NeededQuantity]]</f>
        <v>22.2</v>
      </c>
      <c r="H207" s="29">
        <f>SUMIF(Quantitytable[Dish],Quantitytable[[#This Row],[Dish]],Quantitytable[Cost Per Dish Per Item])</f>
        <v>44.4</v>
      </c>
      <c r="I207" s="30" t="s">
        <v>501</v>
      </c>
    </row>
    <row r="208" spans="1:9" x14ac:dyDescent="0.25">
      <c r="A208" s="28" t="s">
        <v>208</v>
      </c>
      <c r="B208" s="29" t="s">
        <v>25</v>
      </c>
      <c r="C208" s="29"/>
      <c r="D208" s="29">
        <f>IF(Quantitytable[[#This Row],[Units]]=0,0,SUMIFS(Quantitytable[NeededQuantity],Quantitytable[Dish],Quantitytable[[#This Row],[Dish]],Quantitytable[[Ingredient ]],Quantitytable[[#This Row],[Ingredient ]]))</f>
        <v>0</v>
      </c>
      <c r="E208" s="29">
        <f>SUMIFS(salestable[Quantity Sold],salestable[Item Name],Quantitytable[[#This Row],[Dish]])</f>
        <v>0</v>
      </c>
      <c r="F208" s="29">
        <f>'Quantity Sample'!$D198*'Quantity Sample'!$E198</f>
        <v>0</v>
      </c>
      <c r="G208" s="29">
        <f>_xlfn.IFNA(VLOOKUP(Quantitytable[[#This Row],[Ingredient ]],Shoppingtable[[Item Name]:[BALANCE Cash]],5,FALSE),0)*Quantitytable[[#This Row],[NeededQuantity]]</f>
        <v>22.2</v>
      </c>
      <c r="H208" s="29">
        <f>SUMIF(Quantitytable[Dish],Quantitytable[[#This Row],[Dish]],Quantitytable[Cost Per Dish Per Item])</f>
        <v>44.4</v>
      </c>
      <c r="I208" s="30" t="s">
        <v>501</v>
      </c>
    </row>
    <row r="209" spans="1:9" x14ac:dyDescent="0.25">
      <c r="A209" s="28" t="s">
        <v>208</v>
      </c>
      <c r="B209" s="29" t="s">
        <v>25</v>
      </c>
      <c r="C209" s="29"/>
      <c r="D209" s="29">
        <f>IF(Quantitytable[[#This Row],[Units]]=0,0,SUMIFS(Quantitytable[NeededQuantity],Quantitytable[Dish],Quantitytable[[#This Row],[Dish]],Quantitytable[[Ingredient ]],Quantitytable[[#This Row],[Ingredient ]]))</f>
        <v>0</v>
      </c>
      <c r="E209" s="29">
        <f>SUMIFS(salestable[Quantity Sold],salestable[Item Name],Quantitytable[[#This Row],[Dish]])</f>
        <v>0</v>
      </c>
      <c r="F209" s="29">
        <f>'Quantity Sample'!$D199*'Quantity Sample'!$E199</f>
        <v>0</v>
      </c>
      <c r="G209" s="29">
        <f>_xlfn.IFNA(VLOOKUP(Quantitytable[[#This Row],[Ingredient ]],Shoppingtable[[Item Name]:[BALANCE Cash]],5,FALSE),0)*Quantitytable[[#This Row],[NeededQuantity]]</f>
        <v>0.5</v>
      </c>
      <c r="H209" s="29">
        <f>SUMIF(Quantitytable[Dish],Quantitytable[[#This Row],[Dish]],Quantitytable[Cost Per Dish Per Item])</f>
        <v>17.808182809360328</v>
      </c>
      <c r="I209" s="30" t="s">
        <v>501</v>
      </c>
    </row>
    <row r="210" spans="1:9" x14ac:dyDescent="0.25">
      <c r="A210" s="28" t="s">
        <v>207</v>
      </c>
      <c r="B210" s="29" t="s">
        <v>26</v>
      </c>
      <c r="C210" s="29"/>
      <c r="D210" s="29">
        <f>IF(Quantitytable[[#This Row],[Units]]=0,0,SUMIFS(Quantitytable[NeededQuantity],Quantitytable[Dish],Quantitytable[[#This Row],[Dish]],Quantitytable[[Ingredient ]],Quantitytable[[#This Row],[Ingredient ]]))</f>
        <v>0</v>
      </c>
      <c r="E210" s="29">
        <f>SUMIFS(salestable[Quantity Sold],salestable[Item Name],Quantitytable[[#This Row],[Dish]])</f>
        <v>0</v>
      </c>
      <c r="F210" s="29">
        <f>'Quantity Sample'!$D200*'Quantity Sample'!$E200</f>
        <v>0</v>
      </c>
      <c r="G210" s="29">
        <f>_xlfn.IFNA(VLOOKUP(Quantitytable[[#This Row],[Ingredient ]],Shoppingtable[[Item Name]:[BALANCE Cash]],5,FALSE),0)*Quantitytable[[#This Row],[NeededQuantity]]</f>
        <v>0.78947368421052633</v>
      </c>
      <c r="H210" s="29">
        <f>SUMIF(Quantitytable[Dish],Quantitytable[[#This Row],[Dish]],Quantitytable[Cost Per Dish Per Item])</f>
        <v>17.808182809360328</v>
      </c>
      <c r="I210" s="30" t="s">
        <v>501</v>
      </c>
    </row>
    <row r="211" spans="1:9" x14ac:dyDescent="0.25">
      <c r="A211" s="28" t="s">
        <v>207</v>
      </c>
      <c r="B211" s="29" t="s">
        <v>26</v>
      </c>
      <c r="C211" s="29"/>
      <c r="D211" s="29">
        <f>IF(Quantitytable[[#This Row],[Units]]=0,0,SUMIFS(Quantitytable[NeededQuantity],Quantitytable[Dish],Quantitytable[[#This Row],[Dish]],Quantitytable[[Ingredient ]],Quantitytable[[#This Row],[Ingredient ]]))</f>
        <v>0</v>
      </c>
      <c r="E211" s="29">
        <f>SUMIFS(salestable[Quantity Sold],salestable[Item Name],Quantitytable[[#This Row],[Dish]])</f>
        <v>0</v>
      </c>
      <c r="F211" s="29">
        <f>'Quantity Sample'!$D201*'Quantity Sample'!$E201</f>
        <v>0</v>
      </c>
      <c r="G211" s="29">
        <f>_xlfn.IFNA(VLOOKUP(Quantitytable[[#This Row],[Ingredient ]],Shoppingtable[[Item Name]:[BALANCE Cash]],5,FALSE),0)*Quantitytable[[#This Row],[NeededQuantity]]</f>
        <v>1.5555555555555556</v>
      </c>
      <c r="H211" s="29">
        <f>SUMIF(Quantitytable[Dish],Quantitytable[[#This Row],[Dish]],Quantitytable[Cost Per Dish Per Item])</f>
        <v>17.808182809360328</v>
      </c>
      <c r="I211" s="30" t="s">
        <v>501</v>
      </c>
    </row>
    <row r="212" spans="1:9" x14ac:dyDescent="0.25">
      <c r="A212" s="28" t="s">
        <v>207</v>
      </c>
      <c r="B212" s="29" t="s">
        <v>47</v>
      </c>
      <c r="C212" s="29"/>
      <c r="D212" s="29">
        <f>IF(Quantitytable[[#This Row],[Units]]=0,0,SUMIFS(Quantitytable[NeededQuantity],Quantitytable[Dish],Quantitytable[[#This Row],[Dish]],Quantitytable[[Ingredient ]],Quantitytable[[#This Row],[Ingredient ]]))</f>
        <v>0</v>
      </c>
      <c r="E212" s="29">
        <f>SUMIFS(salestable[Quantity Sold],salestable[Item Name],Quantitytable[[#This Row],[Dish]])</f>
        <v>0</v>
      </c>
      <c r="F212" s="29">
        <f>'Quantity Sample'!$D202*'Quantity Sample'!$E202</f>
        <v>0</v>
      </c>
      <c r="G212" s="29">
        <f>_xlfn.IFNA(VLOOKUP(Quantitytable[[#This Row],[Ingredient ]],Shoppingtable[[Item Name]:[BALANCE Cash]],5,FALSE),0)*Quantitytable[[#This Row],[NeededQuantity]]</f>
        <v>0.75</v>
      </c>
      <c r="H212" s="29">
        <f>SUMIF(Quantitytable[Dish],Quantitytable[[#This Row],[Dish]],Quantitytable[Cost Per Dish Per Item])</f>
        <v>17.808182809360328</v>
      </c>
      <c r="I212" s="30" t="s">
        <v>501</v>
      </c>
    </row>
    <row r="213" spans="1:9" x14ac:dyDescent="0.25">
      <c r="A213" s="28" t="s">
        <v>207</v>
      </c>
      <c r="B213" s="29" t="s">
        <v>47</v>
      </c>
      <c r="C213" s="29"/>
      <c r="D213" s="29">
        <f>IF(Quantitytable[[#This Row],[Units]]=0,0,SUMIFS(Quantitytable[NeededQuantity],Quantitytable[Dish],Quantitytable[[#This Row],[Dish]],Quantitytable[[Ingredient ]],Quantitytable[[#This Row],[Ingredient ]]))</f>
        <v>0</v>
      </c>
      <c r="E213" s="29">
        <f>SUMIFS(salestable[Quantity Sold],salestable[Item Name],Quantitytable[[#This Row],[Dish]])</f>
        <v>0</v>
      </c>
      <c r="F213" s="29">
        <f>'Quantity Sample'!$D203*'Quantity Sample'!$E203</f>
        <v>0</v>
      </c>
      <c r="G213" s="29">
        <f>_xlfn.IFNA(VLOOKUP(Quantitytable[[#This Row],[Ingredient ]],Shoppingtable[[Item Name]:[BALANCE Cash]],5,FALSE),0)*Quantitytable[[#This Row],[NeededQuantity]]</f>
        <v>0.73</v>
      </c>
      <c r="H213" s="29">
        <f>SUMIF(Quantitytable[Dish],Quantitytable[[#This Row],[Dish]],Quantitytable[Cost Per Dish Per Item])</f>
        <v>17.808182809360328</v>
      </c>
      <c r="I213" s="30" t="s">
        <v>501</v>
      </c>
    </row>
    <row r="214" spans="1:9" x14ac:dyDescent="0.25">
      <c r="A214" s="28" t="s">
        <v>207</v>
      </c>
      <c r="B214" s="29" t="s">
        <v>50</v>
      </c>
      <c r="C214" s="29"/>
      <c r="D214" s="29">
        <f>IF(Quantitytable[[#This Row],[Units]]=0,0,SUMIFS(Quantitytable[NeededQuantity],Quantitytable[Dish],Quantitytable[[#This Row],[Dish]],Quantitytable[[Ingredient ]],Quantitytable[[#This Row],[Ingredient ]]))</f>
        <v>0</v>
      </c>
      <c r="E214" s="29">
        <f>SUMIFS(salestable[Quantity Sold],salestable[Item Name],Quantitytable[[#This Row],[Dish]])</f>
        <v>0</v>
      </c>
      <c r="F214" s="29">
        <f>'Quantity Sample'!$D204*'Quantity Sample'!$E204</f>
        <v>0</v>
      </c>
      <c r="G214" s="29">
        <f>_xlfn.IFNA(VLOOKUP(Quantitytable[[#This Row],[Ingredient ]],Shoppingtable[[Item Name]:[BALANCE Cash]],5,FALSE),0)*Quantitytable[[#This Row],[NeededQuantity]]</f>
        <v>0.56818181818181812</v>
      </c>
      <c r="H214" s="29">
        <f>SUMIF(Quantitytable[Dish],Quantitytable[[#This Row],[Dish]],Quantitytable[Cost Per Dish Per Item])</f>
        <v>17.808182809360328</v>
      </c>
      <c r="I214" s="30" t="s">
        <v>501</v>
      </c>
    </row>
    <row r="215" spans="1:9" x14ac:dyDescent="0.25">
      <c r="A215" s="28" t="s">
        <v>207</v>
      </c>
      <c r="B215" s="29" t="s">
        <v>25</v>
      </c>
      <c r="C215" s="29"/>
      <c r="D215" s="29">
        <f>IF(Quantitytable[[#This Row],[Units]]=0,0,SUMIFS(Quantitytable[NeededQuantity],Quantitytable[Dish],Quantitytable[[#This Row],[Dish]],Quantitytable[[Ingredient ]],Quantitytable[[#This Row],[Ingredient ]]))</f>
        <v>0</v>
      </c>
      <c r="E215" s="29">
        <f>SUMIFS(salestable[Quantity Sold],salestable[Item Name],Quantitytable[[#This Row],[Dish]])</f>
        <v>0</v>
      </c>
      <c r="F215" s="29">
        <f>'Quantity Sample'!$D205*'Quantity Sample'!$E205</f>
        <v>0</v>
      </c>
      <c r="G215" s="29">
        <f>_xlfn.IFNA(VLOOKUP(Quantitytable[[#This Row],[Ingredient ]],Shoppingtable[[Item Name]:[BALANCE Cash]],5,FALSE),0)*Quantitytable[[#This Row],[NeededQuantity]]</f>
        <v>0.56497175141242939</v>
      </c>
      <c r="H215" s="29">
        <f>SUMIF(Quantitytable[Dish],Quantitytable[[#This Row],[Dish]],Quantitytable[Cost Per Dish Per Item])</f>
        <v>17.808182809360328</v>
      </c>
      <c r="I215" s="30" t="s">
        <v>501</v>
      </c>
    </row>
    <row r="216" spans="1:9" x14ac:dyDescent="0.25">
      <c r="A216" s="28" t="s">
        <v>283</v>
      </c>
      <c r="B216" s="29" t="s">
        <v>19</v>
      </c>
      <c r="C216" s="29"/>
      <c r="D216" s="29">
        <f>IF(Quantitytable[[#This Row],[Units]]=0,0,SUMIFS(Quantitytable[NeededQuantity],Quantitytable[Dish],Quantitytable[[#This Row],[Dish]],Quantitytable[[Ingredient ]],Quantitytable[[#This Row],[Ingredient ]]))</f>
        <v>0</v>
      </c>
      <c r="E216" s="29">
        <f>SUMIFS(salestable[Quantity Sold],salestable[Item Name],Quantitytable[[#This Row],[Dish]])</f>
        <v>0</v>
      </c>
      <c r="F216" s="29">
        <f>'Quantity Sample'!$D212*'Quantity Sample'!$E212</f>
        <v>0</v>
      </c>
      <c r="G216" s="29">
        <f>_xlfn.IFNA(VLOOKUP(Quantitytable[[#This Row],[Ingredient ]],Shoppingtable[[Item Name]:[BALANCE Cash]],5,FALSE),0)*Quantitytable[[#This Row],[NeededQuantity]]</f>
        <v>5.55</v>
      </c>
      <c r="H216" s="29">
        <f>SUMIF(Quantitytable[Dish],Quantitytable[[#This Row],[Dish]],Quantitytable[Cost Per Dish Per Item])</f>
        <v>17.808182809360328</v>
      </c>
      <c r="I216" s="30" t="s">
        <v>501</v>
      </c>
    </row>
    <row r="217" spans="1:9" x14ac:dyDescent="0.25">
      <c r="A217" s="28" t="s">
        <v>283</v>
      </c>
      <c r="B217" s="29" t="s">
        <v>47</v>
      </c>
      <c r="C217" s="29"/>
      <c r="D217" s="29">
        <f>IF(Quantitytable[[#This Row],[Units]]=0,0,SUMIFS(Quantitytable[NeededQuantity],Quantitytable[Dish],Quantitytable[[#This Row],[Dish]],Quantitytable[[Ingredient ]],Quantitytable[[#This Row],[Ingredient ]]))</f>
        <v>0</v>
      </c>
      <c r="E217" s="29">
        <f>SUMIFS(salestable[Quantity Sold],salestable[Item Name],Quantitytable[[#This Row],[Dish]])</f>
        <v>0</v>
      </c>
      <c r="F217" s="29">
        <f>'Quantity Sample'!$D213*'Quantity Sample'!$E213</f>
        <v>0</v>
      </c>
      <c r="G217" s="29">
        <f>_xlfn.IFNA(VLOOKUP(Quantitytable[[#This Row],[Ingredient ]],Shoppingtable[[Item Name]:[BALANCE Cash]],5,FALSE),0)*Quantitytable[[#This Row],[NeededQuantity]]</f>
        <v>6.8000000000000007</v>
      </c>
      <c r="H217" s="29">
        <f>SUMIF(Quantitytable[Dish],Quantitytable[[#This Row],[Dish]],Quantitytable[Cost Per Dish Per Item])</f>
        <v>17.808182809360328</v>
      </c>
      <c r="I217" s="30" t="s">
        <v>501</v>
      </c>
    </row>
    <row r="218" spans="1:9" x14ac:dyDescent="0.25">
      <c r="A218" s="28" t="s">
        <v>283</v>
      </c>
      <c r="B218" s="29" t="s">
        <v>25</v>
      </c>
      <c r="C218" s="29"/>
      <c r="D218" s="29">
        <f>IF(Quantitytable[[#This Row],[Units]]=0,0,SUMIFS(Quantitytable[NeededQuantity],Quantitytable[Dish],Quantitytable[[#This Row],[Dish]],Quantitytable[[Ingredient ]],Quantitytable[[#This Row],[Ingredient ]]))</f>
        <v>0</v>
      </c>
      <c r="E218" s="29">
        <f>SUMIFS(salestable[Quantity Sold],salestable[Item Name],Quantitytable[[#This Row],[Dish]])</f>
        <v>0</v>
      </c>
      <c r="F218" s="29">
        <f>'Quantity Sample'!$D214*'Quantity Sample'!$E214</f>
        <v>0</v>
      </c>
      <c r="G218" s="29">
        <f>_xlfn.IFNA(VLOOKUP(Quantitytable[[#This Row],[Ingredient ]],Shoppingtable[[Item Name]:[BALANCE Cash]],5,FALSE),0)*Quantitytable[[#This Row],[NeededQuantity]]</f>
        <v>2.92</v>
      </c>
      <c r="H218" s="29">
        <f>SUMIF(Quantitytable[Dish],Quantitytable[[#This Row],[Dish]],Quantitytable[Cost Per Dish Per Item])</f>
        <v>15.911758241758243</v>
      </c>
      <c r="I218" s="30" t="s">
        <v>501</v>
      </c>
    </row>
    <row r="219" spans="1:9" x14ac:dyDescent="0.25">
      <c r="A219" s="28" t="s">
        <v>284</v>
      </c>
      <c r="B219" s="29" t="s">
        <v>19</v>
      </c>
      <c r="C219" s="29"/>
      <c r="D219" s="29">
        <f>IF(Quantitytable[[#This Row],[Units]]=0,0,SUMIFS(Quantitytable[NeededQuantity],Quantitytable[Dish],Quantitytable[[#This Row],[Dish]],Quantitytable[[Ingredient ]],Quantitytable[[#This Row],[Ingredient ]]))</f>
        <v>0</v>
      </c>
      <c r="E219" s="29">
        <f>SUMIFS(salestable[Quantity Sold],salestable[Item Name],Quantitytable[[#This Row],[Dish]])</f>
        <v>0</v>
      </c>
      <c r="F219" s="29">
        <f>'Quantity Sample'!$D215*'Quantity Sample'!$E215</f>
        <v>0</v>
      </c>
      <c r="G219" s="29">
        <f>_xlfn.IFNA(VLOOKUP(Quantitytable[[#This Row],[Ingredient ]],Shoppingtable[[Item Name]:[BALANCE Cash]],5,FALSE),0)*Quantitytable[[#This Row],[NeededQuantity]]</f>
        <v>2.8846153846153846</v>
      </c>
      <c r="H219" s="29">
        <f>SUMIF(Quantitytable[Dish],Quantitytable[[#This Row],[Dish]],Quantitytable[Cost Per Dish Per Item])</f>
        <v>15.911758241758243</v>
      </c>
      <c r="I219" s="30" t="s">
        <v>501</v>
      </c>
    </row>
    <row r="220" spans="1:9" x14ac:dyDescent="0.25">
      <c r="A220" s="28" t="s">
        <v>284</v>
      </c>
      <c r="B220" s="29" t="s">
        <v>47</v>
      </c>
      <c r="C220" s="29"/>
      <c r="D220" s="29">
        <f>IF(Quantitytable[[#This Row],[Units]]=0,0,SUMIFS(Quantitytable[NeededQuantity],Quantitytable[Dish],Quantitytable[[#This Row],[Dish]],Quantitytable[[Ingredient ]],Quantitytable[[#This Row],[Ingredient ]]))</f>
        <v>0</v>
      </c>
      <c r="E220" s="29">
        <f>SUMIFS(salestable[Quantity Sold],salestable[Item Name],Quantitytable[[#This Row],[Dish]])</f>
        <v>0</v>
      </c>
      <c r="F220" s="29">
        <f>'Quantity Sample'!$D216*'Quantity Sample'!$E216</f>
        <v>0</v>
      </c>
      <c r="G220" s="29">
        <f>_xlfn.IFNA(VLOOKUP(Quantitytable[[#This Row],[Ingredient ]],Shoppingtable[[Item Name]:[BALANCE Cash]],5,FALSE),0)*Quantitytable[[#This Row],[NeededQuantity]]</f>
        <v>2.9166666666666665</v>
      </c>
      <c r="H220" s="29">
        <f>SUMIF(Quantitytable[Dish],Quantitytable[[#This Row],[Dish]],Quantitytable[Cost Per Dish Per Item])</f>
        <v>15.911758241758243</v>
      </c>
      <c r="I220" s="30" t="s">
        <v>501</v>
      </c>
    </row>
    <row r="221" spans="1:9" x14ac:dyDescent="0.25">
      <c r="A221" s="28" t="s">
        <v>284</v>
      </c>
      <c r="B221" s="29" t="s">
        <v>50</v>
      </c>
      <c r="C221" s="29"/>
      <c r="D221" s="29">
        <f>IF(Quantitytable[[#This Row],[Units]]=0,0,SUMIFS(Quantitytable[NeededQuantity],Quantitytable[Dish],Quantitytable[[#This Row],[Dish]],Quantitytable[[Ingredient ]],Quantitytable[[#This Row],[Ingredient ]]))</f>
        <v>0</v>
      </c>
      <c r="E221" s="29">
        <f>SUMIFS(salestable[Quantity Sold],salestable[Item Name],Quantitytable[[#This Row],[Dish]])</f>
        <v>0</v>
      </c>
      <c r="F221" s="29">
        <f>'Quantity Sample'!$D217*'Quantity Sample'!$E217</f>
        <v>0</v>
      </c>
      <c r="G221" s="29">
        <f>_xlfn.IFNA(VLOOKUP(Quantitytable[[#This Row],[Ingredient ]],Shoppingtable[[Item Name]:[BALANCE Cash]],5,FALSE),0)*Quantitytable[[#This Row],[NeededQuantity]]</f>
        <v>4.3333333333333339</v>
      </c>
      <c r="H221" s="29">
        <f>SUMIF(Quantitytable[Dish],Quantitytable[[#This Row],[Dish]],Quantitytable[Cost Per Dish Per Item])</f>
        <v>15.911758241758243</v>
      </c>
      <c r="I221" s="30" t="s">
        <v>501</v>
      </c>
    </row>
    <row r="222" spans="1:9" x14ac:dyDescent="0.25">
      <c r="A222" s="28" t="s">
        <v>272</v>
      </c>
      <c r="B222" s="29" t="s">
        <v>47</v>
      </c>
      <c r="C222" s="29"/>
      <c r="D222" s="29">
        <f>IF(Quantitytable[[#This Row],[Units]]=0,0,SUMIFS(Quantitytable[NeededQuantity],Quantitytable[Dish],Quantitytable[[#This Row],[Dish]],Quantitytable[[Ingredient ]],Quantitytable[[#This Row],[Ingredient ]]))</f>
        <v>0</v>
      </c>
      <c r="E222" s="29">
        <f>SUMIFS(salestable[Quantity Sold],salestable[Item Name],Quantitytable[[#This Row],[Dish]])</f>
        <v>0</v>
      </c>
      <c r="F222" s="29">
        <f>'Quantity Sample'!$D218*'Quantity Sample'!$E218</f>
        <v>0</v>
      </c>
      <c r="G222" s="29">
        <f>_xlfn.IFNA(VLOOKUP(Quantitytable[[#This Row],[Ingredient ]],Shoppingtable[[Item Name]:[BALANCE Cash]],5,FALSE),0)*Quantitytable[[#This Row],[NeededQuantity]]</f>
        <v>2.8571428571428572</v>
      </c>
      <c r="H222" s="29">
        <f>SUMIF(Quantitytable[Dish],Quantitytable[[#This Row],[Dish]],Quantitytable[Cost Per Dish Per Item])</f>
        <v>15.911758241758243</v>
      </c>
      <c r="I222" s="30" t="s">
        <v>501</v>
      </c>
    </row>
    <row r="223" spans="1:9" x14ac:dyDescent="0.25">
      <c r="A223" s="28" t="s">
        <v>272</v>
      </c>
      <c r="B223" s="29" t="s">
        <v>72</v>
      </c>
      <c r="C223" s="29"/>
      <c r="D223" s="29">
        <f>IF(Quantitytable[[#This Row],[Units]]=0,0,SUMIFS(Quantitytable[NeededQuantity],Quantitytable[Dish],Quantitytable[[#This Row],[Dish]],Quantitytable[[Ingredient ]],Quantitytable[[#This Row],[Ingredient ]]))</f>
        <v>0</v>
      </c>
      <c r="E223" s="29">
        <f>SUMIFS(salestable[Quantity Sold],salestable[Item Name],Quantitytable[[#This Row],[Dish]])</f>
        <v>0</v>
      </c>
      <c r="F223" s="29">
        <f>'Quantity Sample'!$D219*'Quantity Sample'!$E219</f>
        <v>0</v>
      </c>
      <c r="G223" s="29">
        <f>_xlfn.IFNA(VLOOKUP(Quantitytable[[#This Row],[Ingredient ]],Shoppingtable[[Item Name]:[BALANCE Cash]],5,FALSE),0)*Quantitytable[[#This Row],[NeededQuantity]]</f>
        <v>2.92</v>
      </c>
      <c r="H223" s="29">
        <f>SUMIF(Quantitytable[Dish],Quantitytable[[#This Row],[Dish]],Quantitytable[Cost Per Dish Per Item])</f>
        <v>29.285714285714285</v>
      </c>
      <c r="I223" s="30" t="s">
        <v>501</v>
      </c>
    </row>
    <row r="224" spans="1:9" x14ac:dyDescent="0.25">
      <c r="A224" s="28" t="s">
        <v>272</v>
      </c>
      <c r="B224" s="29" t="s">
        <v>25</v>
      </c>
      <c r="C224" s="29"/>
      <c r="D224" s="29">
        <f>IF(Quantitytable[[#This Row],[Units]]=0,0,SUMIFS(Quantitytable[NeededQuantity],Quantitytable[Dish],Quantitytable[[#This Row],[Dish]],Quantitytable[[Ingredient ]],Quantitytable[[#This Row],[Ingredient ]]))</f>
        <v>0</v>
      </c>
      <c r="E224" s="29">
        <f>SUMIFS(salestable[Quantity Sold],salestable[Item Name],Quantitytable[[#This Row],[Dish]])</f>
        <v>0</v>
      </c>
      <c r="F224" s="29">
        <f>'Quantity Sample'!$D220*'Quantity Sample'!$E220</f>
        <v>0</v>
      </c>
      <c r="G224" s="29">
        <f>_xlfn.IFNA(VLOOKUP(Quantitytable[[#This Row],[Ingredient ]],Shoppingtable[[Item Name]:[BALANCE Cash]],5,FALSE),0)*Quantitytable[[#This Row],[NeededQuantity]]</f>
        <v>22.08</v>
      </c>
      <c r="H224" s="29">
        <f>SUMIF(Quantitytable[Dish],Quantitytable[[#This Row],[Dish]],Quantitytable[Cost Per Dish Per Item])</f>
        <v>29.285714285714285</v>
      </c>
      <c r="I224" s="30" t="s">
        <v>501</v>
      </c>
    </row>
    <row r="225" spans="1:9" x14ac:dyDescent="0.25">
      <c r="A225" s="28" t="s">
        <v>264</v>
      </c>
      <c r="B225" s="29" t="s">
        <v>47</v>
      </c>
      <c r="C225" s="29"/>
      <c r="D225" s="29">
        <f>IF(Quantitytable[[#This Row],[Units]]=0,0,SUMIFS(Quantitytable[NeededQuantity],Quantitytable[Dish],Quantitytable[[#This Row],[Dish]],Quantitytable[[Ingredient ]],Quantitytable[[#This Row],[Ingredient ]]))</f>
        <v>0</v>
      </c>
      <c r="E225" s="29">
        <f>SUMIFS(salestable[Quantity Sold],salestable[Item Name],Quantitytable[[#This Row],[Dish]])</f>
        <v>0</v>
      </c>
      <c r="F225" s="29">
        <f>'Quantity Sample'!$D221*'Quantity Sample'!$E221</f>
        <v>0</v>
      </c>
      <c r="G225" s="29">
        <f>_xlfn.IFNA(VLOOKUP(Quantitytable[[#This Row],[Ingredient ]],Shoppingtable[[Item Name]:[BALANCE Cash]],5,FALSE),0)*Quantitytable[[#This Row],[NeededQuantity]]</f>
        <v>4.2857142857142856</v>
      </c>
      <c r="H225" s="29">
        <f>SUMIF(Quantitytable[Dish],Quantitytable[[#This Row],[Dish]],Quantitytable[Cost Per Dish Per Item])</f>
        <v>29.285714285714285</v>
      </c>
      <c r="I225" s="30" t="s">
        <v>501</v>
      </c>
    </row>
    <row r="226" spans="1:9" x14ac:dyDescent="0.25">
      <c r="A226" s="28" t="s">
        <v>264</v>
      </c>
      <c r="B226" s="29" t="s">
        <v>72</v>
      </c>
      <c r="C226" s="29"/>
      <c r="D226" s="29">
        <f>IF(Quantitytable[[#This Row],[Units]]=0,0,SUMIFS(Quantitytable[NeededQuantity],Quantitytable[Dish],Quantitytable[[#This Row],[Dish]],Quantitytable[[Ingredient ]],Quantitytable[[#This Row],[Ingredient ]]))</f>
        <v>0</v>
      </c>
      <c r="E226" s="29">
        <f>SUMIFS(salestable[Quantity Sold],salestable[Item Name],Quantitytable[[#This Row],[Dish]])</f>
        <v>0</v>
      </c>
      <c r="F226" s="29">
        <f>'Quantity Sample'!$D222*'Quantity Sample'!$E222</f>
        <v>0</v>
      </c>
      <c r="G226" s="29">
        <f>_xlfn.IFNA(VLOOKUP(Quantitytable[[#This Row],[Ingredient ]],Shoppingtable[[Item Name]:[BALANCE Cash]],5,FALSE),0)*Quantitytable[[#This Row],[NeededQuantity]]</f>
        <v>2.92</v>
      </c>
      <c r="H226" s="29">
        <f>SUMIF(Quantitytable[Dish],Quantitytable[[#This Row],[Dish]],Quantitytable[Cost Per Dish Per Item])</f>
        <v>20.518214285714286</v>
      </c>
      <c r="I226" s="30" t="s">
        <v>501</v>
      </c>
    </row>
    <row r="227" spans="1:9" x14ac:dyDescent="0.25">
      <c r="A227" s="28" t="s">
        <v>264</v>
      </c>
      <c r="B227" s="29" t="s">
        <v>25</v>
      </c>
      <c r="C227" s="29"/>
      <c r="D227" s="29">
        <f>IF(Quantitytable[[#This Row],[Units]]=0,0,SUMIFS(Quantitytable[NeededQuantity],Quantitytable[Dish],Quantitytable[[#This Row],[Dish]],Quantitytable[[Ingredient ]],Quantitytable[[#This Row],[Ingredient ]]))</f>
        <v>0</v>
      </c>
      <c r="E227" s="29">
        <f>SUMIFS(salestable[Quantity Sold],salestable[Item Name],Quantitytable[[#This Row],[Dish]])</f>
        <v>0</v>
      </c>
      <c r="F227" s="29">
        <f>'Quantity Sample'!$D223*'Quantity Sample'!$E223</f>
        <v>0</v>
      </c>
      <c r="G227" s="29">
        <f>_xlfn.IFNA(VLOOKUP(Quantitytable[[#This Row],[Ingredient ]],Shoppingtable[[Item Name]:[BALANCE Cash]],5,FALSE),0)*Quantitytable[[#This Row],[NeededQuantity]]</f>
        <v>13.3125</v>
      </c>
      <c r="H227" s="29">
        <f>SUMIF(Quantitytable[Dish],Quantitytable[[#This Row],[Dish]],Quantitytable[Cost Per Dish Per Item])</f>
        <v>20.518214285714286</v>
      </c>
      <c r="I227" s="30" t="s">
        <v>501</v>
      </c>
    </row>
    <row r="228" spans="1:9" x14ac:dyDescent="0.25">
      <c r="A228" s="28" t="s">
        <v>263</v>
      </c>
      <c r="B228" s="29" t="s">
        <v>47</v>
      </c>
      <c r="C228" s="29"/>
      <c r="D228" s="29">
        <f>IF(Quantitytable[[#This Row],[Units]]=0,0,SUMIFS(Quantitytable[NeededQuantity],Quantitytable[Dish],Quantitytable[[#This Row],[Dish]],Quantitytable[[Ingredient ]],Quantitytable[[#This Row],[Ingredient ]]))</f>
        <v>0</v>
      </c>
      <c r="E228" s="29">
        <f>SUMIFS(salestable[Quantity Sold],salestable[Item Name],Quantitytable[[#This Row],[Dish]])</f>
        <v>0</v>
      </c>
      <c r="F228" s="29">
        <f>'Quantity Sample'!$D224*'Quantity Sample'!$E224</f>
        <v>0</v>
      </c>
      <c r="G228" s="29">
        <f>_xlfn.IFNA(VLOOKUP(Quantitytable[[#This Row],[Ingredient ]],Shoppingtable[[Item Name]:[BALANCE Cash]],5,FALSE),0)*Quantitytable[[#This Row],[NeededQuantity]]</f>
        <v>4.2857142857142856</v>
      </c>
      <c r="H228" s="29">
        <f>SUMIF(Quantitytable[Dish],Quantitytable[[#This Row],[Dish]],Quantitytable[Cost Per Dish Per Item])</f>
        <v>20.518214285714286</v>
      </c>
      <c r="I228" s="30" t="s">
        <v>501</v>
      </c>
    </row>
    <row r="229" spans="1:9" x14ac:dyDescent="0.25">
      <c r="A229" s="28" t="s">
        <v>263</v>
      </c>
      <c r="B229" s="29" t="s">
        <v>79</v>
      </c>
      <c r="C229" s="29"/>
      <c r="D229" s="29">
        <f>IF(Quantitytable[[#This Row],[Units]]=0,0,SUMIFS(Quantitytable[NeededQuantity],Quantitytable[Dish],Quantitytable[[#This Row],[Dish]],Quantitytable[[Ingredient ]],Quantitytable[[#This Row],[Ingredient ]]))</f>
        <v>0</v>
      </c>
      <c r="E229" s="29">
        <f>SUMIFS(salestable[Quantity Sold],salestable[Item Name],Quantitytable[[#This Row],[Dish]])</f>
        <v>0</v>
      </c>
      <c r="F229" s="29">
        <f>'Quantity Sample'!$D225*'Quantity Sample'!$E225</f>
        <v>0</v>
      </c>
      <c r="G229" s="29">
        <f>_xlfn.IFNA(VLOOKUP(Quantitytable[[#This Row],[Ingredient ]],Shoppingtable[[Item Name]:[BALANCE Cash]],5,FALSE),0)*Quantitytable[[#This Row],[NeededQuantity]]</f>
        <v>14</v>
      </c>
      <c r="H229" s="29">
        <f>SUMIF(Quantitytable[Dish],Quantitytable[[#This Row],[Dish]],Quantitytable[Cost Per Dish Per Item])</f>
        <v>16.8</v>
      </c>
      <c r="I229" s="30" t="s">
        <v>501</v>
      </c>
    </row>
    <row r="230" spans="1:9" x14ac:dyDescent="0.25">
      <c r="A230" s="28" t="s">
        <v>263</v>
      </c>
      <c r="B230" s="29" t="s">
        <v>25</v>
      </c>
      <c r="C230" s="29"/>
      <c r="D230" s="29">
        <f>IF(Quantitytable[[#This Row],[Units]]=0,0,SUMIFS(Quantitytable[NeededQuantity],Quantitytable[Dish],Quantitytable[[#This Row],[Dish]],Quantitytable[[Ingredient ]],Quantitytable[[#This Row],[Ingredient ]]))</f>
        <v>0</v>
      </c>
      <c r="E230" s="29">
        <f>SUMIFS(salestable[Quantity Sold],salestable[Item Name],Quantitytable[[#This Row],[Dish]])</f>
        <v>0</v>
      </c>
      <c r="F230" s="29">
        <f>'Quantity Sample'!$D226*'Quantity Sample'!$E226</f>
        <v>0</v>
      </c>
      <c r="G230" s="29">
        <f>_xlfn.IFNA(VLOOKUP(Quantitytable[[#This Row],[Ingredient ]],Shoppingtable[[Item Name]:[BALANCE Cash]],5,FALSE),0)*Quantitytable[[#This Row],[NeededQuantity]]</f>
        <v>2.8</v>
      </c>
      <c r="H230" s="29">
        <f>SUMIF(Quantitytable[Dish],Quantitytable[[#This Row],[Dish]],Quantitytable[Cost Per Dish Per Item])</f>
        <v>16.8</v>
      </c>
      <c r="I230" s="30" t="s">
        <v>501</v>
      </c>
    </row>
    <row r="231" spans="1:9" x14ac:dyDescent="0.25">
      <c r="A231" s="28" t="s">
        <v>276</v>
      </c>
      <c r="B231" s="29" t="s">
        <v>47</v>
      </c>
      <c r="C231" s="29"/>
      <c r="D231" s="29">
        <f>IF(Quantitytable[[#This Row],[Units]]=0,0,SUMIFS(Quantitytable[NeededQuantity],Quantitytable[Dish],Quantitytable[[#This Row],[Dish]],Quantitytable[[Ingredient ]],Quantitytable[[#This Row],[Ingredient ]]))</f>
        <v>0</v>
      </c>
      <c r="E231" s="29">
        <f>SUMIFS(salestable[Quantity Sold],salestable[Item Name],Quantitytable[[#This Row],[Dish]])</f>
        <v>0</v>
      </c>
      <c r="F231" s="29">
        <f>'Quantity Sample'!$D227*'Quantity Sample'!$E227</f>
        <v>0</v>
      </c>
      <c r="G231" s="29">
        <f>_xlfn.IFNA(VLOOKUP(Quantitytable[[#This Row],[Ingredient ]],Shoppingtable[[Item Name]:[BALANCE Cash]],5,FALSE),0)*Quantitytable[[#This Row],[NeededQuantity]]</f>
        <v>0</v>
      </c>
      <c r="H231" s="29">
        <f>SUMIF(Quantitytable[Dish],Quantitytable[[#This Row],[Dish]],Quantitytable[Cost Per Dish Per Item])</f>
        <v>0</v>
      </c>
      <c r="I231" s="30" t="s">
        <v>501</v>
      </c>
    </row>
    <row r="232" spans="1:9" x14ac:dyDescent="0.25">
      <c r="A232" s="28" t="s">
        <v>276</v>
      </c>
      <c r="B232" s="29" t="s">
        <v>50</v>
      </c>
      <c r="C232" s="29"/>
      <c r="D232" s="29">
        <f>IF(Quantitytable[[#This Row],[Units]]=0,0,SUMIFS(Quantitytable[NeededQuantity],Quantitytable[Dish],Quantitytable[[#This Row],[Dish]],Quantitytable[[Ingredient ]],Quantitytable[[#This Row],[Ingredient ]]))</f>
        <v>0</v>
      </c>
      <c r="E232" s="29">
        <f>SUMIFS(salestable[Quantity Sold],salestable[Item Name],Quantitytable[[#This Row],[Dish]])</f>
        <v>0</v>
      </c>
      <c r="F232" s="29">
        <f>'Quantity Sample'!$D228*'Quantity Sample'!$E228</f>
        <v>0</v>
      </c>
      <c r="G232" s="29">
        <f>_xlfn.IFNA(VLOOKUP(Quantitytable[[#This Row],[Ingredient ]],Shoppingtable[[Item Name]:[BALANCE Cash]],5,FALSE),0)*Quantitytable[[#This Row],[NeededQuantity]]</f>
        <v>0</v>
      </c>
      <c r="H232" s="29">
        <f>SUMIF(Quantitytable[Dish],Quantitytable[[#This Row],[Dish]],Quantitytable[Cost Per Dish Per Item])</f>
        <v>0</v>
      </c>
      <c r="I232" s="30" t="s">
        <v>501</v>
      </c>
    </row>
    <row r="233" spans="1:9" x14ac:dyDescent="0.25">
      <c r="A233" s="28" t="s">
        <v>276</v>
      </c>
      <c r="B233" s="29" t="s">
        <v>79</v>
      </c>
      <c r="C233" s="29"/>
      <c r="D233" s="29">
        <f>IF(Quantitytable[[#This Row],[Units]]=0,0,SUMIFS(Quantitytable[NeededQuantity],Quantitytable[Dish],Quantitytable[[#This Row],[Dish]],Quantitytable[[Ingredient ]],Quantitytable[[#This Row],[Ingredient ]]))</f>
        <v>0</v>
      </c>
      <c r="E233" s="29">
        <f>SUMIFS(salestable[Quantity Sold],salestable[Item Name],Quantitytable[[#This Row],[Dish]])</f>
        <v>0</v>
      </c>
      <c r="F233" s="29">
        <f>'Quantity Sample'!$D229*'Quantity Sample'!$E229</f>
        <v>0</v>
      </c>
      <c r="G233" s="29">
        <f>_xlfn.IFNA(VLOOKUP(Quantitytable[[#This Row],[Ingredient ]],Shoppingtable[[Item Name]:[BALANCE Cash]],5,FALSE),0)*Quantitytable[[#This Row],[NeededQuantity]]</f>
        <v>0</v>
      </c>
      <c r="H233" s="29">
        <f>SUMIF(Quantitytable[Dish],Quantitytable[[#This Row],[Dish]],Quantitytable[Cost Per Dish Per Item])</f>
        <v>0</v>
      </c>
      <c r="I233" s="30" t="s">
        <v>501</v>
      </c>
    </row>
    <row r="234" spans="1:9" x14ac:dyDescent="0.25">
      <c r="A234" s="28" t="s">
        <v>252</v>
      </c>
      <c r="B234" s="29" t="s">
        <v>44</v>
      </c>
      <c r="C234" s="29"/>
      <c r="D234" s="29">
        <f>IF(Quantitytable[[#This Row],[Units]]=0,0,SUMIFS(Quantitytable[NeededQuantity],Quantitytable[Dish],Quantitytable[[#This Row],[Dish]],Quantitytable[[Ingredient ]],Quantitytable[[#This Row],[Ingredient ]]))</f>
        <v>0</v>
      </c>
      <c r="E234" s="29">
        <f>SUMIFS(salestable[Quantity Sold],salestable[Item Name],Quantitytable[[#This Row],[Dish]])</f>
        <v>0</v>
      </c>
      <c r="F234" s="29">
        <f>'Quantity Sample'!$D230*'Quantity Sample'!$E230</f>
        <v>0</v>
      </c>
      <c r="G234" s="29">
        <f>_xlfn.IFNA(VLOOKUP(Quantitytable[[#This Row],[Ingredient ]],Shoppingtable[[Item Name]:[BALANCE Cash]],5,FALSE),0)*Quantitytable[[#This Row],[NeededQuantity]]</f>
        <v>0</v>
      </c>
      <c r="H234" s="29">
        <f>SUMIF(Quantitytable[Dish],Quantitytable[[#This Row],[Dish]],Quantitytable[Cost Per Dish Per Item])</f>
        <v>0</v>
      </c>
      <c r="I234" s="30" t="s">
        <v>501</v>
      </c>
    </row>
    <row r="235" spans="1:9" x14ac:dyDescent="0.25">
      <c r="A235" s="28" t="s">
        <v>252</v>
      </c>
      <c r="B235" s="29" t="s">
        <v>48</v>
      </c>
      <c r="C235" s="29"/>
      <c r="D235" s="29">
        <f>IF(Quantitytable[[#This Row],[Units]]=0,0,SUMIFS(Quantitytable[NeededQuantity],Quantitytable[Dish],Quantitytable[[#This Row],[Dish]],Quantitytable[[Ingredient ]],Quantitytable[[#This Row],[Ingredient ]]))</f>
        <v>0</v>
      </c>
      <c r="E235" s="29">
        <f>SUMIFS(salestable[Quantity Sold],salestable[Item Name],Quantitytable[[#This Row],[Dish]])</f>
        <v>0</v>
      </c>
      <c r="F235" s="29">
        <f>'Quantity Sample'!$D231*'Quantity Sample'!$E231</f>
        <v>0</v>
      </c>
      <c r="G235" s="29">
        <f>_xlfn.IFNA(VLOOKUP(Quantitytable[[#This Row],[Ingredient ]],Shoppingtable[[Item Name]:[BALANCE Cash]],5,FALSE),0)*Quantitytable[[#This Row],[NeededQuantity]]</f>
        <v>0</v>
      </c>
      <c r="H235" s="29">
        <f>SUMIF(Quantitytable[Dish],Quantitytable[[#This Row],[Dish]],Quantitytable[Cost Per Dish Per Item])</f>
        <v>0</v>
      </c>
      <c r="I235" s="30" t="s">
        <v>501</v>
      </c>
    </row>
    <row r="236" spans="1:9" x14ac:dyDescent="0.25">
      <c r="A236" s="28" t="s">
        <v>252</v>
      </c>
      <c r="B236" s="29" t="s">
        <v>25</v>
      </c>
      <c r="C236" s="29"/>
      <c r="D236" s="29">
        <f>IF(Quantitytable[[#This Row],[Units]]=0,0,SUMIFS(Quantitytable[NeededQuantity],Quantitytable[Dish],Quantitytable[[#This Row],[Dish]],Quantitytable[[Ingredient ]],Quantitytable[[#This Row],[Ingredient ]]))</f>
        <v>0</v>
      </c>
      <c r="E236" s="29">
        <f>SUMIFS(salestable[Quantity Sold],salestable[Item Name],Quantitytable[[#This Row],[Dish]])</f>
        <v>0</v>
      </c>
      <c r="F236" s="29">
        <f>'Quantity Sample'!$D232*'Quantity Sample'!$E232</f>
        <v>0</v>
      </c>
      <c r="G236" s="29">
        <f>_xlfn.IFNA(VLOOKUP(Quantitytable[[#This Row],[Ingredient ]],Shoppingtable[[Item Name]:[BALANCE Cash]],5,FALSE),0)*Quantitytable[[#This Row],[NeededQuantity]]</f>
        <v>0</v>
      </c>
      <c r="H236" s="29">
        <f>SUMIF(Quantitytable[Dish],Quantitytable[[#This Row],[Dish]],Quantitytable[Cost Per Dish Per Item])</f>
        <v>0</v>
      </c>
      <c r="I236" s="30" t="s">
        <v>501</v>
      </c>
    </row>
    <row r="237" spans="1:9" x14ac:dyDescent="0.25">
      <c r="A237" s="28" t="s">
        <v>185</v>
      </c>
      <c r="B237" s="29" t="s">
        <v>48</v>
      </c>
      <c r="C237" s="29"/>
      <c r="D237" s="29">
        <f>IF(Quantitytable[[#This Row],[Units]]=0,0,SUMIFS(Quantitytable[NeededQuantity],Quantitytable[Dish],Quantitytable[[#This Row],[Dish]],Quantitytable[[Ingredient ]],Quantitytable[[#This Row],[Ingredient ]]))</f>
        <v>0</v>
      </c>
      <c r="E237" s="29">
        <f>SUMIFS(salestable[Quantity Sold],salestable[Item Name],Quantitytable[[#This Row],[Dish]])</f>
        <v>0</v>
      </c>
      <c r="F237" s="29">
        <f>'Quantity Sample'!$D233*'Quantity Sample'!$E233</f>
        <v>0</v>
      </c>
      <c r="G237" s="29">
        <f>_xlfn.IFNA(VLOOKUP(Quantitytable[[#This Row],[Ingredient ]],Shoppingtable[[Item Name]:[BALANCE Cash]],5,FALSE),0)*Quantitytable[[#This Row],[NeededQuantity]]</f>
        <v>14</v>
      </c>
      <c r="H237" s="29">
        <f>SUMIF(Quantitytable[Dish],Quantitytable[[#This Row],[Dish]],Quantitytable[Cost Per Dish Per Item])</f>
        <v>29.540567765567765</v>
      </c>
      <c r="I237" s="30" t="s">
        <v>501</v>
      </c>
    </row>
    <row r="238" spans="1:9" x14ac:dyDescent="0.25">
      <c r="A238" s="28" t="s">
        <v>185</v>
      </c>
      <c r="B238" s="29" t="s">
        <v>48</v>
      </c>
      <c r="C238" s="29"/>
      <c r="D238" s="29">
        <f>IF(Quantitytable[[#This Row],[Units]]=0,0,SUMIFS(Quantitytable[NeededQuantity],Quantitytable[Dish],Quantitytable[[#This Row],[Dish]],Quantitytable[[Ingredient ]],Quantitytable[[#This Row],[Ingredient ]]))</f>
        <v>0</v>
      </c>
      <c r="E238" s="29">
        <f>SUMIFS(salestable[Quantity Sold],salestable[Item Name],Quantitytable[[#This Row],[Dish]])</f>
        <v>0</v>
      </c>
      <c r="F238" s="29">
        <f>'Quantity Sample'!$D234*'Quantity Sample'!$E234</f>
        <v>0</v>
      </c>
      <c r="G238" s="29">
        <f>_xlfn.IFNA(VLOOKUP(Quantitytable[[#This Row],[Ingredient ]],Shoppingtable[[Item Name]:[BALANCE Cash]],5,FALSE),0)*Quantitytable[[#This Row],[NeededQuantity]]</f>
        <v>2.8846153846153846</v>
      </c>
      <c r="H238" s="29">
        <f>SUMIF(Quantitytable[Dish],Quantitytable[[#This Row],[Dish]],Quantitytable[Cost Per Dish Per Item])</f>
        <v>29.540567765567765</v>
      </c>
      <c r="I238" s="30" t="s">
        <v>501</v>
      </c>
    </row>
    <row r="239" spans="1:9" x14ac:dyDescent="0.25">
      <c r="A239" s="28" t="s">
        <v>185</v>
      </c>
      <c r="B239" s="29" t="s">
        <v>93</v>
      </c>
      <c r="C239" s="29"/>
      <c r="D239" s="29">
        <f>IF(Quantitytable[[#This Row],[Units]]=0,0,SUMIFS(Quantitytable[NeededQuantity],Quantitytable[Dish],Quantitytable[[#This Row],[Dish]],Quantitytable[[Ingredient ]],Quantitytable[[#This Row],[Ingredient ]]))</f>
        <v>0</v>
      </c>
      <c r="E239" s="29">
        <f>SUMIFS(salestable[Quantity Sold],salestable[Item Name],Quantitytable[[#This Row],[Dish]])</f>
        <v>0</v>
      </c>
      <c r="F239" s="29">
        <f>'Quantity Sample'!$D235*'Quantity Sample'!$E235</f>
        <v>0</v>
      </c>
      <c r="G239" s="29">
        <f>_xlfn.IFNA(VLOOKUP(Quantitytable[[#This Row],[Ingredient ]],Shoppingtable[[Item Name]:[BALANCE Cash]],5,FALSE),0)*Quantitytable[[#This Row],[NeededQuantity]]</f>
        <v>2.9166666666666665</v>
      </c>
      <c r="H239" s="29">
        <f>SUMIF(Quantitytable[Dish],Quantitytable[[#This Row],[Dish]],Quantitytable[Cost Per Dish Per Item])</f>
        <v>29.540567765567765</v>
      </c>
      <c r="I239" s="30" t="s">
        <v>501</v>
      </c>
    </row>
    <row r="240" spans="1:9" x14ac:dyDescent="0.25">
      <c r="A240" s="28" t="s">
        <v>185</v>
      </c>
      <c r="B240" s="29" t="s">
        <v>93</v>
      </c>
      <c r="C240" s="29"/>
      <c r="D240" s="29">
        <f>IF(Quantitytable[[#This Row],[Units]]=0,0,SUMIFS(Quantitytable[NeededQuantity],Quantitytable[Dish],Quantitytable[[#This Row],[Dish]],Quantitytable[[Ingredient ]],Quantitytable[[#This Row],[Ingredient ]]))</f>
        <v>0</v>
      </c>
      <c r="E240" s="29">
        <f>SUMIFS(salestable[Quantity Sold],salestable[Item Name],Quantitytable[[#This Row],[Dish]])</f>
        <v>0</v>
      </c>
      <c r="F240" s="29">
        <f>'Quantity Sample'!$D236*'Quantity Sample'!$E236</f>
        <v>0</v>
      </c>
      <c r="G240" s="29">
        <f>_xlfn.IFNA(VLOOKUP(Quantitytable[[#This Row],[Ingredient ]],Shoppingtable[[Item Name]:[BALANCE Cash]],5,FALSE),0)*Quantitytable[[#This Row],[NeededQuantity]]</f>
        <v>0.375</v>
      </c>
      <c r="H240" s="29">
        <f>SUMIF(Quantitytable[Dish],Quantitytable[[#This Row],[Dish]],Quantitytable[Cost Per Dish Per Item])</f>
        <v>29.540567765567765</v>
      </c>
      <c r="I240" s="30" t="s">
        <v>501</v>
      </c>
    </row>
    <row r="241" spans="1:9" x14ac:dyDescent="0.25">
      <c r="A241" s="28" t="s">
        <v>185</v>
      </c>
      <c r="B241" s="29" t="s">
        <v>25</v>
      </c>
      <c r="C241" s="29"/>
      <c r="D241" s="29">
        <f>IF(Quantitytable[[#This Row],[Units]]=0,0,SUMIFS(Quantitytable[NeededQuantity],Quantitytable[Dish],Quantitytable[[#This Row],[Dish]],Quantitytable[[Ingredient ]],Quantitytable[[#This Row],[Ingredient ]]))</f>
        <v>0</v>
      </c>
      <c r="E241" s="29">
        <f>SUMIFS(salestable[Quantity Sold],salestable[Item Name],Quantitytable[[#This Row],[Dish]])</f>
        <v>0</v>
      </c>
      <c r="F241" s="29">
        <f>'Quantity Sample'!$D237*'Quantity Sample'!$E237</f>
        <v>0</v>
      </c>
      <c r="G241" s="29">
        <f>_xlfn.IFNA(VLOOKUP(Quantitytable[[#This Row],[Ingredient ]],Shoppingtable[[Item Name]:[BALANCE Cash]],5,FALSE),0)*Quantitytable[[#This Row],[NeededQuantity]]</f>
        <v>3.65</v>
      </c>
      <c r="H241" s="29">
        <f>SUMIF(Quantitytable[Dish],Quantitytable[[#This Row],[Dish]],Quantitytable[Cost Per Dish Per Item])</f>
        <v>29.540567765567765</v>
      </c>
      <c r="I241" s="30" t="s">
        <v>501</v>
      </c>
    </row>
    <row r="242" spans="1:9" x14ac:dyDescent="0.25">
      <c r="A242" s="28" t="s">
        <v>185</v>
      </c>
      <c r="B242" s="29" t="s">
        <v>25</v>
      </c>
      <c r="C242" s="29"/>
      <c r="D242" s="29">
        <f>IF(Quantitytable[[#This Row],[Units]]=0,0,SUMIFS(Quantitytable[NeededQuantity],Quantitytable[Dish],Quantitytable[[#This Row],[Dish]],Quantitytable[[Ingredient ]],Quantitytable[[#This Row],[Ingredient ]]))</f>
        <v>0</v>
      </c>
      <c r="E242" s="29">
        <f>SUMIFS(salestable[Quantity Sold],salestable[Item Name],Quantitytable[[#This Row],[Dish]])</f>
        <v>0</v>
      </c>
      <c r="F242" s="29">
        <f>'Quantity Sample'!$D238*'Quantity Sample'!$E238</f>
        <v>0</v>
      </c>
      <c r="G242" s="29">
        <f>_xlfn.IFNA(VLOOKUP(Quantitytable[[#This Row],[Ingredient ]],Shoppingtable[[Item Name]:[BALANCE Cash]],5,FALSE),0)*Quantitytable[[#This Row],[NeededQuantity]]</f>
        <v>5.7142857142857144</v>
      </c>
      <c r="H242" s="29">
        <f>SUMIF(Quantitytable[Dish],Quantitytable[[#This Row],[Dish]],Quantitytable[Cost Per Dish Per Item])</f>
        <v>29.540567765567765</v>
      </c>
      <c r="I242" s="30" t="s">
        <v>501</v>
      </c>
    </row>
    <row r="243" spans="1:9" x14ac:dyDescent="0.25">
      <c r="A243" s="28" t="s">
        <v>285</v>
      </c>
      <c r="B243" s="29" t="s">
        <v>10</v>
      </c>
      <c r="C243" s="29"/>
      <c r="D243" s="29">
        <f>IF(Quantitytable[[#This Row],[Units]]=0,0,SUMIFS(Quantitytable[NeededQuantity],Quantitytable[Dish],Quantitytable[[#This Row],[Dish]],Quantitytable[[Ingredient ]],Quantitytable[[#This Row],[Ingredient ]]))</f>
        <v>0</v>
      </c>
      <c r="E243" s="29">
        <f>SUMIFS(salestable[Quantity Sold],salestable[Item Name],Quantitytable[[#This Row],[Dish]])</f>
        <v>0</v>
      </c>
      <c r="F243" s="29">
        <f>'Quantity Sample'!$D239*'Quantity Sample'!$E239</f>
        <v>0</v>
      </c>
      <c r="G243" s="29">
        <f>_xlfn.IFNA(VLOOKUP(Quantitytable[[#This Row],[Ingredient ]],Shoppingtable[[Item Name]:[BALANCE Cash]],5,FALSE),0)*Quantitytable[[#This Row],[NeededQuantity]]</f>
        <v>14</v>
      </c>
      <c r="H243" s="29">
        <f>SUMIF(Quantitytable[Dish],Quantitytable[[#This Row],[Dish]],Quantitytable[Cost Per Dish Per Item])</f>
        <v>44.104999999999997</v>
      </c>
      <c r="I243" s="30" t="s">
        <v>501</v>
      </c>
    </row>
    <row r="244" spans="1:9" x14ac:dyDescent="0.25">
      <c r="A244" s="28" t="s">
        <v>285</v>
      </c>
      <c r="B244" s="29" t="s">
        <v>49</v>
      </c>
      <c r="C244" s="29"/>
      <c r="D244" s="29">
        <f>IF(Quantitytable[[#This Row],[Units]]=0,0,SUMIFS(Quantitytable[NeededQuantity],Quantitytable[Dish],Quantitytable[[#This Row],[Dish]],Quantitytable[[Ingredient ]],Quantitytable[[#This Row],[Ingredient ]]))</f>
        <v>0</v>
      </c>
      <c r="E244" s="29">
        <f>SUMIFS(salestable[Quantity Sold],salestable[Item Name],Quantitytable[[#This Row],[Dish]])</f>
        <v>0</v>
      </c>
      <c r="F244" s="29">
        <f>'Quantity Sample'!$D240*'Quantity Sample'!$E240</f>
        <v>0</v>
      </c>
      <c r="G244" s="29">
        <f>_xlfn.IFNA(VLOOKUP(Quantitytable[[#This Row],[Ingredient ]],Shoppingtable[[Item Name]:[BALANCE Cash]],5,FALSE),0)*Quantitytable[[#This Row],[NeededQuantity]]</f>
        <v>0.375</v>
      </c>
      <c r="H244" s="29">
        <f>SUMIF(Quantitytable[Dish],Quantitytable[[#This Row],[Dish]],Quantitytable[Cost Per Dish Per Item])</f>
        <v>44.104999999999997</v>
      </c>
      <c r="I244" s="30" t="s">
        <v>501</v>
      </c>
    </row>
    <row r="245" spans="1:9" x14ac:dyDescent="0.25">
      <c r="A245" s="28" t="s">
        <v>285</v>
      </c>
      <c r="B245" s="29" t="s">
        <v>25</v>
      </c>
      <c r="C245" s="29"/>
      <c r="D245" s="29">
        <f>IF(Quantitytable[[#This Row],[Units]]=0,0,SUMIFS(Quantitytable[NeededQuantity],Quantitytable[Dish],Quantitytable[[#This Row],[Dish]],Quantitytable[[Ingredient ]],Quantitytable[[#This Row],[Ingredient ]]))</f>
        <v>0</v>
      </c>
      <c r="E245" s="29">
        <f>SUMIFS(salestable[Quantity Sold],salestable[Item Name],Quantitytable[[#This Row],[Dish]])</f>
        <v>0</v>
      </c>
      <c r="F245" s="29">
        <f>'Quantity Sample'!$D241*'Quantity Sample'!$E241</f>
        <v>0</v>
      </c>
      <c r="G245" s="29">
        <f>_xlfn.IFNA(VLOOKUP(Quantitytable[[#This Row],[Ingredient ]],Shoppingtable[[Item Name]:[BALANCE Cash]],5,FALSE),0)*Quantitytable[[#This Row],[NeededQuantity]]</f>
        <v>4</v>
      </c>
      <c r="H245" s="29">
        <f>SUMIF(Quantitytable[Dish],Quantitytable[[#This Row],[Dish]],Quantitytable[Cost Per Dish Per Item])</f>
        <v>44.104999999999997</v>
      </c>
      <c r="I245" s="30" t="s">
        <v>501</v>
      </c>
    </row>
    <row r="246" spans="1:9" x14ac:dyDescent="0.25">
      <c r="A246" s="28" t="s">
        <v>210</v>
      </c>
      <c r="B246" s="29" t="s">
        <v>26</v>
      </c>
      <c r="C246" s="29"/>
      <c r="D246" s="29">
        <f>IF(Quantitytable[[#This Row],[Units]]=0,0,SUMIFS(Quantitytable[NeededQuantity],Quantitytable[Dish],Quantitytable[[#This Row],[Dish]],Quantitytable[[Ingredient ]],Quantitytable[[#This Row],[Ingredient ]]))</f>
        <v>0</v>
      </c>
      <c r="E246" s="29">
        <f>SUMIFS(salestable[Quantity Sold],salestable[Item Name],Quantitytable[[#This Row],[Dish]])</f>
        <v>0</v>
      </c>
      <c r="F246" s="29">
        <f>'Quantity Sample'!$D242*'Quantity Sample'!$E242</f>
        <v>0</v>
      </c>
      <c r="G246" s="29">
        <f>_xlfn.IFNA(VLOOKUP(Quantitytable[[#This Row],[Ingredient ]],Shoppingtable[[Item Name]:[BALANCE Cash]],5,FALSE),0)*Quantitytable[[#This Row],[NeededQuantity]]</f>
        <v>22.08</v>
      </c>
      <c r="H246" s="29">
        <f>SUMIF(Quantitytable[Dish],Quantitytable[[#This Row],[Dish]],Quantitytable[Cost Per Dish Per Item])</f>
        <v>44.104999999999997</v>
      </c>
      <c r="I246" s="30" t="s">
        <v>501</v>
      </c>
    </row>
    <row r="247" spans="1:9" x14ac:dyDescent="0.25">
      <c r="A247" s="28" t="s">
        <v>210</v>
      </c>
      <c r="B247" s="29" t="s">
        <v>49</v>
      </c>
      <c r="C247" s="29"/>
      <c r="D247" s="29">
        <f>IF(Quantitytable[[#This Row],[Units]]=0,0,SUMIFS(Quantitytable[NeededQuantity],Quantitytable[Dish],Quantitytable[[#This Row],[Dish]],Quantitytable[[Ingredient ]],Quantitytable[[#This Row],[Ingredient ]]))</f>
        <v>0</v>
      </c>
      <c r="E247" s="29">
        <f>SUMIFS(salestable[Quantity Sold],salestable[Item Name],Quantitytable[[#This Row],[Dish]])</f>
        <v>0</v>
      </c>
      <c r="F247" s="29">
        <f>'Quantity Sample'!$D243*'Quantity Sample'!$E243</f>
        <v>0</v>
      </c>
      <c r="G247" s="29">
        <f>_xlfn.IFNA(VLOOKUP(Quantitytable[[#This Row],[Ingredient ]],Shoppingtable[[Item Name]:[BALANCE Cash]],5,FALSE),0)*Quantitytable[[#This Row],[NeededQuantity]]</f>
        <v>3.65</v>
      </c>
      <c r="H247" s="29">
        <f>SUMIF(Quantitytable[Dish],Quantitytable[[#This Row],[Dish]],Quantitytable[Cost Per Dish Per Item])</f>
        <v>44.104999999999997</v>
      </c>
      <c r="I247" s="30" t="s">
        <v>501</v>
      </c>
    </row>
    <row r="248" spans="1:9" x14ac:dyDescent="0.25">
      <c r="A248" s="28" t="s">
        <v>210</v>
      </c>
      <c r="B248" s="29" t="s">
        <v>25</v>
      </c>
      <c r="C248" s="29"/>
      <c r="D248" s="29">
        <f>IF(Quantitytable[[#This Row],[Units]]=0,0,SUMIFS(Quantitytable[NeededQuantity],Quantitytable[Dish],Quantitytable[[#This Row],[Dish]],Quantitytable[[Ingredient ]],Quantitytable[[#This Row],[Ingredient ]]))</f>
        <v>0</v>
      </c>
      <c r="E248" s="29">
        <f>SUMIFS(salestable[Quantity Sold],salestable[Item Name],Quantitytable[[#This Row],[Dish]])</f>
        <v>0</v>
      </c>
      <c r="F248" s="29">
        <f>'Quantity Sample'!$D244*'Quantity Sample'!$E244</f>
        <v>0</v>
      </c>
      <c r="G248" s="29">
        <f>_xlfn.IFNA(VLOOKUP(Quantitytable[[#This Row],[Ingredient ]],Shoppingtable[[Item Name]:[BALANCE Cash]],5,FALSE),0)*Quantitytable[[#This Row],[NeededQuantity]]</f>
        <v>14</v>
      </c>
      <c r="H248" s="29">
        <f>SUMIF(Quantitytable[Dish],Quantitytable[[#This Row],[Dish]],Quantitytable[Cost Per Dish Per Item])</f>
        <v>18.024999999999999</v>
      </c>
      <c r="I248" s="30" t="s">
        <v>501</v>
      </c>
    </row>
    <row r="249" spans="1:9" x14ac:dyDescent="0.25">
      <c r="A249" s="28" t="s">
        <v>296</v>
      </c>
      <c r="B249" s="29" t="s">
        <v>26</v>
      </c>
      <c r="C249" s="29"/>
      <c r="D249" s="29">
        <f>IF(Quantitytable[[#This Row],[Units]]=0,0,SUMIFS(Quantitytable[NeededQuantity],Quantitytable[Dish],Quantitytable[[#This Row],[Dish]],Quantitytable[[Ingredient ]],Quantitytable[[#This Row],[Ingredient ]]))</f>
        <v>0</v>
      </c>
      <c r="E249" s="29">
        <f>SUMIFS(salestable[Quantity Sold],salestable[Item Name],Quantitytable[[#This Row],[Dish]])</f>
        <v>0</v>
      </c>
      <c r="F249" s="29">
        <f>'Quantity Sample'!$D245*'Quantity Sample'!$E245</f>
        <v>0</v>
      </c>
      <c r="G249" s="29">
        <f>_xlfn.IFNA(VLOOKUP(Quantitytable[[#This Row],[Ingredient ]],Shoppingtable[[Item Name]:[BALANCE Cash]],5,FALSE),0)*Quantitytable[[#This Row],[NeededQuantity]]</f>
        <v>0.375</v>
      </c>
      <c r="H249" s="29">
        <f>SUMIF(Quantitytable[Dish],Quantitytable[[#This Row],[Dish]],Quantitytable[Cost Per Dish Per Item])</f>
        <v>18.024999999999999</v>
      </c>
      <c r="I249" s="30" t="s">
        <v>501</v>
      </c>
    </row>
    <row r="250" spans="1:9" x14ac:dyDescent="0.25">
      <c r="A250" s="28" t="s">
        <v>296</v>
      </c>
      <c r="B250" s="29" t="s">
        <v>49</v>
      </c>
      <c r="C250" s="29"/>
      <c r="D250" s="29">
        <f>IF(Quantitytable[[#This Row],[Units]]=0,0,SUMIFS(Quantitytable[NeededQuantity],Quantitytable[Dish],Quantitytable[[#This Row],[Dish]],Quantitytable[[Ingredient ]],Quantitytable[[#This Row],[Ingredient ]]))</f>
        <v>0</v>
      </c>
      <c r="E250" s="29">
        <f>SUMIFS(salestable[Quantity Sold],salestable[Item Name],Quantitytable[[#This Row],[Dish]])</f>
        <v>0</v>
      </c>
      <c r="F250" s="29">
        <f>'Quantity Sample'!$D246*'Quantity Sample'!$E246</f>
        <v>0</v>
      </c>
      <c r="G250" s="29">
        <f>_xlfn.IFNA(VLOOKUP(Quantitytable[[#This Row],[Ingredient ]],Shoppingtable[[Item Name]:[BALANCE Cash]],5,FALSE),0)*Quantitytable[[#This Row],[NeededQuantity]]</f>
        <v>0</v>
      </c>
      <c r="H250" s="29">
        <f>SUMIF(Quantitytable[Dish],Quantitytable[[#This Row],[Dish]],Quantitytable[Cost Per Dish Per Item])</f>
        <v>18.024999999999999</v>
      </c>
      <c r="I250" s="30" t="s">
        <v>501</v>
      </c>
    </row>
    <row r="251" spans="1:9" x14ac:dyDescent="0.25">
      <c r="A251" s="28" t="s">
        <v>296</v>
      </c>
      <c r="B251" s="29" t="s">
        <v>25</v>
      </c>
      <c r="C251" s="29"/>
      <c r="D251" s="29">
        <f>IF(Quantitytable[[#This Row],[Units]]=0,0,SUMIFS(Quantitytable[NeededQuantity],Quantitytable[Dish],Quantitytable[[#This Row],[Dish]],Quantitytable[[Ingredient ]],Quantitytable[[#This Row],[Ingredient ]]))</f>
        <v>0</v>
      </c>
      <c r="E251" s="29">
        <f>SUMIFS(salestable[Quantity Sold],salestable[Item Name],Quantitytable[[#This Row],[Dish]])</f>
        <v>0</v>
      </c>
      <c r="F251" s="29">
        <f>'Quantity Sample'!$D247*'Quantity Sample'!$E247</f>
        <v>0</v>
      </c>
      <c r="G251" s="29">
        <f>_xlfn.IFNA(VLOOKUP(Quantitytable[[#This Row],[Ingredient ]],Shoppingtable[[Item Name]:[BALANCE Cash]],5,FALSE),0)*Quantitytable[[#This Row],[NeededQuantity]]</f>
        <v>0</v>
      </c>
      <c r="H251" s="29">
        <f>SUMIF(Quantitytable[Dish],Quantitytable[[#This Row],[Dish]],Quantitytable[Cost Per Dish Per Item])</f>
        <v>18.024999999999999</v>
      </c>
      <c r="I251" s="30" t="s">
        <v>501</v>
      </c>
    </row>
    <row r="252" spans="1:9" x14ac:dyDescent="0.25">
      <c r="A252" s="28" t="s">
        <v>297</v>
      </c>
      <c r="B252" s="29" t="s">
        <v>26</v>
      </c>
      <c r="C252" s="29"/>
      <c r="D252" s="29">
        <f>IF(Quantitytable[[#This Row],[Units]]=0,0,SUMIFS(Quantitytable[NeededQuantity],Quantitytable[Dish],Quantitytable[[#This Row],[Dish]],Quantitytable[[Ingredient ]],Quantitytable[[#This Row],[Ingredient ]]))</f>
        <v>0</v>
      </c>
      <c r="E252" s="29">
        <f>SUMIFS(salestable[Quantity Sold],salestable[Item Name],Quantitytable[[#This Row],[Dish]])</f>
        <v>0</v>
      </c>
      <c r="F252" s="29">
        <f>'Quantity Sample'!$D248*'Quantity Sample'!$E248</f>
        <v>0</v>
      </c>
      <c r="G252" s="29">
        <f>_xlfn.IFNA(VLOOKUP(Quantitytable[[#This Row],[Ingredient ]],Shoppingtable[[Item Name]:[BALANCE Cash]],5,FALSE),0)*Quantitytable[[#This Row],[NeededQuantity]]</f>
        <v>3.65</v>
      </c>
      <c r="H252" s="29">
        <f>SUMIF(Quantitytable[Dish],Quantitytable[[#This Row],[Dish]],Quantitytable[Cost Per Dish Per Item])</f>
        <v>18.024999999999999</v>
      </c>
      <c r="I252" s="30" t="s">
        <v>501</v>
      </c>
    </row>
    <row r="253" spans="1:9" x14ac:dyDescent="0.25">
      <c r="A253" s="28" t="s">
        <v>297</v>
      </c>
      <c r="B253" s="29" t="s">
        <v>49</v>
      </c>
      <c r="C253" s="29"/>
      <c r="D253" s="29">
        <f>IF(Quantitytable[[#This Row],[Units]]=0,0,SUMIFS(Quantitytable[NeededQuantity],Quantitytable[Dish],Quantitytable[[#This Row],[Dish]],Quantitytable[[Ingredient ]],Quantitytable[[#This Row],[Ingredient ]]))</f>
        <v>0</v>
      </c>
      <c r="E253" s="29">
        <f>SUMIFS(salestable[Quantity Sold],salestable[Item Name],Quantitytable[[#This Row],[Dish]])</f>
        <v>0</v>
      </c>
      <c r="F253" s="29">
        <f>'Quantity Sample'!$D249*'Quantity Sample'!$E249</f>
        <v>0</v>
      </c>
      <c r="G253" s="29">
        <f>_xlfn.IFNA(VLOOKUP(Quantitytable[[#This Row],[Ingredient ]],Shoppingtable[[Item Name]:[BALANCE Cash]],5,FALSE),0)*Quantitytable[[#This Row],[NeededQuantity]]</f>
        <v>0</v>
      </c>
      <c r="H253" s="29">
        <f>SUMIF(Quantitytable[Dish],Quantitytable[[#This Row],[Dish]],Quantitytable[Cost Per Dish Per Item])</f>
        <v>0</v>
      </c>
      <c r="I253" s="30" t="s">
        <v>501</v>
      </c>
    </row>
    <row r="254" spans="1:9" x14ac:dyDescent="0.25">
      <c r="A254" s="28" t="s">
        <v>297</v>
      </c>
      <c r="B254" s="29" t="s">
        <v>50</v>
      </c>
      <c r="C254" s="29"/>
      <c r="D254" s="29">
        <f>IF(Quantitytable[[#This Row],[Units]]=0,0,SUMIFS(Quantitytable[NeededQuantity],Quantitytable[Dish],Quantitytable[[#This Row],[Dish]],Quantitytable[[Ingredient ]],Quantitytable[[#This Row],[Ingredient ]]))</f>
        <v>0</v>
      </c>
      <c r="E254" s="29">
        <f>SUMIFS(salestable[Quantity Sold],salestable[Item Name],Quantitytable[[#This Row],[Dish]])</f>
        <v>0</v>
      </c>
      <c r="F254" s="29">
        <f>'Quantity Sample'!$D250*'Quantity Sample'!$E250</f>
        <v>0</v>
      </c>
      <c r="G254" s="29">
        <f>_xlfn.IFNA(VLOOKUP(Quantitytable[[#This Row],[Ingredient ]],Shoppingtable[[Item Name]:[BALANCE Cash]],5,FALSE),0)*Quantitytable[[#This Row],[NeededQuantity]]</f>
        <v>0</v>
      </c>
      <c r="H254" s="29">
        <f>SUMIF(Quantitytable[Dish],Quantitytable[[#This Row],[Dish]],Quantitytable[Cost Per Dish Per Item])</f>
        <v>0</v>
      </c>
      <c r="I254" s="30" t="s">
        <v>501</v>
      </c>
    </row>
    <row r="255" spans="1:9" x14ac:dyDescent="0.25">
      <c r="A255" s="28" t="s">
        <v>317</v>
      </c>
      <c r="B255" s="29" t="s">
        <v>45</v>
      </c>
      <c r="C255" s="29"/>
      <c r="D255" s="29">
        <f>IF(Quantitytable[[#This Row],[Units]]=0,0,SUMIFS(Quantitytable[NeededQuantity],Quantitytable[Dish],Quantitytable[[#This Row],[Dish]],Quantitytable[[Ingredient ]],Quantitytable[[#This Row],[Ingredient ]]))</f>
        <v>0</v>
      </c>
      <c r="E255" s="29">
        <f>SUMIFS(salestable[Quantity Sold],salestable[Item Name],Quantitytable[[#This Row],[Dish]])</f>
        <v>0</v>
      </c>
      <c r="F255" s="29">
        <f>'Quantity Sample'!$D251*'Quantity Sample'!$E251</f>
        <v>0</v>
      </c>
      <c r="G255" s="29">
        <f>_xlfn.IFNA(VLOOKUP(Quantitytable[[#This Row],[Ingredient ]],Shoppingtable[[Item Name]:[BALANCE Cash]],5,FALSE),0)*Quantitytable[[#This Row],[NeededQuantity]]</f>
        <v>0</v>
      </c>
      <c r="H255" s="29">
        <f>SUMIF(Quantitytable[Dish],Quantitytable[[#This Row],[Dish]],Quantitytable[Cost Per Dish Per Item])</f>
        <v>0</v>
      </c>
      <c r="I255" s="30" t="s">
        <v>501</v>
      </c>
    </row>
    <row r="256" spans="1:9" x14ac:dyDescent="0.25">
      <c r="A256" s="28" t="s">
        <v>317</v>
      </c>
      <c r="B256" s="29" t="s">
        <v>49</v>
      </c>
      <c r="C256" s="29"/>
      <c r="D256" s="29">
        <f>IF(Quantitytable[[#This Row],[Units]]=0,0,SUMIFS(Quantitytable[NeededQuantity],Quantitytable[Dish],Quantitytable[[#This Row],[Dish]],Quantitytable[[Ingredient ]],Quantitytable[[#This Row],[Ingredient ]]))</f>
        <v>0</v>
      </c>
      <c r="E256" s="29">
        <f>SUMIFS(salestable[Quantity Sold],salestable[Item Name],Quantitytable[[#This Row],[Dish]])</f>
        <v>0</v>
      </c>
      <c r="F256" s="29">
        <f>'Quantity Sample'!$D252*'Quantity Sample'!$E252</f>
        <v>0</v>
      </c>
      <c r="G256" s="29">
        <f>_xlfn.IFNA(VLOOKUP(Quantitytable[[#This Row],[Ingredient ]],Shoppingtable[[Item Name]:[BALANCE Cash]],5,FALSE),0)*Quantitytable[[#This Row],[NeededQuantity]]</f>
        <v>0</v>
      </c>
      <c r="H256" s="29">
        <f>SUMIF(Quantitytable[Dish],Quantitytable[[#This Row],[Dish]],Quantitytable[Cost Per Dish Per Item])</f>
        <v>0</v>
      </c>
      <c r="I256" s="30" t="s">
        <v>501</v>
      </c>
    </row>
    <row r="257" spans="1:9" x14ac:dyDescent="0.25">
      <c r="A257" s="28" t="s">
        <v>317</v>
      </c>
      <c r="B257" s="29" t="s">
        <v>25</v>
      </c>
      <c r="C257" s="29"/>
      <c r="D257" s="29">
        <f>IF(Quantitytable[[#This Row],[Units]]=0,0,SUMIFS(Quantitytable[NeededQuantity],Quantitytable[Dish],Quantitytable[[#This Row],[Dish]],Quantitytable[[Ingredient ]],Quantitytable[[#This Row],[Ingredient ]]))</f>
        <v>0</v>
      </c>
      <c r="E257" s="29">
        <f>SUMIFS(salestable[Quantity Sold],salestable[Item Name],Quantitytable[[#This Row],[Dish]])</f>
        <v>0</v>
      </c>
      <c r="F257" s="29">
        <f>'Quantity Sample'!$D253*'Quantity Sample'!$E253</f>
        <v>0</v>
      </c>
      <c r="G257" s="29">
        <f>_xlfn.IFNA(VLOOKUP(Quantitytable[[#This Row],[Ingredient ]],Shoppingtable[[Item Name]:[BALANCE Cash]],5,FALSE),0)*Quantitytable[[#This Row],[NeededQuantity]]</f>
        <v>0</v>
      </c>
      <c r="H257" s="29">
        <f>SUMIF(Quantitytable[Dish],Quantitytable[[#This Row],[Dish]],Quantitytable[Cost Per Dish Per Item])</f>
        <v>0</v>
      </c>
      <c r="I257" s="30" t="s">
        <v>501</v>
      </c>
    </row>
    <row r="258" spans="1:9" x14ac:dyDescent="0.25">
      <c r="A258" s="28" t="s">
        <v>318</v>
      </c>
      <c r="B258" s="29" t="s">
        <v>45</v>
      </c>
      <c r="C258" s="29"/>
      <c r="D258" s="29">
        <f>IF(Quantitytable[[#This Row],[Units]]=0,0,SUMIFS(Quantitytable[NeededQuantity],Quantitytable[Dish],Quantitytable[[#This Row],[Dish]],Quantitytable[[Ingredient ]],Quantitytable[[#This Row],[Ingredient ]]))</f>
        <v>0</v>
      </c>
      <c r="E258" s="29">
        <f>SUMIFS(salestable[Quantity Sold],salestable[Item Name],Quantitytable[[#This Row],[Dish]])</f>
        <v>0</v>
      </c>
      <c r="F258" s="29">
        <f>'Quantity Sample'!$D254*'Quantity Sample'!$E254</f>
        <v>0</v>
      </c>
      <c r="G258" s="29">
        <f>_xlfn.IFNA(VLOOKUP(Quantitytable[[#This Row],[Ingredient ]],Shoppingtable[[Item Name]:[BALANCE Cash]],5,FALSE),0)*Quantitytable[[#This Row],[NeededQuantity]]</f>
        <v>3.65</v>
      </c>
      <c r="H258" s="29">
        <f>SUMIF(Quantitytable[Dish],Quantitytable[[#This Row],[Dish]],Quantitytable[Cost Per Dish Per Item])</f>
        <v>23.648034682080926</v>
      </c>
      <c r="I258" s="30" t="s">
        <v>501</v>
      </c>
    </row>
    <row r="259" spans="1:9" x14ac:dyDescent="0.25">
      <c r="A259" s="28" t="s">
        <v>318</v>
      </c>
      <c r="B259" s="29" t="s">
        <v>49</v>
      </c>
      <c r="C259" s="29"/>
      <c r="D259" s="29">
        <f>IF(Quantitytable[[#This Row],[Units]]=0,0,SUMIFS(Quantitytable[NeededQuantity],Quantitytable[Dish],Quantitytable[[#This Row],[Dish]],Quantitytable[[Ingredient ]],Quantitytable[[#This Row],[Ingredient ]]))</f>
        <v>0</v>
      </c>
      <c r="E259" s="29">
        <f>SUMIFS(salestable[Quantity Sold],salestable[Item Name],Quantitytable[[#This Row],[Dish]])</f>
        <v>0</v>
      </c>
      <c r="F259" s="29">
        <f>'Quantity Sample'!$D255*'Quantity Sample'!$E255</f>
        <v>0</v>
      </c>
      <c r="G259" s="29">
        <f>_xlfn.IFNA(VLOOKUP(Quantitytable[[#This Row],[Ingredient ]],Shoppingtable[[Item Name]:[BALANCE Cash]],5,FALSE),0)*Quantitytable[[#This Row],[NeededQuantity]]</f>
        <v>3.3200000000000003</v>
      </c>
      <c r="H259" s="29">
        <f>SUMIF(Quantitytable[Dish],Quantitytable[[#This Row],[Dish]],Quantitytable[Cost Per Dish Per Item])</f>
        <v>23.648034682080926</v>
      </c>
      <c r="I259" s="30" t="s">
        <v>501</v>
      </c>
    </row>
    <row r="260" spans="1:9" x14ac:dyDescent="0.25">
      <c r="A260" s="28" t="s">
        <v>318</v>
      </c>
      <c r="B260" s="29" t="s">
        <v>50</v>
      </c>
      <c r="C260" s="29"/>
      <c r="D260" s="29">
        <f>IF(Quantitytable[[#This Row],[Units]]=0,0,SUMIFS(Quantitytable[NeededQuantity],Quantitytable[Dish],Quantitytable[[#This Row],[Dish]],Quantitytable[[Ingredient ]],Quantitytable[[#This Row],[Ingredient ]]))</f>
        <v>0</v>
      </c>
      <c r="E260" s="29">
        <f>SUMIFS(salestable[Quantity Sold],salestable[Item Name],Quantitytable[[#This Row],[Dish]])</f>
        <v>0</v>
      </c>
      <c r="F260" s="29">
        <f>'Quantity Sample'!$D256*'Quantity Sample'!$E256</f>
        <v>0</v>
      </c>
      <c r="G260" s="29">
        <f>_xlfn.IFNA(VLOOKUP(Quantitytable[[#This Row],[Ingredient ]],Shoppingtable[[Item Name]:[BALANCE Cash]],5,FALSE),0)*Quantitytable[[#This Row],[NeededQuantity]]</f>
        <v>0.57803468208092479</v>
      </c>
      <c r="H260" s="29">
        <f>SUMIF(Quantitytable[Dish],Quantitytable[[#This Row],[Dish]],Quantitytable[Cost Per Dish Per Item])</f>
        <v>23.648034682080926</v>
      </c>
      <c r="I260" s="30" t="s">
        <v>501</v>
      </c>
    </row>
    <row r="261" spans="1:9" x14ac:dyDescent="0.25">
      <c r="A261" s="28" t="s">
        <v>286</v>
      </c>
      <c r="B261" s="29" t="s">
        <v>19</v>
      </c>
      <c r="C261" s="29"/>
      <c r="D261" s="29">
        <f>IF(Quantitytable[[#This Row],[Units]]=0,0,SUMIFS(Quantitytable[NeededQuantity],Quantitytable[Dish],Quantitytable[[#This Row],[Dish]],Quantitytable[[Ingredient ]],Quantitytable[[#This Row],[Ingredient ]]))</f>
        <v>0</v>
      </c>
      <c r="E261" s="29">
        <f>SUMIFS(salestable[Quantity Sold],salestable[Item Name],Quantitytable[[#This Row],[Dish]])</f>
        <v>0</v>
      </c>
      <c r="F261" s="29">
        <f>'Quantity Sample'!$D257*'Quantity Sample'!$E257</f>
        <v>0</v>
      </c>
      <c r="G261" s="29">
        <f>_xlfn.IFNA(VLOOKUP(Quantitytable[[#This Row],[Ingredient ]],Shoppingtable[[Item Name]:[BALANCE Cash]],5,FALSE),0)*Quantitytable[[#This Row],[NeededQuantity]]</f>
        <v>14</v>
      </c>
      <c r="H261" s="29">
        <f>SUMIF(Quantitytable[Dish],Quantitytable[[#This Row],[Dish]],Quantitytable[Cost Per Dish Per Item])</f>
        <v>23.648034682080926</v>
      </c>
      <c r="I261" s="30" t="s">
        <v>501</v>
      </c>
    </row>
    <row r="262" spans="1:9" x14ac:dyDescent="0.25">
      <c r="A262" s="28" t="s">
        <v>286</v>
      </c>
      <c r="B262" s="29" t="s">
        <v>49</v>
      </c>
      <c r="C262" s="29"/>
      <c r="D262" s="29">
        <f>IF(Quantitytable[[#This Row],[Units]]=0,0,SUMIFS(Quantitytable[NeededQuantity],Quantitytable[Dish],Quantitytable[[#This Row],[Dish]],Quantitytable[[Ingredient ]],Quantitytable[[#This Row],[Ingredient ]]))</f>
        <v>0</v>
      </c>
      <c r="E262" s="29">
        <f>SUMIFS(salestable[Quantity Sold],salestable[Item Name],Quantitytable[[#This Row],[Dish]])</f>
        <v>0</v>
      </c>
      <c r="F262" s="29">
        <f>'Quantity Sample'!$D258*'Quantity Sample'!$E258</f>
        <v>0</v>
      </c>
      <c r="G262" s="29">
        <f>_xlfn.IFNA(VLOOKUP(Quantitytable[[#This Row],[Ingredient ]],Shoppingtable[[Item Name]:[BALANCE Cash]],5,FALSE),0)*Quantitytable[[#This Row],[NeededQuantity]]</f>
        <v>2.0999999999999996</v>
      </c>
      <c r="H262" s="29">
        <f>SUMIF(Quantitytable[Dish],Quantitytable[[#This Row],[Dish]],Quantitytable[Cost Per Dish Per Item])</f>
        <v>23.648034682080926</v>
      </c>
      <c r="I262" s="30" t="s">
        <v>501</v>
      </c>
    </row>
    <row r="263" spans="1:9" x14ac:dyDescent="0.25">
      <c r="A263" s="28" t="s">
        <v>286</v>
      </c>
      <c r="B263" s="29" t="s">
        <v>25</v>
      </c>
      <c r="C263" s="29"/>
      <c r="D263" s="29">
        <f>IF(Quantitytable[[#This Row],[Units]]=0,0,SUMIFS(Quantitytable[NeededQuantity],Quantitytable[Dish],Quantitytable[[#This Row],[Dish]],Quantitytable[[Ingredient ]],Quantitytable[[#This Row],[Ingredient ]]))</f>
        <v>0</v>
      </c>
      <c r="E263" s="29">
        <f>SUMIFS(salestable[Quantity Sold],salestable[Item Name],Quantitytable[[#This Row],[Dish]])</f>
        <v>0</v>
      </c>
      <c r="F263" s="29">
        <f>'Quantity Sample'!$D259*'Quantity Sample'!$E259</f>
        <v>0</v>
      </c>
      <c r="G263" s="29">
        <f>_xlfn.IFNA(VLOOKUP(Quantitytable[[#This Row],[Ingredient ]],Shoppingtable[[Item Name]:[BALANCE Cash]],5,FALSE),0)*Quantitytable[[#This Row],[NeededQuantity]]</f>
        <v>8.3000000000000007</v>
      </c>
      <c r="H263" s="29">
        <f>SUMIF(Quantitytable[Dish],Quantitytable[[#This Row],[Dish]],Quantitytable[Cost Per Dish Per Item])</f>
        <v>138.15106936416186</v>
      </c>
      <c r="I263" s="30" t="s">
        <v>501</v>
      </c>
    </row>
    <row r="264" spans="1:9" x14ac:dyDescent="0.25">
      <c r="A264" s="28" t="s">
        <v>287</v>
      </c>
      <c r="B264" s="29" t="s">
        <v>19</v>
      </c>
      <c r="C264" s="29"/>
      <c r="D264" s="29">
        <f>IF(Quantitytable[[#This Row],[Units]]=0,0,SUMIFS(Quantitytable[NeededQuantity],Quantitytable[Dish],Quantitytable[[#This Row],[Dish]],Quantitytable[[Ingredient ]],Quantitytable[[#This Row],[Ingredient ]]))</f>
        <v>0</v>
      </c>
      <c r="E264" s="29">
        <f>SUMIFS(salestable[Quantity Sold],salestable[Item Name],Quantitytable[[#This Row],[Dish]])</f>
        <v>0</v>
      </c>
      <c r="F264" s="29">
        <f>'Quantity Sample'!$D260*'Quantity Sample'!$E260</f>
        <v>0</v>
      </c>
      <c r="G264" s="29">
        <f>_xlfn.IFNA(VLOOKUP(Quantitytable[[#This Row],[Ingredient ]],Shoppingtable[[Item Name]:[BALANCE Cash]],5,FALSE),0)*Quantitytable[[#This Row],[NeededQuantity]]</f>
        <v>4.5</v>
      </c>
      <c r="H264" s="29">
        <f>SUMIF(Quantitytable[Dish],Quantitytable[[#This Row],[Dish]],Quantitytable[Cost Per Dish Per Item])</f>
        <v>138.15106936416186</v>
      </c>
      <c r="I264" s="30" t="s">
        <v>501</v>
      </c>
    </row>
    <row r="265" spans="1:9" x14ac:dyDescent="0.25">
      <c r="A265" s="28" t="s">
        <v>287</v>
      </c>
      <c r="B265" s="29" t="s">
        <v>49</v>
      </c>
      <c r="C265" s="29"/>
      <c r="D265" s="29">
        <f>IF(Quantitytable[[#This Row],[Units]]=0,0,SUMIFS(Quantitytable[NeededQuantity],Quantitytable[Dish],Quantitytable[[#This Row],[Dish]],Quantitytable[[Ingredient ]],Quantitytable[[#This Row],[Ingredient ]]))</f>
        <v>0</v>
      </c>
      <c r="E265" s="29">
        <f>SUMIFS(salestable[Quantity Sold],salestable[Item Name],Quantitytable[[#This Row],[Dish]])</f>
        <v>0</v>
      </c>
      <c r="F265" s="29">
        <f>'Quantity Sample'!$D261*'Quantity Sample'!$E261</f>
        <v>0</v>
      </c>
      <c r="G265" s="29">
        <f>_xlfn.IFNA(VLOOKUP(Quantitytable[[#This Row],[Ingredient ]],Shoppingtable[[Item Name]:[BALANCE Cash]],5,FALSE),0)*Quantitytable[[#This Row],[NeededQuantity]]</f>
        <v>3</v>
      </c>
      <c r="H265" s="29">
        <f>SUMIF(Quantitytable[Dish],Quantitytable[[#This Row],[Dish]],Quantitytable[Cost Per Dish Per Item])</f>
        <v>138.15106936416186</v>
      </c>
      <c r="I265" s="30" t="s">
        <v>501</v>
      </c>
    </row>
    <row r="266" spans="1:9" x14ac:dyDescent="0.25">
      <c r="A266" s="28" t="s">
        <v>287</v>
      </c>
      <c r="B266" s="29" t="s">
        <v>50</v>
      </c>
      <c r="C266" s="29"/>
      <c r="D266" s="29">
        <f>IF(Quantitytable[[#This Row],[Units]]=0,0,SUMIFS(Quantitytable[NeededQuantity],Quantitytable[Dish],Quantitytable[[#This Row],[Dish]],Quantitytable[[Ingredient ]],Quantitytable[[#This Row],[Ingredient ]]))</f>
        <v>0</v>
      </c>
      <c r="E266" s="29">
        <f>SUMIFS(salestable[Quantity Sold],salestable[Item Name],Quantitytable[[#This Row],[Dish]])</f>
        <v>0</v>
      </c>
      <c r="F266" s="29">
        <f>'Quantity Sample'!$D262*'Quantity Sample'!$E262</f>
        <v>0</v>
      </c>
      <c r="G266" s="29">
        <f>_xlfn.IFNA(VLOOKUP(Quantitytable[[#This Row],[Ingredient ]],Shoppingtable[[Item Name]:[BALANCE Cash]],5,FALSE),0)*Quantitytable[[#This Row],[NeededQuantity]]</f>
        <v>18</v>
      </c>
      <c r="H266" s="29">
        <f>SUMIF(Quantitytable[Dish],Quantitytable[[#This Row],[Dish]],Quantitytable[Cost Per Dish Per Item])</f>
        <v>138.15106936416186</v>
      </c>
      <c r="I266" s="30" t="s">
        <v>501</v>
      </c>
    </row>
    <row r="267" spans="1:9" x14ac:dyDescent="0.25">
      <c r="A267" s="28" t="s">
        <v>273</v>
      </c>
      <c r="B267" s="29" t="s">
        <v>49</v>
      </c>
      <c r="C267" s="29"/>
      <c r="D267" s="29">
        <f>IF(Quantitytable[[#This Row],[Units]]=0,0,SUMIFS(Quantitytable[NeededQuantity],Quantitytable[Dish],Quantitytable[[#This Row],[Dish]],Quantitytable[[Ingredient ]],Quantitytable[[#This Row],[Ingredient ]]))</f>
        <v>0</v>
      </c>
      <c r="E267" s="29">
        <f>SUMIFS(salestable[Quantity Sold],salestable[Item Name],Quantitytable[[#This Row],[Dish]])</f>
        <v>0</v>
      </c>
      <c r="F267" s="29">
        <f>'Quantity Sample'!$D263*'Quantity Sample'!$E263</f>
        <v>0</v>
      </c>
      <c r="G267" s="29">
        <f>_xlfn.IFNA(VLOOKUP(Quantitytable[[#This Row],[Ingredient ]],Shoppingtable[[Item Name]:[BALANCE Cash]],5,FALSE),0)*Quantitytable[[#This Row],[NeededQuantity]]</f>
        <v>1.1560693641618496</v>
      </c>
      <c r="H267" s="29">
        <f>SUMIF(Quantitytable[Dish],Quantitytable[[#This Row],[Dish]],Quantitytable[Cost Per Dish Per Item])</f>
        <v>138.15106936416186</v>
      </c>
      <c r="I267" s="30" t="s">
        <v>501</v>
      </c>
    </row>
    <row r="268" spans="1:9" x14ac:dyDescent="0.25">
      <c r="A268" s="28" t="s">
        <v>273</v>
      </c>
      <c r="B268" s="29" t="s">
        <v>72</v>
      </c>
      <c r="C268" s="29"/>
      <c r="D268" s="29">
        <f>IF(Quantitytable[[#This Row],[Units]]=0,0,SUMIFS(Quantitytable[NeededQuantity],Quantitytable[Dish],Quantitytable[[#This Row],[Dish]],Quantitytable[[Ingredient ]],Quantitytable[[#This Row],[Ingredient ]]))</f>
        <v>0</v>
      </c>
      <c r="E268" s="29">
        <f>SUMIFS(salestable[Quantity Sold],salestable[Item Name],Quantitytable[[#This Row],[Dish]])</f>
        <v>0</v>
      </c>
      <c r="F268" s="29">
        <f>'Quantity Sample'!$D264*'Quantity Sample'!$E264</f>
        <v>0</v>
      </c>
      <c r="G268" s="29">
        <f>_xlfn.IFNA(VLOOKUP(Quantitytable[[#This Row],[Ingredient ]],Shoppingtable[[Item Name]:[BALANCE Cash]],5,FALSE),0)*Quantitytable[[#This Row],[NeededQuantity]]</f>
        <v>26.25</v>
      </c>
      <c r="H268" s="29">
        <f>SUMIF(Quantitytable[Dish],Quantitytable[[#This Row],[Dish]],Quantitytable[Cost Per Dish Per Item])</f>
        <v>138.15106936416186</v>
      </c>
      <c r="I268" s="30" t="s">
        <v>501</v>
      </c>
    </row>
    <row r="269" spans="1:9" x14ac:dyDescent="0.25">
      <c r="A269" s="28" t="s">
        <v>273</v>
      </c>
      <c r="B269" s="29" t="s">
        <v>25</v>
      </c>
      <c r="C269" s="29"/>
      <c r="D269" s="29">
        <f>IF(Quantitytable[[#This Row],[Units]]=0,0,SUMIFS(Quantitytable[NeededQuantity],Quantitytable[Dish],Quantitytable[[#This Row],[Dish]],Quantitytable[[Ingredient ]],Quantitytable[[#This Row],[Ingredient ]]))</f>
        <v>0</v>
      </c>
      <c r="E269" s="29">
        <f>SUMIFS(salestable[Quantity Sold],salestable[Item Name],Quantitytable[[#This Row],[Dish]])</f>
        <v>0</v>
      </c>
      <c r="F269" s="29">
        <f>'Quantity Sample'!$D265*'Quantity Sample'!$E265</f>
        <v>0</v>
      </c>
      <c r="G269" s="29">
        <f>_xlfn.IFNA(VLOOKUP(Quantitytable[[#This Row],[Ingredient ]],Shoppingtable[[Item Name]:[BALANCE Cash]],5,FALSE),0)*Quantitytable[[#This Row],[NeededQuantity]]</f>
        <v>10.219999999999999</v>
      </c>
      <c r="H269" s="29">
        <f>SUMIF(Quantitytable[Dish],Quantitytable[[#This Row],[Dish]],Quantitytable[Cost Per Dish Per Item])</f>
        <v>138.15106936416186</v>
      </c>
      <c r="I269" s="30" t="s">
        <v>501</v>
      </c>
    </row>
    <row r="270" spans="1:9" x14ac:dyDescent="0.25">
      <c r="A270" s="28" t="s">
        <v>277</v>
      </c>
      <c r="B270" s="29" t="s">
        <v>49</v>
      </c>
      <c r="C270" s="29"/>
      <c r="D270" s="29">
        <f>IF(Quantitytable[[#This Row],[Units]]=0,0,SUMIFS(Quantitytable[NeededQuantity],Quantitytable[Dish],Quantitytable[[#This Row],[Dish]],Quantitytable[[Ingredient ]],Quantitytable[[#This Row],[Ingredient ]]))</f>
        <v>0</v>
      </c>
      <c r="E270" s="29">
        <f>SUMIFS(salestable[Quantity Sold],salestable[Item Name],Quantitytable[[#This Row],[Dish]])</f>
        <v>0</v>
      </c>
      <c r="F270" s="29">
        <f>'Quantity Sample'!$D266*'Quantity Sample'!$E266</f>
        <v>0</v>
      </c>
      <c r="G270" s="29">
        <f>_xlfn.IFNA(VLOOKUP(Quantitytable[[#This Row],[Ingredient ]],Shoppingtable[[Item Name]:[BALANCE Cash]],5,FALSE),0)*Quantitytable[[#This Row],[NeededQuantity]]</f>
        <v>0.5</v>
      </c>
      <c r="H270" s="29">
        <f>SUMIF(Quantitytable[Dish],Quantitytable[[#This Row],[Dish]],Quantitytable[Cost Per Dish Per Item])</f>
        <v>138.15106936416186</v>
      </c>
      <c r="I270" s="30" t="s">
        <v>501</v>
      </c>
    </row>
    <row r="271" spans="1:9" x14ac:dyDescent="0.25">
      <c r="A271" s="28" t="s">
        <v>277</v>
      </c>
      <c r="B271" s="29" t="s">
        <v>50</v>
      </c>
      <c r="C271" s="29"/>
      <c r="D271" s="29">
        <f>IF(Quantitytable[[#This Row],[Units]]=0,0,SUMIFS(Quantitytable[NeededQuantity],Quantitytable[Dish],Quantitytable[[#This Row],[Dish]],Quantitytable[[Ingredient ]],Quantitytable[[#This Row],[Ingredient ]]))</f>
        <v>0</v>
      </c>
      <c r="E271" s="29">
        <f>SUMIFS(salestable[Quantity Sold],salestable[Item Name],Quantitytable[[#This Row],[Dish]])</f>
        <v>0</v>
      </c>
      <c r="F271" s="29">
        <f>'Quantity Sample'!$D267*'Quantity Sample'!$E267</f>
        <v>0</v>
      </c>
      <c r="G271" s="29">
        <f>_xlfn.IFNA(VLOOKUP(Quantitytable[[#This Row],[Ingredient ]],Shoppingtable[[Item Name]:[BALANCE Cash]],5,FALSE),0)*Quantitytable[[#This Row],[NeededQuantity]]</f>
        <v>0.6</v>
      </c>
      <c r="H271" s="29">
        <f>SUMIF(Quantitytable[Dish],Quantitytable[[#This Row],[Dish]],Quantitytable[Cost Per Dish Per Item])</f>
        <v>138.15106936416186</v>
      </c>
      <c r="I271" s="30" t="s">
        <v>501</v>
      </c>
    </row>
    <row r="272" spans="1:9" x14ac:dyDescent="0.25">
      <c r="A272" s="28" t="s">
        <v>277</v>
      </c>
      <c r="B272" s="29" t="s">
        <v>72</v>
      </c>
      <c r="C272" s="29"/>
      <c r="D272" s="29">
        <f>IF(Quantitytable[[#This Row],[Units]]=0,0,SUMIFS(Quantitytable[NeededQuantity],Quantitytable[Dish],Quantitytable[[#This Row],[Dish]],Quantitytable[[Ingredient ]],Quantitytable[[#This Row],[Ingredient ]]))</f>
        <v>0</v>
      </c>
      <c r="E272" s="29">
        <f>SUMIFS(salestable[Quantity Sold],salestable[Item Name],Quantitytable[[#This Row],[Dish]])</f>
        <v>0</v>
      </c>
      <c r="F272" s="29">
        <f>'Quantity Sample'!$D268*'Quantity Sample'!$E268</f>
        <v>0</v>
      </c>
      <c r="G272" s="29">
        <f>_xlfn.IFNA(VLOOKUP(Quantitytable[[#This Row],[Ingredient ]],Shoppingtable[[Item Name]:[BALANCE Cash]],5,FALSE),0)*Quantitytable[[#This Row],[NeededQuantity]]</f>
        <v>65.625</v>
      </c>
      <c r="H272" s="29">
        <f>SUMIF(Quantitytable[Dish],Quantitytable[[#This Row],[Dish]],Quantitytable[Cost Per Dish Per Item])</f>
        <v>138.15106936416186</v>
      </c>
      <c r="I272" s="30" t="s">
        <v>501</v>
      </c>
    </row>
    <row r="273" spans="1:9" x14ac:dyDescent="0.25">
      <c r="A273" s="28" t="s">
        <v>274</v>
      </c>
      <c r="B273" s="29" t="s">
        <v>49</v>
      </c>
      <c r="C273" s="29"/>
      <c r="D273" s="29">
        <f>IF(Quantitytable[[#This Row],[Units]]=0,0,SUMIFS(Quantitytable[NeededQuantity],Quantitytable[Dish],Quantitytable[[#This Row],[Dish]],Quantitytable[[Ingredient ]],Quantitytable[[#This Row],[Ingredient ]]))</f>
        <v>0</v>
      </c>
      <c r="E273" s="29">
        <f>SUMIFS(salestable[Quantity Sold],salestable[Item Name],Quantitytable[[#This Row],[Dish]])</f>
        <v>0</v>
      </c>
      <c r="F273" s="29">
        <f>'Quantity Sample'!$D269*'Quantity Sample'!$E269</f>
        <v>0</v>
      </c>
      <c r="G273" s="29">
        <f>_xlfn.IFNA(VLOOKUP(Quantitytable[[#This Row],[Ingredient ]],Shoppingtable[[Item Name]:[BALANCE Cash]],5,FALSE),0)*Quantitytable[[#This Row],[NeededQuantity]]</f>
        <v>0</v>
      </c>
      <c r="H273" s="29">
        <f>SUMIF(Quantitytable[Dish],Quantitytable[[#This Row],[Dish]],Quantitytable[Cost Per Dish Per Item])</f>
        <v>0</v>
      </c>
      <c r="I273" s="30" t="s">
        <v>501</v>
      </c>
    </row>
    <row r="274" spans="1:9" x14ac:dyDescent="0.25">
      <c r="A274" s="28" t="s">
        <v>274</v>
      </c>
      <c r="B274" s="29" t="s">
        <v>79</v>
      </c>
      <c r="C274" s="29"/>
      <c r="D274" s="29">
        <f>IF(Quantitytable[[#This Row],[Units]]=0,0,SUMIFS(Quantitytable[NeededQuantity],Quantitytable[Dish],Quantitytable[[#This Row],[Dish]],Quantitytable[[Ingredient ]],Quantitytable[[#This Row],[Ingredient ]]))</f>
        <v>0</v>
      </c>
      <c r="E274" s="29">
        <f>SUMIFS(salestable[Quantity Sold],salestable[Item Name],Quantitytable[[#This Row],[Dish]])</f>
        <v>0</v>
      </c>
      <c r="F274" s="29">
        <f>'Quantity Sample'!$D270*'Quantity Sample'!$E270</f>
        <v>0</v>
      </c>
      <c r="G274" s="29">
        <f>_xlfn.IFNA(VLOOKUP(Quantitytable[[#This Row],[Ingredient ]],Shoppingtable[[Item Name]:[BALANCE Cash]],5,FALSE),0)*Quantitytable[[#This Row],[NeededQuantity]]</f>
        <v>0</v>
      </c>
      <c r="H274" s="29">
        <f>SUMIF(Quantitytable[Dish],Quantitytable[[#This Row],[Dish]],Quantitytable[Cost Per Dish Per Item])</f>
        <v>0</v>
      </c>
      <c r="I274" s="30" t="s">
        <v>501</v>
      </c>
    </row>
    <row r="275" spans="1:9" x14ac:dyDescent="0.25">
      <c r="A275" s="28" t="s">
        <v>274</v>
      </c>
      <c r="B275" s="29" t="s">
        <v>25</v>
      </c>
      <c r="C275" s="29"/>
      <c r="D275" s="29">
        <f>IF(Quantitytable[[#This Row],[Units]]=0,0,SUMIFS(Quantitytable[NeededQuantity],Quantitytable[Dish],Quantitytable[[#This Row],[Dish]],Quantitytable[[Ingredient ]],Quantitytable[[#This Row],[Ingredient ]]))</f>
        <v>0</v>
      </c>
      <c r="E275" s="29">
        <f>SUMIFS(salestable[Quantity Sold],salestable[Item Name],Quantitytable[[#This Row],[Dish]])</f>
        <v>0</v>
      </c>
      <c r="F275" s="29">
        <f>'Quantity Sample'!$D271*'Quantity Sample'!$E271</f>
        <v>0</v>
      </c>
      <c r="G275" s="29">
        <f>_xlfn.IFNA(VLOOKUP(Quantitytable[[#This Row],[Ingredient ]],Shoppingtable[[Item Name]:[BALANCE Cash]],5,FALSE),0)*Quantitytable[[#This Row],[NeededQuantity]]</f>
        <v>0</v>
      </c>
      <c r="H275" s="29">
        <f>SUMIF(Quantitytable[Dish],Quantitytable[[#This Row],[Dish]],Quantitytable[Cost Per Dish Per Item])</f>
        <v>0</v>
      </c>
      <c r="I275" s="30" t="s">
        <v>501</v>
      </c>
    </row>
    <row r="276" spans="1:9" x14ac:dyDescent="0.25">
      <c r="A276" s="28" t="s">
        <v>278</v>
      </c>
      <c r="B276" s="29" t="s">
        <v>49</v>
      </c>
      <c r="C276" s="29"/>
      <c r="D276" s="29">
        <f>IF(Quantitytable[[#This Row],[Units]]=0,0,SUMIFS(Quantitytable[NeededQuantity],Quantitytable[Dish],Quantitytable[[#This Row],[Dish]],Quantitytable[[Ingredient ]],Quantitytable[[#This Row],[Ingredient ]]))</f>
        <v>0</v>
      </c>
      <c r="E276" s="29">
        <f>SUMIFS(salestable[Quantity Sold],salestable[Item Name],Quantitytable[[#This Row],[Dish]])</f>
        <v>0</v>
      </c>
      <c r="F276" s="29">
        <f>'Quantity Sample'!$D272*'Quantity Sample'!$E272</f>
        <v>0</v>
      </c>
      <c r="G276" s="29">
        <f>_xlfn.IFNA(VLOOKUP(Quantitytable[[#This Row],[Ingredient ]],Shoppingtable[[Item Name]:[BALANCE Cash]],5,FALSE),0)*Quantitytable[[#This Row],[NeededQuantity]]</f>
        <v>0</v>
      </c>
      <c r="H276" s="29">
        <f>SUMIF(Quantitytable[Dish],Quantitytable[[#This Row],[Dish]],Quantitytable[Cost Per Dish Per Item])</f>
        <v>0</v>
      </c>
      <c r="I276" s="30" t="s">
        <v>501</v>
      </c>
    </row>
    <row r="277" spans="1:9" x14ac:dyDescent="0.25">
      <c r="A277" s="28" t="s">
        <v>278</v>
      </c>
      <c r="B277" s="29" t="s">
        <v>50</v>
      </c>
      <c r="C277" s="29"/>
      <c r="D277" s="29">
        <f>IF(Quantitytable[[#This Row],[Units]]=0,0,SUMIFS(Quantitytable[NeededQuantity],Quantitytable[Dish],Quantitytable[[#This Row],[Dish]],Quantitytable[[Ingredient ]],Quantitytable[[#This Row],[Ingredient ]]))</f>
        <v>0</v>
      </c>
      <c r="E277" s="29">
        <f>SUMIFS(salestable[Quantity Sold],salestable[Item Name],Quantitytable[[#This Row],[Dish]])</f>
        <v>0</v>
      </c>
      <c r="F277" s="29">
        <f>'Quantity Sample'!$D273*'Quantity Sample'!$E273</f>
        <v>0</v>
      </c>
      <c r="G277" s="29">
        <f>_xlfn.IFNA(VLOOKUP(Quantitytable[[#This Row],[Ingredient ]],Shoppingtable[[Item Name]:[BALANCE Cash]],5,FALSE),0)*Quantitytable[[#This Row],[NeededQuantity]]</f>
        <v>0</v>
      </c>
      <c r="H277" s="29">
        <f>SUMIF(Quantitytable[Dish],Quantitytable[[#This Row],[Dish]],Quantitytable[Cost Per Dish Per Item])</f>
        <v>0</v>
      </c>
      <c r="I277" s="30" t="s">
        <v>501</v>
      </c>
    </row>
    <row r="278" spans="1:9" x14ac:dyDescent="0.25">
      <c r="A278" s="28" t="s">
        <v>278</v>
      </c>
      <c r="B278" s="29" t="s">
        <v>79</v>
      </c>
      <c r="C278" s="29"/>
      <c r="D278" s="29">
        <f>IF(Quantitytable[[#This Row],[Units]]=0,0,SUMIFS(Quantitytable[NeededQuantity],Quantitytable[Dish],Quantitytable[[#This Row],[Dish]],Quantitytable[[Ingredient ]],Quantitytable[[#This Row],[Ingredient ]]))</f>
        <v>0</v>
      </c>
      <c r="E278" s="29">
        <f>SUMIFS(salestable[Quantity Sold],salestable[Item Name],Quantitytable[[#This Row],[Dish]])</f>
        <v>0</v>
      </c>
      <c r="F278" s="29">
        <f>'Quantity Sample'!$D274*'Quantity Sample'!$E274</f>
        <v>0</v>
      </c>
      <c r="G278" s="29">
        <f>_xlfn.IFNA(VLOOKUP(Quantitytable[[#This Row],[Ingredient ]],Shoppingtable[[Item Name]:[BALANCE Cash]],5,FALSE),0)*Quantitytable[[#This Row],[NeededQuantity]]</f>
        <v>0</v>
      </c>
      <c r="H278" s="29">
        <f>SUMIF(Quantitytable[Dish],Quantitytable[[#This Row],[Dish]],Quantitytable[Cost Per Dish Per Item])</f>
        <v>0</v>
      </c>
      <c r="I278" s="30" t="s">
        <v>501</v>
      </c>
    </row>
    <row r="279" spans="1:9" x14ac:dyDescent="0.25">
      <c r="A279" s="28" t="s">
        <v>161</v>
      </c>
      <c r="B279" s="29" t="s">
        <v>19</v>
      </c>
      <c r="C279" s="29"/>
      <c r="D279" s="29">
        <f>IF(Quantitytable[[#This Row],[Units]]=0,0,SUMIFS(Quantitytable[NeededQuantity],Quantitytable[Dish],Quantitytable[[#This Row],[Dish]],Quantitytable[[Ingredient ]],Quantitytable[[#This Row],[Ingredient ]]))</f>
        <v>0</v>
      </c>
      <c r="E279" s="29">
        <f>SUMIFS(salestable[Quantity Sold],salestable[Item Name],Quantitytable[[#This Row],[Dish]])</f>
        <v>0</v>
      </c>
      <c r="F279" s="29">
        <f>'Quantity Sample'!$D275*'Quantity Sample'!$E275</f>
        <v>0</v>
      </c>
      <c r="G279" s="29">
        <f>_xlfn.IFNA(VLOOKUP(Quantitytable[[#This Row],[Ingredient ]],Shoppingtable[[Item Name]:[BALANCE Cash]],5,FALSE),0)*Quantitytable[[#This Row],[NeededQuantity]]</f>
        <v>7.4</v>
      </c>
      <c r="H279" s="29">
        <f>SUMIF(Quantitytable[Dish],Quantitytable[[#This Row],[Dish]],Quantitytable[Cost Per Dish Per Item])</f>
        <v>25.248901098901101</v>
      </c>
      <c r="I279" s="30" t="s">
        <v>501</v>
      </c>
    </row>
    <row r="280" spans="1:9" x14ac:dyDescent="0.25">
      <c r="A280" s="28" t="s">
        <v>161</v>
      </c>
      <c r="B280" s="29" t="s">
        <v>19</v>
      </c>
      <c r="C280" s="29"/>
      <c r="D280" s="29">
        <f>IF(Quantitytable[[#This Row],[Units]]=0,0,SUMIFS(Quantitytable[NeededQuantity],Quantitytable[Dish],Quantitytable[[#This Row],[Dish]],Quantitytable[[Ingredient ]],Quantitytable[[#This Row],[Ingredient ]]))</f>
        <v>0</v>
      </c>
      <c r="E280" s="29">
        <f>SUMIFS(salestable[Quantity Sold],salestable[Item Name],Quantitytable[[#This Row],[Dish]])</f>
        <v>0</v>
      </c>
      <c r="F280" s="29">
        <f>'Quantity Sample'!$D276*'Quantity Sample'!$E276</f>
        <v>0</v>
      </c>
      <c r="G280" s="29">
        <f>_xlfn.IFNA(VLOOKUP(Quantitytable[[#This Row],[Ingredient ]],Shoppingtable[[Item Name]:[BALANCE Cash]],5,FALSE),0)*Quantitytable[[#This Row],[NeededQuantity]]</f>
        <v>2.9166666666666665</v>
      </c>
      <c r="H280" s="29">
        <f>SUMIF(Quantitytable[Dish],Quantitytable[[#This Row],[Dish]],Quantitytable[Cost Per Dish Per Item])</f>
        <v>25.248901098901101</v>
      </c>
      <c r="I280" s="30" t="s">
        <v>501</v>
      </c>
    </row>
    <row r="281" spans="1:9" x14ac:dyDescent="0.25">
      <c r="A281" s="28" t="s">
        <v>161</v>
      </c>
      <c r="B281" s="29" t="s">
        <v>25</v>
      </c>
      <c r="C281" s="29"/>
      <c r="D281" s="29">
        <f>IF(Quantitytable[[#This Row],[Units]]=0,0,SUMIFS(Quantitytable[NeededQuantity],Quantitytable[Dish],Quantitytable[[#This Row],[Dish]],Quantitytable[[Ingredient ]],Quantitytable[[#This Row],[Ingredient ]]))</f>
        <v>0</v>
      </c>
      <c r="E281" s="29">
        <f>SUMIFS(salestable[Quantity Sold],salestable[Item Name],Quantitytable[[#This Row],[Dish]])</f>
        <v>0</v>
      </c>
      <c r="F281" s="29">
        <f>'Quantity Sample'!$D277*'Quantity Sample'!$E277</f>
        <v>0</v>
      </c>
      <c r="G281" s="29">
        <f>_xlfn.IFNA(VLOOKUP(Quantitytable[[#This Row],[Ingredient ]],Shoppingtable[[Item Name]:[BALANCE Cash]],5,FALSE),0)*Quantitytable[[#This Row],[NeededQuantity]]</f>
        <v>2.8846153846153846</v>
      </c>
      <c r="H281" s="29">
        <f>SUMIF(Quantitytable[Dish],Quantitytable[[#This Row],[Dish]],Quantitytable[Cost Per Dish Per Item])</f>
        <v>25.248901098901101</v>
      </c>
      <c r="I281" s="30" t="s">
        <v>501</v>
      </c>
    </row>
    <row r="282" spans="1:9" x14ac:dyDescent="0.25">
      <c r="A282" s="28" t="s">
        <v>161</v>
      </c>
      <c r="B282" s="29" t="s">
        <v>25</v>
      </c>
      <c r="C282" s="29"/>
      <c r="D282" s="29">
        <f>IF(Quantitytable[[#This Row],[Units]]=0,0,SUMIFS(Quantitytable[NeededQuantity],Quantitytable[Dish],Quantitytable[[#This Row],[Dish]],Quantitytable[[Ingredient ]],Quantitytable[[#This Row],[Ingredient ]]))</f>
        <v>0</v>
      </c>
      <c r="E282" s="29">
        <f>SUMIFS(salestable[Quantity Sold],salestable[Item Name],Quantitytable[[#This Row],[Dish]])</f>
        <v>0</v>
      </c>
      <c r="F282" s="29">
        <f>'Quantity Sample'!$D278*'Quantity Sample'!$E278</f>
        <v>0</v>
      </c>
      <c r="G282" s="29">
        <f>_xlfn.IFNA(VLOOKUP(Quantitytable[[#This Row],[Ingredient ]],Shoppingtable[[Item Name]:[BALANCE Cash]],5,FALSE),0)*Quantitytable[[#This Row],[NeededQuantity]]</f>
        <v>4.3333333333333339</v>
      </c>
      <c r="H282" s="29">
        <f>SUMIF(Quantitytable[Dish],Quantitytable[[#This Row],[Dish]],Quantitytable[Cost Per Dish Per Item])</f>
        <v>25.248901098901101</v>
      </c>
      <c r="I282" s="30" t="s">
        <v>501</v>
      </c>
    </row>
    <row r="283" spans="1:9" x14ac:dyDescent="0.25">
      <c r="A283" s="28" t="s">
        <v>161</v>
      </c>
      <c r="B283" s="29" t="s">
        <v>75</v>
      </c>
      <c r="C283" s="29"/>
      <c r="D283" s="29">
        <f>IF(Quantitytable[[#This Row],[Units]]=0,0,SUMIFS(Quantitytable[NeededQuantity],Quantitytable[Dish],Quantitytable[[#This Row],[Dish]],Quantitytable[[Ingredient ]],Quantitytable[[#This Row],[Ingredient ]]))</f>
        <v>0</v>
      </c>
      <c r="E283" s="29">
        <f>SUMIFS(salestable[Quantity Sold],salestable[Item Name],Quantitytable[[#This Row],[Dish]])</f>
        <v>0</v>
      </c>
      <c r="F283" s="29">
        <f>'Quantity Sample'!$D279*'Quantity Sample'!$E279</f>
        <v>0</v>
      </c>
      <c r="G283" s="29">
        <f>_xlfn.IFNA(VLOOKUP(Quantitytable[[#This Row],[Ingredient ]],Shoppingtable[[Item Name]:[BALANCE Cash]],5,FALSE),0)*Quantitytable[[#This Row],[NeededQuantity]]</f>
        <v>7.7142857142857144</v>
      </c>
      <c r="H283" s="29">
        <f>SUMIF(Quantitytable[Dish],Quantitytable[[#This Row],[Dish]],Quantitytable[Cost Per Dish Per Item])</f>
        <v>25.248901098901101</v>
      </c>
      <c r="I283" s="30" t="s">
        <v>501</v>
      </c>
    </row>
    <row r="284" spans="1:9" x14ac:dyDescent="0.25">
      <c r="A284" s="28" t="s">
        <v>161</v>
      </c>
      <c r="B284" s="29" t="s">
        <v>75</v>
      </c>
      <c r="C284" s="29"/>
      <c r="D284" s="29">
        <f>IF(Quantitytable[[#This Row],[Units]]=0,0,SUMIFS(Quantitytable[NeededQuantity],Quantitytable[Dish],Quantitytable[[#This Row],[Dish]],Quantitytable[[Ingredient ]],Quantitytable[[#This Row],[Ingredient ]]))</f>
        <v>0</v>
      </c>
      <c r="E284" s="29">
        <f>SUMIFS(salestable[Quantity Sold],salestable[Item Name],Quantitytable[[#This Row],[Dish]])</f>
        <v>0</v>
      </c>
      <c r="F284" s="29">
        <f>'Quantity Sample'!$D280*'Quantity Sample'!$E280</f>
        <v>0</v>
      </c>
      <c r="G284" s="29">
        <f>_xlfn.IFNA(VLOOKUP(Quantitytable[[#This Row],[Ingredient ]],Shoppingtable[[Item Name]:[BALANCE Cash]],5,FALSE),0)*Quantitytable[[#This Row],[NeededQuantity]]</f>
        <v>7.4</v>
      </c>
      <c r="H284" s="29">
        <f>SUMIF(Quantitytable[Dish],Quantitytable[[#This Row],[Dish]],Quantitytable[Cost Per Dish Per Item])</f>
        <v>37.194285714285712</v>
      </c>
      <c r="I284" s="30" t="s">
        <v>501</v>
      </c>
    </row>
    <row r="285" spans="1:9" x14ac:dyDescent="0.25">
      <c r="A285" s="28" t="s">
        <v>167</v>
      </c>
      <c r="B285" s="29" t="s">
        <v>19</v>
      </c>
      <c r="C285" s="29"/>
      <c r="D285" s="29">
        <f>IF(Quantitytable[[#This Row],[Units]]=0,0,SUMIFS(Quantitytable[NeededQuantity],Quantitytable[Dish],Quantitytable[[#This Row],[Dish]],Quantitytable[[Ingredient ]],Quantitytable[[#This Row],[Ingredient ]]))</f>
        <v>0</v>
      </c>
      <c r="E285" s="29">
        <f>SUMIFS(salestable[Quantity Sold],salestable[Item Name],Quantitytable[[#This Row],[Dish]])</f>
        <v>0</v>
      </c>
      <c r="F285" s="29">
        <f>'Quantity Sample'!$D281*'Quantity Sample'!$E281</f>
        <v>0</v>
      </c>
      <c r="G285" s="29">
        <f>_xlfn.IFNA(VLOOKUP(Quantitytable[[#This Row],[Ingredient ]],Shoppingtable[[Item Name]:[BALANCE Cash]],5,FALSE),0)*Quantitytable[[#This Row],[NeededQuantity]]</f>
        <v>22.08</v>
      </c>
      <c r="H285" s="29">
        <f>SUMIF(Quantitytable[Dish],Quantitytable[[#This Row],[Dish]],Quantitytable[Cost Per Dish Per Item])</f>
        <v>37.194285714285712</v>
      </c>
      <c r="I285" s="30" t="s">
        <v>501</v>
      </c>
    </row>
    <row r="286" spans="1:9" x14ac:dyDescent="0.25">
      <c r="A286" s="28" t="s">
        <v>167</v>
      </c>
      <c r="B286" s="29" t="s">
        <v>19</v>
      </c>
      <c r="C286" s="29"/>
      <c r="D286" s="29">
        <f>IF(Quantitytable[[#This Row],[Units]]=0,0,SUMIFS(Quantitytable[NeededQuantity],Quantitytable[Dish],Quantitytable[[#This Row],[Dish]],Quantitytable[[Ingredient ]],Quantitytable[[#This Row],[Ingredient ]]))</f>
        <v>0</v>
      </c>
      <c r="E286" s="29">
        <f>SUMIFS(salestable[Quantity Sold],salestable[Item Name],Quantitytable[[#This Row],[Dish]])</f>
        <v>0</v>
      </c>
      <c r="F286" s="29">
        <f>'Quantity Sample'!$D282*'Quantity Sample'!$E282</f>
        <v>0</v>
      </c>
      <c r="G286" s="29">
        <f>_xlfn.IFNA(VLOOKUP(Quantitytable[[#This Row],[Ingredient ]],Shoppingtable[[Item Name]:[BALANCE Cash]],5,FALSE),0)*Quantitytable[[#This Row],[NeededQuantity]]</f>
        <v>7.7142857142857144</v>
      </c>
      <c r="H286" s="29">
        <f>SUMIF(Quantitytable[Dish],Quantitytable[[#This Row],[Dish]],Quantitytable[Cost Per Dish Per Item])</f>
        <v>37.194285714285712</v>
      </c>
      <c r="I286" s="30" t="s">
        <v>501</v>
      </c>
    </row>
    <row r="287" spans="1:9" x14ac:dyDescent="0.25">
      <c r="A287" s="28" t="s">
        <v>167</v>
      </c>
      <c r="B287" s="29" t="s">
        <v>101</v>
      </c>
      <c r="C287" s="29"/>
      <c r="D287" s="29">
        <f>IF(Quantitytable[[#This Row],[Units]]=0,0,SUMIFS(Quantitytable[NeededQuantity],Quantitytable[Dish],Quantitytable[[#This Row],[Dish]],Quantitytable[[Ingredient ]],Quantitytable[[#This Row],[Ingredient ]]))</f>
        <v>0</v>
      </c>
      <c r="E287" s="29">
        <f>SUMIFS(salestable[Quantity Sold],salestable[Item Name],Quantitytable[[#This Row],[Dish]])</f>
        <v>0</v>
      </c>
      <c r="F287" s="29">
        <f>'Quantity Sample'!$D283*'Quantity Sample'!$E283</f>
        <v>0</v>
      </c>
      <c r="G287" s="29">
        <f>_xlfn.IFNA(VLOOKUP(Quantitytable[[#This Row],[Ingredient ]],Shoppingtable[[Item Name]:[BALANCE Cash]],5,FALSE),0)*Quantitytable[[#This Row],[NeededQuantity]]</f>
        <v>7.4</v>
      </c>
      <c r="H287" s="29">
        <f>SUMIF(Quantitytable[Dish],Quantitytable[[#This Row],[Dish]],Quantitytable[Cost Per Dish Per Item])</f>
        <v>19.551785714285714</v>
      </c>
      <c r="I287" s="30" t="s">
        <v>501</v>
      </c>
    </row>
    <row r="288" spans="1:9" x14ac:dyDescent="0.25">
      <c r="A288" s="28" t="s">
        <v>167</v>
      </c>
      <c r="B288" s="29" t="s">
        <v>25</v>
      </c>
      <c r="C288" s="29"/>
      <c r="D288" s="29">
        <f>IF(Quantitytable[[#This Row],[Units]]=0,0,SUMIFS(Quantitytable[NeededQuantity],Quantitytable[Dish],Quantitytable[[#This Row],[Dish]],Quantitytable[[Ingredient ]],Quantitytable[[#This Row],[Ingredient ]]))</f>
        <v>0</v>
      </c>
      <c r="E288" s="29">
        <f>SUMIFS(salestable[Quantity Sold],salestable[Item Name],Quantitytable[[#This Row],[Dish]])</f>
        <v>0</v>
      </c>
      <c r="F288" s="29">
        <f>'Quantity Sample'!$D284*'Quantity Sample'!$E284</f>
        <v>0</v>
      </c>
      <c r="G288" s="29">
        <f>_xlfn.IFNA(VLOOKUP(Quantitytable[[#This Row],[Ingredient ]],Shoppingtable[[Item Name]:[BALANCE Cash]],5,FALSE),0)*Quantitytable[[#This Row],[NeededQuantity]]</f>
        <v>4.4375</v>
      </c>
      <c r="H288" s="29">
        <f>SUMIF(Quantitytable[Dish],Quantitytable[[#This Row],[Dish]],Quantitytable[Cost Per Dish Per Item])</f>
        <v>19.551785714285714</v>
      </c>
      <c r="I288" s="30" t="s">
        <v>501</v>
      </c>
    </row>
    <row r="289" spans="1:9" x14ac:dyDescent="0.25">
      <c r="A289" s="28" t="s">
        <v>167</v>
      </c>
      <c r="B289" s="29" t="s">
        <v>25</v>
      </c>
      <c r="C289" s="29"/>
      <c r="D289" s="29">
        <f>IF(Quantitytable[[#This Row],[Units]]=0,0,SUMIFS(Quantitytable[NeededQuantity],Quantitytable[Dish],Quantitytable[[#This Row],[Dish]],Quantitytable[[Ingredient ]],Quantitytable[[#This Row],[Ingredient ]]))</f>
        <v>0</v>
      </c>
      <c r="E289" s="29">
        <f>SUMIFS(salestable[Quantity Sold],salestable[Item Name],Quantitytable[[#This Row],[Dish]])</f>
        <v>0</v>
      </c>
      <c r="F289" s="29">
        <f>'Quantity Sample'!$D285*'Quantity Sample'!$E285</f>
        <v>0</v>
      </c>
      <c r="G289" s="29">
        <f>_xlfn.IFNA(VLOOKUP(Quantitytable[[#This Row],[Ingredient ]],Shoppingtable[[Item Name]:[BALANCE Cash]],5,FALSE),0)*Quantitytable[[#This Row],[NeededQuantity]]</f>
        <v>7.7142857142857144</v>
      </c>
      <c r="H289" s="29">
        <f>SUMIF(Quantitytable[Dish],Quantitytable[[#This Row],[Dish]],Quantitytable[Cost Per Dish Per Item])</f>
        <v>19.551785714285714</v>
      </c>
      <c r="I289" s="30" t="s">
        <v>501</v>
      </c>
    </row>
    <row r="290" spans="1:9" x14ac:dyDescent="0.25">
      <c r="A290" s="28" t="s">
        <v>184</v>
      </c>
      <c r="B290" s="29" t="s">
        <v>19</v>
      </c>
      <c r="C290" s="29"/>
      <c r="D290" s="29">
        <f>IF(Quantitytable[[#This Row],[Units]]=0,0,SUMIFS(Quantitytable[NeededQuantity],Quantitytable[Dish],Quantitytable[[#This Row],[Dish]],Quantitytable[[Ingredient ]],Quantitytable[[#This Row],[Ingredient ]]))</f>
        <v>0</v>
      </c>
      <c r="E290" s="29">
        <f>SUMIFS(salestable[Quantity Sold],salestable[Item Name],Quantitytable[[#This Row],[Dish]])</f>
        <v>0</v>
      </c>
      <c r="F290" s="29">
        <f>'Quantity Sample'!$D286*'Quantity Sample'!$E286</f>
        <v>0</v>
      </c>
      <c r="G290" s="29">
        <f>_xlfn.IFNA(VLOOKUP(Quantitytable[[#This Row],[Ingredient ]],Shoppingtable[[Item Name]:[BALANCE Cash]],5,FALSE),0)*Quantitytable[[#This Row],[NeededQuantity]]</f>
        <v>8.879999999999999</v>
      </c>
      <c r="H290" s="29">
        <f>SUMIF(Quantitytable[Dish],Quantitytable[[#This Row],[Dish]],Quantitytable[Cost Per Dish Per Item])</f>
        <v>23.014615384615382</v>
      </c>
      <c r="I290" s="30" t="s">
        <v>501</v>
      </c>
    </row>
    <row r="291" spans="1:9" x14ac:dyDescent="0.25">
      <c r="A291" s="28" t="s">
        <v>184</v>
      </c>
      <c r="B291" s="29" t="s">
        <v>75</v>
      </c>
      <c r="C291" s="29"/>
      <c r="D291" s="29">
        <f>IF(Quantitytable[[#This Row],[Units]]=0,0,SUMIFS(Quantitytable[NeededQuantity],Quantitytable[Dish],Quantitytable[[#This Row],[Dish]],Quantitytable[[Ingredient ]],Quantitytable[[#This Row],[Ingredient ]]))</f>
        <v>0</v>
      </c>
      <c r="E291" s="29">
        <f>SUMIFS(salestable[Quantity Sold],salestable[Item Name],Quantitytable[[#This Row],[Dish]])</f>
        <v>0</v>
      </c>
      <c r="F291" s="29">
        <f>'Quantity Sample'!$D287*'Quantity Sample'!$E287</f>
        <v>0</v>
      </c>
      <c r="G291" s="29">
        <f>_xlfn.IFNA(VLOOKUP(Quantitytable[[#This Row],[Ingredient ]],Shoppingtable[[Item Name]:[BALANCE Cash]],5,FALSE),0)*Quantitytable[[#This Row],[NeededQuantity]]</f>
        <v>2.8846153846153846</v>
      </c>
      <c r="H291" s="29">
        <f>SUMIF(Quantitytable[Dish],Quantitytable[[#This Row],[Dish]],Quantitytable[Cost Per Dish Per Item])</f>
        <v>23.014615384615382</v>
      </c>
      <c r="I291" s="30" t="s">
        <v>501</v>
      </c>
    </row>
    <row r="292" spans="1:9" x14ac:dyDescent="0.25">
      <c r="A292" s="28" t="s">
        <v>184</v>
      </c>
      <c r="B292" s="29" t="s">
        <v>25</v>
      </c>
      <c r="C292" s="29"/>
      <c r="D292" s="29">
        <f>IF(Quantitytable[[#This Row],[Units]]=0,0,SUMIFS(Quantitytable[NeededQuantity],Quantitytable[Dish],Quantitytable[[#This Row],[Dish]],Quantitytable[[Ingredient ]],Quantitytable[[#This Row],[Ingredient ]]))</f>
        <v>0</v>
      </c>
      <c r="E292" s="29">
        <f>SUMIFS(salestable[Quantity Sold],salestable[Item Name],Quantitytable[[#This Row],[Dish]])</f>
        <v>0</v>
      </c>
      <c r="F292" s="29">
        <f>'Quantity Sample'!$D288*'Quantity Sample'!$E288</f>
        <v>0</v>
      </c>
      <c r="G292" s="29">
        <f>_xlfn.IFNA(VLOOKUP(Quantitytable[[#This Row],[Ingredient ]],Shoppingtable[[Item Name]:[BALANCE Cash]],5,FALSE),0)*Quantitytable[[#This Row],[NeededQuantity]]</f>
        <v>2.9166666666666665</v>
      </c>
      <c r="H292" s="29">
        <f>SUMIF(Quantitytable[Dish],Quantitytable[[#This Row],[Dish]],Quantitytable[Cost Per Dish Per Item])</f>
        <v>23.014615384615382</v>
      </c>
      <c r="I292" s="30" t="s">
        <v>501</v>
      </c>
    </row>
    <row r="293" spans="1:9" x14ac:dyDescent="0.25">
      <c r="A293" s="28" t="s">
        <v>181</v>
      </c>
      <c r="B293" s="29" t="s">
        <v>19</v>
      </c>
      <c r="C293" s="29"/>
      <c r="D293" s="29">
        <f>IF(Quantitytable[[#This Row],[Units]]=0,0,SUMIFS(Quantitytable[NeededQuantity],Quantitytable[Dish],Quantitytable[[#This Row],[Dish]],Quantitytable[[Ingredient ]],Quantitytable[[#This Row],[Ingredient ]]))</f>
        <v>0</v>
      </c>
      <c r="E293" s="29">
        <f>SUMIFS(salestable[Quantity Sold],salestable[Item Name],Quantitytable[[#This Row],[Dish]])</f>
        <v>0</v>
      </c>
      <c r="F293" s="29">
        <f>'Quantity Sample'!$D289*'Quantity Sample'!$E289</f>
        <v>0</v>
      </c>
      <c r="G293" s="29">
        <f>_xlfn.IFNA(VLOOKUP(Quantitytable[[#This Row],[Ingredient ]],Shoppingtable[[Item Name]:[BALANCE Cash]],5,FALSE),0)*Quantitytable[[#This Row],[NeededQuantity]]</f>
        <v>4.3333333333333339</v>
      </c>
      <c r="H293" s="29">
        <f>SUMIF(Quantitytable[Dish],Quantitytable[[#This Row],[Dish]],Quantitytable[Cost Per Dish Per Item])</f>
        <v>23.014615384615382</v>
      </c>
      <c r="I293" s="30" t="s">
        <v>501</v>
      </c>
    </row>
    <row r="294" spans="1:9" x14ac:dyDescent="0.25">
      <c r="A294" s="28" t="s">
        <v>181</v>
      </c>
      <c r="B294" s="29" t="s">
        <v>52</v>
      </c>
      <c r="C294" s="29"/>
      <c r="D294" s="29">
        <f>IF(Quantitytable[[#This Row],[Units]]=0,0,SUMIFS(Quantitytable[NeededQuantity],Quantitytable[Dish],Quantitytable[[#This Row],[Dish]],Quantitytable[[Ingredient ]],Quantitytable[[#This Row],[Ingredient ]]))</f>
        <v>0</v>
      </c>
      <c r="E294" s="29">
        <f>SUMIFS(salestable[Quantity Sold],salestable[Item Name],Quantitytable[[#This Row],[Dish]])</f>
        <v>0</v>
      </c>
      <c r="F294" s="29">
        <f>'Quantity Sample'!$D290*'Quantity Sample'!$E290</f>
        <v>0</v>
      </c>
      <c r="G294" s="29">
        <f>_xlfn.IFNA(VLOOKUP(Quantitytable[[#This Row],[Ingredient ]],Shoppingtable[[Item Name]:[BALANCE Cash]],5,FALSE),0)*Quantitytable[[#This Row],[NeededQuantity]]</f>
        <v>4</v>
      </c>
      <c r="H294" s="29">
        <f>SUMIF(Quantitytable[Dish],Quantitytable[[#This Row],[Dish]],Quantitytable[Cost Per Dish Per Item])</f>
        <v>23.014615384615382</v>
      </c>
      <c r="I294" s="30" t="s">
        <v>501</v>
      </c>
    </row>
    <row r="295" spans="1:9" x14ac:dyDescent="0.25">
      <c r="A295" s="28" t="s">
        <v>181</v>
      </c>
      <c r="B295" s="29" t="s">
        <v>25</v>
      </c>
      <c r="C295" s="29"/>
      <c r="D295" s="29">
        <f>IF(Quantitytable[[#This Row],[Units]]=0,0,SUMIFS(Quantitytable[NeededQuantity],Quantitytable[Dish],Quantitytable[[#This Row],[Dish]],Quantitytable[[Ingredient ]],Quantitytable[[#This Row],[Ingredient ]]))</f>
        <v>0</v>
      </c>
      <c r="E295" s="29">
        <f>SUMIFS(salestable[Quantity Sold],salestable[Item Name],Quantitytable[[#This Row],[Dish]])</f>
        <v>0</v>
      </c>
      <c r="F295" s="29">
        <f>'Quantity Sample'!$D291*'Quantity Sample'!$E291</f>
        <v>0</v>
      </c>
      <c r="G295" s="29">
        <f>_xlfn.IFNA(VLOOKUP(Quantitytable[[#This Row],[Ingredient ]],Shoppingtable[[Item Name]:[BALANCE Cash]],5,FALSE),0)*Quantitytable[[#This Row],[NeededQuantity]]</f>
        <v>8.879999999999999</v>
      </c>
      <c r="H295" s="29">
        <f>SUMIF(Quantitytable[Dish],Quantitytable[[#This Row],[Dish]],Quantitytable[Cost Per Dish Per Item])</f>
        <v>34.959999999999994</v>
      </c>
      <c r="I295" s="30" t="s">
        <v>501</v>
      </c>
    </row>
    <row r="296" spans="1:9" x14ac:dyDescent="0.25">
      <c r="A296" s="28" t="s">
        <v>306</v>
      </c>
      <c r="B296" s="29" t="s">
        <v>19</v>
      </c>
      <c r="C296" s="29"/>
      <c r="D296" s="29">
        <f>IF(Quantitytable[[#This Row],[Units]]=0,0,SUMIFS(Quantitytable[NeededQuantity],Quantitytable[Dish],Quantitytable[[#This Row],[Dish]],Quantitytable[[Ingredient ]],Quantitytable[[#This Row],[Ingredient ]]))</f>
        <v>0</v>
      </c>
      <c r="E296" s="29">
        <f>SUMIFS(salestable[Quantity Sold],salestable[Item Name],Quantitytable[[#This Row],[Dish]])</f>
        <v>0</v>
      </c>
      <c r="F296" s="29">
        <f>'Quantity Sample'!$D292*'Quantity Sample'!$E292</f>
        <v>0</v>
      </c>
      <c r="G296" s="29">
        <f>_xlfn.IFNA(VLOOKUP(Quantitytable[[#This Row],[Ingredient ]],Shoppingtable[[Item Name]:[BALANCE Cash]],5,FALSE),0)*Quantitytable[[#This Row],[NeededQuantity]]</f>
        <v>22.08</v>
      </c>
      <c r="H296" s="29">
        <f>SUMIF(Quantitytable[Dish],Quantitytable[[#This Row],[Dish]],Quantitytable[Cost Per Dish Per Item])</f>
        <v>34.959999999999994</v>
      </c>
      <c r="I296" s="30" t="s">
        <v>501</v>
      </c>
    </row>
    <row r="297" spans="1:9" x14ac:dyDescent="0.25">
      <c r="A297" s="28" t="s">
        <v>306</v>
      </c>
      <c r="B297" s="29" t="s">
        <v>93</v>
      </c>
      <c r="C297" s="29"/>
      <c r="D297" s="29">
        <f>IF(Quantitytable[[#This Row],[Units]]=0,0,SUMIFS(Quantitytable[NeededQuantity],Quantitytable[Dish],Quantitytable[[#This Row],[Dish]],Quantitytable[[Ingredient ]],Quantitytable[[#This Row],[Ingredient ]]))</f>
        <v>0</v>
      </c>
      <c r="E297" s="29">
        <f>SUMIFS(salestable[Quantity Sold],salestable[Item Name],Quantitytable[[#This Row],[Dish]])</f>
        <v>0</v>
      </c>
      <c r="F297" s="29">
        <f>'Quantity Sample'!$D293*'Quantity Sample'!$E293</f>
        <v>0</v>
      </c>
      <c r="G297" s="29">
        <f>_xlfn.IFNA(VLOOKUP(Quantitytable[[#This Row],[Ingredient ]],Shoppingtable[[Item Name]:[BALANCE Cash]],5,FALSE),0)*Quantitytable[[#This Row],[NeededQuantity]]</f>
        <v>4</v>
      </c>
      <c r="H297" s="29">
        <f>SUMIF(Quantitytable[Dish],Quantitytable[[#This Row],[Dish]],Quantitytable[Cost Per Dish Per Item])</f>
        <v>34.959999999999994</v>
      </c>
      <c r="I297" s="30" t="s">
        <v>501</v>
      </c>
    </row>
    <row r="298" spans="1:9" x14ac:dyDescent="0.25">
      <c r="A298" s="28" t="s">
        <v>306</v>
      </c>
      <c r="B298" s="29" t="s">
        <v>25</v>
      </c>
      <c r="C298" s="29"/>
      <c r="D298" s="29">
        <f>IF(Quantitytable[[#This Row],[Units]]=0,0,SUMIFS(Quantitytable[NeededQuantity],Quantitytable[Dish],Quantitytable[[#This Row],[Dish]],Quantitytable[[Ingredient ]],Quantitytable[[#This Row],[Ingredient ]]))</f>
        <v>0</v>
      </c>
      <c r="E298" s="29">
        <f>SUMIFS(salestable[Quantity Sold],salestable[Item Name],Quantitytable[[#This Row],[Dish]])</f>
        <v>0</v>
      </c>
      <c r="F298" s="29">
        <f>'Quantity Sample'!$D294*'Quantity Sample'!$E294</f>
        <v>0</v>
      </c>
      <c r="G298" s="29">
        <f>_xlfn.IFNA(VLOOKUP(Quantitytable[[#This Row],[Ingredient ]],Shoppingtable[[Item Name]:[BALANCE Cash]],5,FALSE),0)*Quantitytable[[#This Row],[NeededQuantity]]</f>
        <v>8.879999999999999</v>
      </c>
      <c r="H298" s="29">
        <f>SUMIF(Quantitytable[Dish],Quantitytable[[#This Row],[Dish]],Quantitytable[Cost Per Dish Per Item])</f>
        <v>26.192499999999999</v>
      </c>
      <c r="I298" s="30" t="s">
        <v>501</v>
      </c>
    </row>
    <row r="299" spans="1:9" x14ac:dyDescent="0.25">
      <c r="A299" s="28" t="s">
        <v>307</v>
      </c>
      <c r="B299" s="29" t="s">
        <v>54</v>
      </c>
      <c r="C299" s="29"/>
      <c r="D299" s="29">
        <f>IF(Quantitytable[[#This Row],[Units]]=0,0,SUMIFS(Quantitytable[NeededQuantity],Quantitytable[Dish],Quantitytable[[#This Row],[Dish]],Quantitytable[[Ingredient ]],Quantitytable[[#This Row],[Ingredient ]]))</f>
        <v>0</v>
      </c>
      <c r="E299" s="29">
        <f>SUMIFS(salestable[Quantity Sold],salestable[Item Name],Quantitytable[[#This Row],[Dish]])</f>
        <v>0</v>
      </c>
      <c r="F299" s="29">
        <f>'Quantity Sample'!$D295*'Quantity Sample'!$E295</f>
        <v>0</v>
      </c>
      <c r="G299" s="29">
        <f>_xlfn.IFNA(VLOOKUP(Quantitytable[[#This Row],[Ingredient ]],Shoppingtable[[Item Name]:[BALANCE Cash]],5,FALSE),0)*Quantitytable[[#This Row],[NeededQuantity]]</f>
        <v>13.3125</v>
      </c>
      <c r="H299" s="29">
        <f>SUMIF(Quantitytable[Dish],Quantitytable[[#This Row],[Dish]],Quantitytable[Cost Per Dish Per Item])</f>
        <v>26.192499999999999</v>
      </c>
      <c r="I299" s="30" t="s">
        <v>501</v>
      </c>
    </row>
    <row r="300" spans="1:9" x14ac:dyDescent="0.25">
      <c r="A300" s="28" t="s">
        <v>307</v>
      </c>
      <c r="B300" s="29" t="s">
        <v>93</v>
      </c>
      <c r="C300" s="29"/>
      <c r="D300" s="29">
        <f>IF(Quantitytable[[#This Row],[Units]]=0,0,SUMIFS(Quantitytable[NeededQuantity],Quantitytable[Dish],Quantitytable[[#This Row],[Dish]],Quantitytable[[Ingredient ]],Quantitytable[[#This Row],[Ingredient ]]))</f>
        <v>0</v>
      </c>
      <c r="E300" s="29">
        <f>SUMIFS(salestable[Quantity Sold],salestable[Item Name],Quantitytable[[#This Row],[Dish]])</f>
        <v>0</v>
      </c>
      <c r="F300" s="29">
        <f>'Quantity Sample'!$D296*'Quantity Sample'!$E296</f>
        <v>0</v>
      </c>
      <c r="G300" s="29">
        <f>_xlfn.IFNA(VLOOKUP(Quantitytable[[#This Row],[Ingredient ]],Shoppingtable[[Item Name]:[BALANCE Cash]],5,FALSE),0)*Quantitytable[[#This Row],[NeededQuantity]]</f>
        <v>4</v>
      </c>
      <c r="H300" s="29">
        <f>SUMIF(Quantitytable[Dish],Quantitytable[[#This Row],[Dish]],Quantitytable[Cost Per Dish Per Item])</f>
        <v>26.192499999999999</v>
      </c>
      <c r="I300" s="30" t="s">
        <v>501</v>
      </c>
    </row>
    <row r="301" spans="1:9" x14ac:dyDescent="0.25">
      <c r="A301" s="28" t="s">
        <v>307</v>
      </c>
      <c r="B301" s="29" t="s">
        <v>25</v>
      </c>
      <c r="C301" s="29"/>
      <c r="D301" s="29">
        <f>IF(Quantitytable[[#This Row],[Units]]=0,0,SUMIFS(Quantitytable[NeededQuantity],Quantitytable[Dish],Quantitytable[[#This Row],[Dish]],Quantitytable[[Ingredient ]],Quantitytable[[#This Row],[Ingredient ]]))</f>
        <v>0</v>
      </c>
      <c r="E301" s="29">
        <f>SUMIFS(salestable[Quantity Sold],salestable[Item Name],Quantitytable[[#This Row],[Dish]])</f>
        <v>0</v>
      </c>
      <c r="F301" s="29">
        <f>'Quantity Sample'!$D297*'Quantity Sample'!$E297</f>
        <v>0</v>
      </c>
      <c r="G301" s="29">
        <f>_xlfn.IFNA(VLOOKUP(Quantitytable[[#This Row],[Ingredient ]],Shoppingtable[[Item Name]:[BALANCE Cash]],5,FALSE),0)*Quantitytable[[#This Row],[NeededQuantity]]</f>
        <v>14.8</v>
      </c>
      <c r="H301" s="29">
        <f>SUMIF(Quantitytable[Dish],Quantitytable[[#This Row],[Dish]],Quantitytable[Cost Per Dish Per Item])</f>
        <v>37.6</v>
      </c>
      <c r="I301" s="30" t="s">
        <v>501</v>
      </c>
    </row>
    <row r="302" spans="1:9" x14ac:dyDescent="0.25">
      <c r="A302" s="28" t="s">
        <v>322</v>
      </c>
      <c r="B302" s="29" t="s">
        <v>69</v>
      </c>
      <c r="C302" s="29"/>
      <c r="D302" s="29">
        <f>IF(Quantitytable[[#This Row],[Units]]=0,0,SUMIFS(Quantitytable[NeededQuantity],Quantitytable[Dish],Quantitytable[[#This Row],[Dish]],Quantitytable[[Ingredient ]],Quantitytable[[#This Row],[Ingredient ]]))</f>
        <v>0</v>
      </c>
      <c r="E302" s="29">
        <f>SUMIFS(salestable[Quantity Sold],salestable[Item Name],Quantitytable[[#This Row],[Dish]])</f>
        <v>0</v>
      </c>
      <c r="F302" s="29">
        <f>'Quantity Sample'!$D298*'Quantity Sample'!$E298</f>
        <v>0</v>
      </c>
      <c r="G302" s="29">
        <f>_xlfn.IFNA(VLOOKUP(Quantitytable[[#This Row],[Ingredient ]],Shoppingtable[[Item Name]:[BALANCE Cash]],5,FALSE),0)*Quantitytable[[#This Row],[NeededQuantity]]</f>
        <v>4</v>
      </c>
      <c r="H302" s="29">
        <f>SUMIF(Quantitytable[Dish],Quantitytable[[#This Row],[Dish]],Quantitytable[Cost Per Dish Per Item])</f>
        <v>37.6</v>
      </c>
      <c r="I302" s="30" t="s">
        <v>501</v>
      </c>
    </row>
    <row r="303" spans="1:9" x14ac:dyDescent="0.25">
      <c r="A303" s="28" t="s">
        <v>322</v>
      </c>
      <c r="B303" s="29" t="s">
        <v>25</v>
      </c>
      <c r="C303" s="29"/>
      <c r="D303" s="29">
        <f>IF(Quantitytable[[#This Row],[Units]]=0,0,SUMIFS(Quantitytable[NeededQuantity],Quantitytable[Dish],Quantitytable[[#This Row],[Dish]],Quantitytable[[Ingredient ]],Quantitytable[[#This Row],[Ingredient ]]))</f>
        <v>0</v>
      </c>
      <c r="E303" s="29">
        <f>SUMIFS(salestable[Quantity Sold],salestable[Item Name],Quantitytable[[#This Row],[Dish]])</f>
        <v>0</v>
      </c>
      <c r="F303" s="29">
        <f>'Quantity Sample'!$D299*'Quantity Sample'!$E299</f>
        <v>0</v>
      </c>
      <c r="G303" s="29">
        <f>_xlfn.IFNA(VLOOKUP(Quantitytable[[#This Row],[Ingredient ]],Shoppingtable[[Item Name]:[BALANCE Cash]],5,FALSE),0)*Quantitytable[[#This Row],[NeededQuantity]]</f>
        <v>14.8</v>
      </c>
      <c r="H303" s="29">
        <f>SUMIF(Quantitytable[Dish],Quantitytable[[#This Row],[Dish]],Quantitytable[Cost Per Dish Per Item])</f>
        <v>37.6</v>
      </c>
      <c r="I303" s="30" t="s">
        <v>501</v>
      </c>
    </row>
    <row r="304" spans="1:9" x14ac:dyDescent="0.25">
      <c r="A304" s="28" t="s">
        <v>195</v>
      </c>
      <c r="B304" s="29" t="s">
        <v>41</v>
      </c>
      <c r="C304" s="29"/>
      <c r="D304" s="29">
        <f>IF(Quantitytable[[#This Row],[Units]]=0,0,SUMIFS(Quantitytable[NeededQuantity],Quantitytable[Dish],Quantitytable[[#This Row],[Dish]],Quantitytable[[Ingredient ]],Quantitytable[[#This Row],[Ingredient ]]))</f>
        <v>0</v>
      </c>
      <c r="E304" s="29">
        <f>SUMIFS(salestable[Quantity Sold],salestable[Item Name],Quantitytable[[#This Row],[Dish]])</f>
        <v>0</v>
      </c>
      <c r="F304" s="29">
        <f>'Quantity Sample'!$D300*'Quantity Sample'!$E300</f>
        <v>0</v>
      </c>
      <c r="G304" s="29">
        <f>_xlfn.IFNA(VLOOKUP(Quantitytable[[#This Row],[Ingredient ]],Shoppingtable[[Item Name]:[BALANCE Cash]],5,FALSE),0)*Quantitytable[[#This Row],[NeededQuantity]]</f>
        <v>4</v>
      </c>
      <c r="H304" s="29">
        <f>SUMIF(Quantitytable[Dish],Quantitytable[[#This Row],[Dish]],Quantitytable[Cost Per Dish Per Item])</f>
        <v>37.6</v>
      </c>
      <c r="I304" s="30" t="s">
        <v>501</v>
      </c>
    </row>
    <row r="305" spans="1:9" x14ac:dyDescent="0.25">
      <c r="A305" s="28" t="s">
        <v>195</v>
      </c>
      <c r="B305" s="29" t="s">
        <v>48</v>
      </c>
      <c r="C305" s="29"/>
      <c r="D305" s="29">
        <f>IF(Quantitytable[[#This Row],[Units]]=0,0,SUMIFS(Quantitytable[NeededQuantity],Quantitytable[Dish],Quantitytable[[#This Row],[Dish]],Quantitytable[[Ingredient ]],Quantitytable[[#This Row],[Ingredient ]]))</f>
        <v>0</v>
      </c>
      <c r="E305" s="29">
        <f>SUMIFS(salestable[Quantity Sold],salestable[Item Name],Quantitytable[[#This Row],[Dish]])</f>
        <v>0</v>
      </c>
      <c r="F305" s="29">
        <f>'Quantity Sample'!$D301*'Quantity Sample'!$E301</f>
        <v>0</v>
      </c>
      <c r="G305" s="29">
        <f>_xlfn.IFNA(VLOOKUP(Quantitytable[[#This Row],[Ingredient ]],Shoppingtable[[Item Name]:[BALANCE Cash]],5,FALSE),0)*Quantitytable[[#This Row],[NeededQuantity]]</f>
        <v>0.375</v>
      </c>
      <c r="H305" s="29">
        <f>SUMIF(Quantitytable[Dish],Quantitytable[[#This Row],[Dish]],Quantitytable[Cost Per Dish Per Item])</f>
        <v>10.54078947368421</v>
      </c>
      <c r="I305" s="30" t="s">
        <v>501</v>
      </c>
    </row>
    <row r="306" spans="1:9" x14ac:dyDescent="0.25">
      <c r="A306" s="28" t="s">
        <v>195</v>
      </c>
      <c r="B306" s="29" t="s">
        <v>93</v>
      </c>
      <c r="C306" s="29"/>
      <c r="D306" s="29">
        <f>IF(Quantitytable[[#This Row],[Units]]=0,0,SUMIFS(Quantitytable[NeededQuantity],Quantitytable[Dish],Quantitytable[[#This Row],[Dish]],Quantitytable[[Ingredient ]],Quantitytable[[#This Row],[Ingredient ]]))</f>
        <v>0</v>
      </c>
      <c r="E306" s="29">
        <f>SUMIFS(salestable[Quantity Sold],salestable[Item Name],Quantitytable[[#This Row],[Dish]])</f>
        <v>0</v>
      </c>
      <c r="F306" s="29">
        <f>'Quantity Sample'!$D302*'Quantity Sample'!$E302</f>
        <v>0</v>
      </c>
      <c r="G306" s="29">
        <f>_xlfn.IFNA(VLOOKUP(Quantitytable[[#This Row],[Ingredient ]],Shoppingtable[[Item Name]:[BALANCE Cash]],5,FALSE),0)*Quantitytable[[#This Row],[NeededQuantity]]</f>
        <v>1.3157894736842104</v>
      </c>
      <c r="H306" s="29">
        <f>SUMIF(Quantitytable[Dish],Quantitytable[[#This Row],[Dish]],Quantitytable[Cost Per Dish Per Item])</f>
        <v>10.54078947368421</v>
      </c>
      <c r="I306" s="30" t="s">
        <v>501</v>
      </c>
    </row>
    <row r="307" spans="1:9" x14ac:dyDescent="0.25">
      <c r="A307" s="28" t="s">
        <v>228</v>
      </c>
      <c r="B307" s="29" t="s">
        <v>91</v>
      </c>
      <c r="C307" s="29"/>
      <c r="D307" s="29">
        <f>IF(Quantitytable[[#This Row],[Units]]=0,0,SUMIFS(Quantitytable[NeededQuantity],Quantitytable[Dish],Quantitytable[[#This Row],[Dish]],Quantitytable[[Ingredient ]],Quantitytable[[#This Row],[Ingredient ]]))</f>
        <v>0</v>
      </c>
      <c r="E307" s="29">
        <f>SUMIFS(salestable[Quantity Sold],salestable[Item Name],Quantitytable[[#This Row],[Dish]])</f>
        <v>0</v>
      </c>
      <c r="F307" s="29">
        <f>'Quantity Sample'!$D303*'Quantity Sample'!$E303</f>
        <v>0</v>
      </c>
      <c r="G307" s="29">
        <f>_xlfn.IFNA(VLOOKUP(Quantitytable[[#This Row],[Ingredient ]],Shoppingtable[[Item Name]:[BALANCE Cash]],5,FALSE),0)*Quantitytable[[#This Row],[NeededQuantity]]</f>
        <v>0.75</v>
      </c>
      <c r="H307" s="29">
        <f>SUMIF(Quantitytable[Dish],Quantitytable[[#This Row],[Dish]],Quantitytable[Cost Per Dish Per Item])</f>
        <v>10.54078947368421</v>
      </c>
      <c r="I307" s="30" t="s">
        <v>501</v>
      </c>
    </row>
    <row r="308" spans="1:9" x14ac:dyDescent="0.25">
      <c r="A308" s="28" t="s">
        <v>233</v>
      </c>
      <c r="B308" s="29" t="s">
        <v>46</v>
      </c>
      <c r="C308" s="29"/>
      <c r="D308" s="29">
        <f>IF(Quantitytable[[#This Row],[Units]]=0,0,SUMIFS(Quantitytable[NeededQuantity],Quantitytable[Dish],Quantitytable[[#This Row],[Dish]],Quantitytable[[Ingredient ]],Quantitytable[[#This Row],[Ingredient ]]))</f>
        <v>0</v>
      </c>
      <c r="E308" s="29">
        <f>SUMIFS(salestable[Quantity Sold],salestable[Item Name],Quantitytable[[#This Row],[Dish]])</f>
        <v>0</v>
      </c>
      <c r="F308" s="29">
        <f>'Quantity Sample'!$D304*'Quantity Sample'!$E304</f>
        <v>0</v>
      </c>
      <c r="G308" s="29">
        <f>_xlfn.IFNA(VLOOKUP(Quantitytable[[#This Row],[Ingredient ]],Shoppingtable[[Item Name]:[BALANCE Cash]],5,FALSE),0)*Quantitytable[[#This Row],[NeededQuantity]]</f>
        <v>0.5</v>
      </c>
      <c r="H308" s="29">
        <f>SUMIF(Quantitytable[Dish],Quantitytable[[#This Row],[Dish]],Quantitytable[Cost Per Dish Per Item])</f>
        <v>10.54078947368421</v>
      </c>
      <c r="I308" s="30" t="s">
        <v>501</v>
      </c>
    </row>
    <row r="309" spans="1:9" x14ac:dyDescent="0.25">
      <c r="A309" s="28" t="s">
        <v>233</v>
      </c>
      <c r="B309" s="29" t="s">
        <v>25</v>
      </c>
      <c r="C309" s="29"/>
      <c r="D309" s="29">
        <f>IF(Quantitytable[[#This Row],[Units]]=0,0,SUMIFS(Quantitytable[NeededQuantity],Quantitytable[Dish],Quantitytable[[#This Row],[Dish]],Quantitytable[[Ingredient ]],Quantitytable[[#This Row],[Ingredient ]]))</f>
        <v>0</v>
      </c>
      <c r="E309" s="29">
        <f>SUMIFS(salestable[Quantity Sold],salestable[Item Name],Quantitytable[[#This Row],[Dish]])</f>
        <v>0</v>
      </c>
      <c r="F309" s="29">
        <f>'Quantity Sample'!$D305*'Quantity Sample'!$E305</f>
        <v>0</v>
      </c>
      <c r="G309" s="29">
        <f>_xlfn.IFNA(VLOOKUP(Quantitytable[[#This Row],[Ingredient ]],Shoppingtable[[Item Name]:[BALANCE Cash]],5,FALSE),0)*Quantitytable[[#This Row],[NeededQuantity]]</f>
        <v>7.6</v>
      </c>
      <c r="H309" s="29">
        <f>SUMIF(Quantitytable[Dish],Quantitytable[[#This Row],[Dish]],Quantitytable[Cost Per Dish Per Item])</f>
        <v>10.54078947368421</v>
      </c>
      <c r="I309" s="30" t="s">
        <v>501</v>
      </c>
    </row>
    <row r="310" spans="1:9" x14ac:dyDescent="0.25">
      <c r="A310" s="28" t="s">
        <v>233</v>
      </c>
      <c r="B310" s="29" t="s">
        <v>75</v>
      </c>
      <c r="C310" s="29"/>
      <c r="D310" s="29">
        <f>IF(Quantitytable[[#This Row],[Units]]=0,0,SUMIFS(Quantitytable[NeededQuantity],Quantitytable[Dish],Quantitytable[[#This Row],[Dish]],Quantitytable[[Ingredient ]],Quantitytable[[#This Row],[Ingredient ]]))</f>
        <v>0</v>
      </c>
      <c r="E310" s="29">
        <f>SUMIFS(salestable[Quantity Sold],salestable[Item Name],Quantitytable[[#This Row],[Dish]])</f>
        <v>0</v>
      </c>
      <c r="F310" s="29">
        <f>'Quantity Sample'!$D306*'Quantity Sample'!$E306</f>
        <v>0</v>
      </c>
      <c r="G310" s="29">
        <f>_xlfn.IFNA(VLOOKUP(Quantitytable[[#This Row],[Ingredient ]],Shoppingtable[[Item Name]:[BALANCE Cash]],5,FALSE),0)*Quantitytable[[#This Row],[NeededQuantity]]</f>
        <v>0</v>
      </c>
      <c r="H310" s="29">
        <f>SUMIF(Quantitytable[Dish],Quantitytable[[#This Row],[Dish]],Quantitytable[Cost Per Dish Per Item])</f>
        <v>0</v>
      </c>
      <c r="I310" s="30" t="s">
        <v>501</v>
      </c>
    </row>
    <row r="311" spans="1:9" x14ac:dyDescent="0.25">
      <c r="A311" s="28" t="s">
        <v>230</v>
      </c>
      <c r="B311" s="29" t="s">
        <v>46</v>
      </c>
      <c r="C311" s="29"/>
      <c r="D311" s="29">
        <f>IF(Quantitytable[[#This Row],[Units]]=0,0,SUMIFS(Quantitytable[NeededQuantity],Quantitytable[Dish],Quantitytable[[#This Row],[Dish]],Quantitytable[[Ingredient ]],Quantitytable[[#This Row],[Ingredient ]]))</f>
        <v>0</v>
      </c>
      <c r="E311" s="29">
        <f>SUMIFS(salestable[Quantity Sold],salestable[Item Name],Quantitytable[[#This Row],[Dish]])</f>
        <v>0</v>
      </c>
      <c r="F311" s="29">
        <f>'Quantity Sample'!$D307*'Quantity Sample'!$E307</f>
        <v>0</v>
      </c>
      <c r="G311" s="29">
        <f>_xlfn.IFNA(VLOOKUP(Quantitytable[[#This Row],[Ingredient ]],Shoppingtable[[Item Name]:[BALANCE Cash]],5,FALSE),0)*Quantitytable[[#This Row],[NeededQuantity]]</f>
        <v>5</v>
      </c>
      <c r="H311" s="29">
        <f>SUMIF(Quantitytable[Dish],Quantitytable[[#This Row],[Dish]],Quantitytable[Cost Per Dish Per Item])</f>
        <v>16.899999999999999</v>
      </c>
      <c r="I311" s="30" t="s">
        <v>501</v>
      </c>
    </row>
    <row r="312" spans="1:9" x14ac:dyDescent="0.25">
      <c r="A312" s="28" t="s">
        <v>230</v>
      </c>
      <c r="B312" s="29" t="s">
        <v>75</v>
      </c>
      <c r="C312" s="29"/>
      <c r="D312" s="29">
        <f>IF(Quantitytable[[#This Row],[Units]]=0,0,SUMIFS(Quantitytable[NeededQuantity],Quantitytable[Dish],Quantitytable[[#This Row],[Dish]],Quantitytable[[Ingredient ]],Quantitytable[[#This Row],[Ingredient ]]))</f>
        <v>0</v>
      </c>
      <c r="E312" s="29">
        <f>SUMIFS(salestable[Quantity Sold],salestable[Item Name],Quantitytable[[#This Row],[Dish]])</f>
        <v>0</v>
      </c>
      <c r="F312" s="29">
        <f>'Quantity Sample'!$D308*'Quantity Sample'!$E308</f>
        <v>0</v>
      </c>
      <c r="G312" s="29">
        <f>_xlfn.IFNA(VLOOKUP(Quantitytable[[#This Row],[Ingredient ]],Shoppingtable[[Item Name]:[BALANCE Cash]],5,FALSE),0)*Quantitytable[[#This Row],[NeededQuantity]]</f>
        <v>0.5</v>
      </c>
      <c r="H312" s="29">
        <f>SUMIF(Quantitytable[Dish],Quantitytable[[#This Row],[Dish]],Quantitytable[Cost Per Dish Per Item])</f>
        <v>16.899999999999999</v>
      </c>
      <c r="I312" s="30" t="s">
        <v>501</v>
      </c>
    </row>
    <row r="313" spans="1:9" x14ac:dyDescent="0.25">
      <c r="A313" s="28" t="s">
        <v>230</v>
      </c>
      <c r="B313" s="29" t="s">
        <v>25</v>
      </c>
      <c r="C313" s="29"/>
      <c r="D313" s="29">
        <f>IF(Quantitytable[[#This Row],[Units]]=0,0,SUMIFS(Quantitytable[NeededQuantity],Quantitytable[Dish],Quantitytable[[#This Row],[Dish]],Quantitytable[[Ingredient ]],Quantitytable[[#This Row],[Ingredient ]]))</f>
        <v>0</v>
      </c>
      <c r="E313" s="29">
        <f>SUMIFS(salestable[Quantity Sold],salestable[Item Name],Quantitytable[[#This Row],[Dish]])</f>
        <v>0</v>
      </c>
      <c r="F313" s="29">
        <f>'Quantity Sample'!$D309*'Quantity Sample'!$E309</f>
        <v>0</v>
      </c>
      <c r="G313" s="29">
        <f>_xlfn.IFNA(VLOOKUP(Quantitytable[[#This Row],[Ingredient ]],Shoppingtable[[Item Name]:[BALANCE Cash]],5,FALSE),0)*Quantitytable[[#This Row],[NeededQuantity]]</f>
        <v>11.4</v>
      </c>
      <c r="H313" s="29">
        <f>SUMIF(Quantitytable[Dish],Quantitytable[[#This Row],[Dish]],Quantitytable[Cost Per Dish Per Item])</f>
        <v>16.899999999999999</v>
      </c>
      <c r="I313" s="30" t="s">
        <v>501</v>
      </c>
    </row>
    <row r="314" spans="1:9" x14ac:dyDescent="0.25">
      <c r="A314" s="28" t="s">
        <v>301</v>
      </c>
      <c r="B314" s="29" t="s">
        <v>26</v>
      </c>
      <c r="C314" s="29"/>
      <c r="D314" s="29">
        <f>IF(Quantitytable[[#This Row],[Units]]=0,0,SUMIFS(Quantitytable[NeededQuantity],Quantitytable[Dish],Quantitytable[[#This Row],[Dish]],Quantitytable[[Ingredient ]],Quantitytable[[#This Row],[Ingredient ]]))</f>
        <v>0</v>
      </c>
      <c r="E314" s="29">
        <f>SUMIFS(salestable[Quantity Sold],salestable[Item Name],Quantitytable[[#This Row],[Dish]])</f>
        <v>0</v>
      </c>
      <c r="F314" s="29">
        <f>'Quantity Sample'!$D310*'Quantity Sample'!$E310</f>
        <v>0</v>
      </c>
      <c r="G314" s="29">
        <f>_xlfn.IFNA(VLOOKUP(Quantitytable[[#This Row],[Ingredient ]],Shoppingtable[[Item Name]:[BALANCE Cash]],5,FALSE),0)*Quantitytable[[#This Row],[NeededQuantity]]</f>
        <v>0.6</v>
      </c>
      <c r="H314" s="29">
        <f>SUMIF(Quantitytable[Dish],Quantitytable[[#This Row],[Dish]],Quantitytable[Cost Per Dish Per Item])</f>
        <v>28.581367643102439</v>
      </c>
      <c r="I314" s="30" t="s">
        <v>501</v>
      </c>
    </row>
    <row r="315" spans="1:9" x14ac:dyDescent="0.25">
      <c r="A315" s="28" t="s">
        <v>301</v>
      </c>
      <c r="B315" s="29" t="s">
        <v>60</v>
      </c>
      <c r="C315" s="29"/>
      <c r="D315" s="29">
        <f>IF(Quantitytable[[#This Row],[Units]]=0,0,SUMIFS(Quantitytable[NeededQuantity],Quantitytable[Dish],Quantitytable[[#This Row],[Dish]],Quantitytable[[Ingredient ]],Quantitytable[[#This Row],[Ingredient ]]))</f>
        <v>0</v>
      </c>
      <c r="E315" s="29">
        <f>SUMIFS(salestable[Quantity Sold],salestable[Item Name],Quantitytable[[#This Row],[Dish]])</f>
        <v>0</v>
      </c>
      <c r="F315" s="29">
        <f>'Quantity Sample'!$D311*'Quantity Sample'!$E311</f>
        <v>0</v>
      </c>
      <c r="G315" s="29">
        <f>_xlfn.IFNA(VLOOKUP(Quantitytable[[#This Row],[Ingredient ]],Shoppingtable[[Item Name]:[BALANCE Cash]],5,FALSE),0)*Quantitytable[[#This Row],[NeededQuantity]]</f>
        <v>0.56000000000000005</v>
      </c>
      <c r="H315" s="29">
        <f>SUMIF(Quantitytable[Dish],Quantitytable[[#This Row],[Dish]],Quantitytable[Cost Per Dish Per Item])</f>
        <v>28.581367643102439</v>
      </c>
      <c r="I315" s="30" t="s">
        <v>501</v>
      </c>
    </row>
    <row r="316" spans="1:9" x14ac:dyDescent="0.25">
      <c r="A316" s="28" t="s">
        <v>301</v>
      </c>
      <c r="B316" s="29" t="s">
        <v>25</v>
      </c>
      <c r="C316" s="29"/>
      <c r="D316" s="29">
        <f>IF(Quantitytable[[#This Row],[Units]]=0,0,SUMIFS(Quantitytable[NeededQuantity],Quantitytable[Dish],Quantitytable[[#This Row],[Dish]],Quantitytable[[Ingredient ]],Quantitytable[[#This Row],[Ingredient ]]))</f>
        <v>0</v>
      </c>
      <c r="E316" s="29">
        <f>SUMIFS(salestable[Quantity Sold],salestable[Item Name],Quantitytable[[#This Row],[Dish]])</f>
        <v>0</v>
      </c>
      <c r="F316" s="29">
        <f>'Quantity Sample'!$D312*'Quantity Sample'!$E312</f>
        <v>0</v>
      </c>
      <c r="G316" s="29">
        <f>_xlfn.IFNA(VLOOKUP(Quantitytable[[#This Row],[Ingredient ]],Shoppingtable[[Item Name]:[BALANCE Cash]],5,FALSE),0)*Quantitytable[[#This Row],[NeededQuantity]]</f>
        <v>0.5</v>
      </c>
      <c r="H316" s="29">
        <f>SUMIF(Quantitytable[Dish],Quantitytable[[#This Row],[Dish]],Quantitytable[Cost Per Dish Per Item])</f>
        <v>28.581367643102439</v>
      </c>
      <c r="I316" s="30" t="s">
        <v>501</v>
      </c>
    </row>
    <row r="317" spans="1:9" x14ac:dyDescent="0.25">
      <c r="A317" s="28" t="s">
        <v>334</v>
      </c>
      <c r="B317" s="29" t="s">
        <v>45</v>
      </c>
      <c r="C317" s="29"/>
      <c r="D317" s="29">
        <f>IF(Quantitytable[[#This Row],[Units]]=0,0,SUMIFS(Quantitytable[NeededQuantity],Quantitytable[Dish],Quantitytable[[#This Row],[Dish]],Quantitytable[[Ingredient ]],Quantitytable[[#This Row],[Ingredient ]]))</f>
        <v>0</v>
      </c>
      <c r="E317" s="29">
        <f>SUMIFS(salestable[Quantity Sold],salestable[Item Name],Quantitytable[[#This Row],[Dish]])</f>
        <v>0</v>
      </c>
      <c r="F317" s="29">
        <f>'Quantity Sample'!$D313*'Quantity Sample'!$E313</f>
        <v>0</v>
      </c>
      <c r="G317" s="29">
        <f>_xlfn.IFNA(VLOOKUP(Quantitytable[[#This Row],[Ingredient ]],Shoppingtable[[Item Name]:[BALANCE Cash]],5,FALSE),0)*Quantitytable[[#This Row],[NeededQuantity]]</f>
        <v>0.72941176470588232</v>
      </c>
      <c r="H317" s="29">
        <f>SUMIF(Quantitytable[Dish],Quantitytable[[#This Row],[Dish]],Quantitytable[Cost Per Dish Per Item])</f>
        <v>28.581367643102439</v>
      </c>
      <c r="I317" s="30" t="s">
        <v>501</v>
      </c>
    </row>
    <row r="318" spans="1:9" x14ac:dyDescent="0.25">
      <c r="A318" s="28" t="s">
        <v>334</v>
      </c>
      <c r="B318" s="29" t="s">
        <v>62</v>
      </c>
      <c r="C318" s="29"/>
      <c r="D318" s="29">
        <f>IF(Quantitytable[[#This Row],[Units]]=0,0,SUMIFS(Quantitytable[NeededQuantity],Quantitytable[Dish],Quantitytable[[#This Row],[Dish]],Quantitytable[[Ingredient ]],Quantitytable[[#This Row],[Ingredient ]]))</f>
        <v>0</v>
      </c>
      <c r="E318" s="29">
        <f>SUMIFS(salestable[Quantity Sold],salestable[Item Name],Quantitytable[[#This Row],[Dish]])</f>
        <v>0</v>
      </c>
      <c r="F318" s="29">
        <f>'Quantity Sample'!$D314*'Quantity Sample'!$E314</f>
        <v>0</v>
      </c>
      <c r="G318" s="29">
        <f>_xlfn.IFNA(VLOOKUP(Quantitytable[[#This Row],[Ingredient ]],Shoppingtable[[Item Name]:[BALANCE Cash]],5,FALSE),0)*Quantitytable[[#This Row],[NeededQuantity]]</f>
        <v>2.1</v>
      </c>
      <c r="H318" s="29">
        <f>SUMIF(Quantitytable[Dish],Quantitytable[[#This Row],[Dish]],Quantitytable[Cost Per Dish Per Item])</f>
        <v>28.581367643102439</v>
      </c>
      <c r="I318" s="30" t="s">
        <v>501</v>
      </c>
    </row>
    <row r="319" spans="1:9" x14ac:dyDescent="0.25">
      <c r="A319" s="28" t="s">
        <v>289</v>
      </c>
      <c r="B319" s="29" t="s">
        <v>26</v>
      </c>
      <c r="C319" s="29"/>
      <c r="D319" s="29">
        <f>IF(Quantitytable[[#This Row],[Units]]=0,0,SUMIFS(Quantitytable[NeededQuantity],Quantitytable[Dish],Quantitytable[[#This Row],[Dish]],Quantitytable[[Ingredient ]],Quantitytable[[#This Row],[Ingredient ]]))</f>
        <v>0</v>
      </c>
      <c r="E319" s="29">
        <f>SUMIFS(salestable[Quantity Sold],salestable[Item Name],Quantitytable[[#This Row],[Dish]])</f>
        <v>0</v>
      </c>
      <c r="F319" s="29">
        <f>'Quantity Sample'!$D315*'Quantity Sample'!$E315</f>
        <v>0</v>
      </c>
      <c r="G319" s="29">
        <f>_xlfn.IFNA(VLOOKUP(Quantitytable[[#This Row],[Ingredient ]],Shoppingtable[[Item Name]:[BALANCE Cash]],5,FALSE),0)*Quantitytable[[#This Row],[NeededQuantity]]</f>
        <v>0.15000000000000002</v>
      </c>
      <c r="H319" s="29">
        <f>SUMIF(Quantitytable[Dish],Quantitytable[[#This Row],[Dish]],Quantitytable[Cost Per Dish Per Item])</f>
        <v>28.581367643102439</v>
      </c>
      <c r="I319" s="30" t="s">
        <v>501</v>
      </c>
    </row>
    <row r="320" spans="1:9" x14ac:dyDescent="0.25">
      <c r="A320" s="28" t="s">
        <v>289</v>
      </c>
      <c r="B320" s="29" t="s">
        <v>63</v>
      </c>
      <c r="C320" s="29"/>
      <c r="D320" s="29">
        <f>IF(Quantitytable[[#This Row],[Units]]=0,0,SUMIFS(Quantitytable[NeededQuantity],Quantitytable[Dish],Quantitytable[[#This Row],[Dish]],Quantitytable[[Ingredient ]],Quantitytable[[#This Row],[Ingredient ]]))</f>
        <v>0</v>
      </c>
      <c r="E320" s="29">
        <f>SUMIFS(salestable[Quantity Sold],salestable[Item Name],Quantitytable[[#This Row],[Dish]])</f>
        <v>0</v>
      </c>
      <c r="F320" s="29">
        <f>'Quantity Sample'!$D316*'Quantity Sample'!$E316</f>
        <v>0</v>
      </c>
      <c r="G320" s="29">
        <f>_xlfn.IFNA(VLOOKUP(Quantitytable[[#This Row],[Ingredient ]],Shoppingtable[[Item Name]:[BALANCE Cash]],5,FALSE),0)*Quantitytable[[#This Row],[NeededQuantity]]</f>
        <v>1.5555555555555556</v>
      </c>
      <c r="H320" s="29">
        <f>SUMIF(Quantitytable[Dish],Quantitytable[[#This Row],[Dish]],Quantitytable[Cost Per Dish Per Item])</f>
        <v>28.581367643102439</v>
      </c>
      <c r="I320" s="30" t="s">
        <v>501</v>
      </c>
    </row>
    <row r="321" spans="1:9" x14ac:dyDescent="0.25">
      <c r="A321" s="28" t="s">
        <v>289</v>
      </c>
      <c r="B321" s="29" t="s">
        <v>25</v>
      </c>
      <c r="C321" s="29"/>
      <c r="D321" s="29">
        <f>IF(Quantitytable[[#This Row],[Units]]=0,0,SUMIFS(Quantitytable[NeededQuantity],Quantitytable[Dish],Quantitytable[[#This Row],[Dish]],Quantitytable[[Ingredient ]],Quantitytable[[#This Row],[Ingredient ]]))</f>
        <v>0</v>
      </c>
      <c r="E321" s="29">
        <f>SUMIFS(salestable[Quantity Sold],salestable[Item Name],Quantitytable[[#This Row],[Dish]])</f>
        <v>0</v>
      </c>
      <c r="F321" s="29">
        <f>'Quantity Sample'!$D317*'Quantity Sample'!$E317</f>
        <v>0</v>
      </c>
      <c r="G321" s="29">
        <f>_xlfn.IFNA(VLOOKUP(Quantitytable[[#This Row],[Ingredient ]],Shoppingtable[[Item Name]:[BALANCE Cash]],5,FALSE),0)*Quantitytable[[#This Row],[NeededQuantity]]</f>
        <v>0.75</v>
      </c>
      <c r="H321" s="29">
        <f>SUMIF(Quantitytable[Dish],Quantitytable[[#This Row],[Dish]],Quantitytable[Cost Per Dish Per Item])</f>
        <v>28.581367643102439</v>
      </c>
      <c r="I321" s="30" t="s">
        <v>501</v>
      </c>
    </row>
    <row r="322" spans="1:9" x14ac:dyDescent="0.25">
      <c r="A322" s="28" t="s">
        <v>245</v>
      </c>
      <c r="B322" s="29" t="s">
        <v>63</v>
      </c>
      <c r="C322" s="29"/>
      <c r="D322" s="29">
        <f>IF(Quantitytable[[#This Row],[Units]]=0,0,SUMIFS(Quantitytable[NeededQuantity],Quantitytable[Dish],Quantitytable[[#This Row],[Dish]],Quantitytable[[Ingredient ]],Quantitytable[[#This Row],[Ingredient ]]))</f>
        <v>0</v>
      </c>
      <c r="E322" s="29">
        <f>SUMIFS(salestable[Quantity Sold],salestable[Item Name],Quantitytable[[#This Row],[Dish]])</f>
        <v>0</v>
      </c>
      <c r="F322" s="29">
        <f>'Quantity Sample'!$D318*'Quantity Sample'!$E318</f>
        <v>0</v>
      </c>
      <c r="G322" s="29">
        <f>_xlfn.IFNA(VLOOKUP(Quantitytable[[#This Row],[Ingredient ]],Shoppingtable[[Item Name]:[BALANCE Cash]],5,FALSE),0)*Quantitytable[[#This Row],[NeededQuantity]]</f>
        <v>0.56497175141242939</v>
      </c>
      <c r="H322" s="29">
        <f>SUMIF(Quantitytable[Dish],Quantitytable[[#This Row],[Dish]],Quantitytable[Cost Per Dish Per Item])</f>
        <v>28.581367643102439</v>
      </c>
      <c r="I322" s="30" t="s">
        <v>501</v>
      </c>
    </row>
    <row r="323" spans="1:9" x14ac:dyDescent="0.25">
      <c r="A323" s="28" t="s">
        <v>245</v>
      </c>
      <c r="B323" s="29" t="s">
        <v>68</v>
      </c>
      <c r="C323" s="29"/>
      <c r="D323" s="29">
        <f>IF(Quantitytable[[#This Row],[Units]]=0,0,SUMIFS(Quantitytable[NeededQuantity],Quantitytable[Dish],Quantitytable[[#This Row],[Dish]],Quantitytable[[Ingredient ]],Quantitytable[[#This Row],[Ingredient ]]))</f>
        <v>0</v>
      </c>
      <c r="E323" s="29">
        <f>SUMIFS(salestable[Quantity Sold],salestable[Item Name],Quantitytable[[#This Row],[Dish]])</f>
        <v>0</v>
      </c>
      <c r="F323" s="29">
        <f>'Quantity Sample'!$D319*'Quantity Sample'!$E319</f>
        <v>0</v>
      </c>
      <c r="G323" s="29">
        <f>_xlfn.IFNA(VLOOKUP(Quantitytable[[#This Row],[Ingredient ]],Shoppingtable[[Item Name]:[BALANCE Cash]],5,FALSE),0)*Quantitytable[[#This Row],[NeededQuantity]]</f>
        <v>1.05</v>
      </c>
      <c r="H323" s="29">
        <f>SUMIF(Quantitytable[Dish],Quantitytable[[#This Row],[Dish]],Quantitytable[Cost Per Dish Per Item])</f>
        <v>28.581367643102439</v>
      </c>
      <c r="I323" s="30" t="s">
        <v>501</v>
      </c>
    </row>
    <row r="324" spans="1:9" x14ac:dyDescent="0.25">
      <c r="A324" s="28" t="s">
        <v>245</v>
      </c>
      <c r="B324" s="29" t="s">
        <v>102</v>
      </c>
      <c r="C324" s="29"/>
      <c r="D324" s="29">
        <f>IF(Quantitytable[[#This Row],[Units]]=0,0,SUMIFS(Quantitytable[NeededQuantity],Quantitytable[Dish],Quantitytable[[#This Row],[Dish]],Quantitytable[[Ingredient ]],Quantitytable[[#This Row],[Ingredient ]]))</f>
        <v>0</v>
      </c>
      <c r="E324" s="29">
        <f>SUMIFS(salestable[Quantity Sold],salestable[Item Name],Quantitytable[[#This Row],[Dish]])</f>
        <v>0</v>
      </c>
      <c r="F324" s="29">
        <f>'Quantity Sample'!$D320*'Quantity Sample'!$E320</f>
        <v>0</v>
      </c>
      <c r="G324" s="29">
        <f>_xlfn.IFNA(VLOOKUP(Quantitytable[[#This Row],[Ingredient ]],Shoppingtable[[Item Name]:[BALANCE Cash]],5,FALSE),0)*Quantitytable[[#This Row],[NeededQuantity]]</f>
        <v>7.3</v>
      </c>
      <c r="H324" s="29">
        <f>SUMIF(Quantitytable[Dish],Quantitytable[[#This Row],[Dish]],Quantitytable[Cost Per Dish Per Item])</f>
        <v>28.581367643102439</v>
      </c>
      <c r="I324" s="30" t="s">
        <v>501</v>
      </c>
    </row>
    <row r="325" spans="1:9" x14ac:dyDescent="0.25">
      <c r="A325" s="28" t="s">
        <v>245</v>
      </c>
      <c r="B325" s="29" t="s">
        <v>108</v>
      </c>
      <c r="C325" s="29"/>
      <c r="D325" s="29">
        <f>IF(Quantitytable[[#This Row],[Units]]=0,0,SUMIFS(Quantitytable[NeededQuantity],Quantitytable[Dish],Quantitytable[[#This Row],[Dish]],Quantitytable[[Ingredient ]],Quantitytable[[#This Row],[Ingredient ]]))</f>
        <v>0</v>
      </c>
      <c r="E325" s="29">
        <f>SUMIFS(salestable[Quantity Sold],salestable[Item Name],Quantitytable[[#This Row],[Dish]])</f>
        <v>0</v>
      </c>
      <c r="F325" s="29">
        <f>'Quantity Sample'!$D321*'Quantity Sample'!$E321</f>
        <v>0</v>
      </c>
      <c r="G325" s="29">
        <f>_xlfn.IFNA(VLOOKUP(Quantitytable[[#This Row],[Ingredient ]],Shoppingtable[[Item Name]:[BALANCE Cash]],5,FALSE),0)*Quantitytable[[#This Row],[NeededQuantity]]</f>
        <v>4.1500000000000004</v>
      </c>
      <c r="H325" s="29">
        <f>SUMIF(Quantitytable[Dish],Quantitytable[[#This Row],[Dish]],Quantitytable[Cost Per Dish Per Item])</f>
        <v>28.581367643102439</v>
      </c>
      <c r="I325" s="30" t="s">
        <v>501</v>
      </c>
    </row>
    <row r="326" spans="1:9" x14ac:dyDescent="0.25">
      <c r="A326" s="28" t="s">
        <v>198</v>
      </c>
      <c r="B326" s="29" t="s">
        <v>26</v>
      </c>
      <c r="C326" s="29"/>
      <c r="D326" s="29">
        <f>IF(Quantitytable[[#This Row],[Units]]=0,0,SUMIFS(Quantitytable[NeededQuantity],Quantitytable[Dish],Quantitytable[[#This Row],[Dish]],Quantitytable[[Ingredient ]],Quantitytable[[#This Row],[Ingredient ]]))</f>
        <v>0</v>
      </c>
      <c r="E326" s="29">
        <f>SUMIFS(salestable[Quantity Sold],salestable[Item Name],Quantitytable[[#This Row],[Dish]])</f>
        <v>0</v>
      </c>
      <c r="F326" s="29">
        <f>'Quantity Sample'!$D322*'Quantity Sample'!$E322</f>
        <v>0</v>
      </c>
      <c r="G326" s="29">
        <f>_xlfn.IFNA(VLOOKUP(Quantitytable[[#This Row],[Ingredient ]],Shoppingtable[[Item Name]:[BALANCE Cash]],5,FALSE),0)*Quantitytable[[#This Row],[NeededQuantity]]</f>
        <v>8.5714285714285712</v>
      </c>
      <c r="H326" s="29">
        <f>SUMIF(Quantitytable[Dish],Quantitytable[[#This Row],[Dish]],Quantitytable[Cost Per Dish Per Item])</f>
        <v>28.581367643102439</v>
      </c>
      <c r="I326" s="30" t="s">
        <v>501</v>
      </c>
    </row>
    <row r="327" spans="1:9" x14ac:dyDescent="0.25">
      <c r="A327" s="28" t="s">
        <v>198</v>
      </c>
      <c r="B327" s="29" t="s">
        <v>70</v>
      </c>
      <c r="C327" s="29"/>
      <c r="D327" s="29">
        <f>IF(Quantitytable[[#This Row],[Units]]=0,0,SUMIFS(Quantitytable[NeededQuantity],Quantitytable[Dish],Quantitytable[[#This Row],[Dish]],Quantitytable[[Ingredient ]],Quantitytable[[#This Row],[Ingredient ]]))</f>
        <v>0</v>
      </c>
      <c r="E327" s="29">
        <f>SUMIFS(salestable[Quantity Sold],salestable[Item Name],Quantitytable[[#This Row],[Dish]])</f>
        <v>0</v>
      </c>
      <c r="F327" s="29">
        <f>'Quantity Sample'!$D323*'Quantity Sample'!$E323</f>
        <v>0</v>
      </c>
      <c r="G327" s="29">
        <f>_xlfn.IFNA(VLOOKUP(Quantitytable[[#This Row],[Ingredient ]],Shoppingtable[[Item Name]:[BALANCE Cash]],5,FALSE),0)*Quantitytable[[#This Row],[NeededQuantity]]</f>
        <v>0.6</v>
      </c>
      <c r="H327" s="29">
        <f>SUMIF(Quantitytable[Dish],Quantitytable[[#This Row],[Dish]],Quantitytable[Cost Per Dish Per Item])</f>
        <v>16.978571428571428</v>
      </c>
      <c r="I327" s="30" t="s">
        <v>501</v>
      </c>
    </row>
    <row r="328" spans="1:9" x14ac:dyDescent="0.25">
      <c r="A328" s="28" t="s">
        <v>198</v>
      </c>
      <c r="B328" s="29" t="s">
        <v>73</v>
      </c>
      <c r="C328" s="29"/>
      <c r="D328" s="29">
        <f>IF(Quantitytable[[#This Row],[Units]]=0,0,SUMIFS(Quantitytable[NeededQuantity],Quantitytable[Dish],Quantitytable[[#This Row],[Dish]],Quantitytable[[Ingredient ]],Quantitytable[[#This Row],[Ingredient ]]))</f>
        <v>0</v>
      </c>
      <c r="E328" s="29">
        <f>SUMIFS(salestable[Quantity Sold],salestable[Item Name],Quantitytable[[#This Row],[Dish]])</f>
        <v>0</v>
      </c>
      <c r="F328" s="29">
        <f>'Quantity Sample'!$D324*'Quantity Sample'!$E324</f>
        <v>0</v>
      </c>
      <c r="G328" s="29">
        <f>_xlfn.IFNA(VLOOKUP(Quantitytable[[#This Row],[Ingredient ]],Shoppingtable[[Item Name]:[BALANCE Cash]],5,FALSE),0)*Quantitytable[[#This Row],[NeededQuantity]]</f>
        <v>0.5</v>
      </c>
      <c r="H328" s="29">
        <f>SUMIF(Quantitytable[Dish],Quantitytable[[#This Row],[Dish]],Quantitytable[Cost Per Dish Per Item])</f>
        <v>16.978571428571428</v>
      </c>
      <c r="I328" s="30" t="s">
        <v>501</v>
      </c>
    </row>
    <row r="329" spans="1:9" x14ac:dyDescent="0.25">
      <c r="A329" s="28" t="s">
        <v>268</v>
      </c>
      <c r="B329" s="29" t="s">
        <v>72</v>
      </c>
      <c r="C329" s="29"/>
      <c r="D329" s="29">
        <f>IF(Quantitytable[[#This Row],[Units]]=0,0,SUMIFS(Quantitytable[NeededQuantity],Quantitytable[Dish],Quantitytable[[#This Row],[Dish]],Quantitytable[[Ingredient ]],Quantitytable[[#This Row],[Ingredient ]]))</f>
        <v>0</v>
      </c>
      <c r="E329" s="29">
        <f>SUMIFS(salestable[Quantity Sold],salestable[Item Name],Quantitytable[[#This Row],[Dish]])</f>
        <v>0</v>
      </c>
      <c r="F329" s="29">
        <f>'Quantity Sample'!$D325*'Quantity Sample'!$E325</f>
        <v>0</v>
      </c>
      <c r="G329" s="29">
        <f>_xlfn.IFNA(VLOOKUP(Quantitytable[[#This Row],[Ingredient ]],Shoppingtable[[Item Name]:[BALANCE Cash]],5,FALSE),0)*Quantitytable[[#This Row],[NeededQuantity]]</f>
        <v>0.5</v>
      </c>
      <c r="H329" s="29">
        <f>SUMIF(Quantitytable[Dish],Quantitytable[[#This Row],[Dish]],Quantitytable[Cost Per Dish Per Item])</f>
        <v>16.978571428571428</v>
      </c>
      <c r="I329" s="30" t="s">
        <v>501</v>
      </c>
    </row>
    <row r="330" spans="1:9" x14ac:dyDescent="0.25">
      <c r="A330" s="28" t="s">
        <v>382</v>
      </c>
      <c r="B330" s="29" t="s">
        <v>25</v>
      </c>
      <c r="C330" s="29"/>
      <c r="D330" s="29">
        <f>IF(Quantitytable[[#This Row],[Units]]=0,0,SUMIFS(Quantitytable[NeededQuantity],Quantitytable[Dish],Quantitytable[[#This Row],[Dish]],Quantitytable[[Ingredient ]],Quantitytable[[#This Row],[Ingredient ]]))</f>
        <v>0</v>
      </c>
      <c r="E330" s="29">
        <f>SUMIFS(salestable[Quantity Sold],salestable[Item Name],Quantitytable[[#This Row],[Dish]])</f>
        <v>0</v>
      </c>
      <c r="F330" s="29">
        <f>'Quantity Sample'!$D326*'Quantity Sample'!$E326</f>
        <v>0</v>
      </c>
      <c r="G330" s="29">
        <f>_xlfn.IFNA(VLOOKUP(Quantitytable[[#This Row],[Ingredient ]],Shoppingtable[[Item Name]:[BALANCE Cash]],5,FALSE),0)*Quantitytable[[#This Row],[NeededQuantity]]</f>
        <v>0.3</v>
      </c>
      <c r="H330" s="29">
        <f>SUMIF(Quantitytable[Dish],Quantitytable[[#This Row],[Dish]],Quantitytable[Cost Per Dish Per Item])</f>
        <v>16.978571428571428</v>
      </c>
      <c r="I330" s="30" t="s">
        <v>501</v>
      </c>
    </row>
    <row r="331" spans="1:9" x14ac:dyDescent="0.25">
      <c r="A331" s="28" t="s">
        <v>266</v>
      </c>
      <c r="B331" s="29" t="s">
        <v>72</v>
      </c>
      <c r="C331" s="29"/>
      <c r="D331" s="29">
        <f>IF(Quantitytable[[#This Row],[Units]]=0,0,SUMIFS(Quantitytable[NeededQuantity],Quantitytable[Dish],Quantitytable[[#This Row],[Dish]],Quantitytable[[Ingredient ]],Quantitytable[[#This Row],[Ingredient ]]))</f>
        <v>0</v>
      </c>
      <c r="E331" s="29">
        <f>SUMIFS(salestable[Quantity Sold],salestable[Item Name],Quantitytable[[#This Row],[Dish]])</f>
        <v>0</v>
      </c>
      <c r="F331" s="29">
        <f>'Quantity Sample'!$D327*'Quantity Sample'!$E327</f>
        <v>0</v>
      </c>
      <c r="G331" s="29">
        <f>_xlfn.IFNA(VLOOKUP(Quantitytable[[#This Row],[Ingredient ]],Shoppingtable[[Item Name]:[BALANCE Cash]],5,FALSE),0)*Quantitytable[[#This Row],[NeededQuantity]]</f>
        <v>3.65</v>
      </c>
      <c r="H331" s="29">
        <f>SUMIF(Quantitytable[Dish],Quantitytable[[#This Row],[Dish]],Quantitytable[Cost Per Dish Per Item])</f>
        <v>16.978571428571428</v>
      </c>
      <c r="I331" s="30" t="s">
        <v>501</v>
      </c>
    </row>
    <row r="332" spans="1:9" x14ac:dyDescent="0.25">
      <c r="A332" s="28" t="s">
        <v>266</v>
      </c>
      <c r="B332" s="29" t="s">
        <v>25</v>
      </c>
      <c r="C332" s="29"/>
      <c r="D332" s="29">
        <f>IF(Quantitytable[[#This Row],[Units]]=0,0,SUMIFS(Quantitytable[NeededQuantity],Quantitytable[Dish],Quantitytable[[#This Row],[Dish]],Quantitytable[[Ingredient ]],Quantitytable[[#This Row],[Ingredient ]]))</f>
        <v>0</v>
      </c>
      <c r="E332" s="29">
        <f>SUMIFS(salestable[Quantity Sold],salestable[Item Name],Quantitytable[[#This Row],[Dish]])</f>
        <v>0</v>
      </c>
      <c r="F332" s="29">
        <f>'Quantity Sample'!$D328*'Quantity Sample'!$E328</f>
        <v>0</v>
      </c>
      <c r="G332" s="29">
        <f>_xlfn.IFNA(VLOOKUP(Quantitytable[[#This Row],[Ingredient ]],Shoppingtable[[Item Name]:[BALANCE Cash]],5,FALSE),0)*Quantitytable[[#This Row],[NeededQuantity]]</f>
        <v>11.428571428571429</v>
      </c>
      <c r="H332" s="29">
        <f>SUMIF(Quantitytable[Dish],Quantitytable[[#This Row],[Dish]],Quantitytable[Cost Per Dish Per Item])</f>
        <v>16.978571428571428</v>
      </c>
      <c r="I332" s="30" t="s">
        <v>501</v>
      </c>
    </row>
    <row r="333" spans="1:9" x14ac:dyDescent="0.25">
      <c r="A333" s="28" t="s">
        <v>328</v>
      </c>
      <c r="B333" s="29" t="s">
        <v>72</v>
      </c>
      <c r="C333" s="29"/>
      <c r="D333" s="29">
        <f>IF(Quantitytable[[#This Row],[Units]]=0,0,SUMIFS(Quantitytable[NeededQuantity],Quantitytable[Dish],Quantitytable[[#This Row],[Dish]],Quantitytable[[Ingredient ]],Quantitytable[[#This Row],[Ingredient ]]))</f>
        <v>50</v>
      </c>
      <c r="E333" s="29">
        <f>SUMIFS(salestable[Quantity Sold],salestable[Item Name],Quantitytable[[#This Row],[Dish]])</f>
        <v>1</v>
      </c>
      <c r="F333" s="29">
        <f>'Quantity Sample'!$D329*'Quantity Sample'!$E329</f>
        <v>0</v>
      </c>
      <c r="G333" s="29">
        <f>_xlfn.IFNA(VLOOKUP(Quantitytable[[#This Row],[Ingredient ]],Shoppingtable[[Item Name]:[BALANCE Cash]],5,FALSE),0)*Quantitytable[[#This Row],[NeededQuantity]]</f>
        <v>2.8846153846153846</v>
      </c>
      <c r="H333" s="29">
        <f>SUMIF(Quantitytable[Dish],Quantitytable[[#This Row],[Dish]],Quantitytable[Cost Per Dish Per Item])</f>
        <v>12.991758241758243</v>
      </c>
      <c r="I333" s="30" t="s">
        <v>501</v>
      </c>
    </row>
    <row r="334" spans="1:9" x14ac:dyDescent="0.25">
      <c r="A334" s="28" t="s">
        <v>328</v>
      </c>
      <c r="B334" s="29" t="s">
        <v>94</v>
      </c>
      <c r="C334" s="29"/>
      <c r="D334" s="29">
        <f>IF(Quantitytable[[#This Row],[Units]]=0,0,SUMIFS(Quantitytable[NeededQuantity],Quantitytable[Dish],Quantitytable[[#This Row],[Dish]],Quantitytable[[Ingredient ]],Quantitytable[[#This Row],[Ingredient ]]))</f>
        <v>50</v>
      </c>
      <c r="E334" s="29">
        <f>SUMIFS(salestable[Quantity Sold],salestable[Item Name],Quantitytable[[#This Row],[Dish]])</f>
        <v>1</v>
      </c>
      <c r="F334" s="29">
        <f>'Quantity Sample'!$D330*'Quantity Sample'!$E330</f>
        <v>0</v>
      </c>
      <c r="G334" s="29">
        <f>_xlfn.IFNA(VLOOKUP(Quantitytable[[#This Row],[Ingredient ]],Shoppingtable[[Item Name]:[BALANCE Cash]],5,FALSE),0)*Quantitytable[[#This Row],[NeededQuantity]]</f>
        <v>2.9166666666666665</v>
      </c>
      <c r="H334" s="29">
        <f>SUMIF(Quantitytable[Dish],Quantitytable[[#This Row],[Dish]],Quantitytable[Cost Per Dish Per Item])</f>
        <v>12.991758241758243</v>
      </c>
      <c r="I334" s="30" t="s">
        <v>501</v>
      </c>
    </row>
    <row r="335" spans="1:9" x14ac:dyDescent="0.25">
      <c r="A335" s="28" t="s">
        <v>328</v>
      </c>
      <c r="B335" s="29" t="s">
        <v>25</v>
      </c>
      <c r="C335" s="29"/>
      <c r="D335" s="29">
        <f>IF(Quantitytable[[#This Row],[Units]]=0,0,SUMIFS(Quantitytable[NeededQuantity],Quantitytable[Dish],Quantitytable[[#This Row],[Dish]],Quantitytable[[Ingredient ]],Quantitytable[[#This Row],[Ingredient ]]))</f>
        <v>80</v>
      </c>
      <c r="E335" s="29">
        <f>SUMIFS(salestable[Quantity Sold],salestable[Item Name],Quantitytable[[#This Row],[Dish]])</f>
        <v>1</v>
      </c>
      <c r="F335" s="29">
        <f>'Quantity Sample'!$D331*'Quantity Sample'!$E331</f>
        <v>0</v>
      </c>
      <c r="G335" s="29">
        <f>_xlfn.IFNA(VLOOKUP(Quantitytable[[#This Row],[Ingredient ]],Shoppingtable[[Item Name]:[BALANCE Cash]],5,FALSE),0)*Quantitytable[[#This Row],[NeededQuantity]]</f>
        <v>4.3333333333333339</v>
      </c>
      <c r="H335" s="29">
        <f>SUMIF(Quantitytable[Dish],Quantitytable[[#This Row],[Dish]],Quantitytable[Cost Per Dish Per Item])</f>
        <v>12.991758241758243</v>
      </c>
      <c r="I335" s="30" t="s">
        <v>501</v>
      </c>
    </row>
    <row r="336" spans="1:9" x14ac:dyDescent="0.25">
      <c r="A336" s="28" t="s">
        <v>232</v>
      </c>
      <c r="B336" s="29" t="s">
        <v>8</v>
      </c>
      <c r="C336" s="29"/>
      <c r="D336" s="29">
        <f>IF(Quantitytable[[#This Row],[Units]]=0,0,SUMIFS(Quantitytable[NeededQuantity],Quantitytable[Dish],Quantitytable[[#This Row],[Dish]],Quantitytable[[Ingredient ]],Quantitytable[[#This Row],[Ingredient ]]))</f>
        <v>100</v>
      </c>
      <c r="E336" s="29">
        <f>SUMIFS(salestable[Quantity Sold],salestable[Item Name],Quantitytable[[#This Row],[Dish]])</f>
        <v>1</v>
      </c>
      <c r="F336" s="29">
        <f>'Quantity Sample'!$D332*'Quantity Sample'!$E332</f>
        <v>0</v>
      </c>
      <c r="G336" s="29">
        <f>_xlfn.IFNA(VLOOKUP(Quantitytable[[#This Row],[Ingredient ]],Shoppingtable[[Item Name]:[BALANCE Cash]],5,FALSE),0)*Quantitytable[[#This Row],[NeededQuantity]]</f>
        <v>2.8571428571428572</v>
      </c>
      <c r="H336" s="29">
        <f>SUMIF(Quantitytable[Dish],Quantitytable[[#This Row],[Dish]],Quantitytable[Cost Per Dish Per Item])</f>
        <v>12.991758241758243</v>
      </c>
      <c r="I336" s="30" t="s">
        <v>501</v>
      </c>
    </row>
    <row r="337" spans="1:9" x14ac:dyDescent="0.25">
      <c r="A337" s="28" t="s">
        <v>232</v>
      </c>
      <c r="B337" s="29" t="s">
        <v>25</v>
      </c>
      <c r="C337" s="29"/>
      <c r="D337" s="29">
        <f>IF(Quantitytable[[#This Row],[Units]]=0,0,SUMIFS(Quantitytable[NeededQuantity],Quantitytable[Dish],Quantitytable[[#This Row],[Dish]],Quantitytable[[Ingredient ]],Quantitytable[[#This Row],[Ingredient ]]))</f>
        <v>0</v>
      </c>
      <c r="E337" s="29">
        <f>SUMIFS(salestable[Quantity Sold],salestable[Item Name],Quantitytable[[#This Row],[Dish]])</f>
        <v>0</v>
      </c>
      <c r="F337" s="29">
        <f>'Quantity Sample'!$D333*'Quantity Sample'!$E333</f>
        <v>50</v>
      </c>
      <c r="G337" s="29">
        <f>_xlfn.IFNA(VLOOKUP(Quantitytable[[#This Row],[Ingredient ]],Shoppingtable[[Item Name]:[BALANCE Cash]],5,FALSE),0)*Quantitytable[[#This Row],[NeededQuantity]]</f>
        <v>22.08</v>
      </c>
      <c r="H337" s="29">
        <f>SUMIF(Quantitytable[Dish],Quantitytable[[#This Row],[Dish]],Quantitytable[Cost Per Dish Per Item])</f>
        <v>24.937142857142856</v>
      </c>
      <c r="I337" s="30" t="s">
        <v>501</v>
      </c>
    </row>
    <row r="338" spans="1:9" x14ac:dyDescent="0.25">
      <c r="A338" s="28" t="s">
        <v>232</v>
      </c>
      <c r="B338" s="29" t="s">
        <v>75</v>
      </c>
      <c r="C338" s="29"/>
      <c r="D338" s="29">
        <f>IF(Quantitytable[[#This Row],[Units]]=0,0,SUMIFS(Quantitytable[NeededQuantity],Quantitytable[Dish],Quantitytable[[#This Row],[Dish]],Quantitytable[[Ingredient ]],Quantitytable[[#This Row],[Ingredient ]]))</f>
        <v>0</v>
      </c>
      <c r="E338" s="29">
        <f>SUMIFS(salestable[Quantity Sold],salestable[Item Name],Quantitytable[[#This Row],[Dish]])</f>
        <v>0</v>
      </c>
      <c r="F338" s="29">
        <f>'Quantity Sample'!$D334*'Quantity Sample'!$E334</f>
        <v>50</v>
      </c>
      <c r="G338" s="29">
        <f>_xlfn.IFNA(VLOOKUP(Quantitytable[[#This Row],[Ingredient ]],Shoppingtable[[Item Name]:[BALANCE Cash]],5,FALSE),0)*Quantitytable[[#This Row],[NeededQuantity]]</f>
        <v>2.8571428571428572</v>
      </c>
      <c r="H338" s="29">
        <f>SUMIF(Quantitytable[Dish],Quantitytable[[#This Row],[Dish]],Quantitytable[Cost Per Dish Per Item])</f>
        <v>24.937142857142856</v>
      </c>
      <c r="I338" s="30" t="s">
        <v>501</v>
      </c>
    </row>
    <row r="339" spans="1:9" x14ac:dyDescent="0.25">
      <c r="A339" s="28" t="s">
        <v>320</v>
      </c>
      <c r="B339" s="29" t="s">
        <v>77</v>
      </c>
      <c r="C339" s="29"/>
      <c r="D339" s="29">
        <f>IF(Quantitytable[[#This Row],[Units]]=0,0,SUMIFS(Quantitytable[NeededQuantity],Quantitytable[Dish],Quantitytable[[#This Row],[Dish]],Quantitytable[[Ingredient ]],Quantitytable[[#This Row],[Ingredient ]]))</f>
        <v>0</v>
      </c>
      <c r="E339" s="29">
        <f>SUMIFS(salestable[Quantity Sold],salestable[Item Name],Quantitytable[[#This Row],[Dish]])</f>
        <v>0</v>
      </c>
      <c r="F339" s="29">
        <f>'Quantity Sample'!$D335*'Quantity Sample'!$E335</f>
        <v>80</v>
      </c>
      <c r="G339" s="29">
        <f>_xlfn.IFNA(VLOOKUP(Quantitytable[[#This Row],[Ingredient ]],Shoppingtable[[Item Name]:[BALANCE Cash]],5,FALSE),0)*Quantitytable[[#This Row],[NeededQuantity]]</f>
        <v>13.3125</v>
      </c>
      <c r="H339" s="29">
        <f>SUMIF(Quantitytable[Dish],Quantitytable[[#This Row],[Dish]],Quantitytable[Cost Per Dish Per Item])</f>
        <v>16.169642857142858</v>
      </c>
      <c r="I339" s="30" t="s">
        <v>501</v>
      </c>
    </row>
    <row r="340" spans="1:9" x14ac:dyDescent="0.25">
      <c r="A340" s="28" t="s">
        <v>320</v>
      </c>
      <c r="B340" s="29" t="s">
        <v>25</v>
      </c>
      <c r="C340" s="29"/>
      <c r="D340" s="29">
        <f>IF(Quantitytable[[#This Row],[Units]]=0,0,SUMIFS(Quantitytable[NeededQuantity],Quantitytable[Dish],Quantitytable[[#This Row],[Dish]],Quantitytable[[Ingredient ]],Quantitytable[[#This Row],[Ingredient ]]))</f>
        <v>0</v>
      </c>
      <c r="E340" s="29">
        <f>SUMIFS(salestable[Quantity Sold],salestable[Item Name],Quantitytable[[#This Row],[Dish]])</f>
        <v>0</v>
      </c>
      <c r="F340" s="29">
        <f>'Quantity Sample'!$D336*'Quantity Sample'!$E336</f>
        <v>100</v>
      </c>
      <c r="G340" s="29">
        <f>_xlfn.IFNA(VLOOKUP(Quantitytable[[#This Row],[Ingredient ]],Shoppingtable[[Item Name]:[BALANCE Cash]],5,FALSE),0)*Quantitytable[[#This Row],[NeededQuantity]]</f>
        <v>2.8571428571428572</v>
      </c>
      <c r="H340" s="29">
        <f>SUMIF(Quantitytable[Dish],Quantitytable[[#This Row],[Dish]],Quantitytable[Cost Per Dish Per Item])</f>
        <v>16.169642857142858</v>
      </c>
      <c r="I340" s="30" t="s">
        <v>501</v>
      </c>
    </row>
    <row r="341" spans="1:9" x14ac:dyDescent="0.25">
      <c r="A341" s="28" t="s">
        <v>320</v>
      </c>
      <c r="B341" s="29" t="s">
        <v>111</v>
      </c>
      <c r="C341" s="29"/>
      <c r="D341" s="29">
        <f>IF(Quantitytable[[#This Row],[Units]]=0,0,SUMIFS(Quantitytable[NeededQuantity],Quantitytable[Dish],Quantitytable[[#This Row],[Dish]],Quantitytable[[Ingredient ]],Quantitytable[[#This Row],[Ingredient ]]))</f>
        <v>0</v>
      </c>
      <c r="E341" s="29">
        <f>SUMIFS(salestable[Quantity Sold],salestable[Item Name],Quantitytable[[#This Row],[Dish]])</f>
        <v>0</v>
      </c>
      <c r="F341" s="29">
        <f>'Quantity Sample'!$D337*'Quantity Sample'!$E337</f>
        <v>0</v>
      </c>
      <c r="G341" s="29">
        <f>_xlfn.IFNA(VLOOKUP(Quantitytable[[#This Row],[Ingredient ]],Shoppingtable[[Item Name]:[BALANCE Cash]],5,FALSE),0)*Quantitytable[[#This Row],[NeededQuantity]]</f>
        <v>14.285714285714285</v>
      </c>
      <c r="H341" s="29">
        <f>SUMIF(Quantitytable[Dish],Quantitytable[[#This Row],[Dish]],Quantitytable[Cost Per Dish Per Item])</f>
        <v>14.285714285714285</v>
      </c>
      <c r="I341" s="30" t="s">
        <v>501</v>
      </c>
    </row>
    <row r="342" spans="1:9" x14ac:dyDescent="0.25">
      <c r="A342" s="28" t="s">
        <v>323</v>
      </c>
      <c r="B342" s="29" t="s">
        <v>77</v>
      </c>
      <c r="C342" s="29"/>
      <c r="D342" s="29">
        <f>IF(Quantitytable[[#This Row],[Units]]=0,0,SUMIFS(Quantitytable[NeededQuantity],Quantitytable[Dish],Quantitytable[[#This Row],[Dish]],Quantitytable[[Ingredient ]],Quantitytable[[#This Row],[Ingredient ]]))</f>
        <v>0</v>
      </c>
      <c r="E342" s="29">
        <f>SUMIFS(salestable[Quantity Sold],salestable[Item Name],Quantitytable[[#This Row],[Dish]])</f>
        <v>0</v>
      </c>
      <c r="F342" s="29">
        <f>'Quantity Sample'!$D338*'Quantity Sample'!$E338</f>
        <v>0</v>
      </c>
      <c r="G342" s="29">
        <f>_xlfn.IFNA(VLOOKUP(Quantitytable[[#This Row],[Ingredient ]],Shoppingtable[[Item Name]:[BALANCE Cash]],5,FALSE),0)*Quantitytable[[#This Row],[NeededQuantity]]</f>
        <v>22.08</v>
      </c>
      <c r="H342" s="29">
        <f>SUMIF(Quantitytable[Dish],Quantitytable[[#This Row],[Dish]],Quantitytable[Cost Per Dish Per Item])</f>
        <v>36.365714285714283</v>
      </c>
      <c r="I342" s="30" t="s">
        <v>501</v>
      </c>
    </row>
    <row r="343" spans="1:9" x14ac:dyDescent="0.25">
      <c r="A343" s="28" t="s">
        <v>323</v>
      </c>
      <c r="B343" s="29" t="s">
        <v>25</v>
      </c>
      <c r="C343" s="29"/>
      <c r="D343" s="29">
        <f>IF(Quantitytable[[#This Row],[Units]]=0,0,SUMIFS(Quantitytable[NeededQuantity],Quantitytable[Dish],Quantitytable[[#This Row],[Dish]],Quantitytable[[Ingredient ]],Quantitytable[[#This Row],[Ingredient ]]))</f>
        <v>0</v>
      </c>
      <c r="E343" s="29">
        <f>SUMIFS(salestable[Quantity Sold],salestable[Item Name],Quantitytable[[#This Row],[Dish]])</f>
        <v>0</v>
      </c>
      <c r="F343" s="29">
        <f>'Quantity Sample'!$D339*'Quantity Sample'!$E339</f>
        <v>0</v>
      </c>
      <c r="G343" s="29">
        <f>_xlfn.IFNA(VLOOKUP(Quantitytable[[#This Row],[Ingredient ]],Shoppingtable[[Item Name]:[BALANCE Cash]],5,FALSE),0)*Quantitytable[[#This Row],[NeededQuantity]]</f>
        <v>14.285714285714285</v>
      </c>
      <c r="H343" s="29">
        <f>SUMIF(Quantitytable[Dish],Quantitytable[[#This Row],[Dish]],Quantitytable[Cost Per Dish Per Item])</f>
        <v>36.365714285714283</v>
      </c>
      <c r="I343" s="30" t="s">
        <v>501</v>
      </c>
    </row>
    <row r="344" spans="1:9" x14ac:dyDescent="0.25">
      <c r="A344" s="28" t="s">
        <v>243</v>
      </c>
      <c r="B344" s="29" t="s">
        <v>78</v>
      </c>
      <c r="C344" s="29"/>
      <c r="D344" s="29">
        <f>IF(Quantitytable[[#This Row],[Units]]=0,0,SUMIFS(Quantitytable[NeededQuantity],Quantitytable[Dish],Quantitytable[[#This Row],[Dish]],Quantitytable[[Ingredient ]],Quantitytable[[#This Row],[Ingredient ]]))</f>
        <v>0</v>
      </c>
      <c r="E344" s="29">
        <f>SUMIFS(salestable[Quantity Sold],salestable[Item Name],Quantitytable[[#This Row],[Dish]])</f>
        <v>0</v>
      </c>
      <c r="F344" s="29">
        <f>'Quantity Sample'!$D344*'Quantity Sample'!$E344</f>
        <v>0</v>
      </c>
      <c r="G344" s="29">
        <f>_xlfn.IFNA(VLOOKUP(Quantitytable[[#This Row],[Ingredient ]],Shoppingtable[[Item Name]:[BALANCE Cash]],5,FALSE),0)*Quantitytable[[#This Row],[NeededQuantity]]</f>
        <v>13.3125</v>
      </c>
      <c r="H344" s="29">
        <f>SUMIF(Quantitytable[Dish],Quantitytable[[#This Row],[Dish]],Quantitytable[Cost Per Dish Per Item])</f>
        <v>27.598214285714285</v>
      </c>
      <c r="I344" s="30" t="s">
        <v>501</v>
      </c>
    </row>
    <row r="345" spans="1:9" x14ac:dyDescent="0.25">
      <c r="A345" s="28" t="s">
        <v>162</v>
      </c>
      <c r="B345" s="29" t="s">
        <v>79</v>
      </c>
      <c r="C345" s="29"/>
      <c r="D345" s="29">
        <f>IF(Quantitytable[[#This Row],[Units]]=0,0,SUMIFS(Quantitytable[NeededQuantity],Quantitytable[Dish],Quantitytable[[#This Row],[Dish]],Quantitytable[[Ingredient ]],Quantitytable[[#This Row],[Ingredient ]]))</f>
        <v>0</v>
      </c>
      <c r="E345" s="29">
        <f>SUMIFS(salestable[Quantity Sold],salestable[Item Name],Quantitytable[[#This Row],[Dish]])</f>
        <v>0</v>
      </c>
      <c r="F345" s="29">
        <f>'Quantity Sample'!$D345*'Quantity Sample'!$E345</f>
        <v>0</v>
      </c>
      <c r="G345" s="29">
        <f>_xlfn.IFNA(VLOOKUP(Quantitytable[[#This Row],[Ingredient ]],Shoppingtable[[Item Name]:[BALANCE Cash]],5,FALSE),0)*Quantitytable[[#This Row],[NeededQuantity]]</f>
        <v>14.285714285714285</v>
      </c>
      <c r="H345" s="29">
        <f>SUMIF(Quantitytable[Dish],Quantitytable[[#This Row],[Dish]],Quantitytable[Cost Per Dish Per Item])</f>
        <v>27.598214285714285</v>
      </c>
      <c r="I345" s="30" t="s">
        <v>501</v>
      </c>
    </row>
    <row r="346" spans="1:9" x14ac:dyDescent="0.25">
      <c r="A346" s="28" t="s">
        <v>378</v>
      </c>
      <c r="B346" s="29" t="s">
        <v>25</v>
      </c>
      <c r="C346" s="29"/>
      <c r="D346" s="29">
        <f>IF(Quantitytable[[#This Row],[Units]]=0,0,SUMIFS(Quantitytable[NeededQuantity],Quantitytable[Dish],Quantitytable[[#This Row],[Dish]],Quantitytable[[Ingredient ]],Quantitytable[[#This Row],[Ingredient ]]))</f>
        <v>0</v>
      </c>
      <c r="E346" s="29">
        <f>SUMIFS(salestable[Quantity Sold],salestable[Item Name],Quantitytable[[#This Row],[Dish]])</f>
        <v>0</v>
      </c>
      <c r="F346" s="29">
        <f>'Quantity Sample'!$D346*'Quantity Sample'!$E346</f>
        <v>0</v>
      </c>
      <c r="G346" s="29">
        <f>_xlfn.IFNA(VLOOKUP(Quantitytable[[#This Row],[Ingredient ]],Shoppingtable[[Item Name]:[BALANCE Cash]],5,FALSE),0)*Quantitytable[[#This Row],[NeededQuantity]]</f>
        <v>0.3</v>
      </c>
      <c r="H346" s="29">
        <f>SUMIF(Quantitytable[Dish],Quantitytable[[#This Row],[Dish]],Quantitytable[Cost Per Dish Per Item])</f>
        <v>27.606407186262679</v>
      </c>
      <c r="I346" s="30" t="s">
        <v>501</v>
      </c>
    </row>
    <row r="347" spans="1:9" x14ac:dyDescent="0.25">
      <c r="A347" s="28" t="s">
        <v>379</v>
      </c>
      <c r="B347" s="29" t="s">
        <v>75</v>
      </c>
      <c r="C347" s="29"/>
      <c r="D347" s="29">
        <f>IF(Quantitytable[[#This Row],[Units]]=0,0,SUMIFS(Quantitytable[NeededQuantity],Quantitytable[Dish],Quantitytable[[#This Row],[Dish]],Quantitytable[[Ingredient ]],Quantitytable[[#This Row],[Ingredient ]]))</f>
        <v>0</v>
      </c>
      <c r="E347" s="29">
        <f>SUMIFS(salestable[Quantity Sold],salestable[Item Name],Quantitytable[[#This Row],[Dish]])</f>
        <v>0</v>
      </c>
      <c r="F347" s="29">
        <f>'Quantity Sample'!$D347*'Quantity Sample'!$E347</f>
        <v>0</v>
      </c>
      <c r="G347" s="29">
        <f>_xlfn.IFNA(VLOOKUP(Quantitytable[[#This Row],[Ingredient ]],Shoppingtable[[Item Name]:[BALANCE Cash]],5,FALSE),0)*Quantitytable[[#This Row],[NeededQuantity]]</f>
        <v>0.69364161849710981</v>
      </c>
      <c r="H347" s="29">
        <f>SUMIF(Quantitytable[Dish],Quantitytable[[#This Row],[Dish]],Quantitytable[Cost Per Dish Per Item])</f>
        <v>27.606407186262679</v>
      </c>
      <c r="I347" s="30" t="s">
        <v>501</v>
      </c>
    </row>
    <row r="348" spans="1:9" x14ac:dyDescent="0.25">
      <c r="A348" s="28" t="s">
        <v>258</v>
      </c>
      <c r="B348" s="29" t="s">
        <v>16</v>
      </c>
      <c r="C348" s="29"/>
      <c r="D348" s="29">
        <f>IF(Quantitytable[[#This Row],[Units]]=0,0,SUMIFS(Quantitytable[NeededQuantity],Quantitytable[Dish],Quantitytable[[#This Row],[Dish]],Quantitytable[[Ingredient ]],Quantitytable[[#This Row],[Ingredient ]]))</f>
        <v>0</v>
      </c>
      <c r="E348" s="29">
        <f>SUMIFS(salestable[Quantity Sold],salestable[Item Name],Quantitytable[[#This Row],[Dish]])</f>
        <v>0</v>
      </c>
      <c r="F348" s="29">
        <f>'Quantity Sample'!$D348*'Quantity Sample'!$E348</f>
        <v>0</v>
      </c>
      <c r="G348" s="29">
        <f>_xlfn.IFNA(VLOOKUP(Quantitytable[[#This Row],[Ingredient ]],Shoppingtable[[Item Name]:[BALANCE Cash]],5,FALSE),0)*Quantitytable[[#This Row],[NeededQuantity]]</f>
        <v>4.5</v>
      </c>
      <c r="H348" s="29">
        <f>SUMIF(Quantitytable[Dish],Quantitytable[[#This Row],[Dish]],Quantitytable[Cost Per Dish Per Item])</f>
        <v>27.606407186262679</v>
      </c>
      <c r="I348" s="30" t="s">
        <v>501</v>
      </c>
    </row>
    <row r="349" spans="1:9" x14ac:dyDescent="0.25">
      <c r="A349" s="28" t="s">
        <v>258</v>
      </c>
      <c r="B349" s="29" t="s">
        <v>79</v>
      </c>
      <c r="C349" s="29"/>
      <c r="D349" s="29">
        <f>IF(Quantitytable[[#This Row],[Units]]=0,0,SUMIFS(Quantitytable[NeededQuantity],Quantitytable[Dish],Quantitytable[[#This Row],[Dish]],Quantitytable[[Ingredient ]],Quantitytable[[#This Row],[Ingredient ]]))</f>
        <v>0</v>
      </c>
      <c r="E349" s="29">
        <f>SUMIFS(salestable[Quantity Sold],salestable[Item Name],Quantitytable[[#This Row],[Dish]])</f>
        <v>0</v>
      </c>
      <c r="F349" s="29">
        <f>'Quantity Sample'!$D349*'Quantity Sample'!$E349</f>
        <v>0</v>
      </c>
      <c r="G349" s="29">
        <f>_xlfn.IFNA(VLOOKUP(Quantitytable[[#This Row],[Ingredient ]],Shoppingtable[[Item Name]:[BALANCE Cash]],5,FALSE),0)*Quantitytable[[#This Row],[NeededQuantity]]</f>
        <v>1.2450000000000001</v>
      </c>
      <c r="H349" s="29">
        <f>SUMIF(Quantitytable[Dish],Quantitytable[[#This Row],[Dish]],Quantitytable[Cost Per Dish Per Item])</f>
        <v>27.606407186262679</v>
      </c>
      <c r="I349" s="30" t="s">
        <v>501</v>
      </c>
    </row>
    <row r="350" spans="1:9" x14ac:dyDescent="0.25">
      <c r="A350" s="28" t="s">
        <v>258</v>
      </c>
      <c r="B350" s="29" t="s">
        <v>25</v>
      </c>
      <c r="C350" s="29"/>
      <c r="D350" s="29">
        <f>IF(Quantitytable[[#This Row],[Units]]=0,0,SUMIFS(Quantitytable[NeededQuantity],Quantitytable[Dish],Quantitytable[[#This Row],[Dish]],Quantitytable[[Ingredient ]],Quantitytable[[#This Row],[Ingredient ]]))</f>
        <v>0</v>
      </c>
      <c r="E350" s="29">
        <f>SUMIFS(salestable[Quantity Sold],salestable[Item Name],Quantitytable[[#This Row],[Dish]])</f>
        <v>0</v>
      </c>
      <c r="F350" s="29">
        <f>'Quantity Sample'!$D350*'Quantity Sample'!$E350</f>
        <v>0</v>
      </c>
      <c r="G350" s="29">
        <f>_xlfn.IFNA(VLOOKUP(Quantitytable[[#This Row],[Ingredient ]],Shoppingtable[[Item Name]:[BALANCE Cash]],5,FALSE),0)*Quantitytable[[#This Row],[NeededQuantity]]</f>
        <v>7.3</v>
      </c>
      <c r="H350" s="29">
        <f>SUMIF(Quantitytable[Dish],Quantitytable[[#This Row],[Dish]],Quantitytable[Cost Per Dish Per Item])</f>
        <v>27.606407186262679</v>
      </c>
      <c r="I350" s="30" t="s">
        <v>501</v>
      </c>
    </row>
    <row r="351" spans="1:9" x14ac:dyDescent="0.25">
      <c r="A351" s="28" t="s">
        <v>202</v>
      </c>
      <c r="B351" s="29" t="s">
        <v>32</v>
      </c>
      <c r="C351" s="29"/>
      <c r="D351" s="29">
        <f>IF(Quantitytable[[#This Row],[Units]]=0,0,SUMIFS(Quantitytable[NeededQuantity],Quantitytable[Dish],Quantitytable[[#This Row],[Dish]],Quantitytable[[Ingredient ]],Quantitytable[[#This Row],[Ingredient ]]))</f>
        <v>0</v>
      </c>
      <c r="E351" s="29">
        <f>SUMIFS(salestable[Quantity Sold],salestable[Item Name],Quantitytable[[#This Row],[Dish]])</f>
        <v>0</v>
      </c>
      <c r="F351" s="29">
        <f>'Quantity Sample'!$D351*'Quantity Sample'!$E351</f>
        <v>0</v>
      </c>
      <c r="G351" s="29">
        <f>_xlfn.IFNA(VLOOKUP(Quantitytable[[#This Row],[Ingredient ]],Shoppingtable[[Item Name]:[BALANCE Cash]],5,FALSE),0)*Quantitytable[[#This Row],[NeededQuantity]]</f>
        <v>4.666666666666667</v>
      </c>
      <c r="H351" s="29">
        <f>SUMIF(Quantitytable[Dish],Quantitytable[[#This Row],[Dish]],Quantitytable[Cost Per Dish Per Item])</f>
        <v>27.606407186262679</v>
      </c>
      <c r="I351" s="30" t="s">
        <v>501</v>
      </c>
    </row>
    <row r="352" spans="1:9" x14ac:dyDescent="0.25">
      <c r="A352" s="28" t="s">
        <v>202</v>
      </c>
      <c r="B352" s="29" t="s">
        <v>79</v>
      </c>
      <c r="C352" s="29"/>
      <c r="D352" s="29">
        <f>IF(Quantitytable[[#This Row],[Units]]=0,0,SUMIFS(Quantitytable[NeededQuantity],Quantitytable[Dish],Quantitytable[[#This Row],[Dish]],Quantitytable[[Ingredient ]],Quantitytable[[#This Row],[Ingredient ]]))</f>
        <v>0</v>
      </c>
      <c r="E352" s="29">
        <f>SUMIFS(salestable[Quantity Sold],salestable[Item Name],Quantitytable[[#This Row],[Dish]])</f>
        <v>0</v>
      </c>
      <c r="F352" s="29">
        <f>'Quantity Sample'!$D352*'Quantity Sample'!$E352</f>
        <v>0</v>
      </c>
      <c r="G352" s="29">
        <f>_xlfn.IFNA(VLOOKUP(Quantitytable[[#This Row],[Ingredient ]],Shoppingtable[[Item Name]:[BALANCE Cash]],5,FALSE),0)*Quantitytable[[#This Row],[NeededQuantity]]</f>
        <v>4.6153846153846159</v>
      </c>
      <c r="H352" s="29">
        <f>SUMIF(Quantitytable[Dish],Quantitytable[[#This Row],[Dish]],Quantitytable[Cost Per Dish Per Item])</f>
        <v>27.606407186262679</v>
      </c>
      <c r="I352" s="30" t="s">
        <v>501</v>
      </c>
    </row>
    <row r="353" spans="1:9" x14ac:dyDescent="0.25">
      <c r="A353" s="28" t="s">
        <v>202</v>
      </c>
      <c r="B353" s="29" t="s">
        <v>25</v>
      </c>
      <c r="C353" s="29"/>
      <c r="D353" s="29">
        <f>IF(Quantitytable[[#This Row],[Units]]=0,0,SUMIFS(Quantitytable[NeededQuantity],Quantitytable[Dish],Quantitytable[[#This Row],[Dish]],Quantitytable[[Ingredient ]],Quantitytable[[#This Row],[Ingredient ]]))</f>
        <v>0</v>
      </c>
      <c r="E353" s="29">
        <f>SUMIFS(salestable[Quantity Sold],salestable[Item Name],Quantitytable[[#This Row],[Dish]])</f>
        <v>0</v>
      </c>
      <c r="F353" s="29">
        <f>'Quantity Sample'!$D353*'Quantity Sample'!$E353</f>
        <v>0</v>
      </c>
      <c r="G353" s="29">
        <f>_xlfn.IFNA(VLOOKUP(Quantitytable[[#This Row],[Ingredient ]],Shoppingtable[[Item Name]:[BALANCE Cash]],5,FALSE),0)*Quantitytable[[#This Row],[NeededQuantity]]</f>
        <v>4.2857142857142856</v>
      </c>
      <c r="H353" s="29">
        <f>SUMIF(Quantitytable[Dish],Quantitytable[[#This Row],[Dish]],Quantitytable[Cost Per Dish Per Item])</f>
        <v>27.606407186262679</v>
      </c>
      <c r="I353" s="30" t="s">
        <v>501</v>
      </c>
    </row>
    <row r="354" spans="1:9" x14ac:dyDescent="0.25">
      <c r="A354" s="28" t="s">
        <v>204</v>
      </c>
      <c r="B354" s="29" t="s">
        <v>32</v>
      </c>
      <c r="C354" s="29"/>
      <c r="D354" s="29">
        <f>IF(Quantitytable[[#This Row],[Units]]=0,0,SUMIFS(Quantitytable[NeededQuantity],Quantitytable[Dish],Quantitytable[[#This Row],[Dish]],Quantitytable[[Ingredient ]],Quantitytable[[#This Row],[Ingredient ]]))</f>
        <v>0</v>
      </c>
      <c r="E354" s="29">
        <f>SUMIFS(salestable[Quantity Sold],salestable[Item Name],Quantitytable[[#This Row],[Dish]])</f>
        <v>0</v>
      </c>
      <c r="F354" s="29">
        <f>'Quantity Sample'!$D354*'Quantity Sample'!$E354</f>
        <v>0</v>
      </c>
      <c r="G354" s="29">
        <f>_xlfn.IFNA(VLOOKUP(Quantitytable[[#This Row],[Ingredient ]],Shoppingtable[[Item Name]:[BALANCE Cash]],5,FALSE),0)*Quantitytable[[#This Row],[NeededQuantity]]</f>
        <v>0.3</v>
      </c>
      <c r="H354" s="29">
        <f>SUMIF(Quantitytable[Dish],Quantitytable[[#This Row],[Dish]],Quantitytable[Cost Per Dish Per Item])</f>
        <v>40.404355904211393</v>
      </c>
      <c r="I354" s="30" t="s">
        <v>501</v>
      </c>
    </row>
    <row r="355" spans="1:9" x14ac:dyDescent="0.25">
      <c r="A355" s="28" t="s">
        <v>204</v>
      </c>
      <c r="B355" s="29" t="s">
        <v>51</v>
      </c>
      <c r="C355" s="29"/>
      <c r="D355" s="29">
        <f>IF(Quantitytable[[#This Row],[Units]]=0,0,SUMIFS(Quantitytable[NeededQuantity],Quantitytable[Dish],Quantitytable[[#This Row],[Dish]],Quantitytable[[Ingredient ]],Quantitytable[[#This Row],[Ingredient ]]))</f>
        <v>0</v>
      </c>
      <c r="E355" s="29">
        <f>SUMIFS(salestable[Quantity Sold],salestable[Item Name],Quantitytable[[#This Row],[Dish]])</f>
        <v>0</v>
      </c>
      <c r="F355" s="29">
        <f>'Quantity Sample'!$D355*'Quantity Sample'!$E355</f>
        <v>0</v>
      </c>
      <c r="G355" s="29">
        <f>_xlfn.IFNA(VLOOKUP(Quantitytable[[#This Row],[Ingredient ]],Shoppingtable[[Item Name]:[BALANCE Cash]],5,FALSE),0)*Quantitytable[[#This Row],[NeededQuantity]]</f>
        <v>0.69364161849710981</v>
      </c>
      <c r="H355" s="29">
        <f>SUMIF(Quantitytable[Dish],Quantitytable[[#This Row],[Dish]],Quantitytable[Cost Per Dish Per Item])</f>
        <v>40.404355904211393</v>
      </c>
      <c r="I355" s="30" t="s">
        <v>501</v>
      </c>
    </row>
    <row r="356" spans="1:9" x14ac:dyDescent="0.25">
      <c r="A356" s="28" t="s">
        <v>204</v>
      </c>
      <c r="B356" s="29" t="s">
        <v>79</v>
      </c>
      <c r="C356" s="29"/>
      <c r="D356" s="29">
        <f>IF(Quantitytable[[#This Row],[Units]]=0,0,SUMIFS(Quantitytable[NeededQuantity],Quantitytable[Dish],Quantitytable[[#This Row],[Dish]],Quantitytable[[Ingredient ]],Quantitytable[[#This Row],[Ingredient ]]))</f>
        <v>0</v>
      </c>
      <c r="E356" s="29">
        <f>SUMIFS(salestable[Quantity Sold],salestable[Item Name],Quantitytable[[#This Row],[Dish]])</f>
        <v>0</v>
      </c>
      <c r="F356" s="29">
        <f>'Quantity Sample'!$D356*'Quantity Sample'!$E356</f>
        <v>0</v>
      </c>
      <c r="G356" s="29">
        <f>_xlfn.IFNA(VLOOKUP(Quantitytable[[#This Row],[Ingredient ]],Shoppingtable[[Item Name]:[BALANCE Cash]],5,FALSE),0)*Quantitytable[[#This Row],[NeededQuantity]]</f>
        <v>4.5</v>
      </c>
      <c r="H356" s="29">
        <f>SUMIF(Quantitytable[Dish],Quantitytable[[#This Row],[Dish]],Quantitytable[Cost Per Dish Per Item])</f>
        <v>40.404355904211393</v>
      </c>
      <c r="I356" s="30" t="s">
        <v>501</v>
      </c>
    </row>
    <row r="357" spans="1:9" x14ac:dyDescent="0.25">
      <c r="A357" s="28" t="s">
        <v>182</v>
      </c>
      <c r="B357" s="29" t="s">
        <v>79</v>
      </c>
      <c r="C357" s="29"/>
      <c r="D357" s="29">
        <f>IF(Quantitytable[[#This Row],[Units]]=0,0,SUMIFS(Quantitytable[NeededQuantity],Quantitytable[Dish],Quantitytable[[#This Row],[Dish]],Quantitytable[[Ingredient ]],Quantitytable[[#This Row],[Ingredient ]]))</f>
        <v>0</v>
      </c>
      <c r="E357" s="29">
        <f>SUMIFS(salestable[Quantity Sold],salestable[Item Name],Quantitytable[[#This Row],[Dish]])</f>
        <v>0</v>
      </c>
      <c r="F357" s="29">
        <f>'Quantity Sample'!$D357*'Quantity Sample'!$E357</f>
        <v>0</v>
      </c>
      <c r="G357" s="29">
        <f>_xlfn.IFNA(VLOOKUP(Quantitytable[[#This Row],[Ingredient ]],Shoppingtable[[Item Name]:[BALANCE Cash]],5,FALSE),0)*Quantitytable[[#This Row],[NeededQuantity]]</f>
        <v>1.2450000000000001</v>
      </c>
      <c r="H357" s="29">
        <f>SUMIF(Quantitytable[Dish],Quantitytable[[#This Row],[Dish]],Quantitytable[Cost Per Dish Per Item])</f>
        <v>40.404355904211393</v>
      </c>
      <c r="I357" s="30" t="s">
        <v>501</v>
      </c>
    </row>
    <row r="358" spans="1:9" x14ac:dyDescent="0.25">
      <c r="A358" s="28" t="s">
        <v>182</v>
      </c>
      <c r="B358" s="29" t="s">
        <v>93</v>
      </c>
      <c r="C358" s="29"/>
      <c r="D358" s="29">
        <f>IF(Quantitytable[[#This Row],[Units]]=0,0,SUMIFS(Quantitytable[NeededQuantity],Quantitytable[Dish],Quantitytable[[#This Row],[Dish]],Quantitytable[[Ingredient ]],Quantitytable[[#This Row],[Ingredient ]]))</f>
        <v>0</v>
      </c>
      <c r="E358" s="29">
        <f>SUMIFS(salestable[Quantity Sold],salestable[Item Name],Quantitytable[[#This Row],[Dish]])</f>
        <v>0</v>
      </c>
      <c r="F358" s="29">
        <f>'Quantity Sample'!$D358*'Quantity Sample'!$E358</f>
        <v>0</v>
      </c>
      <c r="G358" s="29">
        <f>_xlfn.IFNA(VLOOKUP(Quantitytable[[#This Row],[Ingredient ]],Shoppingtable[[Item Name]:[BALANCE Cash]],5,FALSE),0)*Quantitytable[[#This Row],[NeededQuantity]]</f>
        <v>7.3</v>
      </c>
      <c r="H358" s="29">
        <f>SUMIF(Quantitytable[Dish],Quantitytable[[#This Row],[Dish]],Quantitytable[Cost Per Dish Per Item])</f>
        <v>40.404355904211393</v>
      </c>
      <c r="I358" s="30" t="s">
        <v>501</v>
      </c>
    </row>
    <row r="359" spans="1:9" x14ac:dyDescent="0.25">
      <c r="A359" s="28" t="s">
        <v>182</v>
      </c>
      <c r="B359" s="29" t="s">
        <v>25</v>
      </c>
      <c r="C359" s="29"/>
      <c r="D359" s="29">
        <f>IF(Quantitytable[[#This Row],[Units]]=0,0,SUMIFS(Quantitytable[NeededQuantity],Quantitytable[Dish],Quantitytable[[#This Row],[Dish]],Quantitytable[[Ingredient ]],Quantitytable[[#This Row],[Ingredient ]]))</f>
        <v>0</v>
      </c>
      <c r="E359" s="29">
        <f>SUMIFS(salestable[Quantity Sold],salestable[Item Name],Quantitytable[[#This Row],[Dish]])</f>
        <v>0</v>
      </c>
      <c r="F359" s="29">
        <f>'Quantity Sample'!$D359*'Quantity Sample'!$E359</f>
        <v>0</v>
      </c>
      <c r="G359" s="29">
        <f>_xlfn.IFNA(VLOOKUP(Quantitytable[[#This Row],[Ingredient ]],Shoppingtable[[Item Name]:[BALANCE Cash]],5,FALSE),0)*Quantitytable[[#This Row],[NeededQuantity]]</f>
        <v>22.08</v>
      </c>
      <c r="H359" s="29">
        <f>SUMIF(Quantitytable[Dish],Quantitytable[[#This Row],[Dish]],Quantitytable[Cost Per Dish Per Item])</f>
        <v>40.404355904211393</v>
      </c>
      <c r="I359" s="30" t="s">
        <v>501</v>
      </c>
    </row>
    <row r="360" spans="1:9" x14ac:dyDescent="0.25">
      <c r="A360" s="28" t="s">
        <v>182</v>
      </c>
      <c r="B360" s="29" t="s">
        <v>11</v>
      </c>
      <c r="C360" s="29"/>
      <c r="D360" s="29">
        <f>IF(Quantitytable[[#This Row],[Units]]=0,0,SUMIFS(Quantitytable[NeededQuantity],Quantitytable[Dish],Quantitytable[[#This Row],[Dish]],Quantitytable[[Ingredient ]],Quantitytable[[#This Row],[Ingredient ]]))</f>
        <v>0</v>
      </c>
      <c r="E360" s="29">
        <f>SUMIFS(salestable[Quantity Sold],salestable[Item Name],Quantitytable[[#This Row],[Dish]])</f>
        <v>0</v>
      </c>
      <c r="F360" s="29">
        <f>'Quantity Sample'!$D360*'Quantity Sample'!$E360</f>
        <v>0</v>
      </c>
      <c r="G360" s="29">
        <f>_xlfn.IFNA(VLOOKUP(Quantitytable[[#This Row],[Ingredient ]],Shoppingtable[[Item Name]:[BALANCE Cash]],5,FALSE),0)*Quantitytable[[#This Row],[NeededQuantity]]</f>
        <v>4.2857142857142856</v>
      </c>
      <c r="H360" s="29">
        <f>SUMIF(Quantitytable[Dish],Quantitytable[[#This Row],[Dish]],Quantitytable[Cost Per Dish Per Item])</f>
        <v>40.404355904211393</v>
      </c>
      <c r="I360" s="30" t="s">
        <v>501</v>
      </c>
    </row>
    <row r="361" spans="1:9" x14ac:dyDescent="0.25">
      <c r="A361" s="28" t="s">
        <v>271</v>
      </c>
      <c r="B361" s="29" t="s">
        <v>50</v>
      </c>
      <c r="C361" s="29"/>
      <c r="D361" s="29">
        <f>IF(Quantitytable[[#This Row],[Units]]=0,0,SUMIFS(Quantitytable[NeededQuantity],Quantitytable[Dish],Quantitytable[[#This Row],[Dish]],Quantitytable[[Ingredient ]],Quantitytable[[#This Row],[Ingredient ]]))</f>
        <v>0</v>
      </c>
      <c r="E361" s="29">
        <f>SUMIFS(salestable[Quantity Sold],salestable[Item Name],Quantitytable[[#This Row],[Dish]])</f>
        <v>0</v>
      </c>
      <c r="F361" s="29">
        <f>'Quantity Sample'!$D361*'Quantity Sample'!$E361</f>
        <v>0</v>
      </c>
      <c r="G361" s="29">
        <f>_xlfn.IFNA(VLOOKUP(Quantitytable[[#This Row],[Ingredient ]],Shoppingtable[[Item Name]:[BALANCE Cash]],5,FALSE),0)*Quantitytable[[#This Row],[NeededQuantity]]</f>
        <v>0.3</v>
      </c>
      <c r="H361" s="29">
        <f>SUMIF(Quantitytable[Dish],Quantitytable[[#This Row],[Dish]],Quantitytable[Cost Per Dish Per Item])</f>
        <v>31.636855904211394</v>
      </c>
      <c r="I361" s="30" t="s">
        <v>501</v>
      </c>
    </row>
    <row r="362" spans="1:9" x14ac:dyDescent="0.25">
      <c r="A362" s="28" t="s">
        <v>271</v>
      </c>
      <c r="B362" s="29" t="s">
        <v>79</v>
      </c>
      <c r="C362" s="29"/>
      <c r="D362" s="29">
        <f>IF(Quantitytable[[#This Row],[Units]]=0,0,SUMIFS(Quantitytable[NeededQuantity],Quantitytable[Dish],Quantitytable[[#This Row],[Dish]],Quantitytable[[Ingredient ]],Quantitytable[[#This Row],[Ingredient ]]))</f>
        <v>0</v>
      </c>
      <c r="E362" s="29">
        <f>SUMIFS(salestable[Quantity Sold],salestable[Item Name],Quantitytable[[#This Row],[Dish]])</f>
        <v>0</v>
      </c>
      <c r="F362" s="29">
        <f>'Quantity Sample'!$D362*'Quantity Sample'!$E362</f>
        <v>0</v>
      </c>
      <c r="G362" s="29">
        <f>_xlfn.IFNA(VLOOKUP(Quantitytable[[#This Row],[Ingredient ]],Shoppingtable[[Item Name]:[BALANCE Cash]],5,FALSE),0)*Quantitytable[[#This Row],[NeededQuantity]]</f>
        <v>0.69364161849710981</v>
      </c>
      <c r="H362" s="29">
        <f>SUMIF(Quantitytable[Dish],Quantitytable[[#This Row],[Dish]],Quantitytable[Cost Per Dish Per Item])</f>
        <v>31.636855904211394</v>
      </c>
      <c r="I362" s="30" t="s">
        <v>501</v>
      </c>
    </row>
    <row r="363" spans="1:9" x14ac:dyDescent="0.25">
      <c r="A363" s="28" t="s">
        <v>271</v>
      </c>
      <c r="B363" s="29" t="s">
        <v>25</v>
      </c>
      <c r="C363" s="29"/>
      <c r="D363" s="29">
        <f>IF(Quantitytable[[#This Row],[Units]]=0,0,SUMIFS(Quantitytable[NeededQuantity],Quantitytable[Dish],Quantitytable[[#This Row],[Dish]],Quantitytable[[Ingredient ]],Quantitytable[[#This Row],[Ingredient ]]))</f>
        <v>0</v>
      </c>
      <c r="E363" s="29">
        <f>SUMIFS(salestable[Quantity Sold],salestable[Item Name],Quantitytable[[#This Row],[Dish]])</f>
        <v>0</v>
      </c>
      <c r="F363" s="29">
        <f>'Quantity Sample'!$D363*'Quantity Sample'!$E363</f>
        <v>0</v>
      </c>
      <c r="G363" s="29">
        <f>_xlfn.IFNA(VLOOKUP(Quantitytable[[#This Row],[Ingredient ]],Shoppingtable[[Item Name]:[BALANCE Cash]],5,FALSE),0)*Quantitytable[[#This Row],[NeededQuantity]]</f>
        <v>4.5</v>
      </c>
      <c r="H363" s="29">
        <f>SUMIF(Quantitytable[Dish],Quantitytable[[#This Row],[Dish]],Quantitytable[Cost Per Dish Per Item])</f>
        <v>31.636855904211394</v>
      </c>
      <c r="I363" s="30" t="s">
        <v>501</v>
      </c>
    </row>
    <row r="364" spans="1:9" x14ac:dyDescent="0.25">
      <c r="A364" s="28" t="s">
        <v>329</v>
      </c>
      <c r="B364" s="29" t="s">
        <v>79</v>
      </c>
      <c r="C364" s="29"/>
      <c r="D364" s="29">
        <f>IF(Quantitytable[[#This Row],[Units]]=0,0,SUMIFS(Quantitytable[NeededQuantity],Quantitytable[Dish],Quantitytable[[#This Row],[Dish]],Quantitytable[[Ingredient ]],Quantitytable[[#This Row],[Ingredient ]]))</f>
        <v>0</v>
      </c>
      <c r="E364" s="29">
        <f>SUMIFS(salestable[Quantity Sold],salestable[Item Name],Quantitytable[[#This Row],[Dish]])</f>
        <v>0</v>
      </c>
      <c r="F364" s="29">
        <f>'Quantity Sample'!$D364*'Quantity Sample'!$E364</f>
        <v>0</v>
      </c>
      <c r="G364" s="29">
        <f>_xlfn.IFNA(VLOOKUP(Quantitytable[[#This Row],[Ingredient ]],Shoppingtable[[Item Name]:[BALANCE Cash]],5,FALSE),0)*Quantitytable[[#This Row],[NeededQuantity]]</f>
        <v>1.2450000000000001</v>
      </c>
      <c r="H364" s="29">
        <f>SUMIF(Quantitytable[Dish],Quantitytable[[#This Row],[Dish]],Quantitytable[Cost Per Dish Per Item])</f>
        <v>31.636855904211394</v>
      </c>
      <c r="I364" s="30" t="s">
        <v>501</v>
      </c>
    </row>
    <row r="365" spans="1:9" x14ac:dyDescent="0.25">
      <c r="A365" s="28" t="s">
        <v>329</v>
      </c>
      <c r="B365" s="29" t="s">
        <v>94</v>
      </c>
      <c r="C365" s="29"/>
      <c r="D365" s="29">
        <f>IF(Quantitytable[[#This Row],[Units]]=0,0,SUMIFS(Quantitytable[NeededQuantity],Quantitytable[Dish],Quantitytable[[#This Row],[Dish]],Quantitytable[[Ingredient ]],Quantitytable[[#This Row],[Ingredient ]]))</f>
        <v>0</v>
      </c>
      <c r="E365" s="29">
        <f>SUMIFS(salestable[Quantity Sold],salestable[Item Name],Quantitytable[[#This Row],[Dish]])</f>
        <v>0</v>
      </c>
      <c r="F365" s="29">
        <f>'Quantity Sample'!$D365*'Quantity Sample'!$E365</f>
        <v>0</v>
      </c>
      <c r="G365" s="29">
        <f>_xlfn.IFNA(VLOOKUP(Quantitytable[[#This Row],[Ingredient ]],Shoppingtable[[Item Name]:[BALANCE Cash]],5,FALSE),0)*Quantitytable[[#This Row],[NeededQuantity]]</f>
        <v>7.3</v>
      </c>
      <c r="H365" s="29">
        <f>SUMIF(Quantitytable[Dish],Quantitytable[[#This Row],[Dish]],Quantitytable[Cost Per Dish Per Item])</f>
        <v>31.636855904211394</v>
      </c>
      <c r="I365" s="30" t="s">
        <v>501</v>
      </c>
    </row>
    <row r="366" spans="1:9" x14ac:dyDescent="0.25">
      <c r="A366" s="28" t="s">
        <v>329</v>
      </c>
      <c r="B366" s="29" t="s">
        <v>25</v>
      </c>
      <c r="C366" s="29"/>
      <c r="D366" s="29">
        <f>IF(Quantitytable[[#This Row],[Units]]=0,0,SUMIFS(Quantitytable[NeededQuantity],Quantitytable[Dish],Quantitytable[[#This Row],[Dish]],Quantitytable[[Ingredient ]],Quantitytable[[#This Row],[Ingredient ]]))</f>
        <v>0</v>
      </c>
      <c r="E366" s="29">
        <f>SUMIFS(salestable[Quantity Sold],salestable[Item Name],Quantitytable[[#This Row],[Dish]])</f>
        <v>0</v>
      </c>
      <c r="F366" s="29">
        <f>'Quantity Sample'!$D366*'Quantity Sample'!$E366</f>
        <v>0</v>
      </c>
      <c r="G366" s="29">
        <f>_xlfn.IFNA(VLOOKUP(Quantitytable[[#This Row],[Ingredient ]],Shoppingtable[[Item Name]:[BALANCE Cash]],5,FALSE),0)*Quantitytable[[#This Row],[NeededQuantity]]</f>
        <v>13.3125</v>
      </c>
      <c r="H366" s="29">
        <f>SUMIF(Quantitytable[Dish],Quantitytable[[#This Row],[Dish]],Quantitytable[Cost Per Dish Per Item])</f>
        <v>31.636855904211394</v>
      </c>
      <c r="I366" s="30" t="s">
        <v>501</v>
      </c>
    </row>
    <row r="367" spans="1:9" x14ac:dyDescent="0.25">
      <c r="A367" s="28" t="s">
        <v>183</v>
      </c>
      <c r="B367" s="29" t="s">
        <v>79</v>
      </c>
      <c r="C367" s="29"/>
      <c r="D367" s="29">
        <f>IF(Quantitytable[[#This Row],[Units]]=0,0,SUMIFS(Quantitytable[NeededQuantity],Quantitytable[Dish],Quantitytable[[#This Row],[Dish]],Quantitytable[[Ingredient ]],Quantitytable[[#This Row],[Ingredient ]]))</f>
        <v>0</v>
      </c>
      <c r="E367" s="29">
        <f>SUMIFS(salestable[Quantity Sold],salestable[Item Name],Quantitytable[[#This Row],[Dish]])</f>
        <v>0</v>
      </c>
      <c r="F367" s="29">
        <f>'Quantity Sample'!$D367*'Quantity Sample'!$E367</f>
        <v>0</v>
      </c>
      <c r="G367" s="29">
        <f>_xlfn.IFNA(VLOOKUP(Quantitytable[[#This Row],[Ingredient ]],Shoppingtable[[Item Name]:[BALANCE Cash]],5,FALSE),0)*Quantitytable[[#This Row],[NeededQuantity]]</f>
        <v>4.2857142857142856</v>
      </c>
      <c r="H367" s="29">
        <f>SUMIF(Quantitytable[Dish],Quantitytable[[#This Row],[Dish]],Quantitytable[Cost Per Dish Per Item])</f>
        <v>31.636855904211394</v>
      </c>
      <c r="I367" s="30" t="s">
        <v>501</v>
      </c>
    </row>
    <row r="368" spans="1:9" x14ac:dyDescent="0.25">
      <c r="A368" s="28" t="s">
        <v>183</v>
      </c>
      <c r="B368" s="29" t="s">
        <v>93</v>
      </c>
      <c r="C368" s="29"/>
      <c r="D368" s="29">
        <f>IF(Quantitytable[[#This Row],[Units]]=0,0,SUMIFS(Quantitytable[NeededQuantity],Quantitytable[Dish],Quantitytable[[#This Row],[Dish]],Quantitytable[[Ingredient ]],Quantitytable[[#This Row],[Ingredient ]]))</f>
        <v>0</v>
      </c>
      <c r="E368" s="29">
        <f>SUMIFS(salestable[Quantity Sold],salestable[Item Name],Quantitytable[[#This Row],[Dish]])</f>
        <v>0</v>
      </c>
      <c r="F368" s="29">
        <f>'Quantity Sample'!$D368*'Quantity Sample'!$E368</f>
        <v>0</v>
      </c>
      <c r="G368" s="29">
        <f>_xlfn.IFNA(VLOOKUP(Quantitytable[[#This Row],[Ingredient ]],Shoppingtable[[Item Name]:[BALANCE Cash]],5,FALSE),0)*Quantitytable[[#This Row],[NeededQuantity]]</f>
        <v>0.5</v>
      </c>
      <c r="H368" s="29">
        <f>SUMIF(Quantitytable[Dish],Quantitytable[[#This Row],[Dish]],Quantitytable[Cost Per Dish Per Item])</f>
        <v>18.492324561403507</v>
      </c>
      <c r="I368" s="30" t="s">
        <v>501</v>
      </c>
    </row>
    <row r="369" spans="1:9" x14ac:dyDescent="0.25">
      <c r="A369" s="28" t="s">
        <v>183</v>
      </c>
      <c r="B369" s="29" t="s">
        <v>99</v>
      </c>
      <c r="C369" s="29"/>
      <c r="D369" s="29">
        <f>IF(Quantitytable[[#This Row],[Units]]=0,0,SUMIFS(Quantitytable[NeededQuantity],Quantitytable[Dish],Quantitytable[[#This Row],[Dish]],Quantitytable[[Ingredient ]],Quantitytable[[#This Row],[Ingredient ]]))</f>
        <v>0</v>
      </c>
      <c r="E369" s="29">
        <f>SUMIFS(salestable[Quantity Sold],salestable[Item Name],Quantitytable[[#This Row],[Dish]])</f>
        <v>0</v>
      </c>
      <c r="F369" s="29">
        <f>'Quantity Sample'!$D369*'Quantity Sample'!$E369</f>
        <v>0</v>
      </c>
      <c r="G369" s="29">
        <f>_xlfn.IFNA(VLOOKUP(Quantitytable[[#This Row],[Ingredient ]],Shoppingtable[[Item Name]:[BALANCE Cash]],5,FALSE),0)*Quantitytable[[#This Row],[NeededQuantity]]</f>
        <v>0.26315789473684209</v>
      </c>
      <c r="H369" s="29">
        <f>SUMIF(Quantitytable[Dish],Quantitytable[[#This Row],[Dish]],Quantitytable[Cost Per Dish Per Item])</f>
        <v>18.492324561403507</v>
      </c>
      <c r="I369" s="30" t="s">
        <v>501</v>
      </c>
    </row>
    <row r="370" spans="1:9" x14ac:dyDescent="0.25">
      <c r="A370" s="28" t="s">
        <v>183</v>
      </c>
      <c r="B370" s="29" t="s">
        <v>11</v>
      </c>
      <c r="C370" s="29"/>
      <c r="D370" s="29">
        <f>IF(Quantitytable[[#This Row],[Units]]=0,0,SUMIFS(Quantitytable[NeededQuantity],Quantitytable[Dish],Quantitytable[[#This Row],[Dish]],Quantitytable[[Ingredient ]],Quantitytable[[#This Row],[Ingredient ]]))</f>
        <v>0</v>
      </c>
      <c r="E370" s="29">
        <f>SUMIFS(salestable[Quantity Sold],salestable[Item Name],Quantitytable[[#This Row],[Dish]])</f>
        <v>0</v>
      </c>
      <c r="F370" s="29">
        <f>'Quantity Sample'!$D370*'Quantity Sample'!$E370</f>
        <v>0</v>
      </c>
      <c r="G370" s="29">
        <f>_xlfn.IFNA(VLOOKUP(Quantitytable[[#This Row],[Ingredient ]],Shoppingtable[[Item Name]:[BALANCE Cash]],5,FALSE),0)*Quantitytable[[#This Row],[NeededQuantity]]</f>
        <v>0.2</v>
      </c>
      <c r="H370" s="29">
        <f>SUMIF(Quantitytable[Dish],Quantitytable[[#This Row],[Dish]],Quantitytable[Cost Per Dish Per Item])</f>
        <v>18.492324561403507</v>
      </c>
      <c r="I370" s="30" t="s">
        <v>501</v>
      </c>
    </row>
    <row r="371" spans="1:9" x14ac:dyDescent="0.25">
      <c r="A371" s="28" t="s">
        <v>196</v>
      </c>
      <c r="B371" s="29" t="s">
        <v>73</v>
      </c>
      <c r="C371" s="29"/>
      <c r="D371" s="29">
        <f>IF(Quantitytable[[#This Row],[Units]]=0,0,SUMIFS(Quantitytable[NeededQuantity],Quantitytable[Dish],Quantitytable[[#This Row],[Dish]],Quantitytable[[Ingredient ]],Quantitytable[[#This Row],[Ingredient ]]))</f>
        <v>0</v>
      </c>
      <c r="E371" s="29">
        <f>SUMIFS(salestable[Quantity Sold],salestable[Item Name],Quantitytable[[#This Row],[Dish]])</f>
        <v>0</v>
      </c>
      <c r="F371" s="29">
        <f>'Quantity Sample'!$D371*'Quantity Sample'!$E371</f>
        <v>0</v>
      </c>
      <c r="G371" s="29">
        <f>_xlfn.IFNA(VLOOKUP(Quantitytable[[#This Row],[Ingredient ]],Shoppingtable[[Item Name]:[BALANCE Cash]],5,FALSE),0)*Quantitytable[[#This Row],[NeededQuantity]]</f>
        <v>0.1875</v>
      </c>
      <c r="H371" s="29">
        <f>SUMIF(Quantitytable[Dish],Quantitytable[[#This Row],[Dish]],Quantitytable[Cost Per Dish Per Item])</f>
        <v>18.492324561403507</v>
      </c>
      <c r="I371" s="30" t="s">
        <v>501</v>
      </c>
    </row>
    <row r="372" spans="1:9" x14ac:dyDescent="0.25">
      <c r="A372" s="28" t="s">
        <v>196</v>
      </c>
      <c r="B372" s="29" t="s">
        <v>79</v>
      </c>
      <c r="C372" s="29"/>
      <c r="D372" s="29">
        <f>IF(Quantitytable[[#This Row],[Units]]=0,0,SUMIFS(Quantitytable[NeededQuantity],Quantitytable[Dish],Quantitytable[[#This Row],[Dish]],Quantitytable[[Ingredient ]],Quantitytable[[#This Row],[Ingredient ]]))</f>
        <v>0</v>
      </c>
      <c r="E372" s="29">
        <f>SUMIFS(salestable[Quantity Sold],salestable[Item Name],Quantitytable[[#This Row],[Dish]])</f>
        <v>0</v>
      </c>
      <c r="F372" s="29">
        <f>'Quantity Sample'!$D372*'Quantity Sample'!$E372</f>
        <v>0</v>
      </c>
      <c r="G372" s="29">
        <f>_xlfn.IFNA(VLOOKUP(Quantitytable[[#This Row],[Ingredient ]],Shoppingtable[[Item Name]:[BALANCE Cash]],5,FALSE),0)*Quantitytable[[#This Row],[NeededQuantity]]</f>
        <v>0</v>
      </c>
      <c r="H372" s="29">
        <f>SUMIF(Quantitytable[Dish],Quantitytable[[#This Row],[Dish]],Quantitytable[Cost Per Dish Per Item])</f>
        <v>18.492324561403507</v>
      </c>
      <c r="I372" s="30" t="s">
        <v>501</v>
      </c>
    </row>
    <row r="373" spans="1:9" x14ac:dyDescent="0.25">
      <c r="A373" s="28" t="s">
        <v>196</v>
      </c>
      <c r="B373" s="29" t="s">
        <v>99</v>
      </c>
      <c r="C373" s="29"/>
      <c r="D373" s="29">
        <f>IF(Quantitytable[[#This Row],[Units]]=0,0,SUMIFS(Quantitytable[NeededQuantity],Quantitytable[Dish],Quantitytable[[#This Row],[Dish]],Quantitytable[[Ingredient ]],Quantitytable[[#This Row],[Ingredient ]]))</f>
        <v>0</v>
      </c>
      <c r="E373" s="29">
        <f>SUMIFS(salestable[Quantity Sold],salestable[Item Name],Quantitytable[[#This Row],[Dish]])</f>
        <v>0</v>
      </c>
      <c r="F373" s="29">
        <f>'Quantity Sample'!$D373*'Quantity Sample'!$E373</f>
        <v>0</v>
      </c>
      <c r="G373" s="29">
        <f>_xlfn.IFNA(VLOOKUP(Quantitytable[[#This Row],[Ingredient ]],Shoppingtable[[Item Name]:[BALANCE Cash]],5,FALSE),0)*Quantitytable[[#This Row],[NeededQuantity]]</f>
        <v>0.4</v>
      </c>
      <c r="H373" s="29">
        <f>SUMIF(Quantitytable[Dish],Quantitytable[[#This Row],[Dish]],Quantitytable[Cost Per Dish Per Item])</f>
        <v>18.492324561403507</v>
      </c>
      <c r="I373" s="30" t="s">
        <v>501</v>
      </c>
    </row>
    <row r="374" spans="1:9" x14ac:dyDescent="0.25">
      <c r="A374" s="28" t="s">
        <v>248</v>
      </c>
      <c r="B374" s="29" t="s">
        <v>80</v>
      </c>
      <c r="C374" s="29"/>
      <c r="D374" s="29">
        <f>IF(Quantitytable[[#This Row],[Units]]=0,0,SUMIFS(Quantitytable[NeededQuantity],Quantitytable[Dish],Quantitytable[[#This Row],[Dish]],Quantitytable[[Ingredient ]],Quantitytable[[#This Row],[Ingredient ]]))</f>
        <v>0</v>
      </c>
      <c r="E374" s="29">
        <f>SUMIFS(salestable[Quantity Sold],salestable[Item Name],Quantitytable[[#This Row],[Dish]])</f>
        <v>0</v>
      </c>
      <c r="F374" s="29">
        <f>'Quantity Sample'!$D374*'Quantity Sample'!$E374</f>
        <v>0</v>
      </c>
      <c r="G374" s="29">
        <f>_xlfn.IFNA(VLOOKUP(Quantitytable[[#This Row],[Ingredient ]],Shoppingtable[[Item Name]:[BALANCE Cash]],5,FALSE),0)*Quantitytable[[#This Row],[NeededQuantity]]</f>
        <v>2.1</v>
      </c>
      <c r="H374" s="29">
        <f>SUMIF(Quantitytable[Dish],Quantitytable[[#This Row],[Dish]],Quantitytable[Cost Per Dish Per Item])</f>
        <v>18.492324561403507</v>
      </c>
      <c r="I374" s="30" t="s">
        <v>501</v>
      </c>
    </row>
    <row r="375" spans="1:9" x14ac:dyDescent="0.25">
      <c r="A375" s="28" t="s">
        <v>247</v>
      </c>
      <c r="B375" s="29" t="s">
        <v>85</v>
      </c>
      <c r="C375" s="29"/>
      <c r="D375" s="29">
        <f>IF(Quantitytable[[#This Row],[Units]]=0,0,SUMIFS(Quantitytable[NeededQuantity],Quantitytable[Dish],Quantitytable[[#This Row],[Dish]],Quantitytable[[Ingredient ]],Quantitytable[[#This Row],[Ingredient ]]))</f>
        <v>0</v>
      </c>
      <c r="E375" s="29">
        <f>SUMIFS(salestable[Quantity Sold],salestable[Item Name],Quantitytable[[#This Row],[Dish]])</f>
        <v>0</v>
      </c>
      <c r="F375" s="29">
        <f>'Quantity Sample'!$D375*'Quantity Sample'!$E375</f>
        <v>0</v>
      </c>
      <c r="G375" s="29">
        <f>_xlfn.IFNA(VLOOKUP(Quantitytable[[#This Row],[Ingredient ]],Shoppingtable[[Item Name]:[BALANCE Cash]],5,FALSE),0)*Quantitytable[[#This Row],[NeededQuantity]]</f>
        <v>5.625</v>
      </c>
      <c r="H375" s="29">
        <f>SUMIF(Quantitytable[Dish],Quantitytable[[#This Row],[Dish]],Quantitytable[Cost Per Dish Per Item])</f>
        <v>18.492324561403507</v>
      </c>
      <c r="I375" s="30" t="s">
        <v>501</v>
      </c>
    </row>
    <row r="376" spans="1:9" x14ac:dyDescent="0.25">
      <c r="A376" s="28" t="s">
        <v>224</v>
      </c>
      <c r="B376" s="29" t="s">
        <v>93</v>
      </c>
      <c r="C376" s="29"/>
      <c r="D376" s="29">
        <f>IF(Quantitytable[[#This Row],[Units]]=0,0,SUMIFS(Quantitytable[NeededQuantity],Quantitytable[Dish],Quantitytable[[#This Row],[Dish]],Quantitytable[[Ingredient ]],Quantitytable[[#This Row],[Ingredient ]]))</f>
        <v>0</v>
      </c>
      <c r="E376" s="29">
        <f>SUMIFS(salestable[Quantity Sold],salestable[Item Name],Quantitytable[[#This Row],[Dish]])</f>
        <v>0</v>
      </c>
      <c r="F376" s="29">
        <f>'Quantity Sample'!$D376*'Quantity Sample'!$E376</f>
        <v>0</v>
      </c>
      <c r="G376" s="29">
        <f>_xlfn.IFNA(VLOOKUP(Quantitytable[[#This Row],[Ingredient ]],Shoppingtable[[Item Name]:[BALANCE Cash]],5,FALSE),0)*Quantitytable[[#This Row],[NeededQuantity]]</f>
        <v>2.6666666666666665</v>
      </c>
      <c r="H376" s="29">
        <f>SUMIF(Quantitytable[Dish],Quantitytable[[#This Row],[Dish]],Quantitytable[Cost Per Dish Per Item])</f>
        <v>18.492324561403507</v>
      </c>
      <c r="I376" s="30" t="s">
        <v>501</v>
      </c>
    </row>
    <row r="377" spans="1:9" x14ac:dyDescent="0.25">
      <c r="A377" s="28" t="s">
        <v>224</v>
      </c>
      <c r="B377" s="29" t="s">
        <v>25</v>
      </c>
      <c r="C377" s="29"/>
      <c r="D377" s="29">
        <f>IF(Quantitytable[[#This Row],[Units]]=0,0,SUMIFS(Quantitytable[NeededQuantity],Quantitytable[Dish],Quantitytable[[#This Row],[Dish]],Quantitytable[[Ingredient ]],Quantitytable[[#This Row],[Ingredient ]]))</f>
        <v>0</v>
      </c>
      <c r="E377" s="29">
        <f>SUMIFS(salestable[Quantity Sold],salestable[Item Name],Quantitytable[[#This Row],[Dish]])</f>
        <v>0</v>
      </c>
      <c r="F377" s="29">
        <f>'Quantity Sample'!$D377*'Quantity Sample'!$E377</f>
        <v>0</v>
      </c>
      <c r="G377" s="29">
        <f>_xlfn.IFNA(VLOOKUP(Quantitytable[[#This Row],[Ingredient ]],Shoppingtable[[Item Name]:[BALANCE Cash]],5,FALSE),0)*Quantitytable[[#This Row],[NeededQuantity]]</f>
        <v>2.4</v>
      </c>
      <c r="H377" s="29">
        <f>SUMIF(Quantitytable[Dish],Quantitytable[[#This Row],[Dish]],Quantitytable[Cost Per Dish Per Item])</f>
        <v>18.492324561403507</v>
      </c>
      <c r="I377" s="30" t="s">
        <v>501</v>
      </c>
    </row>
    <row r="378" spans="1:9" x14ac:dyDescent="0.25">
      <c r="A378" s="28" t="s">
        <v>242</v>
      </c>
      <c r="B378" s="29" t="s">
        <v>88</v>
      </c>
      <c r="C378" s="29"/>
      <c r="D378" s="29">
        <f>IF(Quantitytable[[#This Row],[Units]]=0,0,SUMIFS(Quantitytable[NeededQuantity],Quantitytable[Dish],Quantitytable[[#This Row],[Dish]],Quantitytable[[Ingredient ]],Quantitytable[[#This Row],[Ingredient ]]))</f>
        <v>0</v>
      </c>
      <c r="E378" s="29">
        <f>SUMIFS(salestable[Quantity Sold],salestable[Item Name],Quantitytable[[#This Row],[Dish]])</f>
        <v>0</v>
      </c>
      <c r="F378" s="29">
        <f>'Quantity Sample'!$D378*'Quantity Sample'!$E378</f>
        <v>0</v>
      </c>
      <c r="G378" s="29">
        <f>_xlfn.IFNA(VLOOKUP(Quantitytable[[#This Row],[Ingredient ]],Shoppingtable[[Item Name]:[BALANCE Cash]],5,FALSE),0)*Quantitytable[[#This Row],[NeededQuantity]]</f>
        <v>4.1500000000000004</v>
      </c>
      <c r="H378" s="29">
        <f>SUMIF(Quantitytable[Dish],Quantitytable[[#This Row],[Dish]],Quantitytable[Cost Per Dish Per Item])</f>
        <v>18.492324561403507</v>
      </c>
      <c r="I378" s="30" t="s">
        <v>501</v>
      </c>
    </row>
    <row r="379" spans="1:9" x14ac:dyDescent="0.25">
      <c r="A379" s="28" t="s">
        <v>305</v>
      </c>
      <c r="B379" s="29" t="s">
        <v>90</v>
      </c>
      <c r="C379" s="29"/>
      <c r="D379" s="29">
        <f>IF(Quantitytable[[#This Row],[Units]]=0,0,SUMIFS(Quantitytable[NeededQuantity],Quantitytable[Dish],Quantitytable[[#This Row],[Dish]],Quantitytable[[Ingredient ]],Quantitytable[[#This Row],[Ingredient ]]))</f>
        <v>0</v>
      </c>
      <c r="E379" s="29">
        <f>SUMIFS(salestable[Quantity Sold],salestable[Item Name],Quantitytable[[#This Row],[Dish]])</f>
        <v>0</v>
      </c>
      <c r="F379" s="29">
        <f>'Quantity Sample'!$D379*'Quantity Sample'!$E379</f>
        <v>0</v>
      </c>
      <c r="G379" s="29">
        <f>_xlfn.IFNA(VLOOKUP(Quantitytable[[#This Row],[Ingredient ]],Shoppingtable[[Item Name]:[BALANCE Cash]],5,FALSE),0)*Quantitytable[[#This Row],[NeededQuantity]]</f>
        <v>5</v>
      </c>
      <c r="H379" s="29">
        <f>SUMIF(Quantitytable[Dish],Quantitytable[[#This Row],[Dish]],Quantitytable[Cost Per Dish Per Item])</f>
        <v>15.797483610961976</v>
      </c>
      <c r="I379" s="30" t="s">
        <v>501</v>
      </c>
    </row>
    <row r="380" spans="1:9" x14ac:dyDescent="0.25">
      <c r="A380" s="28" t="s">
        <v>387</v>
      </c>
      <c r="B380" s="29" t="s">
        <v>25</v>
      </c>
      <c r="C380" s="29"/>
      <c r="D380" s="29">
        <f>IF(Quantitytable[[#This Row],[Units]]=0,0,SUMIFS(Quantitytable[NeededQuantity],Quantitytable[Dish],Quantitytable[[#This Row],[Dish]],Quantitytable[[Ingredient ]],Quantitytable[[#This Row],[Ingredient ]]))</f>
        <v>0</v>
      </c>
      <c r="E380" s="29">
        <f>SUMIFS(salestable[Quantity Sold],salestable[Item Name],Quantitytable[[#This Row],[Dish]])</f>
        <v>0</v>
      </c>
      <c r="F380" s="29">
        <f>'Quantity Sample'!$D380*'Quantity Sample'!$E380</f>
        <v>0</v>
      </c>
      <c r="G380" s="29">
        <f>_xlfn.IFNA(VLOOKUP(Quantitytable[[#This Row],[Ingredient ]],Shoppingtable[[Item Name]:[BALANCE Cash]],5,FALSE),0)*Quantitytable[[#This Row],[NeededQuantity]]</f>
        <v>1.5555555555555556</v>
      </c>
      <c r="H380" s="29">
        <f>SUMIF(Quantitytable[Dish],Quantitytable[[#This Row],[Dish]],Quantitytable[Cost Per Dish Per Item])</f>
        <v>15.797483610961976</v>
      </c>
      <c r="I380" s="30" t="s">
        <v>501</v>
      </c>
    </row>
    <row r="381" spans="1:9" x14ac:dyDescent="0.25">
      <c r="A381" s="28" t="s">
        <v>218</v>
      </c>
      <c r="B381" s="29" t="s">
        <v>90</v>
      </c>
      <c r="C381" s="29"/>
      <c r="D381" s="29">
        <f>IF(Quantitytable[[#This Row],[Units]]=0,0,SUMIFS(Quantitytable[NeededQuantity],Quantitytable[Dish],Quantitytable[[#This Row],[Dish]],Quantitytable[[Ingredient ]],Quantitytable[[#This Row],[Ingredient ]]))</f>
        <v>0</v>
      </c>
      <c r="E381" s="29">
        <f>SUMIFS(salestable[Quantity Sold],salestable[Item Name],Quantitytable[[#This Row],[Dish]])</f>
        <v>0</v>
      </c>
      <c r="F381" s="29">
        <f>'Quantity Sample'!$D381*'Quantity Sample'!$E381</f>
        <v>0</v>
      </c>
      <c r="G381" s="29">
        <f>_xlfn.IFNA(VLOOKUP(Quantitytable[[#This Row],[Ingredient ]],Shoppingtable[[Item Name]:[BALANCE Cash]],5,FALSE),0)*Quantitytable[[#This Row],[NeededQuantity]]</f>
        <v>0.91836734693877553</v>
      </c>
      <c r="H381" s="29">
        <f>SUMIF(Quantitytable[Dish],Quantitytable[[#This Row],[Dish]],Quantitytable[Cost Per Dish Per Item])</f>
        <v>15.797483610961976</v>
      </c>
      <c r="I381" s="30" t="s">
        <v>501</v>
      </c>
    </row>
    <row r="382" spans="1:9" x14ac:dyDescent="0.25">
      <c r="A382" s="28" t="s">
        <v>218</v>
      </c>
      <c r="B382" s="29" t="s">
        <v>93</v>
      </c>
      <c r="C382" s="29"/>
      <c r="D382" s="29">
        <f>IF(Quantitytable[[#This Row],[Units]]=0,0,SUMIFS(Quantitytable[NeededQuantity],Quantitytable[Dish],Quantitytable[[#This Row],[Dish]],Quantitytable[[Ingredient ]],Quantitytable[[#This Row],[Ingredient ]]))</f>
        <v>0</v>
      </c>
      <c r="E382" s="29">
        <f>SUMIFS(salestable[Quantity Sold],salestable[Item Name],Quantitytable[[#This Row],[Dish]])</f>
        <v>0</v>
      </c>
      <c r="F382" s="29">
        <f>'Quantity Sample'!$D382*'Quantity Sample'!$E382</f>
        <v>0</v>
      </c>
      <c r="G382" s="29">
        <f>_xlfn.IFNA(VLOOKUP(Quantitytable[[#This Row],[Ingredient ]],Shoppingtable[[Item Name]:[BALANCE Cash]],5,FALSE),0)*Quantitytable[[#This Row],[NeededQuantity]]</f>
        <v>0.56497175141242939</v>
      </c>
      <c r="H382" s="29">
        <f>SUMIF(Quantitytable[Dish],Quantitytable[[#This Row],[Dish]],Quantitytable[Cost Per Dish Per Item])</f>
        <v>15.797483610961976</v>
      </c>
      <c r="I382" s="30" t="s">
        <v>501</v>
      </c>
    </row>
    <row r="383" spans="1:9" x14ac:dyDescent="0.25">
      <c r="A383" s="28" t="s">
        <v>218</v>
      </c>
      <c r="B383" s="29" t="s">
        <v>25</v>
      </c>
      <c r="C383" s="29"/>
      <c r="D383" s="29">
        <f>IF(Quantitytable[[#This Row],[Units]]=0,0,SUMIFS(Quantitytable[NeededQuantity],Quantitytable[Dish],Quantitytable[[#This Row],[Dish]],Quantitytable[[Ingredient ]],Quantitytable[[#This Row],[Ingredient ]]))</f>
        <v>0</v>
      </c>
      <c r="E383" s="29">
        <f>SUMIFS(salestable[Quantity Sold],salestable[Item Name],Quantitytable[[#This Row],[Dish]])</f>
        <v>0</v>
      </c>
      <c r="F383" s="29">
        <f>'Quantity Sample'!$D383*'Quantity Sample'!$E383</f>
        <v>0</v>
      </c>
      <c r="G383" s="29">
        <f>_xlfn.IFNA(VLOOKUP(Quantitytable[[#This Row],[Ingredient ]],Shoppingtable[[Item Name]:[BALANCE Cash]],5,FALSE),0)*Quantitytable[[#This Row],[NeededQuantity]]</f>
        <v>2.2085889570552149</v>
      </c>
      <c r="H383" s="29">
        <f>SUMIF(Quantitytable[Dish],Quantitytable[[#This Row],[Dish]],Quantitytable[Cost Per Dish Per Item])</f>
        <v>15.797483610961976</v>
      </c>
      <c r="I383" s="30" t="s">
        <v>501</v>
      </c>
    </row>
    <row r="384" spans="1:9" x14ac:dyDescent="0.25">
      <c r="A384" s="28" t="s">
        <v>339</v>
      </c>
      <c r="B384" s="29" t="s">
        <v>24</v>
      </c>
      <c r="C384" s="29"/>
      <c r="D384" s="29">
        <f>IF(Quantitytable[[#This Row],[Units]]=0,0,SUMIFS(Quantitytable[NeededQuantity],Quantitytable[Dish],Quantitytable[[#This Row],[Dish]],Quantitytable[[Ingredient ]],Quantitytable[[#This Row],[Ingredient ]]))</f>
        <v>0</v>
      </c>
      <c r="E384" s="29">
        <f>SUMIFS(salestable[Quantity Sold],salestable[Item Name],Quantitytable[[#This Row],[Dish]])</f>
        <v>0</v>
      </c>
      <c r="F384" s="29">
        <f>'Quantity Sample'!$D384*'Quantity Sample'!$E384</f>
        <v>0</v>
      </c>
      <c r="G384" s="29">
        <f>_xlfn.IFNA(VLOOKUP(Quantitytable[[#This Row],[Ingredient ]],Shoppingtable[[Item Name]:[BALANCE Cash]],5,FALSE),0)*Quantitytable[[#This Row],[NeededQuantity]]</f>
        <v>5.55</v>
      </c>
      <c r="H384" s="29">
        <f>SUMIF(Quantitytable[Dish],Quantitytable[[#This Row],[Dish]],Quantitytable[Cost Per Dish Per Item])</f>
        <v>15.797483610961976</v>
      </c>
      <c r="I384" s="30" t="s">
        <v>501</v>
      </c>
    </row>
    <row r="385" spans="1:9" x14ac:dyDescent="0.25">
      <c r="A385" s="28" t="s">
        <v>339</v>
      </c>
      <c r="B385" s="29" t="s">
        <v>84</v>
      </c>
      <c r="C385" s="29"/>
      <c r="D385" s="29">
        <f>IF(Quantitytable[[#This Row],[Units]]=0,0,SUMIFS(Quantitytable[NeededQuantity],Quantitytable[Dish],Quantitytable[[#This Row],[Dish]],Quantitytable[[Ingredient ]],Quantitytable[[#This Row],[Ingredient ]]))</f>
        <v>0</v>
      </c>
      <c r="E385" s="29">
        <f>SUMIFS(salestable[Quantity Sold],salestable[Item Name],Quantitytable[[#This Row],[Dish]])</f>
        <v>0</v>
      </c>
      <c r="F385" s="29">
        <f>'Quantity Sample'!$D385*'Quantity Sample'!$E385</f>
        <v>0</v>
      </c>
      <c r="G385" s="29">
        <f>_xlfn.IFNA(VLOOKUP(Quantitytable[[#This Row],[Ingredient ]],Shoppingtable[[Item Name]:[BALANCE Cash]],5,FALSE),0)*Quantitytable[[#This Row],[NeededQuantity]]</f>
        <v>0.3</v>
      </c>
      <c r="H385" s="29">
        <f>SUMIF(Quantitytable[Dish],Quantitytable[[#This Row],[Dish]],Quantitytable[Cost Per Dish Per Item])</f>
        <v>32.702793627664015</v>
      </c>
      <c r="I385" s="30" t="s">
        <v>501</v>
      </c>
    </row>
    <row r="386" spans="1:9" x14ac:dyDescent="0.25">
      <c r="A386" s="28" t="s">
        <v>339</v>
      </c>
      <c r="B386" s="29" t="s">
        <v>90</v>
      </c>
      <c r="C386" s="29"/>
      <c r="D386" s="29">
        <f>IF(Quantitytable[[#This Row],[Units]]=0,0,SUMIFS(Quantitytable[NeededQuantity],Quantitytable[Dish],Quantitytable[[#This Row],[Dish]],Quantitytable[[Ingredient ]],Quantitytable[[#This Row],[Ingredient ]]))</f>
        <v>0</v>
      </c>
      <c r="E386" s="29">
        <f>SUMIFS(salestable[Quantity Sold],salestable[Item Name],Quantitytable[[#This Row],[Dish]])</f>
        <v>0</v>
      </c>
      <c r="F386" s="29">
        <f>'Quantity Sample'!$D386*'Quantity Sample'!$E386</f>
        <v>0</v>
      </c>
      <c r="G386" s="29">
        <f>_xlfn.IFNA(VLOOKUP(Quantitytable[[#This Row],[Ingredient ]],Shoppingtable[[Item Name]:[BALANCE Cash]],5,FALSE),0)*Quantitytable[[#This Row],[NeededQuantity]]</f>
        <v>0.31111111111111112</v>
      </c>
      <c r="H386" s="29">
        <f>SUMIF(Quantitytable[Dish],Quantitytable[[#This Row],[Dish]],Quantitytable[Cost Per Dish Per Item])</f>
        <v>32.702793627664015</v>
      </c>
      <c r="I386" s="30" t="s">
        <v>501</v>
      </c>
    </row>
    <row r="387" spans="1:9" x14ac:dyDescent="0.25">
      <c r="A387" s="28" t="s">
        <v>199</v>
      </c>
      <c r="B387" s="29" t="s">
        <v>90</v>
      </c>
      <c r="C387" s="29"/>
      <c r="D387" s="29">
        <f>IF(Quantitytable[[#This Row],[Units]]=0,0,SUMIFS(Quantitytable[NeededQuantity],Quantitytable[Dish],Quantitytable[[#This Row],[Dish]],Quantitytable[[Ingredient ]],Quantitytable[[#This Row],[Ingredient ]]))</f>
        <v>0</v>
      </c>
      <c r="E387" s="29">
        <f>SUMIFS(salestable[Quantity Sold],salestable[Item Name],Quantitytable[[#This Row],[Dish]])</f>
        <v>0</v>
      </c>
      <c r="F387" s="29">
        <f>'Quantity Sample'!$D387*'Quantity Sample'!$E387</f>
        <v>0</v>
      </c>
      <c r="G387" s="29">
        <f>_xlfn.IFNA(VLOOKUP(Quantitytable[[#This Row],[Ingredient ]],Shoppingtable[[Item Name]:[BALANCE Cash]],5,FALSE),0)*Quantitytable[[#This Row],[NeededQuantity]]</f>
        <v>0.3</v>
      </c>
      <c r="H387" s="29">
        <f>SUMIF(Quantitytable[Dish],Quantitytable[[#This Row],[Dish]],Quantitytable[Cost Per Dish Per Item])</f>
        <v>32.702793627664015</v>
      </c>
      <c r="I387" s="30" t="s">
        <v>501</v>
      </c>
    </row>
    <row r="388" spans="1:9" x14ac:dyDescent="0.25">
      <c r="A388" s="28" t="s">
        <v>199</v>
      </c>
      <c r="B388" s="29" t="s">
        <v>93</v>
      </c>
      <c r="C388" s="29"/>
      <c r="D388" s="29">
        <f>IF(Quantitytable[[#This Row],[Units]]=0,0,SUMIFS(Quantitytable[NeededQuantity],Quantitytable[Dish],Quantitytable[[#This Row],[Dish]],Quantitytable[[Ingredient ]],Quantitytable[[#This Row],[Ingredient ]]))</f>
        <v>0</v>
      </c>
      <c r="E388" s="29">
        <f>SUMIFS(salestable[Quantity Sold],salestable[Item Name],Quantitytable[[#This Row],[Dish]])</f>
        <v>0</v>
      </c>
      <c r="F388" s="29">
        <f>'Quantity Sample'!$D388*'Quantity Sample'!$E388</f>
        <v>0</v>
      </c>
      <c r="G388" s="29">
        <f>_xlfn.IFNA(VLOOKUP(Quantitytable[[#This Row],[Ingredient ]],Shoppingtable[[Item Name]:[BALANCE Cash]],5,FALSE),0)*Quantitytable[[#This Row],[NeededQuantity]]</f>
        <v>0.4</v>
      </c>
      <c r="H388" s="29">
        <f>SUMIF(Quantitytable[Dish],Quantitytable[[#This Row],[Dish]],Quantitytable[Cost Per Dish Per Item])</f>
        <v>32.702793627664015</v>
      </c>
      <c r="I388" s="30" t="s">
        <v>501</v>
      </c>
    </row>
    <row r="389" spans="1:9" x14ac:dyDescent="0.25">
      <c r="A389" s="28" t="s">
        <v>199</v>
      </c>
      <c r="B389" s="29" t="s">
        <v>25</v>
      </c>
      <c r="C389" s="29"/>
      <c r="D389" s="29">
        <f>IF(Quantitytable[[#This Row],[Units]]=0,0,SUMIFS(Quantitytable[NeededQuantity],Quantitytable[Dish],Quantitytable[[#This Row],[Dish]],Quantitytable[[Ingredient ]],Quantitytable[[#This Row],[Ingredient ]]))</f>
        <v>0</v>
      </c>
      <c r="E389" s="29">
        <f>SUMIFS(salestable[Quantity Sold],salestable[Item Name],Quantitytable[[#This Row],[Dish]])</f>
        <v>0</v>
      </c>
      <c r="F389" s="29">
        <f>'Quantity Sample'!$D389*'Quantity Sample'!$E389</f>
        <v>0</v>
      </c>
      <c r="G389" s="29">
        <f>_xlfn.IFNA(VLOOKUP(Quantitytable[[#This Row],[Ingredient ]],Shoppingtable[[Item Name]:[BALANCE Cash]],5,FALSE),0)*Quantitytable[[#This Row],[NeededQuantity]]</f>
        <v>0.72941176470588232</v>
      </c>
      <c r="H389" s="29">
        <f>SUMIF(Quantitytable[Dish],Quantitytable[[#This Row],[Dish]],Quantitytable[Cost Per Dish Per Item])</f>
        <v>32.702793627664015</v>
      </c>
      <c r="I389" s="30" t="s">
        <v>501</v>
      </c>
    </row>
    <row r="390" spans="1:9" x14ac:dyDescent="0.25">
      <c r="A390" s="28" t="s">
        <v>336</v>
      </c>
      <c r="B390" s="29" t="s">
        <v>50</v>
      </c>
      <c r="C390" s="29"/>
      <c r="D390" s="29">
        <f>IF(Quantitytable[[#This Row],[Units]]=0,0,SUMIFS(Quantitytable[NeededQuantity],Quantitytable[Dish],Quantitytable[[#This Row],[Dish]],Quantitytable[[Ingredient ]],Quantitytable[[#This Row],[Ingredient ]]))</f>
        <v>0</v>
      </c>
      <c r="E390" s="29">
        <f>SUMIFS(salestable[Quantity Sold],salestable[Item Name],Quantitytable[[#This Row],[Dish]])</f>
        <v>0</v>
      </c>
      <c r="F390" s="29">
        <f>'Quantity Sample'!$D390*'Quantity Sample'!$E390</f>
        <v>0</v>
      </c>
      <c r="G390" s="29">
        <f>_xlfn.IFNA(VLOOKUP(Quantitytable[[#This Row],[Ingredient ]],Shoppingtable[[Item Name]:[BALANCE Cash]],5,FALSE),0)*Quantitytable[[#This Row],[NeededQuantity]]</f>
        <v>2.1</v>
      </c>
      <c r="H390" s="29">
        <f>SUMIF(Quantitytable[Dish],Quantitytable[[#This Row],[Dish]],Quantitytable[Cost Per Dish Per Item])</f>
        <v>32.702793627664015</v>
      </c>
      <c r="I390" s="30" t="s">
        <v>501</v>
      </c>
    </row>
    <row r="391" spans="1:9" x14ac:dyDescent="0.25">
      <c r="A391" s="28" t="s">
        <v>336</v>
      </c>
      <c r="B391" s="29" t="s">
        <v>90</v>
      </c>
      <c r="C391" s="29"/>
      <c r="D391" s="29">
        <f>IF(Quantitytable[[#This Row],[Units]]=0,0,SUMIFS(Quantitytable[NeededQuantity],Quantitytable[Dish],Quantitytable[[#This Row],[Dish]],Quantitytable[[Ingredient ]],Quantitytable[[#This Row],[Ingredient ]]))</f>
        <v>0</v>
      </c>
      <c r="E391" s="29">
        <f>SUMIFS(salestable[Quantity Sold],salestable[Item Name],Quantitytable[[#This Row],[Dish]])</f>
        <v>0</v>
      </c>
      <c r="F391" s="29">
        <f>'Quantity Sample'!$D391*'Quantity Sample'!$E391</f>
        <v>0</v>
      </c>
      <c r="G391" s="29">
        <f>_xlfn.IFNA(VLOOKUP(Quantitytable[[#This Row],[Ingredient ]],Shoppingtable[[Item Name]:[BALANCE Cash]],5,FALSE),0)*Quantitytable[[#This Row],[NeededQuantity]]</f>
        <v>0.22598870056497175</v>
      </c>
      <c r="H391" s="29">
        <f>SUMIF(Quantitytable[Dish],Quantitytable[[#This Row],[Dish]],Quantitytable[Cost Per Dish Per Item])</f>
        <v>32.702793627664015</v>
      </c>
      <c r="I391" s="30" t="s">
        <v>501</v>
      </c>
    </row>
    <row r="392" spans="1:9" x14ac:dyDescent="0.25">
      <c r="A392" s="28" t="s">
        <v>336</v>
      </c>
      <c r="B392" s="29" t="s">
        <v>25</v>
      </c>
      <c r="C392" s="29"/>
      <c r="D392" s="29">
        <f>IF(Quantitytable[[#This Row],[Units]]=0,0,SUMIFS(Quantitytable[NeededQuantity],Quantitytable[Dish],Quantitytable[[#This Row],[Dish]],Quantitytable[[Ingredient ]],Quantitytable[[#This Row],[Ingredient ]]))</f>
        <v>0</v>
      </c>
      <c r="E392" s="29">
        <f>SUMIFS(salestable[Quantity Sold],salestable[Item Name],Quantitytable[[#This Row],[Dish]])</f>
        <v>0</v>
      </c>
      <c r="F392" s="29">
        <f>'Quantity Sample'!$D392*'Quantity Sample'!$E392</f>
        <v>0</v>
      </c>
      <c r="G392" s="29">
        <f>_xlfn.IFNA(VLOOKUP(Quantitytable[[#This Row],[Ingredient ]],Shoppingtable[[Item Name]:[BALANCE Cash]],5,FALSE),0)*Quantitytable[[#This Row],[NeededQuantity]]</f>
        <v>2.92</v>
      </c>
      <c r="H392" s="29">
        <f>SUMIF(Quantitytable[Dish],Quantitytable[[#This Row],[Dish]],Quantitytable[Cost Per Dish Per Item])</f>
        <v>32.702793627664015</v>
      </c>
      <c r="I392" s="30" t="s">
        <v>501</v>
      </c>
    </row>
    <row r="393" spans="1:9" x14ac:dyDescent="0.25">
      <c r="A393" s="28" t="s">
        <v>200</v>
      </c>
      <c r="B393" s="29" t="s">
        <v>73</v>
      </c>
      <c r="C393" s="29"/>
      <c r="D393" s="29">
        <f>IF(Quantitytable[[#This Row],[Units]]=0,0,SUMIFS(Quantitytable[NeededQuantity],Quantitytable[Dish],Quantitytable[[#This Row],[Dish]],Quantitytable[[Ingredient ]],Quantitytable[[#This Row],[Ingredient ]]))</f>
        <v>0</v>
      </c>
      <c r="E393" s="29">
        <f>SUMIFS(salestable[Quantity Sold],salestable[Item Name],Quantitytable[[#This Row],[Dish]])</f>
        <v>0</v>
      </c>
      <c r="F393" s="29">
        <f>'Quantity Sample'!$D393*'Quantity Sample'!$E393</f>
        <v>0</v>
      </c>
      <c r="G393" s="29">
        <f>_xlfn.IFNA(VLOOKUP(Quantitytable[[#This Row],[Ingredient ]],Shoppingtable[[Item Name]:[BALANCE Cash]],5,FALSE),0)*Quantitytable[[#This Row],[NeededQuantity]]</f>
        <v>0.75</v>
      </c>
      <c r="H393" s="29">
        <f>SUMIF(Quantitytable[Dish],Quantitytable[[#This Row],[Dish]],Quantitytable[Cost Per Dish Per Item])</f>
        <v>32.702793627664015</v>
      </c>
      <c r="I393" s="30" t="s">
        <v>501</v>
      </c>
    </row>
    <row r="394" spans="1:9" x14ac:dyDescent="0.25">
      <c r="A394" s="28" t="s">
        <v>200</v>
      </c>
      <c r="B394" s="29" t="s">
        <v>90</v>
      </c>
      <c r="C394" s="29"/>
      <c r="D394" s="29">
        <f>IF(Quantitytable[[#This Row],[Units]]=0,0,SUMIFS(Quantitytable[NeededQuantity],Quantitytable[Dish],Quantitytable[[#This Row],[Dish]],Quantitytable[[Ingredient ]],Quantitytable[[#This Row],[Ingredient ]]))</f>
        <v>0</v>
      </c>
      <c r="E394" s="29">
        <f>SUMIFS(salestable[Quantity Sold],salestable[Item Name],Quantitytable[[#This Row],[Dish]])</f>
        <v>0</v>
      </c>
      <c r="F394" s="29">
        <f>'Quantity Sample'!$D394*'Quantity Sample'!$E394</f>
        <v>0</v>
      </c>
      <c r="G394" s="29">
        <f>_xlfn.IFNA(VLOOKUP(Quantitytable[[#This Row],[Ingredient ]],Shoppingtable[[Item Name]:[BALANCE Cash]],5,FALSE),0)*Quantitytable[[#This Row],[NeededQuantity]]</f>
        <v>2.9166666666666665</v>
      </c>
      <c r="H394" s="29">
        <f>SUMIF(Quantitytable[Dish],Quantitytable[[#This Row],[Dish]],Quantitytable[Cost Per Dish Per Item])</f>
        <v>32.702793627664015</v>
      </c>
      <c r="I394" s="30" t="s">
        <v>501</v>
      </c>
    </row>
    <row r="395" spans="1:9" x14ac:dyDescent="0.25">
      <c r="A395" s="28" t="s">
        <v>200</v>
      </c>
      <c r="B395" s="29" t="s">
        <v>25</v>
      </c>
      <c r="C395" s="29"/>
      <c r="D395" s="29">
        <f>IF(Quantitytable[[#This Row],[Units]]=0,0,SUMIFS(Quantitytable[NeededQuantity],Quantitytable[Dish],Quantitytable[[#This Row],[Dish]],Quantitytable[[Ingredient ]],Quantitytable[[#This Row],[Ingredient ]]))</f>
        <v>0</v>
      </c>
      <c r="E395" s="29">
        <f>SUMIFS(salestable[Quantity Sold],salestable[Item Name],Quantitytable[[#This Row],[Dish]])</f>
        <v>0</v>
      </c>
      <c r="F395" s="29">
        <f>'Quantity Sample'!$D395*'Quantity Sample'!$E395</f>
        <v>0</v>
      </c>
      <c r="G395" s="29">
        <f>_xlfn.IFNA(VLOOKUP(Quantitytable[[#This Row],[Ingredient ]],Shoppingtable[[Item Name]:[BALANCE Cash]],5,FALSE),0)*Quantitytable[[#This Row],[NeededQuantity]]</f>
        <v>2.8846153846153846</v>
      </c>
      <c r="H395" s="29">
        <f>SUMIF(Quantitytable[Dish],Quantitytable[[#This Row],[Dish]],Quantitytable[Cost Per Dish Per Item])</f>
        <v>32.702793627664015</v>
      </c>
      <c r="I395" s="30" t="s">
        <v>501</v>
      </c>
    </row>
    <row r="396" spans="1:9" x14ac:dyDescent="0.25">
      <c r="A396" s="28" t="s">
        <v>180</v>
      </c>
      <c r="B396" s="29" t="s">
        <v>75</v>
      </c>
      <c r="C396" s="29"/>
      <c r="D396" s="29">
        <f>IF(Quantitytable[[#This Row],[Units]]=0,0,SUMIFS(Quantitytable[NeededQuantity],Quantitytable[Dish],Quantitytable[[#This Row],[Dish]],Quantitytable[[Ingredient ]],Quantitytable[[#This Row],[Ingredient ]]))</f>
        <v>0</v>
      </c>
      <c r="E396" s="29">
        <f>SUMIFS(salestable[Quantity Sold],salestable[Item Name],Quantitytable[[#This Row],[Dish]])</f>
        <v>0</v>
      </c>
      <c r="F396" s="29">
        <f>'Quantity Sample'!$D396*'Quantity Sample'!$E396</f>
        <v>0</v>
      </c>
      <c r="G396" s="29">
        <f>_xlfn.IFNA(VLOOKUP(Quantitytable[[#This Row],[Ingredient ]],Shoppingtable[[Item Name]:[BALANCE Cash]],5,FALSE),0)*Quantitytable[[#This Row],[NeededQuantity]]</f>
        <v>2.4900000000000002</v>
      </c>
      <c r="H396" s="29">
        <f>SUMIF(Quantitytable[Dish],Quantitytable[[#This Row],[Dish]],Quantitytable[Cost Per Dish Per Item])</f>
        <v>32.702793627664015</v>
      </c>
      <c r="I396" s="30" t="s">
        <v>501</v>
      </c>
    </row>
    <row r="397" spans="1:9" x14ac:dyDescent="0.25">
      <c r="A397" s="28" t="s">
        <v>180</v>
      </c>
      <c r="B397" s="29" t="s">
        <v>90</v>
      </c>
      <c r="C397" s="29"/>
      <c r="D397" s="29">
        <f>IF(Quantitytable[[#This Row],[Units]]=0,0,SUMIFS(Quantitytable[NeededQuantity],Quantitytable[Dish],Quantitytable[[#This Row],[Dish]],Quantitytable[[Ingredient ]],Quantitytable[[#This Row],[Ingredient ]]))</f>
        <v>0</v>
      </c>
      <c r="E397" s="29">
        <f>SUMIFS(salestable[Quantity Sold],salestable[Item Name],Quantitytable[[#This Row],[Dish]])</f>
        <v>0</v>
      </c>
      <c r="F397" s="29">
        <f>'Quantity Sample'!$D397*'Quantity Sample'!$E397</f>
        <v>0</v>
      </c>
      <c r="G397" s="29">
        <f>_xlfn.IFNA(VLOOKUP(Quantitytable[[#This Row],[Ingredient ]],Shoppingtable[[Item Name]:[BALANCE Cash]],5,FALSE),0)*Quantitytable[[#This Row],[NeededQuantity]]</f>
        <v>4.875</v>
      </c>
      <c r="H397" s="29">
        <f>SUMIF(Quantitytable[Dish],Quantitytable[[#This Row],[Dish]],Quantitytable[Cost Per Dish Per Item])</f>
        <v>32.702793627664015</v>
      </c>
      <c r="I397" s="30" t="s">
        <v>501</v>
      </c>
    </row>
    <row r="398" spans="1:9" x14ac:dyDescent="0.25">
      <c r="A398" s="28" t="s">
        <v>180</v>
      </c>
      <c r="B398" s="29" t="s">
        <v>25</v>
      </c>
      <c r="C398" s="29"/>
      <c r="D398" s="29">
        <f>IF(Quantitytable[[#This Row],[Units]]=0,0,SUMIFS(Quantitytable[NeededQuantity],Quantitytable[Dish],Quantitytable[[#This Row],[Dish]],Quantitytable[[Ingredient ]],Quantitytable[[#This Row],[Ingredient ]]))</f>
        <v>0</v>
      </c>
      <c r="E398" s="29">
        <f>SUMIFS(salestable[Quantity Sold],salestable[Item Name],Quantitytable[[#This Row],[Dish]])</f>
        <v>0</v>
      </c>
      <c r="F398" s="29">
        <f>'Quantity Sample'!$D398*'Quantity Sample'!$E398</f>
        <v>0</v>
      </c>
      <c r="G398" s="29">
        <f>_xlfn.IFNA(VLOOKUP(Quantitytable[[#This Row],[Ingredient ]],Shoppingtable[[Item Name]:[BALANCE Cash]],5,FALSE),0)*Quantitytable[[#This Row],[NeededQuantity]]</f>
        <v>7.5</v>
      </c>
      <c r="H398" s="29">
        <f>SUMIF(Quantitytable[Dish],Quantitytable[[#This Row],[Dish]],Quantitytable[Cost Per Dish Per Item])</f>
        <v>32.702793627664015</v>
      </c>
      <c r="I398" s="30" t="s">
        <v>501</v>
      </c>
    </row>
    <row r="399" spans="1:9" x14ac:dyDescent="0.25">
      <c r="A399" s="28" t="s">
        <v>240</v>
      </c>
      <c r="B399" s="29" t="s">
        <v>67</v>
      </c>
      <c r="C399" s="29"/>
      <c r="D399" s="29">
        <f>IF(Quantitytable[[#This Row],[Units]]=0,0,SUMIFS(Quantitytable[NeededQuantity],Quantitytable[Dish],Quantitytable[[#This Row],[Dish]],Quantitytable[[Ingredient ]],Quantitytable[[#This Row],[Ingredient ]]))</f>
        <v>0</v>
      </c>
      <c r="E399" s="29">
        <f>SUMIFS(salestable[Quantity Sold],salestable[Item Name],Quantitytable[[#This Row],[Dish]])</f>
        <v>0</v>
      </c>
      <c r="F399" s="29">
        <f>'Quantity Sample'!$D399*'Quantity Sample'!$E399</f>
        <v>0</v>
      </c>
      <c r="G399" s="29">
        <f>_xlfn.IFNA(VLOOKUP(Quantitytable[[#This Row],[Ingredient ]],Shoppingtable[[Item Name]:[BALANCE Cash]],5,FALSE),0)*Quantitytable[[#This Row],[NeededQuantity]]</f>
        <v>4</v>
      </c>
      <c r="H399" s="29">
        <f>SUMIF(Quantitytable[Dish],Quantitytable[[#This Row],[Dish]],Quantitytable[Cost Per Dish Per Item])</f>
        <v>32.702793627664015</v>
      </c>
      <c r="I399" s="30" t="s">
        <v>501</v>
      </c>
    </row>
    <row r="400" spans="1:9" x14ac:dyDescent="0.25">
      <c r="A400" s="28" t="s">
        <v>240</v>
      </c>
      <c r="B400" s="29" t="s">
        <v>95</v>
      </c>
      <c r="C400" s="29"/>
      <c r="D400" s="29">
        <f>IF(Quantitytable[[#This Row],[Units]]=0,0,SUMIFS(Quantitytable[NeededQuantity],Quantitytable[Dish],Quantitytable[[#This Row],[Dish]],Quantitytable[[Ingredient ]],Quantitytable[[#This Row],[Ingredient ]]))</f>
        <v>0</v>
      </c>
      <c r="E400" s="29">
        <f>SUMIFS(salestable[Quantity Sold],salestable[Item Name],Quantitytable[[#This Row],[Dish]])</f>
        <v>0</v>
      </c>
      <c r="F400" s="29">
        <f>'Quantity Sample'!$D400*'Quantity Sample'!$E400</f>
        <v>0</v>
      </c>
      <c r="G400" s="29">
        <f>_xlfn.IFNA(VLOOKUP(Quantitytable[[#This Row],[Ingredient ]],Shoppingtable[[Item Name]:[BALANCE Cash]],5,FALSE),0)*Quantitytable[[#This Row],[NeededQuantity]]</f>
        <v>0.3</v>
      </c>
      <c r="H400" s="29">
        <f>SUMIF(Quantitytable[Dish],Quantitytable[[#This Row],[Dish]],Quantitytable[Cost Per Dish Per Item])</f>
        <v>44.106511576381962</v>
      </c>
      <c r="I400" s="30" t="s">
        <v>501</v>
      </c>
    </row>
    <row r="401" spans="1:9" x14ac:dyDescent="0.25">
      <c r="A401" s="28" t="s">
        <v>280</v>
      </c>
      <c r="B401" s="29" t="s">
        <v>10</v>
      </c>
      <c r="C401" s="29"/>
      <c r="D401" s="29">
        <f>IF(Quantitytable[[#This Row],[Units]]=0,0,SUMIFS(Quantitytable[NeededQuantity],Quantitytable[Dish],Quantitytable[[#This Row],[Dish]],Quantitytable[[Ingredient ]],Quantitytable[[#This Row],[Ingredient ]]))</f>
        <v>0</v>
      </c>
      <c r="E401" s="29">
        <f>SUMIFS(salestable[Quantity Sold],salestable[Item Name],Quantitytable[[#This Row],[Dish]])</f>
        <v>0</v>
      </c>
      <c r="F401" s="29">
        <f>'Quantity Sample'!$D401*'Quantity Sample'!$E401</f>
        <v>0</v>
      </c>
      <c r="G401" s="29">
        <f>_xlfn.IFNA(VLOOKUP(Quantitytable[[#This Row],[Ingredient ]],Shoppingtable[[Item Name]:[BALANCE Cash]],5,FALSE),0)*Quantitytable[[#This Row],[NeededQuantity]]</f>
        <v>0.31111111111111112</v>
      </c>
      <c r="H401" s="29">
        <f>SUMIF(Quantitytable[Dish],Quantitytable[[#This Row],[Dish]],Quantitytable[Cost Per Dish Per Item])</f>
        <v>44.106511576381962</v>
      </c>
      <c r="I401" s="30" t="s">
        <v>501</v>
      </c>
    </row>
    <row r="402" spans="1:9" x14ac:dyDescent="0.25">
      <c r="A402" s="28" t="s">
        <v>385</v>
      </c>
      <c r="B402" s="29" t="s">
        <v>99</v>
      </c>
      <c r="C402" s="29"/>
      <c r="D402" s="29">
        <f>IF(Quantitytable[[#This Row],[Units]]=0,0,SUMIFS(Quantitytable[NeededQuantity],Quantitytable[Dish],Quantitytable[[#This Row],[Dish]],Quantitytable[[Ingredient ]],Quantitytable[[#This Row],[Ingredient ]]))</f>
        <v>0</v>
      </c>
      <c r="E402" s="29">
        <f>SUMIFS(salestable[Quantity Sold],salestable[Item Name],Quantitytable[[#This Row],[Dish]])</f>
        <v>0</v>
      </c>
      <c r="F402" s="29">
        <f>'Quantity Sample'!$D402*'Quantity Sample'!$E402</f>
        <v>0</v>
      </c>
      <c r="G402" s="29">
        <f>_xlfn.IFNA(VLOOKUP(Quantitytable[[#This Row],[Ingredient ]],Shoppingtable[[Item Name]:[BALANCE Cash]],5,FALSE),0)*Quantitytable[[#This Row],[NeededQuantity]]</f>
        <v>0.3</v>
      </c>
      <c r="H402" s="29">
        <f>SUMIF(Quantitytable[Dish],Quantitytable[[#This Row],[Dish]],Quantitytable[Cost Per Dish Per Item])</f>
        <v>44.106511576381962</v>
      </c>
      <c r="I402" s="30" t="s">
        <v>501</v>
      </c>
    </row>
    <row r="403" spans="1:9" x14ac:dyDescent="0.25">
      <c r="A403" s="28" t="s">
        <v>290</v>
      </c>
      <c r="B403" s="29" t="s">
        <v>26</v>
      </c>
      <c r="C403" s="29"/>
      <c r="D403" s="29">
        <f>IF(Quantitytable[[#This Row],[Units]]=0,0,SUMIFS(Quantitytable[NeededQuantity],Quantitytable[Dish],Quantitytable[[#This Row],[Dish]],Quantitytable[[Ingredient ]],Quantitytable[[#This Row],[Ingredient ]]))</f>
        <v>0</v>
      </c>
      <c r="E403" s="29">
        <f>SUMIFS(salestable[Quantity Sold],salestable[Item Name],Quantitytable[[#This Row],[Dish]])</f>
        <v>0</v>
      </c>
      <c r="F403" s="29">
        <f>'Quantity Sample'!$D403*'Quantity Sample'!$E403</f>
        <v>0</v>
      </c>
      <c r="G403" s="29">
        <f>_xlfn.IFNA(VLOOKUP(Quantitytable[[#This Row],[Ingredient ]],Shoppingtable[[Item Name]:[BALANCE Cash]],5,FALSE),0)*Quantitytable[[#This Row],[NeededQuantity]]</f>
        <v>0.4</v>
      </c>
      <c r="H403" s="29">
        <f>SUMIF(Quantitytable[Dish],Quantitytable[[#This Row],[Dish]],Quantitytable[Cost Per Dish Per Item])</f>
        <v>44.106511576381962</v>
      </c>
      <c r="I403" s="30" t="s">
        <v>501</v>
      </c>
    </row>
    <row r="404" spans="1:9" x14ac:dyDescent="0.25">
      <c r="A404" s="28" t="s">
        <v>290</v>
      </c>
      <c r="B404" s="29" t="s">
        <v>99</v>
      </c>
      <c r="C404" s="29"/>
      <c r="D404" s="29">
        <f>IF(Quantitytable[[#This Row],[Units]]=0,0,SUMIFS(Quantitytable[NeededQuantity],Quantitytable[Dish],Quantitytable[[#This Row],[Dish]],Quantitytable[[Ingredient ]],Quantitytable[[#This Row],[Ingredient ]]))</f>
        <v>0</v>
      </c>
      <c r="E404" s="29">
        <f>SUMIFS(salestable[Quantity Sold],salestable[Item Name],Quantitytable[[#This Row],[Dish]])</f>
        <v>0</v>
      </c>
      <c r="F404" s="29">
        <f>'Quantity Sample'!$D404*'Quantity Sample'!$E404</f>
        <v>0</v>
      </c>
      <c r="G404" s="29">
        <f>_xlfn.IFNA(VLOOKUP(Quantitytable[[#This Row],[Ingredient ]],Shoppingtable[[Item Name]:[BALANCE Cash]],5,FALSE),0)*Quantitytable[[#This Row],[NeededQuantity]]</f>
        <v>0.72941176470588232</v>
      </c>
      <c r="H404" s="29">
        <f>SUMIF(Quantitytable[Dish],Quantitytable[[#This Row],[Dish]],Quantitytable[Cost Per Dish Per Item])</f>
        <v>44.106511576381962</v>
      </c>
      <c r="I404" s="30" t="s">
        <v>501</v>
      </c>
    </row>
    <row r="405" spans="1:9" x14ac:dyDescent="0.25">
      <c r="A405" s="28" t="s">
        <v>294</v>
      </c>
      <c r="B405" s="29" t="s">
        <v>26</v>
      </c>
      <c r="C405" s="29"/>
      <c r="D405" s="29">
        <f>IF(Quantitytable[[#This Row],[Units]]=0,0,SUMIFS(Quantitytable[NeededQuantity],Quantitytable[Dish],Quantitytable[[#This Row],[Dish]],Quantitytable[[Ingredient ]],Quantitytable[[#This Row],[Ingredient ]]))</f>
        <v>0</v>
      </c>
      <c r="E405" s="29">
        <f>SUMIFS(salestable[Quantity Sold],salestable[Item Name],Quantitytable[[#This Row],[Dish]])</f>
        <v>0</v>
      </c>
      <c r="F405" s="29">
        <f>'Quantity Sample'!$D405*'Quantity Sample'!$E405</f>
        <v>0</v>
      </c>
      <c r="G405" s="29">
        <f>_xlfn.IFNA(VLOOKUP(Quantitytable[[#This Row],[Ingredient ]],Shoppingtable[[Item Name]:[BALANCE Cash]],5,FALSE),0)*Quantitytable[[#This Row],[NeededQuantity]]</f>
        <v>2.1</v>
      </c>
      <c r="H405" s="29">
        <f>SUMIF(Quantitytable[Dish],Quantitytable[[#This Row],[Dish]],Quantitytable[Cost Per Dish Per Item])</f>
        <v>44.106511576381962</v>
      </c>
      <c r="I405" s="30" t="s">
        <v>501</v>
      </c>
    </row>
    <row r="406" spans="1:9" x14ac:dyDescent="0.25">
      <c r="A406" s="28" t="s">
        <v>294</v>
      </c>
      <c r="B406" s="29" t="s">
        <v>99</v>
      </c>
      <c r="C406" s="29"/>
      <c r="D406" s="29">
        <f>IF(Quantitytable[[#This Row],[Units]]=0,0,SUMIFS(Quantitytable[NeededQuantity],Quantitytable[Dish],Quantitytable[[#This Row],[Dish]],Quantitytable[[Ingredient ]],Quantitytable[[#This Row],[Ingredient ]]))</f>
        <v>0</v>
      </c>
      <c r="E406" s="29">
        <f>SUMIFS(salestable[Quantity Sold],salestable[Item Name],Quantitytable[[#This Row],[Dish]])</f>
        <v>0</v>
      </c>
      <c r="F406" s="29">
        <f>'Quantity Sample'!$D406*'Quantity Sample'!$E406</f>
        <v>0</v>
      </c>
      <c r="G406" s="29">
        <f>_xlfn.IFNA(VLOOKUP(Quantitytable[[#This Row],[Ingredient ]],Shoppingtable[[Item Name]:[BALANCE Cash]],5,FALSE),0)*Quantitytable[[#This Row],[NeededQuantity]]</f>
        <v>0.22598870056497175</v>
      </c>
      <c r="H406" s="29">
        <f>SUMIF(Quantitytable[Dish],Quantitytable[[#This Row],[Dish]],Quantitytable[Cost Per Dish Per Item])</f>
        <v>44.106511576381962</v>
      </c>
      <c r="I406" s="30" t="s">
        <v>501</v>
      </c>
    </row>
    <row r="407" spans="1:9" x14ac:dyDescent="0.25">
      <c r="A407" s="28" t="s">
        <v>313</v>
      </c>
      <c r="B407" s="29" t="s">
        <v>45</v>
      </c>
      <c r="C407" s="29"/>
      <c r="D407" s="29">
        <f>IF(Quantitytable[[#This Row],[Units]]=0,0,SUMIFS(Quantitytable[NeededQuantity],Quantitytable[Dish],Quantitytable[[#This Row],[Dish]],Quantitytable[[Ingredient ]],Quantitytable[[#This Row],[Ingredient ]]))</f>
        <v>0</v>
      </c>
      <c r="E407" s="29">
        <f>SUMIFS(salestable[Quantity Sold],salestable[Item Name],Quantitytable[[#This Row],[Dish]])</f>
        <v>0</v>
      </c>
      <c r="F407" s="29">
        <f>'Quantity Sample'!$D407*'Quantity Sample'!$E407</f>
        <v>0</v>
      </c>
      <c r="G407" s="29">
        <f>_xlfn.IFNA(VLOOKUP(Quantitytable[[#This Row],[Ingredient ]],Shoppingtable[[Item Name]:[BALANCE Cash]],5,FALSE),0)*Quantitytable[[#This Row],[NeededQuantity]]</f>
        <v>2.92</v>
      </c>
      <c r="H407" s="29">
        <f>SUMIF(Quantitytable[Dish],Quantitytable[[#This Row],[Dish]],Quantitytable[Cost Per Dish Per Item])</f>
        <v>44.106511576381962</v>
      </c>
      <c r="I407" s="30" t="s">
        <v>501</v>
      </c>
    </row>
    <row r="408" spans="1:9" x14ac:dyDescent="0.25">
      <c r="A408" s="28" t="s">
        <v>313</v>
      </c>
      <c r="B408" s="29" t="s">
        <v>99</v>
      </c>
      <c r="C408" s="29"/>
      <c r="D408" s="29">
        <f>IF(Quantitytable[[#This Row],[Units]]=0,0,SUMIFS(Quantitytable[NeededQuantity],Quantitytable[Dish],Quantitytable[[#This Row],[Dish]],Quantitytable[[Ingredient ]],Quantitytable[[#This Row],[Ingredient ]]))</f>
        <v>0</v>
      </c>
      <c r="E408" s="29">
        <f>SUMIFS(salestable[Quantity Sold],salestable[Item Name],Quantitytable[[#This Row],[Dish]])</f>
        <v>0</v>
      </c>
      <c r="F408" s="29">
        <f>'Quantity Sample'!$D408*'Quantity Sample'!$E408</f>
        <v>0</v>
      </c>
      <c r="G408" s="29">
        <f>_xlfn.IFNA(VLOOKUP(Quantitytable[[#This Row],[Ingredient ]],Shoppingtable[[Item Name]:[BALANCE Cash]],5,FALSE),0)*Quantitytable[[#This Row],[NeededQuantity]]</f>
        <v>0.75</v>
      </c>
      <c r="H408" s="29">
        <f>SUMIF(Quantitytable[Dish],Quantitytable[[#This Row],[Dish]],Quantitytable[Cost Per Dish Per Item])</f>
        <v>44.106511576381962</v>
      </c>
      <c r="I408" s="30" t="s">
        <v>501</v>
      </c>
    </row>
    <row r="409" spans="1:9" x14ac:dyDescent="0.25">
      <c r="A409" s="28" t="s">
        <v>313</v>
      </c>
      <c r="B409" s="29" t="s">
        <v>25</v>
      </c>
      <c r="C409" s="29"/>
      <c r="D409" s="29">
        <f>IF(Quantitytable[[#This Row],[Units]]=0,0,SUMIFS(Quantitytable[NeededQuantity],Quantitytable[Dish],Quantitytable[[#This Row],[Dish]],Quantitytable[[Ingredient ]],Quantitytable[[#This Row],[Ingredient ]]))</f>
        <v>0</v>
      </c>
      <c r="E409" s="29">
        <f>SUMIFS(salestable[Quantity Sold],salestable[Item Name],Quantitytable[[#This Row],[Dish]])</f>
        <v>0</v>
      </c>
      <c r="F409" s="29">
        <f>'Quantity Sample'!$D409*'Quantity Sample'!$E409</f>
        <v>0</v>
      </c>
      <c r="G409" s="29">
        <f>_xlfn.IFNA(VLOOKUP(Quantitytable[[#This Row],[Ingredient ]],Shoppingtable[[Item Name]:[BALANCE Cash]],5,FALSE),0)*Quantitytable[[#This Row],[NeededQuantity]]</f>
        <v>2.4900000000000002</v>
      </c>
      <c r="H409" s="29">
        <f>SUMIF(Quantitytable[Dish],Quantitytable[[#This Row],[Dish]],Quantitytable[Cost Per Dish Per Item])</f>
        <v>44.106511576381962</v>
      </c>
      <c r="I409" s="30" t="s">
        <v>501</v>
      </c>
    </row>
    <row r="410" spans="1:9" x14ac:dyDescent="0.25">
      <c r="A410" s="28" t="s">
        <v>279</v>
      </c>
      <c r="B410" s="29" t="s">
        <v>19</v>
      </c>
      <c r="C410" s="29"/>
      <c r="D410" s="29">
        <f>IF(Quantitytable[[#This Row],[Units]]=0,0,SUMIFS(Quantitytable[NeededQuantity],Quantitytable[Dish],Quantitytable[[#This Row],[Dish]],Quantitytable[[Ingredient ]],Quantitytable[[#This Row],[Ingredient ]]))</f>
        <v>0</v>
      </c>
      <c r="E410" s="29">
        <f>SUMIFS(salestable[Quantity Sold],salestable[Item Name],Quantitytable[[#This Row],[Dish]])</f>
        <v>0</v>
      </c>
      <c r="F410" s="29">
        <f>'Quantity Sample'!$D410*'Quantity Sample'!$E410</f>
        <v>0</v>
      </c>
      <c r="G410" s="29">
        <f>_xlfn.IFNA(VLOOKUP(Quantitytable[[#This Row],[Ingredient ]],Shoppingtable[[Item Name]:[BALANCE Cash]],5,FALSE),0)*Quantitytable[[#This Row],[NeededQuantity]]</f>
        <v>22.08</v>
      </c>
      <c r="H410" s="29">
        <f>SUMIF(Quantitytable[Dish],Quantitytable[[#This Row],[Dish]],Quantitytable[Cost Per Dish Per Item])</f>
        <v>44.106511576381962</v>
      </c>
      <c r="I410" s="30" t="s">
        <v>501</v>
      </c>
    </row>
    <row r="411" spans="1:9" x14ac:dyDescent="0.25">
      <c r="A411" s="28" t="s">
        <v>384</v>
      </c>
      <c r="B411" s="29" t="s">
        <v>99</v>
      </c>
      <c r="C411" s="29"/>
      <c r="D411" s="29">
        <f>IF(Quantitytable[[#This Row],[Units]]=0,0,SUMIFS(Quantitytable[NeededQuantity],Quantitytable[Dish],Quantitytable[[#This Row],[Dish]],Quantitytable[[Ingredient ]],Quantitytable[[#This Row],[Ingredient ]]))</f>
        <v>0</v>
      </c>
      <c r="E411" s="29">
        <f>SUMIFS(salestable[Quantity Sold],salestable[Item Name],Quantitytable[[#This Row],[Dish]])</f>
        <v>0</v>
      </c>
      <c r="F411" s="29">
        <f>'Quantity Sample'!$D411*'Quantity Sample'!$E411</f>
        <v>0</v>
      </c>
      <c r="G411" s="29">
        <f>_xlfn.IFNA(VLOOKUP(Quantitytable[[#This Row],[Ingredient ]],Shoppingtable[[Item Name]:[BALANCE Cash]],5,FALSE),0)*Quantitytable[[#This Row],[NeededQuantity]]</f>
        <v>7.5</v>
      </c>
      <c r="H411" s="29">
        <f>SUMIF(Quantitytable[Dish],Quantitytable[[#This Row],[Dish]],Quantitytable[Cost Per Dish Per Item])</f>
        <v>44.106511576381962</v>
      </c>
      <c r="I411" s="30" t="s">
        <v>501</v>
      </c>
    </row>
    <row r="412" spans="1:9" x14ac:dyDescent="0.25">
      <c r="A412" s="28" t="s">
        <v>281</v>
      </c>
      <c r="B412" s="29" t="s">
        <v>79</v>
      </c>
      <c r="C412" s="29"/>
      <c r="D412" s="29">
        <f>IF(Quantitytable[[#This Row],[Units]]=0,0,SUMIFS(Quantitytable[NeededQuantity],Quantitytable[Dish],Quantitytable[[#This Row],[Dish]],Quantitytable[[Ingredient ]],Quantitytable[[#This Row],[Ingredient ]]))</f>
        <v>0</v>
      </c>
      <c r="E412" s="29">
        <f>SUMIFS(salestable[Quantity Sold],salestable[Item Name],Quantitytable[[#This Row],[Dish]])</f>
        <v>0</v>
      </c>
      <c r="F412" s="29">
        <f>'Quantity Sample'!$D412*'Quantity Sample'!$E412</f>
        <v>0</v>
      </c>
      <c r="G412" s="29">
        <f>_xlfn.IFNA(VLOOKUP(Quantitytable[[#This Row],[Ingredient ]],Shoppingtable[[Item Name]:[BALANCE Cash]],5,FALSE),0)*Quantitytable[[#This Row],[NeededQuantity]]</f>
        <v>4</v>
      </c>
      <c r="H412" s="29">
        <f>SUMIF(Quantitytable[Dish],Quantitytable[[#This Row],[Dish]],Quantitytable[Cost Per Dish Per Item])</f>
        <v>44.106511576381962</v>
      </c>
      <c r="I412" s="30" t="s">
        <v>501</v>
      </c>
    </row>
    <row r="413" spans="1:9" x14ac:dyDescent="0.25">
      <c r="A413" s="28" t="s">
        <v>386</v>
      </c>
      <c r="B413" s="29" t="s">
        <v>99</v>
      </c>
      <c r="C413" s="29"/>
      <c r="D413" s="29">
        <f>IF(Quantitytable[[#This Row],[Units]]=0,0,SUMIFS(Quantitytable[NeededQuantity],Quantitytable[Dish],Quantitytable[[#This Row],[Dish]],Quantitytable[[Ingredient ]],Quantitytable[[#This Row],[Ingredient ]]))</f>
        <v>0</v>
      </c>
      <c r="E413" s="29">
        <f>SUMIFS(salestable[Quantity Sold],salestable[Item Name],Quantitytable[[#This Row],[Dish]])</f>
        <v>0</v>
      </c>
      <c r="F413" s="29">
        <f>'Quantity Sample'!$D413*'Quantity Sample'!$E413</f>
        <v>0</v>
      </c>
      <c r="G413" s="29">
        <f>_xlfn.IFNA(VLOOKUP(Quantitytable[[#This Row],[Ingredient ]],Shoppingtable[[Item Name]:[BALANCE Cash]],5,FALSE),0)*Quantitytable[[#This Row],[NeededQuantity]]</f>
        <v>0.3</v>
      </c>
      <c r="H413" s="29">
        <f>SUMIF(Quantitytable[Dish],Quantitytable[[#This Row],[Dish]],Quantitytable[Cost Per Dish Per Item])</f>
        <v>35.339011576381964</v>
      </c>
      <c r="I413" s="30" t="s">
        <v>501</v>
      </c>
    </row>
    <row r="414" spans="1:9" x14ac:dyDescent="0.25">
      <c r="A414" s="28" t="s">
        <v>326</v>
      </c>
      <c r="B414" s="29" t="s">
        <v>71</v>
      </c>
      <c r="C414" s="29"/>
      <c r="D414" s="29">
        <f>IF(Quantitytable[[#This Row],[Units]]=0,0,SUMIFS(Quantitytable[NeededQuantity],Quantitytable[Dish],Quantitytable[[#This Row],[Dish]],Quantitytable[[Ingredient ]],Quantitytable[[#This Row],[Ingredient ]]))</f>
        <v>0</v>
      </c>
      <c r="E414" s="29">
        <f>SUMIFS(salestable[Quantity Sold],salestable[Item Name],Quantitytable[[#This Row],[Dish]])</f>
        <v>0</v>
      </c>
      <c r="F414" s="29">
        <f>'Quantity Sample'!$D414*'Quantity Sample'!$E414</f>
        <v>0</v>
      </c>
      <c r="G414" s="29">
        <f>_xlfn.IFNA(VLOOKUP(Quantitytable[[#This Row],[Ingredient ]],Shoppingtable[[Item Name]:[BALANCE Cash]],5,FALSE),0)*Quantitytable[[#This Row],[NeededQuantity]]</f>
        <v>0.31111111111111112</v>
      </c>
      <c r="H414" s="29">
        <f>SUMIF(Quantitytable[Dish],Quantitytable[[#This Row],[Dish]],Quantitytable[Cost Per Dish Per Item])</f>
        <v>35.339011576381964</v>
      </c>
      <c r="I414" s="30" t="s">
        <v>501</v>
      </c>
    </row>
    <row r="415" spans="1:9" x14ac:dyDescent="0.25">
      <c r="A415" s="28" t="s">
        <v>326</v>
      </c>
      <c r="B415" s="29" t="s">
        <v>99</v>
      </c>
      <c r="C415" s="29"/>
      <c r="D415" s="29">
        <f>IF(Quantitytable[[#This Row],[Units]]=0,0,SUMIFS(Quantitytable[NeededQuantity],Quantitytable[Dish],Quantitytable[[#This Row],[Dish]],Quantitytable[[Ingredient ]],Quantitytable[[#This Row],[Ingredient ]]))</f>
        <v>0</v>
      </c>
      <c r="E415" s="29">
        <f>SUMIFS(salestable[Quantity Sold],salestable[Item Name],Quantitytable[[#This Row],[Dish]])</f>
        <v>0</v>
      </c>
      <c r="F415" s="29">
        <f>'Quantity Sample'!$D415*'Quantity Sample'!$E415</f>
        <v>0</v>
      </c>
      <c r="G415" s="29">
        <f>_xlfn.IFNA(VLOOKUP(Quantitytable[[#This Row],[Ingredient ]],Shoppingtable[[Item Name]:[BALANCE Cash]],5,FALSE),0)*Quantitytable[[#This Row],[NeededQuantity]]</f>
        <v>0.3</v>
      </c>
      <c r="H415" s="29">
        <f>SUMIF(Quantitytable[Dish],Quantitytable[[#This Row],[Dish]],Quantitytable[Cost Per Dish Per Item])</f>
        <v>35.339011576381964</v>
      </c>
      <c r="I415" s="30" t="s">
        <v>501</v>
      </c>
    </row>
    <row r="416" spans="1:9" x14ac:dyDescent="0.25">
      <c r="A416" s="28" t="s">
        <v>326</v>
      </c>
      <c r="B416" s="29" t="s">
        <v>11</v>
      </c>
      <c r="C416" s="29"/>
      <c r="D416" s="29">
        <f>IF(Quantitytable[[#This Row],[Units]]=0,0,SUMIFS(Quantitytable[NeededQuantity],Quantitytable[Dish],Quantitytable[[#This Row],[Dish]],Quantitytable[[Ingredient ]],Quantitytable[[#This Row],[Ingredient ]]))</f>
        <v>0</v>
      </c>
      <c r="E416" s="29">
        <f>SUMIFS(salestable[Quantity Sold],salestable[Item Name],Quantitytable[[#This Row],[Dish]])</f>
        <v>0</v>
      </c>
      <c r="F416" s="29">
        <f>'Quantity Sample'!$D416*'Quantity Sample'!$E416</f>
        <v>0</v>
      </c>
      <c r="G416" s="29">
        <f>_xlfn.IFNA(VLOOKUP(Quantitytable[[#This Row],[Ingredient ]],Shoppingtable[[Item Name]:[BALANCE Cash]],5,FALSE),0)*Quantitytable[[#This Row],[NeededQuantity]]</f>
        <v>0.4</v>
      </c>
      <c r="H416" s="29">
        <f>SUMIF(Quantitytable[Dish],Quantitytable[[#This Row],[Dish]],Quantitytable[Cost Per Dish Per Item])</f>
        <v>35.339011576381964</v>
      </c>
      <c r="I416" s="30" t="s">
        <v>501</v>
      </c>
    </row>
    <row r="417" spans="1:9" x14ac:dyDescent="0.25">
      <c r="A417" s="28" t="s">
        <v>324</v>
      </c>
      <c r="B417" s="29" t="s">
        <v>71</v>
      </c>
      <c r="C417" s="29"/>
      <c r="D417" s="29">
        <f>IF(Quantitytable[[#This Row],[Units]]=0,0,SUMIFS(Quantitytable[NeededQuantity],Quantitytable[Dish],Quantitytable[[#This Row],[Dish]],Quantitytable[[Ingredient ]],Quantitytable[[#This Row],[Ingredient ]]))</f>
        <v>0</v>
      </c>
      <c r="E417" s="29">
        <f>SUMIFS(salestable[Quantity Sold],salestable[Item Name],Quantitytable[[#This Row],[Dish]])</f>
        <v>0</v>
      </c>
      <c r="F417" s="29">
        <f>'Quantity Sample'!$D417*'Quantity Sample'!$E417</f>
        <v>0</v>
      </c>
      <c r="G417" s="29">
        <f>_xlfn.IFNA(VLOOKUP(Quantitytable[[#This Row],[Ingredient ]],Shoppingtable[[Item Name]:[BALANCE Cash]],5,FALSE),0)*Quantitytable[[#This Row],[NeededQuantity]]</f>
        <v>0.72941176470588232</v>
      </c>
      <c r="H417" s="29">
        <f>SUMIF(Quantitytable[Dish],Quantitytable[[#This Row],[Dish]],Quantitytable[Cost Per Dish Per Item])</f>
        <v>35.339011576381964</v>
      </c>
      <c r="I417" s="30" t="s">
        <v>501</v>
      </c>
    </row>
    <row r="418" spans="1:9" x14ac:dyDescent="0.25">
      <c r="A418" s="28" t="s">
        <v>324</v>
      </c>
      <c r="B418" s="29" t="s">
        <v>11</v>
      </c>
      <c r="C418" s="29"/>
      <c r="D418" s="29">
        <f>IF(Quantitytable[[#This Row],[Units]]=0,0,SUMIFS(Quantitytable[NeededQuantity],Quantitytable[Dish],Quantitytable[[#This Row],[Dish]],Quantitytable[[Ingredient ]],Quantitytable[[#This Row],[Ingredient ]]))</f>
        <v>0</v>
      </c>
      <c r="E418" s="29">
        <f>SUMIFS(salestable[Quantity Sold],salestable[Item Name],Quantitytable[[#This Row],[Dish]])</f>
        <v>0</v>
      </c>
      <c r="F418" s="29">
        <f>'Quantity Sample'!$D418*'Quantity Sample'!$E418</f>
        <v>0</v>
      </c>
      <c r="G418" s="29">
        <f>_xlfn.IFNA(VLOOKUP(Quantitytable[[#This Row],[Ingredient ]],Shoppingtable[[Item Name]:[BALANCE Cash]],5,FALSE),0)*Quantitytable[[#This Row],[NeededQuantity]]</f>
        <v>2.1</v>
      </c>
      <c r="H418" s="29">
        <f>SUMIF(Quantitytable[Dish],Quantitytable[[#This Row],[Dish]],Quantitytable[Cost Per Dish Per Item])</f>
        <v>35.339011576381964</v>
      </c>
      <c r="I418" s="30" t="s">
        <v>501</v>
      </c>
    </row>
    <row r="419" spans="1:9" x14ac:dyDescent="0.25">
      <c r="A419" s="28" t="s">
        <v>231</v>
      </c>
      <c r="B419" s="29" t="s">
        <v>46</v>
      </c>
      <c r="C419" s="29"/>
      <c r="D419" s="29">
        <f>IF(Quantitytable[[#This Row],[Units]]=0,0,SUMIFS(Quantitytable[NeededQuantity],Quantitytable[Dish],Quantitytable[[#This Row],[Dish]],Quantitytable[[Ingredient ]],Quantitytable[[#This Row],[Ingredient ]]))</f>
        <v>0</v>
      </c>
      <c r="E419" s="29">
        <f>SUMIFS(salestable[Quantity Sold],salestable[Item Name],Quantitytable[[#This Row],[Dish]])</f>
        <v>0</v>
      </c>
      <c r="F419" s="29">
        <f>'Quantity Sample'!$D419*'Quantity Sample'!$E419</f>
        <v>0</v>
      </c>
      <c r="G419" s="29">
        <f>_xlfn.IFNA(VLOOKUP(Quantitytable[[#This Row],[Ingredient ]],Shoppingtable[[Item Name]:[BALANCE Cash]],5,FALSE),0)*Quantitytable[[#This Row],[NeededQuantity]]</f>
        <v>0.22598870056497175</v>
      </c>
      <c r="H419" s="29">
        <f>SUMIF(Quantitytable[Dish],Quantitytable[[#This Row],[Dish]],Quantitytable[Cost Per Dish Per Item])</f>
        <v>35.339011576381964</v>
      </c>
      <c r="I419" s="30" t="s">
        <v>501</v>
      </c>
    </row>
    <row r="420" spans="1:9" x14ac:dyDescent="0.25">
      <c r="A420" s="28" t="s">
        <v>231</v>
      </c>
      <c r="B420" s="29" t="s">
        <v>75</v>
      </c>
      <c r="C420" s="29"/>
      <c r="D420" s="29">
        <f>IF(Quantitytable[[#This Row],[Units]]=0,0,SUMIFS(Quantitytable[NeededQuantity],Quantitytable[Dish],Quantitytable[[#This Row],[Dish]],Quantitytable[[Ingredient ]],Quantitytable[[#This Row],[Ingredient ]]))</f>
        <v>0</v>
      </c>
      <c r="E420" s="29">
        <f>SUMIFS(salestable[Quantity Sold],salestable[Item Name],Quantitytable[[#This Row],[Dish]])</f>
        <v>0</v>
      </c>
      <c r="F420" s="29">
        <f>'Quantity Sample'!$D420*'Quantity Sample'!$E420</f>
        <v>0</v>
      </c>
      <c r="G420" s="29">
        <f>_xlfn.IFNA(VLOOKUP(Quantitytable[[#This Row],[Ingredient ]],Shoppingtable[[Item Name]:[BALANCE Cash]],5,FALSE),0)*Quantitytable[[#This Row],[NeededQuantity]]</f>
        <v>2.92</v>
      </c>
      <c r="H420" s="29">
        <f>SUMIF(Quantitytable[Dish],Quantitytable[[#This Row],[Dish]],Quantitytable[Cost Per Dish Per Item])</f>
        <v>35.339011576381964</v>
      </c>
      <c r="I420" s="30" t="s">
        <v>501</v>
      </c>
    </row>
    <row r="421" spans="1:9" x14ac:dyDescent="0.25">
      <c r="A421" s="28" t="s">
        <v>231</v>
      </c>
      <c r="B421" s="29" t="s">
        <v>25</v>
      </c>
      <c r="C421" s="29"/>
      <c r="D421" s="29">
        <f>IF(Quantitytable[[#This Row],[Units]]=0,0,SUMIFS(Quantitytable[NeededQuantity],Quantitytable[Dish],Quantitytable[[#This Row],[Dish]],Quantitytable[[Ingredient ]],Quantitytable[[#This Row],[Ingredient ]]))</f>
        <v>0</v>
      </c>
      <c r="E421" s="29">
        <f>SUMIFS(salestable[Quantity Sold],salestable[Item Name],Quantitytable[[#This Row],[Dish]])</f>
        <v>0</v>
      </c>
      <c r="F421" s="29">
        <f>'Quantity Sample'!$D421*'Quantity Sample'!$E421</f>
        <v>0</v>
      </c>
      <c r="G421" s="29">
        <f>_xlfn.IFNA(VLOOKUP(Quantitytable[[#This Row],[Ingredient ]],Shoppingtable[[Item Name]:[BALANCE Cash]],5,FALSE),0)*Quantitytable[[#This Row],[NeededQuantity]]</f>
        <v>0.75</v>
      </c>
      <c r="H421" s="29">
        <f>SUMIF(Quantitytable[Dish],Quantitytable[[#This Row],[Dish]],Quantitytable[Cost Per Dish Per Item])</f>
        <v>35.339011576381964</v>
      </c>
      <c r="I421" s="30" t="s">
        <v>501</v>
      </c>
    </row>
    <row r="422" spans="1:9" x14ac:dyDescent="0.25">
      <c r="A422" s="28" t="s">
        <v>191</v>
      </c>
      <c r="B422" s="29" t="s">
        <v>73</v>
      </c>
      <c r="C422" s="29"/>
      <c r="D422" s="29">
        <f>IF(Quantitytable[[#This Row],[Units]]=0,0,SUMIFS(Quantitytable[NeededQuantity],Quantitytable[Dish],Quantitytable[[#This Row],[Dish]],Quantitytable[[Ingredient ]],Quantitytable[[#This Row],[Ingredient ]]))</f>
        <v>0</v>
      </c>
      <c r="E422" s="29">
        <f>SUMIFS(salestable[Quantity Sold],salestable[Item Name],Quantitytable[[#This Row],[Dish]])</f>
        <v>0</v>
      </c>
      <c r="F422" s="29">
        <f>'Quantity Sample'!$D422*'Quantity Sample'!$E422</f>
        <v>0</v>
      </c>
      <c r="G422" s="29">
        <f>_xlfn.IFNA(VLOOKUP(Quantitytable[[#This Row],[Ingredient ]],Shoppingtable[[Item Name]:[BALANCE Cash]],5,FALSE),0)*Quantitytable[[#This Row],[NeededQuantity]]</f>
        <v>2.4900000000000002</v>
      </c>
      <c r="H422" s="29">
        <f>SUMIF(Quantitytable[Dish],Quantitytable[[#This Row],[Dish]],Quantitytable[Cost Per Dish Per Item])</f>
        <v>35.339011576381964</v>
      </c>
      <c r="I422" s="30" t="s">
        <v>501</v>
      </c>
    </row>
    <row r="423" spans="1:9" x14ac:dyDescent="0.25">
      <c r="A423" s="28" t="s">
        <v>191</v>
      </c>
      <c r="B423" s="29" t="s">
        <v>25</v>
      </c>
      <c r="C423" s="29"/>
      <c r="D423" s="29">
        <f>IF(Quantitytable[[#This Row],[Units]]=0,0,SUMIFS(Quantitytable[NeededQuantity],Quantitytable[Dish],Quantitytable[[#This Row],[Dish]],Quantitytable[[Ingredient ]],Quantitytable[[#This Row],[Ingredient ]]))</f>
        <v>0</v>
      </c>
      <c r="E423" s="29">
        <f>SUMIFS(salestable[Quantity Sold],salestable[Item Name],Quantitytable[[#This Row],[Dish]])</f>
        <v>0</v>
      </c>
      <c r="F423" s="29">
        <f>'Quantity Sample'!$D423*'Quantity Sample'!$E423</f>
        <v>0</v>
      </c>
      <c r="G423" s="29">
        <f>_xlfn.IFNA(VLOOKUP(Quantitytable[[#This Row],[Ingredient ]],Shoppingtable[[Item Name]:[BALANCE Cash]],5,FALSE),0)*Quantitytable[[#This Row],[NeededQuantity]]</f>
        <v>13.3125</v>
      </c>
      <c r="H423" s="29">
        <f>SUMIF(Quantitytable[Dish],Quantitytable[[#This Row],[Dish]],Quantitytable[Cost Per Dish Per Item])</f>
        <v>35.339011576381964</v>
      </c>
      <c r="I423" s="30" t="s">
        <v>501</v>
      </c>
    </row>
    <row r="424" spans="1:9" x14ac:dyDescent="0.25">
      <c r="A424" s="28" t="s">
        <v>191</v>
      </c>
      <c r="B424" s="29" t="s">
        <v>11</v>
      </c>
      <c r="C424" s="29"/>
      <c r="D424" s="29">
        <f>IF(Quantitytable[[#This Row],[Units]]=0,0,SUMIFS(Quantitytable[NeededQuantity],Quantitytable[Dish],Quantitytable[[#This Row],[Dish]],Quantitytable[[Ingredient ]],Quantitytable[[#This Row],[Ingredient ]]))</f>
        <v>0</v>
      </c>
      <c r="E424" s="29">
        <f>SUMIFS(salestable[Quantity Sold],salestable[Item Name],Quantitytable[[#This Row],[Dish]])</f>
        <v>0</v>
      </c>
      <c r="F424" s="29">
        <f>'Quantity Sample'!$D424*'Quantity Sample'!$E424</f>
        <v>0</v>
      </c>
      <c r="G424" s="29">
        <f>_xlfn.IFNA(VLOOKUP(Quantitytable[[#This Row],[Ingredient ]],Shoppingtable[[Item Name]:[BALANCE Cash]],5,FALSE),0)*Quantitytable[[#This Row],[NeededQuantity]]</f>
        <v>7.5</v>
      </c>
      <c r="H424" s="29">
        <f>SUMIF(Quantitytable[Dish],Quantitytable[[#This Row],[Dish]],Quantitytable[Cost Per Dish Per Item])</f>
        <v>35.339011576381964</v>
      </c>
      <c r="I424" s="30" t="s">
        <v>501</v>
      </c>
    </row>
    <row r="425" spans="1:9" x14ac:dyDescent="0.25">
      <c r="A425" s="28" t="s">
        <v>187</v>
      </c>
      <c r="B425" s="29" t="s">
        <v>93</v>
      </c>
      <c r="C425" s="29"/>
      <c r="D425" s="29">
        <f>IF(Quantitytable[[#This Row],[Units]]=0,0,SUMIFS(Quantitytable[NeededQuantity],Quantitytable[Dish],Quantitytable[[#This Row],[Dish]],Quantitytable[[Ingredient ]],Quantitytable[[#This Row],[Ingredient ]]))</f>
        <v>0</v>
      </c>
      <c r="E425" s="29">
        <f>SUMIFS(salestable[Quantity Sold],salestable[Item Name],Quantitytable[[#This Row],[Dish]])</f>
        <v>0</v>
      </c>
      <c r="F425" s="29">
        <f>'Quantity Sample'!$D425*'Quantity Sample'!$E425</f>
        <v>0</v>
      </c>
      <c r="G425" s="29">
        <f>_xlfn.IFNA(VLOOKUP(Quantitytable[[#This Row],[Ingredient ]],Shoppingtable[[Item Name]:[BALANCE Cash]],5,FALSE),0)*Quantitytable[[#This Row],[NeededQuantity]]</f>
        <v>4</v>
      </c>
      <c r="H425" s="29">
        <f>SUMIF(Quantitytable[Dish],Quantitytable[[#This Row],[Dish]],Quantitytable[Cost Per Dish Per Item])</f>
        <v>35.339011576381964</v>
      </c>
      <c r="I425" s="30" t="s">
        <v>501</v>
      </c>
    </row>
    <row r="426" spans="1:9" x14ac:dyDescent="0.25">
      <c r="A426" s="28" t="s">
        <v>187</v>
      </c>
      <c r="B426" s="29" t="s">
        <v>99</v>
      </c>
      <c r="C426" s="29"/>
      <c r="D426" s="29">
        <f>IF(Quantitytable[[#This Row],[Units]]=0,0,SUMIFS(Quantitytable[NeededQuantity],Quantitytable[Dish],Quantitytable[[#This Row],[Dish]],Quantitytable[[Ingredient ]],Quantitytable[[#This Row],[Ingredient ]]))</f>
        <v>0</v>
      </c>
      <c r="E426" s="29">
        <f>SUMIFS(salestable[Quantity Sold],salestable[Item Name],Quantitytable[[#This Row],[Dish]])</f>
        <v>0</v>
      </c>
      <c r="F426" s="29">
        <f>'Quantity Sample'!$D426*'Quantity Sample'!$E426</f>
        <v>0</v>
      </c>
      <c r="G426" s="29">
        <f>_xlfn.IFNA(VLOOKUP(Quantitytable[[#This Row],[Ingredient ]],Shoppingtable[[Item Name]:[BALANCE Cash]],5,FALSE),0)*Quantitytable[[#This Row],[NeededQuantity]]</f>
        <v>14</v>
      </c>
      <c r="H426" s="29">
        <f>SUMIF(Quantitytable[Dish],Quantitytable[[#This Row],[Dish]],Quantitytable[Cost Per Dish Per Item])</f>
        <v>35.946176470588235</v>
      </c>
      <c r="I426" s="30" t="s">
        <v>501</v>
      </c>
    </row>
    <row r="427" spans="1:9" x14ac:dyDescent="0.25">
      <c r="A427" s="28" t="s">
        <v>187</v>
      </c>
      <c r="B427" s="29" t="s">
        <v>11</v>
      </c>
      <c r="C427" s="29"/>
      <c r="D427" s="29">
        <f>IF(Quantitytable[[#This Row],[Units]]=0,0,SUMIFS(Quantitytable[NeededQuantity],Quantitytable[Dish],Quantitytable[[#This Row],[Dish]],Quantitytable[[Ingredient ]],Quantitytable[[#This Row],[Ingredient ]]))</f>
        <v>0</v>
      </c>
      <c r="E427" s="29">
        <f>SUMIFS(salestable[Quantity Sold],salestable[Item Name],Quantitytable[[#This Row],[Dish]])</f>
        <v>0</v>
      </c>
      <c r="F427" s="29">
        <f>'Quantity Sample'!$D427*'Quantity Sample'!$E427</f>
        <v>0</v>
      </c>
      <c r="G427" s="29">
        <f>_xlfn.IFNA(VLOOKUP(Quantitytable[[#This Row],[Ingredient ]],Shoppingtable[[Item Name]:[BALANCE Cash]],5,FALSE),0)*Quantitytable[[#This Row],[NeededQuantity]]</f>
        <v>10.941176470588236</v>
      </c>
      <c r="H427" s="29">
        <f>SUMIF(Quantitytable[Dish],Quantitytable[[#This Row],[Dish]],Quantitytable[Cost Per Dish Per Item])</f>
        <v>35.946176470588235</v>
      </c>
      <c r="I427" s="30" t="s">
        <v>501</v>
      </c>
    </row>
    <row r="428" spans="1:9" x14ac:dyDescent="0.25">
      <c r="A428" s="28" t="s">
        <v>189</v>
      </c>
      <c r="B428" s="29" t="s">
        <v>73</v>
      </c>
      <c r="C428" s="29"/>
      <c r="D428" s="29">
        <f>IF(Quantitytable[[#This Row],[Units]]=0,0,SUMIFS(Quantitytable[NeededQuantity],Quantitytable[Dish],Quantitytable[[#This Row],[Dish]],Quantitytable[[Ingredient ]],Quantitytable[[#This Row],[Ingredient ]]))</f>
        <v>0</v>
      </c>
      <c r="E428" s="29">
        <f>SUMIFS(salestable[Quantity Sold],salestable[Item Name],Quantitytable[[#This Row],[Dish]])</f>
        <v>0</v>
      </c>
      <c r="F428" s="29">
        <f>'Quantity Sample'!$D428*'Quantity Sample'!$E428</f>
        <v>0</v>
      </c>
      <c r="G428" s="29">
        <f>_xlfn.IFNA(VLOOKUP(Quantitytable[[#This Row],[Ingredient ]],Shoppingtable[[Item Name]:[BALANCE Cash]],5,FALSE),0)*Quantitytable[[#This Row],[NeededQuantity]]</f>
        <v>2.0750000000000002</v>
      </c>
      <c r="H428" s="29">
        <f>SUMIF(Quantitytable[Dish],Quantitytable[[#This Row],[Dish]],Quantitytable[Cost Per Dish Per Item])</f>
        <v>35.946176470588235</v>
      </c>
      <c r="I428" s="30" t="s">
        <v>501</v>
      </c>
    </row>
    <row r="429" spans="1:9" x14ac:dyDescent="0.25">
      <c r="A429" s="28" t="s">
        <v>189</v>
      </c>
      <c r="B429" s="29" t="s">
        <v>99</v>
      </c>
      <c r="C429" s="29"/>
      <c r="D429" s="29">
        <f>IF(Quantitytable[[#This Row],[Units]]=0,0,SUMIFS(Quantitytable[NeededQuantity],Quantitytable[Dish],Quantitytable[[#This Row],[Dish]],Quantitytable[[Ingredient ]],Quantitytable[[#This Row],[Ingredient ]]))</f>
        <v>0</v>
      </c>
      <c r="E429" s="29">
        <f>SUMIFS(salestable[Quantity Sold],salestable[Item Name],Quantitytable[[#This Row],[Dish]])</f>
        <v>0</v>
      </c>
      <c r="F429" s="29">
        <f>'Quantity Sample'!$D429*'Quantity Sample'!$E429</f>
        <v>0</v>
      </c>
      <c r="G429" s="29">
        <f>_xlfn.IFNA(VLOOKUP(Quantitytable[[#This Row],[Ingredient ]],Shoppingtable[[Item Name]:[BALANCE Cash]],5,FALSE),0)*Quantitytable[[#This Row],[NeededQuantity]]</f>
        <v>2.8</v>
      </c>
      <c r="H429" s="29">
        <f>SUMIF(Quantitytable[Dish],Quantitytable[[#This Row],[Dish]],Quantitytable[Cost Per Dish Per Item])</f>
        <v>35.946176470588235</v>
      </c>
      <c r="I429" s="30" t="s">
        <v>501</v>
      </c>
    </row>
    <row r="430" spans="1:9" x14ac:dyDescent="0.25">
      <c r="A430" s="28" t="s">
        <v>189</v>
      </c>
      <c r="B430" s="29" t="s">
        <v>11</v>
      </c>
      <c r="C430" s="29"/>
      <c r="D430" s="29">
        <f>IF(Quantitytable[[#This Row],[Units]]=0,0,SUMIFS(Quantitytable[NeededQuantity],Quantitytable[Dish],Quantitytable[[#This Row],[Dish]],Quantitytable[[Ingredient ]],Quantitytable[[#This Row],[Ingredient ]]))</f>
        <v>0</v>
      </c>
      <c r="E430" s="29">
        <f>SUMIFS(salestable[Quantity Sold],salestable[Item Name],Quantitytable[[#This Row],[Dish]])</f>
        <v>0</v>
      </c>
      <c r="F430" s="29">
        <f>'Quantity Sample'!$D430*'Quantity Sample'!$E430</f>
        <v>0</v>
      </c>
      <c r="G430" s="29">
        <f>_xlfn.IFNA(VLOOKUP(Quantitytable[[#This Row],[Ingredient ]],Shoppingtable[[Item Name]:[BALANCE Cash]],5,FALSE),0)*Quantitytable[[#This Row],[NeededQuantity]]</f>
        <v>0</v>
      </c>
      <c r="H430" s="29">
        <f>SUMIF(Quantitytable[Dish],Quantitytable[[#This Row],[Dish]],Quantitytable[Cost Per Dish Per Item])</f>
        <v>35.946176470588235</v>
      </c>
      <c r="I430" s="30" t="s">
        <v>501</v>
      </c>
    </row>
    <row r="431" spans="1:9" x14ac:dyDescent="0.25">
      <c r="A431" s="31" t="s">
        <v>249</v>
      </c>
      <c r="B431" s="32" t="s">
        <v>109</v>
      </c>
      <c r="C431" s="32"/>
      <c r="D431" s="32">
        <f>IF(Quantitytable[[#This Row],[Units]]=0,0,SUMIFS(Quantitytable[NeededQuantity],Quantitytable[Dish],Quantitytable[[#This Row],[Dish]],Quantitytable[[Ingredient ]],Quantitytable[[#This Row],[Ingredient ]]))</f>
        <v>0</v>
      </c>
      <c r="E431" s="32">
        <f>SUMIFS(salestable[Quantity Sold],salestable[Item Name],Quantitytable[[#This Row],[Dish]])</f>
        <v>0</v>
      </c>
      <c r="F431" s="32">
        <f>'Quantity Sample'!$D431*'Quantity Sample'!$E431</f>
        <v>0</v>
      </c>
      <c r="G431" s="32">
        <f>_xlfn.IFNA(VLOOKUP(Quantitytable[[#This Row],[Ingredient ]],Shoppingtable[[Item Name]:[BALANCE Cash]],5,FALSE),0)*Quantitytable[[#This Row],[NeededQuantity]]</f>
        <v>0.75</v>
      </c>
      <c r="H431" s="32">
        <f>SUMIF(Quantitytable[Dish],Quantitytable[[#This Row],[Dish]],Quantitytable[Cost Per Dish Per Item])</f>
        <v>35.946176470588235</v>
      </c>
      <c r="I431" s="33" t="s">
        <v>501</v>
      </c>
    </row>
  </sheetData>
  <conditionalFormatting sqref="I1:I431">
    <cfRule type="containsText" dxfId="5" priority="1" operator="containsText" text="Non-Live">
      <formula>NOT(ISERROR(SEARCH("Non-Live",I1)))</formula>
    </cfRule>
  </conditionalFormatting>
  <dataValidations count="1">
    <dataValidation type="list" allowBlank="1" showInputMessage="1" showErrorMessage="1" sqref="I1:I431" xr:uid="{FB519CA6-0F53-4247-A209-756CBD56D6DA}">
      <formula1>"Live,Non-Live"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85542A8-F6CA-4004-B354-6443F804A1B4}">
          <x14:formula1>
            <xm:f>Inventory!$B$7:$B$195</xm:f>
          </x14:formula1>
          <xm:sqref>B1:B208 B210:B415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01E51-5002-4540-9202-8DF907C06BCE}">
  <dimension ref="A1:AF13"/>
  <sheetViews>
    <sheetView showGridLines="0" workbookViewId="0">
      <pane ySplit="6" topLeftCell="A7" activePane="bottomLeft" state="frozen"/>
      <selection pane="bottomLeft" activeCell="F22" sqref="F22"/>
    </sheetView>
  </sheetViews>
  <sheetFormatPr defaultRowHeight="15" x14ac:dyDescent="0.25"/>
  <cols>
    <col min="1" max="1" width="12" customWidth="1"/>
    <col min="2" max="2" width="19.5703125" customWidth="1"/>
    <col min="3" max="3" width="16.85546875" customWidth="1"/>
    <col min="4" max="4" width="21.7109375" customWidth="1"/>
    <col min="5" max="5" width="18.28515625" customWidth="1"/>
    <col min="6" max="6" width="30" customWidth="1"/>
    <col min="7" max="7" width="25.140625" customWidth="1"/>
    <col min="8" max="8" width="16.85546875" customWidth="1"/>
    <col min="9" max="9" width="17.42578125" customWidth="1"/>
    <col min="10" max="10" width="19.7109375" customWidth="1"/>
    <col min="11" max="11" width="18.42578125" customWidth="1"/>
    <col min="12" max="12" width="16.7109375" customWidth="1"/>
    <col min="13" max="13" width="18.85546875" customWidth="1"/>
    <col min="14" max="14" width="19.28515625" customWidth="1"/>
    <col min="15" max="15" width="18.5703125" customWidth="1"/>
    <col min="16" max="16" width="11.28515625" customWidth="1"/>
    <col min="17" max="17" width="17.42578125" customWidth="1"/>
    <col min="18" max="18" width="18.42578125" customWidth="1"/>
    <col min="19" max="19" width="18.7109375" customWidth="1"/>
    <col min="20" max="20" width="17.5703125" customWidth="1"/>
    <col min="21" max="22" width="19.85546875" bestFit="1" customWidth="1"/>
    <col min="25" max="25" width="13.140625" bestFit="1" customWidth="1"/>
    <col min="26" max="26" width="12.5703125" bestFit="1" customWidth="1"/>
    <col min="28" max="28" width="13.140625" bestFit="1" customWidth="1"/>
    <col min="29" max="29" width="21.42578125" bestFit="1" customWidth="1"/>
    <col min="30" max="30" width="24.42578125" bestFit="1" customWidth="1"/>
    <col min="31" max="32" width="23.140625" bestFit="1" customWidth="1"/>
    <col min="34" max="34" width="12.42578125" bestFit="1" customWidth="1"/>
    <col min="35" max="36" width="19.28515625" bestFit="1" customWidth="1"/>
  </cols>
  <sheetData>
    <row r="1" spans="1:32" s="2" customFormat="1" x14ac:dyDescent="0.25"/>
    <row r="2" spans="1:32" s="2" customFormat="1" x14ac:dyDescent="0.25"/>
    <row r="3" spans="1:32" s="2" customFormat="1" x14ac:dyDescent="0.25"/>
    <row r="4" spans="1:32" s="2" customFormat="1" x14ac:dyDescent="0.25"/>
    <row r="6" spans="1:32" x14ac:dyDescent="0.25">
      <c r="A6" s="8" t="s">
        <v>352</v>
      </c>
      <c r="B6" s="8" t="s">
        <v>344</v>
      </c>
      <c r="C6" s="8" t="s">
        <v>433</v>
      </c>
      <c r="D6" s="3" t="s">
        <v>345</v>
      </c>
      <c r="E6" s="3" t="s">
        <v>346</v>
      </c>
      <c r="F6" s="3" t="s">
        <v>348</v>
      </c>
      <c r="G6" s="3" t="s">
        <v>347</v>
      </c>
      <c r="H6" s="3" t="s">
        <v>437</v>
      </c>
      <c r="I6" s="3" t="s">
        <v>441</v>
      </c>
      <c r="J6" s="3" t="s">
        <v>440</v>
      </c>
      <c r="K6" s="3" t="s">
        <v>439</v>
      </c>
      <c r="L6" s="3" t="s">
        <v>438</v>
      </c>
      <c r="M6" s="3" t="s">
        <v>349</v>
      </c>
      <c r="N6" s="3" t="s">
        <v>350</v>
      </c>
      <c r="O6" s="3" t="s">
        <v>434</v>
      </c>
      <c r="P6" s="3" t="s">
        <v>351</v>
      </c>
      <c r="Q6" s="3" t="s">
        <v>442</v>
      </c>
      <c r="R6" s="3" t="s">
        <v>443</v>
      </c>
      <c r="S6" s="3" t="s">
        <v>444</v>
      </c>
      <c r="T6" s="3" t="s">
        <v>445</v>
      </c>
      <c r="U6" s="3" t="s">
        <v>446</v>
      </c>
    </row>
    <row r="7" spans="1:32" ht="15.75" x14ac:dyDescent="0.25">
      <c r="A7" s="4">
        <v>45639</v>
      </c>
      <c r="B7" s="16">
        <v>19305036139</v>
      </c>
      <c r="C7" s="3" t="s">
        <v>547</v>
      </c>
      <c r="D7" s="3" t="s">
        <v>548</v>
      </c>
      <c r="E7" s="3">
        <v>1</v>
      </c>
      <c r="F7" s="3" t="e">
        <f>VLOOKUP(salestable[[#This Row],[Item Name]],receipetable[[Recipe Name]:[Cost of Making]],5,FALSE)</f>
        <v>#REF!</v>
      </c>
      <c r="G7" s="3">
        <v>45</v>
      </c>
      <c r="H7" s="3">
        <f>salestable[[#This Row],[Selling Price per Unit]]-salestable[[#This Row],[Selling Price per Unit]]*(100-10)/100</f>
        <v>4.5</v>
      </c>
      <c r="I7" s="3">
        <f>salestable[[#This Row],[Selling Price per Unit]]-salestable[[#This Row],[Selling Price per Unit]]*(100-15)/100</f>
        <v>6.75</v>
      </c>
      <c r="J7" s="3">
        <f>salestable[[#This Row],[Selling Price per Unit]]-salestable[[#This Row],[Selling Price per Unit]]*(100-25)/100</f>
        <v>11.25</v>
      </c>
      <c r="K7" s="3">
        <f>salestable[[#This Row],[Selling Price per Unit]]-salestable[[#This Row],[Selling Price per Unit]]*(100-30)/100</f>
        <v>13.5</v>
      </c>
      <c r="L7" s="3">
        <f>salestable[[#This Row],[Selling Price per Unit]]-salestable[[#This Row],[Selling Price per Unit]]*(100-40)/100</f>
        <v>18</v>
      </c>
      <c r="M7" s="3">
        <f>(26/100)*salestable[[#This Row],[Selling Price per Unit]]</f>
        <v>11.700000000000001</v>
      </c>
      <c r="N7" s="3">
        <v>0</v>
      </c>
      <c r="O7" s="3">
        <v>0</v>
      </c>
      <c r="P7" s="3">
        <f>(5/100)*salestable[[#This Row],[Selling Price per Unit]]</f>
        <v>2.25</v>
      </c>
      <c r="Q7" s="3" t="e">
        <f>salestable[[#This Row],[Selling Price per Unit]]-VLOOKUP(salestable[[#This Row],[Item Name]],#REF!,9,FALSE)-H7-salestable[[#This Row],[Commision]]-salestable[[#This Row],[Penalty]]-salestable[[#This Row],[Other Charges]]-salestable[[#This Row],[GST]]</f>
        <v>#REF!</v>
      </c>
      <c r="R7" s="3" t="e">
        <f>salestable[[#This Row],[Selling Price per Unit]]-VLOOKUP(salestable[[#This Row],[Item Name]],#REF!,9,FALSE)-I7-salestable[[#This Row],[Commision]]-salestable[[#This Row],[Penalty]]-salestable[[#This Row],[Other Charges]]-salestable[[#This Row],[GST]]</f>
        <v>#REF!</v>
      </c>
      <c r="S7" s="3" t="e">
        <f>salestable[[#This Row],[Selling Price per Unit]]+VLOOKUP(salestable[[#This Row],[Item Name]],#REF!,9,FALSE)-J7-salestable[[#This Row],[Penalty]]-salestable[[#This Row],[Other Charges]]-salestable[[#This Row],[GST]]-salestable[[#This Row],[Commision]]</f>
        <v>#REF!</v>
      </c>
      <c r="T7" s="3" t="e">
        <f>salestable[[#This Row],[Selling Price per Unit]]+VLOOKUP(salestable[[#This Row],[Item Name]],#REF!,9,FALSE)-K7-salestable[[#This Row],[Commision]]-salestable[[#This Row],[Penalty]]-salestable[[#This Row],[Other Charges]]-salestable[[#This Row],[GST]]</f>
        <v>#REF!</v>
      </c>
      <c r="U7" s="3" t="e">
        <f>salestable[[#This Row],[Selling Price per Unit]]+VLOOKUP(salestable[[#This Row],[Item Name]],#REF!,9,FALSE)-L7-salestable[[#This Row],[Commision]]-salestable[[#This Row],[Penalty]]-salestable[[#This Row],[Other Charges]]-salestable[[#This Row],[GST]]</f>
        <v>#REF!</v>
      </c>
      <c r="AB7" s="10" t="s">
        <v>393</v>
      </c>
      <c r="AC7" t="s">
        <v>465</v>
      </c>
      <c r="AD7" t="s">
        <v>462</v>
      </c>
      <c r="AE7" t="s">
        <v>463</v>
      </c>
      <c r="AF7" t="s">
        <v>464</v>
      </c>
    </row>
    <row r="8" spans="1:32" x14ac:dyDescent="0.25">
      <c r="A8" s="4">
        <v>45640</v>
      </c>
      <c r="B8" s="3"/>
      <c r="C8" s="3"/>
      <c r="D8" s="3"/>
      <c r="E8" s="3"/>
      <c r="F8" s="3" t="e">
        <f>VLOOKUP(salestable[[#This Row],[Item Name]],receipetable[[Recipe Name]:[Cost of Making]],5,FALSE)</f>
        <v>#N/A</v>
      </c>
      <c r="G8" s="3">
        <v>110</v>
      </c>
      <c r="H8" s="3">
        <f>salestable[[#This Row],[Selling Price per Unit]]-salestable[[#This Row],[Selling Price per Unit]]*(100-10)/100</f>
        <v>11</v>
      </c>
      <c r="I8" s="3">
        <f>salestable[[#This Row],[Selling Price per Unit]]-salestable[[#This Row],[Selling Price per Unit]]*(100-15)/100</f>
        <v>16.5</v>
      </c>
      <c r="J8" s="3">
        <f>salestable[[#This Row],[Selling Price per Unit]]-salestable[[#This Row],[Selling Price per Unit]]*(100-25)/100</f>
        <v>27.5</v>
      </c>
      <c r="K8" s="3">
        <f>salestable[[#This Row],[Selling Price per Unit]]-salestable[[#This Row],[Selling Price per Unit]]*(100-30)/100</f>
        <v>33</v>
      </c>
      <c r="L8" s="3">
        <f>salestable[[#This Row],[Selling Price per Unit]]-salestable[[#This Row],[Selling Price per Unit]]*(100-40)/100</f>
        <v>44</v>
      </c>
      <c r="M8" s="3">
        <f>(26/100)*salestable[[#This Row],[Selling Price per Unit]]</f>
        <v>28.6</v>
      </c>
      <c r="N8" s="3">
        <v>0</v>
      </c>
      <c r="O8" s="3">
        <v>0</v>
      </c>
      <c r="P8" s="3">
        <f>(5/100)*salestable[[#This Row],[Selling Price per Unit]]</f>
        <v>5.5</v>
      </c>
      <c r="Q8" s="3" t="e">
        <f>salestable[[#This Row],[Selling Price per Unit]]-VLOOKUP(salestable[[#This Row],[Item Name]],#REF!,9,FALSE)-H8-salestable[[#This Row],[Commision]]-salestable[[#This Row],[Penalty]]-salestable[[#This Row],[Other Charges]]-salestable[[#This Row],[GST]]</f>
        <v>#REF!</v>
      </c>
      <c r="R8" s="3" t="e">
        <f>salestable[[#This Row],[Selling Price per Unit]]-VLOOKUP(salestable[[#This Row],[Item Name]],#REF!,9,FALSE)-I8-salestable[[#This Row],[Commision]]-salestable[[#This Row],[Penalty]]-salestable[[#This Row],[Other Charges]]-salestable[[#This Row],[GST]]</f>
        <v>#REF!</v>
      </c>
      <c r="S8" s="3" t="e">
        <f>salestable[[#This Row],[Selling Price per Unit]]+VLOOKUP(salestable[[#This Row],[Item Name]],#REF!,9,FALSE)-J8-salestable[[#This Row],[Penalty]]-salestable[[#This Row],[Other Charges]]-salestable[[#This Row],[GST]]-salestable[[#This Row],[Commision]]</f>
        <v>#REF!</v>
      </c>
      <c r="T8" s="3" t="e">
        <f>salestable[[#This Row],[Selling Price per Unit]]+VLOOKUP(salestable[[#This Row],[Item Name]],#REF!,9,FALSE)-K8-salestable[[#This Row],[Commision]]-salestable[[#This Row],[Penalty]]-salestable[[#This Row],[Other Charges]]-salestable[[#This Row],[GST]]</f>
        <v>#REF!</v>
      </c>
      <c r="U8" s="3" t="e">
        <f>salestable[[#This Row],[Selling Price per Unit]]+VLOOKUP(salestable[[#This Row],[Item Name]],#REF!,9,FALSE)-L8-salestable[[#This Row],[Commision]]-salestable[[#This Row],[Penalty]]-salestable[[#This Row],[Other Charges]]-salestable[[#This Row],[GST]]</f>
        <v>#REF!</v>
      </c>
      <c r="AB8" s="9" t="s">
        <v>395</v>
      </c>
      <c r="AD8" t="e">
        <v>#N/A</v>
      </c>
      <c r="AE8" t="e">
        <v>#REF!</v>
      </c>
      <c r="AF8" t="e">
        <v>#REF!</v>
      </c>
    </row>
    <row r="9" spans="1:32" x14ac:dyDescent="0.25">
      <c r="A9" s="4">
        <v>45640</v>
      </c>
      <c r="B9" s="3"/>
      <c r="C9" s="3"/>
      <c r="D9" s="3"/>
      <c r="E9" s="3"/>
      <c r="F9" s="3" t="e">
        <f>VLOOKUP(salestable[[#This Row],[Item Name]],receipetable[[Recipe Name]:[Cost of Making]],5,FALSE)</f>
        <v>#N/A</v>
      </c>
      <c r="G9" s="3">
        <v>50</v>
      </c>
      <c r="H9" s="3">
        <f>salestable[[#This Row],[Selling Price per Unit]]-salestable[[#This Row],[Selling Price per Unit]]*(100-10)/100</f>
        <v>5</v>
      </c>
      <c r="I9" s="3">
        <f>salestable[[#This Row],[Selling Price per Unit]]-salestable[[#This Row],[Selling Price per Unit]]*(100-15)/100</f>
        <v>7.5</v>
      </c>
      <c r="J9" s="3">
        <f>salestable[[#This Row],[Selling Price per Unit]]-salestable[[#This Row],[Selling Price per Unit]]*(100-25)/100</f>
        <v>12.5</v>
      </c>
      <c r="K9" s="3">
        <f>salestable[[#This Row],[Selling Price per Unit]]-salestable[[#This Row],[Selling Price per Unit]]*(100-30)/100</f>
        <v>15</v>
      </c>
      <c r="L9" s="3">
        <f>salestable[[#This Row],[Selling Price per Unit]]-salestable[[#This Row],[Selling Price per Unit]]*(100-40)/100</f>
        <v>20</v>
      </c>
      <c r="M9" s="3">
        <f>(26/100)*salestable[[#This Row],[Selling Price per Unit]]</f>
        <v>13</v>
      </c>
      <c r="N9" s="3">
        <v>0</v>
      </c>
      <c r="O9" s="3">
        <v>0</v>
      </c>
      <c r="P9" s="3">
        <f>(5/100)*salestable[[#This Row],[Selling Price per Unit]]</f>
        <v>2.5</v>
      </c>
      <c r="Q9" s="3" t="e">
        <f>salestable[[#This Row],[Selling Price per Unit]]-VLOOKUP(salestable[[#This Row],[Item Name]],#REF!,9,FALSE)-H9-salestable[[#This Row],[Commision]]-salestable[[#This Row],[Penalty]]-salestable[[#This Row],[Other Charges]]-salestable[[#This Row],[GST]]</f>
        <v>#REF!</v>
      </c>
      <c r="R9" s="3" t="e">
        <f>salestable[[#This Row],[Selling Price per Unit]]-VLOOKUP(salestable[[#This Row],[Item Name]],#REF!,9,FALSE)-I9-salestable[[#This Row],[Commision]]-salestable[[#This Row],[Penalty]]-salestable[[#This Row],[Other Charges]]-salestable[[#This Row],[GST]]</f>
        <v>#REF!</v>
      </c>
      <c r="S9" s="3" t="e">
        <f>salestable[[#This Row],[Selling Price per Unit]]+VLOOKUP(salestable[[#This Row],[Item Name]],#REF!,9,FALSE)-J9-salestable[[#This Row],[Penalty]]-salestable[[#This Row],[Other Charges]]-salestable[[#This Row],[GST]]-salestable[[#This Row],[Commision]]</f>
        <v>#REF!</v>
      </c>
      <c r="T9" s="3" t="e">
        <f>salestable[[#This Row],[Selling Price per Unit]]+VLOOKUP(salestable[[#This Row],[Item Name]],#REF!,9,FALSE)-K9-salestable[[#This Row],[Commision]]-salestable[[#This Row],[Penalty]]-salestable[[#This Row],[Other Charges]]-salestable[[#This Row],[GST]]</f>
        <v>#REF!</v>
      </c>
      <c r="U9" s="3" t="e">
        <f>salestable[[#This Row],[Selling Price per Unit]]+VLOOKUP(salestable[[#This Row],[Item Name]],#REF!,9,FALSE)-L9-salestable[[#This Row],[Commision]]-salestable[[#This Row],[Penalty]]-salestable[[#This Row],[Other Charges]]-salestable[[#This Row],[GST]]</f>
        <v>#REF!</v>
      </c>
      <c r="AB9" s="9" t="s">
        <v>548</v>
      </c>
      <c r="AC9">
        <v>1</v>
      </c>
      <c r="AD9" t="e">
        <v>#REF!</v>
      </c>
      <c r="AE9" t="e">
        <v>#REF!</v>
      </c>
      <c r="AF9" t="e">
        <v>#REF!</v>
      </c>
    </row>
    <row r="10" spans="1:32" x14ac:dyDescent="0.25">
      <c r="A10" s="4">
        <v>45640</v>
      </c>
      <c r="B10" s="3"/>
      <c r="C10" s="3"/>
      <c r="D10" s="3"/>
      <c r="E10" s="3"/>
      <c r="F10" s="3" t="e">
        <f>VLOOKUP(salestable[[#This Row],[Item Name]],receipetable[[Recipe Name]:[Cost of Making]],5,FALSE)</f>
        <v>#N/A</v>
      </c>
      <c r="G10" s="3">
        <v>0</v>
      </c>
      <c r="H10" s="3">
        <f>salestable[[#This Row],[Selling Price per Unit]]-salestable[[#This Row],[Selling Price per Unit]]*(100-10)/100</f>
        <v>0</v>
      </c>
      <c r="I10" s="3">
        <f>salestable[[#This Row],[Selling Price per Unit]]-salestable[[#This Row],[Selling Price per Unit]]*(100-15)/100</f>
        <v>0</v>
      </c>
      <c r="J10" s="3">
        <f>salestable[[#This Row],[Selling Price per Unit]]-salestable[[#This Row],[Selling Price per Unit]]*(100-25)/100</f>
        <v>0</v>
      </c>
      <c r="K10" s="3">
        <f>salestable[[#This Row],[Selling Price per Unit]]-salestable[[#This Row],[Selling Price per Unit]]*(100-30)/100</f>
        <v>0</v>
      </c>
      <c r="L10" s="3">
        <f>salestable[[#This Row],[Selling Price per Unit]]-salestable[[#This Row],[Selling Price per Unit]]*(100-40)/100</f>
        <v>0</v>
      </c>
      <c r="M10" s="3">
        <f>(26/100)*salestable[[#This Row],[Selling Price per Unit]]</f>
        <v>0</v>
      </c>
      <c r="N10" s="3">
        <v>0</v>
      </c>
      <c r="O10" s="3">
        <v>0</v>
      </c>
      <c r="P10" s="3">
        <f>(5/100)*salestable[[#This Row],[Selling Price per Unit]]</f>
        <v>0</v>
      </c>
      <c r="Q10" s="3" t="e">
        <f>salestable[[#This Row],[Selling Price per Unit]]-VLOOKUP(salestable[[#This Row],[Item Name]],#REF!,9,FALSE)-H10-salestable[[#This Row],[Commision]]-salestable[[#This Row],[Penalty]]-salestable[[#This Row],[Other Charges]]-salestable[[#This Row],[GST]]</f>
        <v>#REF!</v>
      </c>
      <c r="R10" s="3" t="e">
        <f>salestable[[#This Row],[Selling Price per Unit]]-VLOOKUP(salestable[[#This Row],[Item Name]],#REF!,9,FALSE)-I10-salestable[[#This Row],[Commision]]-salestable[[#This Row],[Penalty]]-salestable[[#This Row],[Other Charges]]-salestable[[#This Row],[GST]]</f>
        <v>#REF!</v>
      </c>
      <c r="S10" s="3" t="e">
        <f>salestable[[#This Row],[Selling Price per Unit]]+VLOOKUP(salestable[[#This Row],[Item Name]],#REF!,9,FALSE)-J10-salestable[[#This Row],[Penalty]]-salestable[[#This Row],[Other Charges]]-salestable[[#This Row],[GST]]-salestable[[#This Row],[Commision]]</f>
        <v>#REF!</v>
      </c>
      <c r="T10" s="3" t="e">
        <f>salestable[[#This Row],[Selling Price per Unit]]+VLOOKUP(salestable[[#This Row],[Item Name]],#REF!,9,FALSE)-K10-salestable[[#This Row],[Commision]]-salestable[[#This Row],[Penalty]]-salestable[[#This Row],[Other Charges]]-salestable[[#This Row],[GST]]</f>
        <v>#REF!</v>
      </c>
      <c r="U10" s="3" t="e">
        <f>salestable[[#This Row],[Selling Price per Unit]]+VLOOKUP(salestable[[#This Row],[Item Name]],#REF!,9,FALSE)-L10-salestable[[#This Row],[Commision]]-salestable[[#This Row],[Penalty]]-salestable[[#This Row],[Other Charges]]-salestable[[#This Row],[GST]]</f>
        <v>#REF!</v>
      </c>
      <c r="AB10" s="9" t="s">
        <v>394</v>
      </c>
      <c r="AC10">
        <v>1</v>
      </c>
      <c r="AD10" t="e">
        <v>#N/A</v>
      </c>
      <c r="AE10" t="e">
        <v>#REF!</v>
      </c>
      <c r="AF10" t="e">
        <v>#REF!</v>
      </c>
    </row>
    <row r="11" spans="1:32" x14ac:dyDescent="0.25">
      <c r="A11" s="4">
        <v>45640</v>
      </c>
      <c r="B11" s="3"/>
      <c r="C11" s="3"/>
      <c r="D11" s="3"/>
      <c r="E11" s="3"/>
      <c r="F11" s="3" t="e">
        <f>VLOOKUP(salestable[[#This Row],[Item Name]],receipetable[[Recipe Name]:[Cost of Making]],5,FALSE)</f>
        <v>#N/A</v>
      </c>
      <c r="G11" s="3">
        <v>0</v>
      </c>
      <c r="H11" s="3">
        <f>salestable[[#This Row],[Selling Price per Unit]]-salestable[[#This Row],[Selling Price per Unit]]*(100-10)/100</f>
        <v>0</v>
      </c>
      <c r="I11" s="3">
        <f>salestable[[#This Row],[Selling Price per Unit]]-salestable[[#This Row],[Selling Price per Unit]]*(100-15)/100</f>
        <v>0</v>
      </c>
      <c r="J11" s="3">
        <f>salestable[[#This Row],[Selling Price per Unit]]-salestable[[#This Row],[Selling Price per Unit]]*(100-25)/100</f>
        <v>0</v>
      </c>
      <c r="K11" s="3">
        <f>salestable[[#This Row],[Selling Price per Unit]]-salestable[[#This Row],[Selling Price per Unit]]*(100-30)/100</f>
        <v>0</v>
      </c>
      <c r="L11" s="3">
        <f>salestable[[#This Row],[Selling Price per Unit]]-salestable[[#This Row],[Selling Price per Unit]]*(100-40)/100</f>
        <v>0</v>
      </c>
      <c r="M11" s="3">
        <f>(26/100)*salestable[[#This Row],[Selling Price per Unit]]</f>
        <v>0</v>
      </c>
      <c r="N11" s="3">
        <v>0</v>
      </c>
      <c r="O11" s="3">
        <v>0</v>
      </c>
      <c r="P11" s="3">
        <f>(5/100)*salestable[[#This Row],[Selling Price per Unit]]</f>
        <v>0</v>
      </c>
      <c r="Q11" s="3" t="e">
        <f>salestable[[#This Row],[Selling Price per Unit]]-VLOOKUP(salestable[[#This Row],[Item Name]],#REF!,9,FALSE)-H11-salestable[[#This Row],[Commision]]-salestable[[#This Row],[Penalty]]-salestable[[#This Row],[Other Charges]]-salestable[[#This Row],[GST]]</f>
        <v>#REF!</v>
      </c>
      <c r="R11" s="3" t="e">
        <f>salestable[[#This Row],[Selling Price per Unit]]-VLOOKUP(salestable[[#This Row],[Item Name]],#REF!,9,FALSE)-I11-salestable[[#This Row],[Commision]]-salestable[[#This Row],[Penalty]]-salestable[[#This Row],[Other Charges]]-salestable[[#This Row],[GST]]</f>
        <v>#REF!</v>
      </c>
      <c r="S11" s="3" t="e">
        <f>salestable[[#This Row],[Selling Price per Unit]]+VLOOKUP(salestable[[#This Row],[Item Name]],#REF!,9,FALSE)-J11-salestable[[#This Row],[Penalty]]-salestable[[#This Row],[Other Charges]]-salestable[[#This Row],[GST]]-salestable[[#This Row],[Commision]]</f>
        <v>#REF!</v>
      </c>
      <c r="T11" s="3" t="e">
        <f>salestable[[#This Row],[Selling Price per Unit]]+VLOOKUP(salestable[[#This Row],[Item Name]],#REF!,9,FALSE)-K11-salestable[[#This Row],[Commision]]-salestable[[#This Row],[Penalty]]-salestable[[#This Row],[Other Charges]]-salestable[[#This Row],[GST]]</f>
        <v>#REF!</v>
      </c>
      <c r="U11" s="3" t="e">
        <f>salestable[[#This Row],[Selling Price per Unit]]+VLOOKUP(salestable[[#This Row],[Item Name]],#REF!,9,FALSE)-L11-salestable[[#This Row],[Commision]]-salestable[[#This Row],[Penalty]]-salestable[[#This Row],[Other Charges]]-salestable[[#This Row],[GST]]</f>
        <v>#REF!</v>
      </c>
    </row>
    <row r="12" spans="1:32" x14ac:dyDescent="0.25">
      <c r="A12" s="4">
        <v>45640</v>
      </c>
      <c r="B12" s="3"/>
      <c r="C12" s="3"/>
      <c r="D12" s="3"/>
      <c r="E12" s="3"/>
      <c r="F12" s="3" t="e">
        <f>VLOOKUP(salestable[[#This Row],[Item Name]],receipetable[[Recipe Name]:[Cost of Making]],5,FALSE)</f>
        <v>#N/A</v>
      </c>
      <c r="G12" s="3">
        <v>0</v>
      </c>
      <c r="H12" s="3">
        <f>salestable[[#This Row],[Selling Price per Unit]]-salestable[[#This Row],[Selling Price per Unit]]*(100-10)/100</f>
        <v>0</v>
      </c>
      <c r="I12" s="3">
        <f>salestable[[#This Row],[Selling Price per Unit]]-salestable[[#This Row],[Selling Price per Unit]]*(100-15)/100</f>
        <v>0</v>
      </c>
      <c r="J12" s="3">
        <f>salestable[[#This Row],[Selling Price per Unit]]-salestable[[#This Row],[Selling Price per Unit]]*(100-25)/100</f>
        <v>0</v>
      </c>
      <c r="K12" s="3">
        <f>salestable[[#This Row],[Selling Price per Unit]]-salestable[[#This Row],[Selling Price per Unit]]*(100-30)/100</f>
        <v>0</v>
      </c>
      <c r="L12" s="3">
        <f>salestable[[#This Row],[Selling Price per Unit]]-salestable[[#This Row],[Selling Price per Unit]]*(100-40)/100</f>
        <v>0</v>
      </c>
      <c r="M12" s="3">
        <f>(26/100)*salestable[[#This Row],[Selling Price per Unit]]</f>
        <v>0</v>
      </c>
      <c r="N12" s="3">
        <v>0</v>
      </c>
      <c r="O12" s="3">
        <v>0</v>
      </c>
      <c r="P12" s="3">
        <f>(5/100)*salestable[[#This Row],[Selling Price per Unit]]</f>
        <v>0</v>
      </c>
      <c r="Q12" s="3" t="e">
        <f>salestable[[#This Row],[Selling Price per Unit]]-VLOOKUP(salestable[[#This Row],[Item Name]],#REF!,9,FALSE)-H12-salestable[[#This Row],[Commision]]-salestable[[#This Row],[Penalty]]-salestable[[#This Row],[Other Charges]]-salestable[[#This Row],[GST]]</f>
        <v>#REF!</v>
      </c>
      <c r="R12" s="3" t="e">
        <f>salestable[[#This Row],[Selling Price per Unit]]-VLOOKUP(salestable[[#This Row],[Item Name]],#REF!,9,FALSE)-I12-salestable[[#This Row],[Commision]]-salestable[[#This Row],[Penalty]]-salestable[[#This Row],[Other Charges]]-salestable[[#This Row],[GST]]</f>
        <v>#REF!</v>
      </c>
      <c r="S12" s="3" t="e">
        <f>salestable[[#This Row],[Selling Price per Unit]]+VLOOKUP(salestable[[#This Row],[Item Name]],#REF!,9,FALSE)-J12-salestable[[#This Row],[Penalty]]-salestable[[#This Row],[Other Charges]]-salestable[[#This Row],[GST]]-salestable[[#This Row],[Commision]]</f>
        <v>#REF!</v>
      </c>
      <c r="T12" s="3" t="e">
        <f>salestable[[#This Row],[Selling Price per Unit]]+VLOOKUP(salestable[[#This Row],[Item Name]],#REF!,9,FALSE)-K12-salestable[[#This Row],[Commision]]-salestable[[#This Row],[Penalty]]-salestable[[#This Row],[Other Charges]]-salestable[[#This Row],[GST]]</f>
        <v>#REF!</v>
      </c>
      <c r="U12" s="3" t="e">
        <f>salestable[[#This Row],[Selling Price per Unit]]+VLOOKUP(salestable[[#This Row],[Item Name]],#REF!,9,FALSE)-L12-salestable[[#This Row],[Commision]]-salestable[[#This Row],[Penalty]]-salestable[[#This Row],[Other Charges]]-salestable[[#This Row],[GST]]</f>
        <v>#REF!</v>
      </c>
    </row>
    <row r="13" spans="1:32" x14ac:dyDescent="0.25">
      <c r="A13" s="4"/>
      <c r="B13" s="3"/>
      <c r="C13" s="3"/>
      <c r="D13" s="3"/>
      <c r="E13" s="3"/>
      <c r="F13" s="3" t="e">
        <f>VLOOKUP(salestable[[#This Row],[Item Name]],receipetable[[Recipe Name]:[Cost of Making]],5,FALSE)</f>
        <v>#N/A</v>
      </c>
      <c r="G13" s="3"/>
      <c r="H13" s="3">
        <f>salestable[[#This Row],[Selling Price per Unit]]-salestable[[#This Row],[Selling Price per Unit]]*(100-10)/100</f>
        <v>0</v>
      </c>
      <c r="I13" s="3">
        <f>salestable[[#This Row],[Selling Price per Unit]]-salestable[[#This Row],[Selling Price per Unit]]*(100-15)/100</f>
        <v>0</v>
      </c>
      <c r="J13" s="3">
        <f>salestable[[#This Row],[Selling Price per Unit]]-salestable[[#This Row],[Selling Price per Unit]]*(100-25)/100</f>
        <v>0</v>
      </c>
      <c r="K13" s="3">
        <f>salestable[[#This Row],[Selling Price per Unit]]-salestable[[#This Row],[Selling Price per Unit]]*(100-30)/100</f>
        <v>0</v>
      </c>
      <c r="L13" s="3">
        <f>salestable[[#This Row],[Selling Price per Unit]]-salestable[[#This Row],[Selling Price per Unit]]*(100-40)/100</f>
        <v>0</v>
      </c>
      <c r="M13" s="3">
        <f>(26/100)*salestable[[#This Row],[Selling Price per Unit]]</f>
        <v>0</v>
      </c>
      <c r="N13" s="3">
        <v>0</v>
      </c>
      <c r="O13" s="3">
        <v>0</v>
      </c>
      <c r="P13" s="3">
        <f>(5/100)*salestable[[#This Row],[Selling Price per Unit]]</f>
        <v>0</v>
      </c>
      <c r="Q13" s="3" t="e">
        <f>salestable[[#This Row],[Selling Price per Unit]]-VLOOKUP(salestable[[#This Row],[Item Name]],#REF!,9,FALSE)-H13-salestable[[#This Row],[Commision]]-salestable[[#This Row],[Penalty]]-salestable[[#This Row],[Other Charges]]-salestable[[#This Row],[GST]]</f>
        <v>#REF!</v>
      </c>
      <c r="R13" s="3" t="e">
        <f>salestable[[#This Row],[Selling Price per Unit]]-VLOOKUP(salestable[[#This Row],[Item Name]],#REF!,9,FALSE)-I13-salestable[[#This Row],[Commision]]-salestable[[#This Row],[Penalty]]-salestable[[#This Row],[Other Charges]]-salestable[[#This Row],[GST]]</f>
        <v>#REF!</v>
      </c>
      <c r="S13" s="3" t="e">
        <f>salestable[[#This Row],[Selling Price per Unit]]+VLOOKUP(salestable[[#This Row],[Item Name]],#REF!,9,FALSE)-J13-salestable[[#This Row],[Penalty]]-salestable[[#This Row],[Other Charges]]-salestable[[#This Row],[GST]]-salestable[[#This Row],[Commision]]</f>
        <v>#REF!</v>
      </c>
      <c r="T13" s="3" t="e">
        <f>salestable[[#This Row],[Selling Price per Unit]]+VLOOKUP(salestable[[#This Row],[Item Name]],#REF!,9,FALSE)-K13-salestable[[#This Row],[Commision]]-salestable[[#This Row],[Penalty]]-salestable[[#This Row],[Other Charges]]-salestable[[#This Row],[GST]]</f>
        <v>#REF!</v>
      </c>
      <c r="U13" s="3" t="e">
        <f>salestable[[#This Row],[Selling Price per Unit]]+VLOOKUP(salestable[[#This Row],[Item Name]],#REF!,9,FALSE)-L13-salestable[[#This Row],[Commision]]-salestable[[#This Row],[Penalty]]-salestable[[#This Row],[Other Charges]]-salestable[[#This Row],[GST]]</f>
        <v>#REF!</v>
      </c>
    </row>
  </sheetData>
  <phoneticPr fontId="4" type="noConversion"/>
  <dataValidations count="1">
    <dataValidation type="list" allowBlank="1" showInputMessage="1" showErrorMessage="1" sqref="C7:C13" xr:uid="{19CF4D51-7674-4194-A563-B159D0C86AA6}">
      <formula1>"Zomato,Swiggy,Home"</formula1>
    </dataValidation>
  </dataValidations>
  <pageMargins left="0.7" right="0.7" top="0.75" bottom="0.75" header="0.3" footer="0.3"/>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9D4869BF-4E26-46C2-BE11-D0F5FEA32AA1}">
          <x14:formula1>
            <xm:f>'Receipe DataBase'!$B$7:$B$1048576</xm:f>
          </x14:formula1>
          <xm:sqref>D7:D13</xm:sqref>
        </x14:dataValidation>
      </x14:dataValidations>
    </ex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3B4E-91B6-4682-A7BF-509313789F38}">
  <dimension ref="A1:O127"/>
  <sheetViews>
    <sheetView showGridLines="0" topLeftCell="B1" workbookViewId="0">
      <pane ySplit="6" topLeftCell="A73" activePane="bottomLeft" state="frozen"/>
      <selection pane="bottomLeft" activeCell="J94" sqref="J94"/>
    </sheetView>
  </sheetViews>
  <sheetFormatPr defaultRowHeight="15" x14ac:dyDescent="0.25"/>
  <cols>
    <col min="1" max="1" width="12.140625" customWidth="1"/>
    <col min="2" max="2" width="38.28515625" customWidth="1"/>
    <col min="3" max="3" width="17.42578125" customWidth="1"/>
    <col min="4" max="4" width="16.7109375" customWidth="1"/>
    <col min="5" max="5" width="18.7109375" customWidth="1"/>
    <col min="6" max="6" width="18.5703125" customWidth="1"/>
    <col min="7" max="7" width="17.5703125" customWidth="1"/>
    <col min="8" max="8" width="24.28515625" customWidth="1"/>
    <col min="10" max="10" width="19.85546875" customWidth="1"/>
    <col min="11" max="12" width="39.28515625" bestFit="1" customWidth="1"/>
    <col min="13" max="13" width="21.140625" bestFit="1" customWidth="1"/>
    <col min="14" max="14" width="22.5703125" bestFit="1" customWidth="1"/>
    <col min="15" max="15" width="18.140625" bestFit="1" customWidth="1"/>
  </cols>
  <sheetData>
    <row r="1" spans="1:15" s="2" customFormat="1" x14ac:dyDescent="0.25"/>
    <row r="2" spans="1:15" s="2" customFormat="1" x14ac:dyDescent="0.25"/>
    <row r="3" spans="1:15" s="2" customFormat="1" x14ac:dyDescent="0.25"/>
    <row r="4" spans="1:15" s="2" customFormat="1" x14ac:dyDescent="0.25"/>
    <row r="6" spans="1:15" x14ac:dyDescent="0.25">
      <c r="A6" s="3" t="s">
        <v>352</v>
      </c>
      <c r="B6" s="3" t="s">
        <v>345</v>
      </c>
      <c r="C6" s="3" t="s">
        <v>353</v>
      </c>
      <c r="D6" s="3" t="s">
        <v>354</v>
      </c>
      <c r="E6" s="3" t="s">
        <v>499</v>
      </c>
      <c r="F6" s="3" t="s">
        <v>427</v>
      </c>
      <c r="G6" s="3" t="s">
        <v>452</v>
      </c>
      <c r="H6" s="3" t="s">
        <v>409</v>
      </c>
      <c r="L6" s="11" t="s">
        <v>393</v>
      </c>
      <c r="M6" t="s">
        <v>397</v>
      </c>
      <c r="N6" t="s">
        <v>467</v>
      </c>
      <c r="O6" t="s">
        <v>468</v>
      </c>
    </row>
    <row r="7" spans="1:15" x14ac:dyDescent="0.25">
      <c r="A7" s="15">
        <v>45639</v>
      </c>
      <c r="B7" s="13" t="s">
        <v>145</v>
      </c>
      <c r="C7" s="13">
        <v>1</v>
      </c>
      <c r="D7" s="13">
        <v>5</v>
      </c>
      <c r="E7" s="3">
        <f>IFERROR(AVERAGEIF(Shoppingtable[Item Name],Shoppingtable[[#This Row],[Item Name]],Shoppingtable[ACTUAL COST]),0)</f>
        <v>5</v>
      </c>
      <c r="F7" s="3">
        <f>IF(B7="","",Shoppingtable[[#This Row],[AvgCost]]/Shoppingtable[[#This Row],[Quantity(g/ml)]])</f>
        <v>5</v>
      </c>
      <c r="G7" s="13">
        <v>5</v>
      </c>
      <c r="H7" s="3">
        <f>Shoppingtable[[#This Row],[Buying Cost]]-Shoppingtable[[#This Row],[ACTUAL COST]]</f>
        <v>0</v>
      </c>
      <c r="L7" s="9" t="s">
        <v>496</v>
      </c>
      <c r="M7" s="37">
        <v>10000</v>
      </c>
      <c r="N7" s="37">
        <v>1</v>
      </c>
      <c r="O7" s="37">
        <v>740</v>
      </c>
    </row>
    <row r="8" spans="1:15" x14ac:dyDescent="0.25">
      <c r="A8" s="15">
        <v>45639</v>
      </c>
      <c r="B8" s="13" t="s">
        <v>146</v>
      </c>
      <c r="C8" s="13">
        <v>1</v>
      </c>
      <c r="D8" s="13">
        <v>5</v>
      </c>
      <c r="E8" s="3">
        <f>IFERROR(AVERAGEIF(Shoppingtable[Item Name],Shoppingtable[[#This Row],[Item Name]],Shoppingtable[ACTUAL COST]),0)</f>
        <v>5</v>
      </c>
      <c r="F8" s="3">
        <f>IF(B8="","",Shoppingtable[[#This Row],[AvgCost]]/Shoppingtable[[#This Row],[Quantity(g/ml)]])</f>
        <v>5</v>
      </c>
      <c r="G8" s="13">
        <v>5</v>
      </c>
      <c r="H8" s="3">
        <f>Shoppingtable[[#This Row],[Buying Cost]]-Shoppingtable[[#This Row],[ACTUAL COST]]</f>
        <v>0</v>
      </c>
      <c r="L8" s="9" t="s">
        <v>523</v>
      </c>
      <c r="M8" s="37">
        <v>174</v>
      </c>
      <c r="N8" s="37">
        <v>1</v>
      </c>
      <c r="O8" s="37">
        <v>40</v>
      </c>
    </row>
    <row r="9" spans="1:15" x14ac:dyDescent="0.25">
      <c r="A9" s="15">
        <v>45639</v>
      </c>
      <c r="B9" s="13" t="s">
        <v>64</v>
      </c>
      <c r="C9" s="13">
        <v>1</v>
      </c>
      <c r="D9" s="13">
        <v>5</v>
      </c>
      <c r="E9" s="3">
        <f>IFERROR(AVERAGEIF(Shoppingtable[Item Name],Shoppingtable[[#This Row],[Item Name]],Shoppingtable[ACTUAL COST]),0)</f>
        <v>5</v>
      </c>
      <c r="F9" s="3">
        <f>IF(B9="","",Shoppingtable[[#This Row],[AvgCost]]/Shoppingtable[[#This Row],[Quantity(g/ml)]])</f>
        <v>5</v>
      </c>
      <c r="G9" s="13">
        <v>5</v>
      </c>
      <c r="H9" s="3">
        <f>Shoppingtable[[#This Row],[Buying Cost]]-Shoppingtable[[#This Row],[ACTUAL COST]]</f>
        <v>0</v>
      </c>
      <c r="L9" s="9" t="s">
        <v>145</v>
      </c>
      <c r="M9" s="37">
        <v>1</v>
      </c>
      <c r="N9" s="37">
        <v>1</v>
      </c>
      <c r="O9" s="37">
        <v>5</v>
      </c>
    </row>
    <row r="10" spans="1:15" x14ac:dyDescent="0.25">
      <c r="A10" s="15">
        <v>45639</v>
      </c>
      <c r="B10" s="13" t="s">
        <v>36</v>
      </c>
      <c r="C10" s="13">
        <v>2</v>
      </c>
      <c r="D10" s="13">
        <v>1</v>
      </c>
      <c r="E10" s="3">
        <f>IFERROR(AVERAGEIF(Shoppingtable[Item Name],Shoppingtable[[#This Row],[Item Name]],Shoppingtable[ACTUAL COST]),0)</f>
        <v>1</v>
      </c>
      <c r="F10" s="3">
        <f>IF(B10="","",Shoppingtable[[#This Row],[AvgCost]]/Shoppingtable[[#This Row],[Quantity(g/ml)]])</f>
        <v>0.5</v>
      </c>
      <c r="G10" s="13">
        <v>20</v>
      </c>
      <c r="H10" s="3">
        <f>Shoppingtable[[#This Row],[Buying Cost]]-Shoppingtable[[#This Row],[ACTUAL COST]]</f>
        <v>19</v>
      </c>
      <c r="L10" s="9" t="s">
        <v>622</v>
      </c>
      <c r="M10" s="37">
        <v>14</v>
      </c>
      <c r="N10" s="37">
        <v>1</v>
      </c>
      <c r="O10" s="37">
        <v>40</v>
      </c>
    </row>
    <row r="11" spans="1:15" x14ac:dyDescent="0.25">
      <c r="A11" s="15">
        <v>45639</v>
      </c>
      <c r="B11" s="13" t="s">
        <v>524</v>
      </c>
      <c r="C11" s="13">
        <v>2</v>
      </c>
      <c r="D11" s="13">
        <v>0.56000000000000005</v>
      </c>
      <c r="E11" s="3">
        <f>IFERROR(AVERAGEIF(Shoppingtable[Item Name],Shoppingtable[[#This Row],[Item Name]],Shoppingtable[ACTUAL COST]),0)</f>
        <v>0.56000000000000005</v>
      </c>
      <c r="F11" s="3">
        <f>IF(B11="","",Shoppingtable[[#This Row],[AvgCost]]/Shoppingtable[[#This Row],[Quantity(g/ml)]])</f>
        <v>0.28000000000000003</v>
      </c>
      <c r="G11" s="13">
        <v>0.56000000000000005</v>
      </c>
      <c r="H11" s="3">
        <f>Shoppingtable[[#This Row],[Buying Cost]]-Shoppingtable[[#This Row],[ACTUAL COST]]</f>
        <v>0</v>
      </c>
      <c r="L11" s="9" t="s">
        <v>514</v>
      </c>
      <c r="M11" s="37">
        <v>20</v>
      </c>
      <c r="N11" s="37">
        <v>1</v>
      </c>
      <c r="O11" s="37">
        <v>10</v>
      </c>
    </row>
    <row r="12" spans="1:15" x14ac:dyDescent="0.25">
      <c r="A12" s="15">
        <v>45639</v>
      </c>
      <c r="B12" s="13" t="s">
        <v>45</v>
      </c>
      <c r="C12" s="13">
        <v>2</v>
      </c>
      <c r="D12" s="13">
        <v>14</v>
      </c>
      <c r="E12" s="3">
        <f>IFERROR(AVERAGEIF(Shoppingtable[Item Name],Shoppingtable[[#This Row],[Item Name]],Shoppingtable[ACTUAL COST]),0)</f>
        <v>14</v>
      </c>
      <c r="F12" s="3">
        <f>IF(B12="","",Shoppingtable[[#This Row],[AvgCost]]/Shoppingtable[[#This Row],[Quantity(g/ml)]])</f>
        <v>7</v>
      </c>
      <c r="G12" s="13">
        <v>7</v>
      </c>
      <c r="H12" s="3">
        <f>Shoppingtable[[#This Row],[Buying Cost]]-Shoppingtable[[#This Row],[ACTUAL COST]]</f>
        <v>-7</v>
      </c>
      <c r="L12" s="9" t="s">
        <v>471</v>
      </c>
      <c r="M12" s="37">
        <v>250</v>
      </c>
      <c r="N12" s="37">
        <v>1</v>
      </c>
      <c r="O12" s="37">
        <v>20</v>
      </c>
    </row>
    <row r="13" spans="1:15" x14ac:dyDescent="0.25">
      <c r="A13" s="15">
        <v>45639</v>
      </c>
      <c r="B13" s="13" t="s">
        <v>432</v>
      </c>
      <c r="C13" s="13">
        <v>2</v>
      </c>
      <c r="D13" s="13">
        <v>0.6</v>
      </c>
      <c r="E13" s="3">
        <f>IFERROR(AVERAGEIF(Shoppingtable[Item Name],Shoppingtable[[#This Row],[Item Name]],Shoppingtable[ACTUAL COST]),0)</f>
        <v>0.6</v>
      </c>
      <c r="F13" s="3">
        <f>IF(B13="","",Shoppingtable[[#This Row],[AvgCost]]/Shoppingtable[[#This Row],[Quantity(g/ml)]])</f>
        <v>0.3</v>
      </c>
      <c r="G13" s="13">
        <v>2</v>
      </c>
      <c r="H13" s="3">
        <f>Shoppingtable[[#This Row],[Buying Cost]]-Shoppingtable[[#This Row],[ACTUAL COST]]</f>
        <v>1.4</v>
      </c>
      <c r="L13" s="9" t="s">
        <v>492</v>
      </c>
      <c r="M13" s="37">
        <v>16</v>
      </c>
      <c r="N13" s="37">
        <v>1</v>
      </c>
      <c r="O13" s="37">
        <v>20</v>
      </c>
    </row>
    <row r="14" spans="1:15" x14ac:dyDescent="0.25">
      <c r="A14" s="15">
        <v>45640</v>
      </c>
      <c r="B14" s="13" t="s">
        <v>546</v>
      </c>
      <c r="C14" s="13">
        <v>3</v>
      </c>
      <c r="D14" s="13">
        <v>50</v>
      </c>
      <c r="E14" s="3">
        <f>IFERROR(AVERAGEIF(Shoppingtable[Item Name],Shoppingtable[[#This Row],[Item Name]],Shoppingtable[ACTUAL COST]),0)</f>
        <v>50</v>
      </c>
      <c r="F14" s="3">
        <f>IF(B14="","",Shoppingtable[[#This Row],[AvgCost]]/Shoppingtable[[#This Row],[Quantity(g/ml)]])</f>
        <v>16.666666666666668</v>
      </c>
      <c r="G14" s="13">
        <v>50</v>
      </c>
      <c r="H14" s="3">
        <f>Shoppingtable[[#This Row],[Buying Cost]]-Shoppingtable[[#This Row],[ACTUAL COST]]</f>
        <v>0</v>
      </c>
      <c r="L14" s="9" t="s">
        <v>18</v>
      </c>
      <c r="M14" s="37">
        <v>200</v>
      </c>
      <c r="N14" s="37">
        <v>1</v>
      </c>
      <c r="O14" s="37">
        <v>30</v>
      </c>
    </row>
    <row r="15" spans="1:15" x14ac:dyDescent="0.25">
      <c r="A15" s="15">
        <v>45639</v>
      </c>
      <c r="B15" s="13" t="s">
        <v>421</v>
      </c>
      <c r="C15" s="13">
        <v>4</v>
      </c>
      <c r="D15" s="13">
        <v>2</v>
      </c>
      <c r="E15" s="3">
        <f>IFERROR(AVERAGEIF(Shoppingtable[Item Name],Shoppingtable[[#This Row],[Item Name]],Shoppingtable[ACTUAL COST]),0)</f>
        <v>2</v>
      </c>
      <c r="F15" s="3">
        <f>IF(B15="","",Shoppingtable[[#This Row],[AvgCost]]/Shoppingtable[[#This Row],[Quantity(g/ml)]])</f>
        <v>0.5</v>
      </c>
      <c r="G15" s="13">
        <v>10</v>
      </c>
      <c r="H15" s="3">
        <f>Shoppingtable[[#This Row],[Buying Cost]]-Shoppingtable[[#This Row],[ACTUAL COST]]</f>
        <v>8</v>
      </c>
      <c r="L15" s="9" t="s">
        <v>516</v>
      </c>
      <c r="M15" s="37">
        <v>6</v>
      </c>
      <c r="N15" s="37">
        <v>1</v>
      </c>
      <c r="O15" s="37">
        <v>10</v>
      </c>
    </row>
    <row r="16" spans="1:15" x14ac:dyDescent="0.25">
      <c r="A16" s="15">
        <v>45639</v>
      </c>
      <c r="B16" s="13" t="s">
        <v>516</v>
      </c>
      <c r="C16" s="13">
        <v>6</v>
      </c>
      <c r="D16" s="13">
        <v>1</v>
      </c>
      <c r="E16" s="3">
        <f>IFERROR(AVERAGEIF(Shoppingtable[Item Name],Shoppingtable[[#This Row],[Item Name]],Shoppingtable[ACTUAL COST]),0)</f>
        <v>1</v>
      </c>
      <c r="F16" s="3">
        <f>IF(B16="","",Shoppingtable[[#This Row],[AvgCost]]/Shoppingtable[[#This Row],[Quantity(g/ml)]])</f>
        <v>0.16666666666666666</v>
      </c>
      <c r="G16" s="13">
        <v>10</v>
      </c>
      <c r="H16" s="3">
        <f>Shoppingtable[[#This Row],[Buying Cost]]-Shoppingtable[[#This Row],[ACTUAL COST]]</f>
        <v>9</v>
      </c>
      <c r="L16" s="9" t="s">
        <v>26</v>
      </c>
      <c r="M16" s="37">
        <v>500</v>
      </c>
      <c r="N16" s="37">
        <v>1</v>
      </c>
      <c r="O16" s="37">
        <v>200</v>
      </c>
    </row>
    <row r="17" spans="1:15" x14ac:dyDescent="0.25">
      <c r="A17" s="15">
        <v>45640</v>
      </c>
      <c r="B17" s="13" t="s">
        <v>601</v>
      </c>
      <c r="C17" s="13">
        <v>16</v>
      </c>
      <c r="D17" s="13">
        <v>150</v>
      </c>
      <c r="E17" s="3">
        <f>IFERROR(AVERAGEIF(Shoppingtable[Item Name],Shoppingtable[[#This Row],[Item Name]],Shoppingtable[ACTUAL COST]),0)</f>
        <v>175</v>
      </c>
      <c r="F17" s="3">
        <f>IF(B17="","",Shoppingtable[[#This Row],[AvgCost]]/Shoppingtable[[#This Row],[Quantity(g/ml)]])</f>
        <v>10.9375</v>
      </c>
      <c r="G17" s="13">
        <v>150</v>
      </c>
      <c r="H17" s="3">
        <f>Shoppingtable[[#This Row],[Buying Cost]]-Shoppingtable[[#This Row],[ACTUAL COST]]</f>
        <v>0</v>
      </c>
      <c r="L17" s="9" t="s">
        <v>488</v>
      </c>
      <c r="M17" s="37">
        <v>15</v>
      </c>
      <c r="N17" s="37">
        <v>1</v>
      </c>
      <c r="O17" s="37">
        <v>25</v>
      </c>
    </row>
    <row r="18" spans="1:15" x14ac:dyDescent="0.25">
      <c r="A18" s="15">
        <v>45639</v>
      </c>
      <c r="B18" s="13" t="s">
        <v>519</v>
      </c>
      <c r="C18" s="13">
        <v>11</v>
      </c>
      <c r="D18" s="13">
        <v>11</v>
      </c>
      <c r="E18" s="3">
        <f>IFERROR(AVERAGEIF(Shoppingtable[Item Name],Shoppingtable[[#This Row],[Item Name]],Shoppingtable[ACTUAL COST]),0)</f>
        <v>11</v>
      </c>
      <c r="F18" s="3">
        <f>IF(B18="","",Shoppingtable[[#This Row],[AvgCost]]/Shoppingtable[[#This Row],[Quantity(g/ml)]])</f>
        <v>1</v>
      </c>
      <c r="G18" s="13">
        <v>11</v>
      </c>
      <c r="H18" s="3">
        <f>Shoppingtable[[#This Row],[Buying Cost]]-Shoppingtable[[#This Row],[ACTUAL COST]]</f>
        <v>0</v>
      </c>
      <c r="L18" s="9" t="s">
        <v>625</v>
      </c>
      <c r="M18" s="37">
        <v>1250</v>
      </c>
      <c r="N18" s="37">
        <v>1</v>
      </c>
      <c r="O18" s="37">
        <v>276</v>
      </c>
    </row>
    <row r="19" spans="1:15" x14ac:dyDescent="0.25">
      <c r="A19" s="15">
        <v>45639</v>
      </c>
      <c r="B19" s="13" t="s">
        <v>484</v>
      </c>
      <c r="C19" s="13">
        <v>14</v>
      </c>
      <c r="D19" s="13">
        <v>3</v>
      </c>
      <c r="E19" s="3">
        <f>IFERROR(AVERAGEIF(Shoppingtable[Item Name],Shoppingtable[[#This Row],[Item Name]],Shoppingtable[ACTUAL COST]),0)</f>
        <v>3</v>
      </c>
      <c r="F19" s="3">
        <f>IF(B19="","",Shoppingtable[[#This Row],[AvgCost]]/Shoppingtable[[#This Row],[Quantity(g/ml)]])</f>
        <v>0.21428571428571427</v>
      </c>
      <c r="G19" s="13">
        <v>10</v>
      </c>
      <c r="H19" s="3">
        <f>Shoppingtable[[#This Row],[Buying Cost]]-Shoppingtable[[#This Row],[ACTUAL COST]]</f>
        <v>7</v>
      </c>
      <c r="L19" s="9" t="s">
        <v>303</v>
      </c>
      <c r="M19" s="37">
        <v>50</v>
      </c>
      <c r="N19" s="37">
        <v>1</v>
      </c>
      <c r="O19" s="37">
        <v>23</v>
      </c>
    </row>
    <row r="20" spans="1:15" x14ac:dyDescent="0.25">
      <c r="A20" s="15">
        <v>45639</v>
      </c>
      <c r="B20" s="13" t="s">
        <v>488</v>
      </c>
      <c r="C20" s="13">
        <v>15</v>
      </c>
      <c r="D20" s="13">
        <v>3</v>
      </c>
      <c r="E20" s="3">
        <f>IFERROR(AVERAGEIF(Shoppingtable[Item Name],Shoppingtable[[#This Row],[Item Name]],Shoppingtable[ACTUAL COST]),0)</f>
        <v>3</v>
      </c>
      <c r="F20" s="3">
        <f>IF(B20="","",Shoppingtable[[#This Row],[AvgCost]]/Shoppingtable[[#This Row],[Quantity(g/ml)]])</f>
        <v>0.2</v>
      </c>
      <c r="G20" s="13">
        <v>25</v>
      </c>
      <c r="H20" s="3">
        <f>Shoppingtable[[#This Row],[Buying Cost]]-Shoppingtable[[#This Row],[ACTUAL COST]]</f>
        <v>22</v>
      </c>
      <c r="L20" s="9" t="s">
        <v>421</v>
      </c>
      <c r="M20" s="37">
        <v>4</v>
      </c>
      <c r="N20" s="37">
        <v>1</v>
      </c>
      <c r="O20" s="37">
        <v>10</v>
      </c>
    </row>
    <row r="21" spans="1:15" x14ac:dyDescent="0.25">
      <c r="A21" s="15">
        <v>45639</v>
      </c>
      <c r="B21" s="13" t="s">
        <v>485</v>
      </c>
      <c r="C21" s="13">
        <v>15</v>
      </c>
      <c r="D21" s="13">
        <v>3</v>
      </c>
      <c r="E21" s="3">
        <f>IFERROR(AVERAGEIF(Shoppingtable[Item Name],Shoppingtable[[#This Row],[Item Name]],Shoppingtable[ACTUAL COST]),0)</f>
        <v>3</v>
      </c>
      <c r="F21" s="3">
        <f>IF(B21="","",Shoppingtable[[#This Row],[AvgCost]]/Shoppingtable[[#This Row],[Quantity(g/ml)]])</f>
        <v>0.2</v>
      </c>
      <c r="G21" s="13">
        <v>20</v>
      </c>
      <c r="H21" s="3">
        <f>Shoppingtable[[#This Row],[Buying Cost]]-Shoppingtable[[#This Row],[ACTUAL COST]]</f>
        <v>17</v>
      </c>
      <c r="L21" s="9" t="s">
        <v>33</v>
      </c>
      <c r="M21" s="37">
        <v>900</v>
      </c>
      <c r="N21" s="37">
        <v>1</v>
      </c>
      <c r="O21" s="37">
        <v>120</v>
      </c>
    </row>
    <row r="22" spans="1:15" x14ac:dyDescent="0.25">
      <c r="A22" s="15">
        <v>45640</v>
      </c>
      <c r="B22" s="13" t="s">
        <v>538</v>
      </c>
      <c r="C22" s="13">
        <v>15</v>
      </c>
      <c r="D22" s="13">
        <v>3</v>
      </c>
      <c r="E22" s="3">
        <f>IFERROR(AVERAGEIF(Shoppingtable[Item Name],Shoppingtable[[#This Row],[Item Name]],Shoppingtable[ACTUAL COST]),0)</f>
        <v>3</v>
      </c>
      <c r="F22" s="3">
        <f>IF(B22="","",Shoppingtable[[#This Row],[AvgCost]]/Shoppingtable[[#This Row],[Quantity(g/ml)]])</f>
        <v>0.2</v>
      </c>
      <c r="G22" s="13">
        <v>35</v>
      </c>
      <c r="H22" s="3">
        <f>Shoppingtable[[#This Row],[Buying Cost]]-Shoppingtable[[#This Row],[ACTUAL COST]]</f>
        <v>32</v>
      </c>
      <c r="L22" s="9" t="s">
        <v>577</v>
      </c>
      <c r="M22" s="37">
        <v>520</v>
      </c>
      <c r="N22" s="37">
        <v>1</v>
      </c>
      <c r="O22" s="37">
        <v>30</v>
      </c>
    </row>
    <row r="23" spans="1:15" x14ac:dyDescent="0.25">
      <c r="A23" s="15">
        <v>45639</v>
      </c>
      <c r="B23" s="13" t="s">
        <v>492</v>
      </c>
      <c r="C23" s="13">
        <v>16</v>
      </c>
      <c r="D23" s="13">
        <v>3</v>
      </c>
      <c r="E23" s="3">
        <f>IFERROR(AVERAGEIF(Shoppingtable[Item Name],Shoppingtable[[#This Row],[Item Name]],Shoppingtable[ACTUAL COST]),0)</f>
        <v>3</v>
      </c>
      <c r="F23" s="3">
        <f>IF(B23="","",Shoppingtable[[#This Row],[AvgCost]]/Shoppingtable[[#This Row],[Quantity(g/ml)]])</f>
        <v>0.1875</v>
      </c>
      <c r="G23" s="13">
        <v>20</v>
      </c>
      <c r="H23" s="3">
        <f>Shoppingtable[[#This Row],[Buying Cost]]-Shoppingtable[[#This Row],[ACTUAL COST]]</f>
        <v>17</v>
      </c>
      <c r="L23" s="9" t="s">
        <v>36</v>
      </c>
      <c r="M23" s="37">
        <v>2</v>
      </c>
      <c r="N23" s="37">
        <v>1</v>
      </c>
      <c r="O23" s="37">
        <v>20</v>
      </c>
    </row>
    <row r="24" spans="1:15" x14ac:dyDescent="0.25">
      <c r="A24" s="15">
        <v>45639</v>
      </c>
      <c r="B24" s="13" t="s">
        <v>491</v>
      </c>
      <c r="C24" s="13">
        <v>16</v>
      </c>
      <c r="D24" s="13">
        <v>3</v>
      </c>
      <c r="E24" s="3">
        <f>IFERROR(AVERAGEIF(Shoppingtable[Item Name],Shoppingtable[[#This Row],[Item Name]],Shoppingtable[ACTUAL COST]),0)</f>
        <v>3</v>
      </c>
      <c r="F24" s="3">
        <f>IF(B24="","",Shoppingtable[[#This Row],[AvgCost]]/Shoppingtable[[#This Row],[Quantity(g/ml)]])</f>
        <v>0.1875</v>
      </c>
      <c r="G24" s="13">
        <v>20</v>
      </c>
      <c r="H24" s="3">
        <f>Shoppingtable[[#This Row],[Buying Cost]]-Shoppingtable[[#This Row],[ACTUAL COST]]</f>
        <v>17</v>
      </c>
      <c r="L24" s="9" t="s">
        <v>560</v>
      </c>
      <c r="M24" s="37">
        <v>1000</v>
      </c>
      <c r="N24" s="37">
        <v>1</v>
      </c>
      <c r="O24" s="37">
        <v>22.2</v>
      </c>
    </row>
    <row r="25" spans="1:15" x14ac:dyDescent="0.25">
      <c r="A25" s="15">
        <v>45639</v>
      </c>
      <c r="B25" s="13" t="s">
        <v>514</v>
      </c>
      <c r="C25" s="13">
        <v>20</v>
      </c>
      <c r="D25" s="13">
        <v>3</v>
      </c>
      <c r="E25" s="3">
        <f>IFERROR(AVERAGEIF(Shoppingtable[Item Name],Shoppingtable[[#This Row],[Item Name]],Shoppingtable[ACTUAL COST]),0)</f>
        <v>3</v>
      </c>
      <c r="F25" s="3">
        <f>IF(B25="","",Shoppingtable[[#This Row],[AvgCost]]/Shoppingtable[[#This Row],[Quantity(g/ml)]])</f>
        <v>0.15</v>
      </c>
      <c r="G25" s="13">
        <v>10</v>
      </c>
      <c r="H25" s="3">
        <f>Shoppingtable[[#This Row],[Buying Cost]]-Shoppingtable[[#This Row],[ACTUAL COST]]</f>
        <v>7</v>
      </c>
      <c r="L25" s="9" t="s">
        <v>524</v>
      </c>
      <c r="M25" s="37">
        <v>2</v>
      </c>
      <c r="N25" s="37">
        <v>1</v>
      </c>
      <c r="O25" s="37">
        <v>0.56000000000000005</v>
      </c>
    </row>
    <row r="26" spans="1:15" x14ac:dyDescent="0.25">
      <c r="A26" s="15">
        <v>45639</v>
      </c>
      <c r="B26" s="13" t="s">
        <v>418</v>
      </c>
      <c r="C26" s="13">
        <v>20</v>
      </c>
      <c r="D26" s="13">
        <v>3</v>
      </c>
      <c r="E26" s="3">
        <f>IFERROR(AVERAGEIF(Shoppingtable[Item Name],Shoppingtable[[#This Row],[Item Name]],Shoppingtable[ACTUAL COST]),0)</f>
        <v>3</v>
      </c>
      <c r="F26" s="3">
        <f>IF(B26="","",Shoppingtable[[#This Row],[AvgCost]]/Shoppingtable[[#This Row],[Quantity(g/ml)]])</f>
        <v>0.15</v>
      </c>
      <c r="G26" s="13">
        <v>5</v>
      </c>
      <c r="H26" s="3">
        <f>Shoppingtable[[#This Row],[Buying Cost]]-Shoppingtable[[#This Row],[ACTUAL COST]]</f>
        <v>2</v>
      </c>
      <c r="L26" s="9" t="s">
        <v>419</v>
      </c>
      <c r="M26" s="37">
        <v>44</v>
      </c>
      <c r="N26" s="37">
        <v>1</v>
      </c>
      <c r="O26" s="37">
        <v>20</v>
      </c>
    </row>
    <row r="27" spans="1:15" x14ac:dyDescent="0.25">
      <c r="A27" s="15">
        <v>45639</v>
      </c>
      <c r="B27" s="13" t="s">
        <v>515</v>
      </c>
      <c r="C27" s="13">
        <v>20</v>
      </c>
      <c r="D27" s="13">
        <v>3</v>
      </c>
      <c r="E27" s="3">
        <f>IFERROR(AVERAGEIF(Shoppingtable[Item Name],Shoppingtable[[#This Row],[Item Name]],Shoppingtable[ACTUAL COST]),0)</f>
        <v>3</v>
      </c>
      <c r="F27" s="3">
        <f>IF(B27="","",Shoppingtable[[#This Row],[AvgCost]]/Shoppingtable[[#This Row],[Quantity(g/ml)]])</f>
        <v>0.15</v>
      </c>
      <c r="G27" s="13">
        <v>10</v>
      </c>
      <c r="H27" s="3">
        <f>Shoppingtable[[#This Row],[Buying Cost]]-Shoppingtable[[#This Row],[ACTUAL COST]]</f>
        <v>7</v>
      </c>
      <c r="L27" s="9" t="s">
        <v>481</v>
      </c>
      <c r="M27" s="37">
        <v>200</v>
      </c>
      <c r="N27" s="37">
        <v>1</v>
      </c>
      <c r="O27" s="37">
        <v>25</v>
      </c>
    </row>
    <row r="28" spans="1:15" x14ac:dyDescent="0.25">
      <c r="A28" s="15">
        <v>45639</v>
      </c>
      <c r="B28" s="13" t="s">
        <v>483</v>
      </c>
      <c r="C28" s="13">
        <v>20</v>
      </c>
      <c r="D28" s="13">
        <v>3</v>
      </c>
      <c r="E28" s="3">
        <f>IFERROR(AVERAGEIF(Shoppingtable[Item Name],Shoppingtable[[#This Row],[Item Name]],Shoppingtable[ACTUAL COST]),0)</f>
        <v>3</v>
      </c>
      <c r="F28" s="3">
        <f>IF(B28="","",Shoppingtable[[#This Row],[AvgCost]]/Shoppingtable[[#This Row],[Quantity(g/ml)]])</f>
        <v>0.15</v>
      </c>
      <c r="G28" s="13">
        <v>10</v>
      </c>
      <c r="H28" s="3">
        <f>Shoppingtable[[#This Row],[Buying Cost]]-Shoppingtable[[#This Row],[ACTUAL COST]]</f>
        <v>7</v>
      </c>
      <c r="L28" s="9" t="s">
        <v>42</v>
      </c>
      <c r="M28" s="37">
        <v>500</v>
      </c>
      <c r="N28" s="37">
        <v>1</v>
      </c>
      <c r="O28" s="37">
        <v>34</v>
      </c>
    </row>
    <row r="29" spans="1:15" x14ac:dyDescent="0.25">
      <c r="A29" s="15">
        <v>45639</v>
      </c>
      <c r="B29" s="13" t="s">
        <v>489</v>
      </c>
      <c r="C29" s="13">
        <v>25</v>
      </c>
      <c r="D29" s="13">
        <v>3</v>
      </c>
      <c r="E29" s="3">
        <f>IFERROR(AVERAGEIF(Shoppingtable[Item Name],Shoppingtable[[#This Row],[Item Name]],Shoppingtable[ACTUAL COST]),0)</f>
        <v>3</v>
      </c>
      <c r="F29" s="3">
        <f>IF(B29="","",Shoppingtable[[#This Row],[AvgCost]]/Shoppingtable[[#This Row],[Quantity(g/ml)]])</f>
        <v>0.12</v>
      </c>
      <c r="G29" s="13">
        <v>15</v>
      </c>
      <c r="H29" s="3">
        <f>Shoppingtable[[#This Row],[Buying Cost]]-Shoppingtable[[#This Row],[ACTUAL COST]]</f>
        <v>12</v>
      </c>
      <c r="L29" s="9" t="s">
        <v>418</v>
      </c>
      <c r="M29" s="37">
        <v>20</v>
      </c>
      <c r="N29" s="37">
        <v>1</v>
      </c>
      <c r="O29" s="37">
        <v>5</v>
      </c>
    </row>
    <row r="30" spans="1:15" x14ac:dyDescent="0.25">
      <c r="A30" s="15">
        <v>45639</v>
      </c>
      <c r="B30" s="13" t="s">
        <v>479</v>
      </c>
      <c r="C30" s="13">
        <v>29</v>
      </c>
      <c r="D30" s="13">
        <v>5</v>
      </c>
      <c r="E30" s="3">
        <f>IFERROR(AVERAGEIF(Shoppingtable[Item Name],Shoppingtable[[#This Row],[Item Name]],Shoppingtable[ACTUAL COST]),0)</f>
        <v>5</v>
      </c>
      <c r="F30" s="3">
        <f>IF(B30="","",Shoppingtable[[#This Row],[AvgCost]]/Shoppingtable[[#This Row],[Quantity(g/ml)]])</f>
        <v>0.17241379310344829</v>
      </c>
      <c r="G30" s="13">
        <v>30</v>
      </c>
      <c r="H30" s="3">
        <f>Shoppingtable[[#This Row],[Buying Cost]]-Shoppingtable[[#This Row],[ACTUAL COST]]</f>
        <v>25</v>
      </c>
      <c r="L30" s="9" t="s">
        <v>44</v>
      </c>
      <c r="M30" s="37">
        <v>7000</v>
      </c>
      <c r="N30" s="37">
        <v>1</v>
      </c>
      <c r="O30" s="37">
        <v>190</v>
      </c>
    </row>
    <row r="31" spans="1:15" x14ac:dyDescent="0.25">
      <c r="A31" s="15">
        <v>45639</v>
      </c>
      <c r="B31" s="13" t="s">
        <v>487</v>
      </c>
      <c r="C31" s="13">
        <v>30</v>
      </c>
      <c r="D31" s="13">
        <v>18</v>
      </c>
      <c r="E31" s="3">
        <f>IFERROR(AVERAGEIF(Shoppingtable[Item Name],Shoppingtable[[#This Row],[Item Name]],Shoppingtable[ACTUAL COST]),0)</f>
        <v>31.5</v>
      </c>
      <c r="F31" s="3">
        <f>IF(B31="","",Shoppingtable[[#This Row],[AvgCost]]/Shoppingtable[[#This Row],[Quantity(g/ml)]])</f>
        <v>1.05</v>
      </c>
      <c r="G31" s="13">
        <v>40</v>
      </c>
      <c r="H31" s="3">
        <f>Shoppingtable[[#This Row],[Buying Cost]]-Shoppingtable[[#This Row],[ACTUAL COST]]</f>
        <v>22</v>
      </c>
      <c r="L31" s="9" t="s">
        <v>480</v>
      </c>
      <c r="M31" s="37">
        <v>72</v>
      </c>
      <c r="N31" s="37">
        <v>1</v>
      </c>
      <c r="O31" s="37">
        <v>9</v>
      </c>
    </row>
    <row r="32" spans="1:15" x14ac:dyDescent="0.25">
      <c r="A32" s="15">
        <v>45639</v>
      </c>
      <c r="B32" s="13" t="s">
        <v>512</v>
      </c>
      <c r="C32" s="13">
        <v>35</v>
      </c>
      <c r="D32" s="13">
        <v>3</v>
      </c>
      <c r="E32" s="3">
        <f>IFERROR(AVERAGEIF(Shoppingtable[Item Name],Shoppingtable[[#This Row],[Item Name]],Shoppingtable[ACTUAL COST]),0)</f>
        <v>3</v>
      </c>
      <c r="F32" s="3">
        <f>IF(B32="","",Shoppingtable[[#This Row],[AvgCost]]/Shoppingtable[[#This Row],[Quantity(g/ml)]])</f>
        <v>8.5714285714285715E-2</v>
      </c>
      <c r="G32" s="13">
        <v>3</v>
      </c>
      <c r="H32" s="3">
        <f>Shoppingtable[[#This Row],[Buying Cost]]-Shoppingtable[[#This Row],[ACTUAL COST]]</f>
        <v>0</v>
      </c>
      <c r="L32" s="9" t="s">
        <v>45</v>
      </c>
      <c r="M32" s="37">
        <v>2</v>
      </c>
      <c r="N32" s="37">
        <v>1</v>
      </c>
      <c r="O32" s="37">
        <v>7</v>
      </c>
    </row>
    <row r="33" spans="1:15" x14ac:dyDescent="0.25">
      <c r="A33" s="15">
        <v>45639</v>
      </c>
      <c r="B33" s="13" t="s">
        <v>49</v>
      </c>
      <c r="C33" s="13">
        <v>38</v>
      </c>
      <c r="D33" s="13">
        <v>10</v>
      </c>
      <c r="E33" s="3">
        <f>IFERROR(AVERAGEIF(Shoppingtable[Item Name],Shoppingtable[[#This Row],[Item Name]],Shoppingtable[ACTUAL COST]),0)</f>
        <v>10</v>
      </c>
      <c r="F33" s="3">
        <f>IF(B33="","",Shoppingtable[[#This Row],[AvgCost]]/Shoppingtable[[#This Row],[Quantity(g/ml)]])</f>
        <v>0.26315789473684209</v>
      </c>
      <c r="G33" s="13">
        <v>20</v>
      </c>
      <c r="H33" s="3">
        <f>Shoppingtable[[#This Row],[Buying Cost]]-Shoppingtable[[#This Row],[ACTUAL COST]]</f>
        <v>10</v>
      </c>
      <c r="L33" s="9" t="s">
        <v>485</v>
      </c>
      <c r="M33" s="37">
        <v>15</v>
      </c>
      <c r="N33" s="37">
        <v>1</v>
      </c>
      <c r="O33" s="37">
        <v>20</v>
      </c>
    </row>
    <row r="34" spans="1:15" x14ac:dyDescent="0.25">
      <c r="A34" s="15">
        <v>45639</v>
      </c>
      <c r="B34" s="13" t="s">
        <v>503</v>
      </c>
      <c r="C34" s="13">
        <v>40</v>
      </c>
      <c r="D34" s="13">
        <v>8</v>
      </c>
      <c r="E34" s="3">
        <f>IFERROR(AVERAGEIF(Shoppingtable[Item Name],Shoppingtable[[#This Row],[Item Name]],Shoppingtable[ACTUAL COST]),0)</f>
        <v>21.5</v>
      </c>
      <c r="F34" s="3">
        <f>IF(B34="","",Shoppingtable[[#This Row],[AvgCost]]/Shoppingtable[[#This Row],[Quantity(g/ml)]])</f>
        <v>0.53749999999999998</v>
      </c>
      <c r="G34" s="13">
        <v>20</v>
      </c>
      <c r="H34" s="3">
        <f>Shoppingtable[[#This Row],[Buying Cost]]-Shoppingtable[[#This Row],[ACTUAL COST]]</f>
        <v>12</v>
      </c>
      <c r="L34" s="9" t="s">
        <v>477</v>
      </c>
      <c r="M34" s="37">
        <v>54</v>
      </c>
      <c r="N34" s="37">
        <v>1</v>
      </c>
      <c r="O34" s="37">
        <v>8</v>
      </c>
    </row>
    <row r="35" spans="1:15" x14ac:dyDescent="0.25">
      <c r="A35" s="15">
        <v>45639</v>
      </c>
      <c r="B35" s="13" t="s">
        <v>419</v>
      </c>
      <c r="C35" s="13">
        <v>44</v>
      </c>
      <c r="D35" s="13">
        <v>5</v>
      </c>
      <c r="E35" s="3">
        <f>IFERROR(AVERAGEIF(Shoppingtable[Item Name],Shoppingtable[[#This Row],[Item Name]],Shoppingtable[ACTUAL COST]),0)</f>
        <v>5</v>
      </c>
      <c r="F35" s="3">
        <f>IF(B35="","",Shoppingtable[[#This Row],[AvgCost]]/Shoppingtable[[#This Row],[Quantity(g/ml)]])</f>
        <v>0.11363636363636363</v>
      </c>
      <c r="G35" s="13">
        <v>20</v>
      </c>
      <c r="H35" s="3">
        <f>Shoppingtable[[#This Row],[Buying Cost]]-Shoppingtable[[#This Row],[ACTUAL COST]]</f>
        <v>15</v>
      </c>
      <c r="L35" s="9" t="s">
        <v>600</v>
      </c>
      <c r="M35" s="37">
        <v>1600</v>
      </c>
      <c r="N35" s="37">
        <v>1</v>
      </c>
      <c r="O35" s="37">
        <v>142</v>
      </c>
    </row>
    <row r="36" spans="1:15" x14ac:dyDescent="0.25">
      <c r="A36" s="15">
        <v>45639</v>
      </c>
      <c r="B36" s="13" t="s">
        <v>303</v>
      </c>
      <c r="C36" s="13">
        <v>50</v>
      </c>
      <c r="D36" s="13">
        <v>15</v>
      </c>
      <c r="E36" s="3">
        <f>IFERROR(AVERAGEIF(Shoppingtable[Item Name],Shoppingtable[[#This Row],[Item Name]],Shoppingtable[ACTUAL COST]),0)</f>
        <v>15</v>
      </c>
      <c r="F36" s="3">
        <f>IF(B36="","",Shoppingtable[[#This Row],[AvgCost]]/Shoppingtable[[#This Row],[Quantity(g/ml)]])</f>
        <v>0.3</v>
      </c>
      <c r="G36" s="13">
        <v>23</v>
      </c>
      <c r="H36" s="3">
        <f>Shoppingtable[[#This Row],[Buying Cost]]-Shoppingtable[[#This Row],[ACTUAL COST]]</f>
        <v>8</v>
      </c>
      <c r="L36" s="9" t="s">
        <v>601</v>
      </c>
      <c r="M36" s="37">
        <v>28</v>
      </c>
      <c r="N36" s="37">
        <v>2</v>
      </c>
      <c r="O36" s="37">
        <v>350</v>
      </c>
    </row>
    <row r="37" spans="1:15" x14ac:dyDescent="0.25">
      <c r="A37" s="15">
        <v>45639</v>
      </c>
      <c r="B37" s="13" t="s">
        <v>521</v>
      </c>
      <c r="C37" s="13">
        <v>50</v>
      </c>
      <c r="D37" s="13">
        <v>30</v>
      </c>
      <c r="E37" s="3">
        <f>IFERROR(AVERAGEIF(Shoppingtable[Item Name],Shoppingtable[[#This Row],[Item Name]],Shoppingtable[ACTUAL COST]),0)</f>
        <v>30</v>
      </c>
      <c r="F37" s="3">
        <f>IF(B37="","",Shoppingtable[[#This Row],[AvgCost]]/Shoppingtable[[#This Row],[Quantity(g/ml)]])</f>
        <v>0.6</v>
      </c>
      <c r="G37" s="13">
        <v>92</v>
      </c>
      <c r="H37" s="3">
        <f>Shoppingtable[[#This Row],[Buying Cost]]-Shoppingtable[[#This Row],[ACTUAL COST]]</f>
        <v>62</v>
      </c>
      <c r="L37" s="9" t="s">
        <v>482</v>
      </c>
      <c r="M37" s="37">
        <v>736</v>
      </c>
      <c r="N37" s="37">
        <v>2</v>
      </c>
      <c r="O37" s="37">
        <v>115</v>
      </c>
    </row>
    <row r="38" spans="1:15" x14ac:dyDescent="0.25">
      <c r="A38" s="15">
        <v>45639</v>
      </c>
      <c r="B38" s="13" t="s">
        <v>493</v>
      </c>
      <c r="C38" s="13">
        <v>50</v>
      </c>
      <c r="D38" s="13">
        <v>18</v>
      </c>
      <c r="E38" s="3">
        <f>IFERROR(AVERAGEIF(Shoppingtable[Item Name],Shoppingtable[[#This Row],[Item Name]],Shoppingtable[ACTUAL COST]),0)</f>
        <v>18</v>
      </c>
      <c r="F38" s="3">
        <f>IF(B38="","",Shoppingtable[[#This Row],[AvgCost]]/Shoppingtable[[#This Row],[Quantity(g/ml)]])</f>
        <v>0.36</v>
      </c>
      <c r="G38" s="13">
        <v>50</v>
      </c>
      <c r="H38" s="3">
        <f>Shoppingtable[[#This Row],[Buying Cost]]-Shoppingtable[[#This Row],[ACTUAL COST]]</f>
        <v>32</v>
      </c>
      <c r="L38" s="9" t="s">
        <v>487</v>
      </c>
      <c r="M38" s="37">
        <v>130</v>
      </c>
      <c r="N38" s="37">
        <v>2</v>
      </c>
      <c r="O38" s="37">
        <v>85</v>
      </c>
    </row>
    <row r="39" spans="1:15" x14ac:dyDescent="0.25">
      <c r="A39" s="15">
        <v>45639</v>
      </c>
      <c r="B39" s="13" t="s">
        <v>494</v>
      </c>
      <c r="C39" s="13">
        <v>50</v>
      </c>
      <c r="D39" s="13">
        <v>20</v>
      </c>
      <c r="E39" s="3">
        <f>IFERROR(AVERAGEIF(Shoppingtable[Item Name],Shoppingtable[[#This Row],[Item Name]],Shoppingtable[ACTUAL COST]),0)</f>
        <v>20</v>
      </c>
      <c r="F39" s="3">
        <f>IF(B39="","",Shoppingtable[[#This Row],[AvgCost]]/Shoppingtable[[#This Row],[Quantity(g/ml)]])</f>
        <v>0.4</v>
      </c>
      <c r="G39" s="13">
        <v>20</v>
      </c>
      <c r="H39" s="3">
        <f>Shoppingtable[[#This Row],[Buying Cost]]-Shoppingtable[[#This Row],[ACTUAL COST]]</f>
        <v>0</v>
      </c>
      <c r="L39" s="9" t="s">
        <v>47</v>
      </c>
      <c r="M39" s="37">
        <v>100</v>
      </c>
      <c r="N39" s="37">
        <v>1</v>
      </c>
      <c r="O39" s="37">
        <v>40</v>
      </c>
    </row>
    <row r="40" spans="1:15" x14ac:dyDescent="0.25">
      <c r="A40" s="15">
        <v>45639</v>
      </c>
      <c r="B40" s="13" t="s">
        <v>504</v>
      </c>
      <c r="C40" s="13">
        <v>50</v>
      </c>
      <c r="D40" s="13">
        <v>10</v>
      </c>
      <c r="E40" s="3">
        <f>IFERROR(AVERAGEIF(Shoppingtable[Item Name],Shoppingtable[[#This Row],[Item Name]],Shoppingtable[ACTUAL COST]),0)</f>
        <v>10</v>
      </c>
      <c r="F40" s="3">
        <f>IF(B40="","",Shoppingtable[[#This Row],[AvgCost]]/Shoppingtable[[#This Row],[Quantity(g/ml)]])</f>
        <v>0.2</v>
      </c>
      <c r="G40" s="13">
        <v>10</v>
      </c>
      <c r="H40" s="3">
        <f>Shoppingtable[[#This Row],[Buying Cost]]-Shoppingtable[[#This Row],[ACTUAL COST]]</f>
        <v>0</v>
      </c>
      <c r="L40" s="9" t="s">
        <v>538</v>
      </c>
      <c r="M40" s="37">
        <v>15</v>
      </c>
      <c r="N40" s="37">
        <v>1</v>
      </c>
      <c r="O40" s="37">
        <v>35</v>
      </c>
    </row>
    <row r="41" spans="1:15" x14ac:dyDescent="0.25">
      <c r="A41" s="15">
        <v>45639</v>
      </c>
      <c r="B41" s="13" t="s">
        <v>477</v>
      </c>
      <c r="C41" s="13">
        <v>54</v>
      </c>
      <c r="D41" s="13">
        <v>8</v>
      </c>
      <c r="E41" s="3">
        <f>IFERROR(AVERAGEIF(Shoppingtable[Item Name],Shoppingtable[[#This Row],[Item Name]],Shoppingtable[ACTUAL COST]),0)</f>
        <v>8</v>
      </c>
      <c r="F41" s="3">
        <f>IF(B41="","",Shoppingtable[[#This Row],[AvgCost]]/Shoppingtable[[#This Row],[Quantity(g/ml)]])</f>
        <v>0.14814814814814814</v>
      </c>
      <c r="G41" s="13">
        <v>8</v>
      </c>
      <c r="H41" s="3">
        <f>Shoppingtable[[#This Row],[Buying Cost]]-Shoppingtable[[#This Row],[ACTUAL COST]]</f>
        <v>0</v>
      </c>
      <c r="L41" s="9" t="s">
        <v>48</v>
      </c>
      <c r="M41" s="37">
        <v>250</v>
      </c>
      <c r="N41" s="37">
        <v>1</v>
      </c>
      <c r="O41" s="37">
        <v>185</v>
      </c>
    </row>
    <row r="42" spans="1:15" x14ac:dyDescent="0.25">
      <c r="A42" s="15">
        <v>45639</v>
      </c>
      <c r="B42" s="13" t="s">
        <v>478</v>
      </c>
      <c r="C42" s="13">
        <v>60</v>
      </c>
      <c r="D42" s="13">
        <v>15</v>
      </c>
      <c r="E42" s="3">
        <f>IFERROR(AVERAGEIF(Shoppingtable[Item Name],Shoppingtable[[#This Row],[Item Name]],Shoppingtable[ACTUAL COST]),0)</f>
        <v>15</v>
      </c>
      <c r="F42" s="3">
        <f>IF(B42="","",Shoppingtable[[#This Row],[AvgCost]]/Shoppingtable[[#This Row],[Quantity(g/ml)]])</f>
        <v>0.25</v>
      </c>
      <c r="G42" s="13">
        <v>15</v>
      </c>
      <c r="H42" s="3">
        <f>Shoppingtable[[#This Row],[Buying Cost]]-Shoppingtable[[#This Row],[ACTUAL COST]]</f>
        <v>0</v>
      </c>
      <c r="L42" s="9" t="s">
        <v>49</v>
      </c>
      <c r="M42" s="37">
        <v>38</v>
      </c>
      <c r="N42" s="37">
        <v>1</v>
      </c>
      <c r="O42" s="37">
        <v>20</v>
      </c>
    </row>
    <row r="43" spans="1:15" x14ac:dyDescent="0.25">
      <c r="A43" s="15">
        <v>45639</v>
      </c>
      <c r="B43" s="13" t="s">
        <v>480</v>
      </c>
      <c r="C43" s="13">
        <v>72</v>
      </c>
      <c r="D43" s="13">
        <v>9</v>
      </c>
      <c r="E43" s="3">
        <f>IFERROR(AVERAGEIF(Shoppingtable[Item Name],Shoppingtable[[#This Row],[Item Name]],Shoppingtable[ACTUAL COST]),0)</f>
        <v>9</v>
      </c>
      <c r="F43" s="3">
        <f>IF(B43="","",Shoppingtable[[#This Row],[AvgCost]]/Shoppingtable[[#This Row],[Quantity(g/ml)]])</f>
        <v>0.125</v>
      </c>
      <c r="G43" s="13">
        <v>9</v>
      </c>
      <c r="H43" s="3">
        <f>Shoppingtable[[#This Row],[Buying Cost]]-Shoppingtable[[#This Row],[ACTUAL COST]]</f>
        <v>0</v>
      </c>
      <c r="L43" s="9" t="s">
        <v>474</v>
      </c>
      <c r="M43" s="37">
        <v>110</v>
      </c>
      <c r="N43" s="37">
        <v>1</v>
      </c>
      <c r="O43" s="37">
        <v>25</v>
      </c>
    </row>
    <row r="44" spans="1:15" x14ac:dyDescent="0.25">
      <c r="A44" s="15">
        <v>45639</v>
      </c>
      <c r="B44" s="13" t="s">
        <v>486</v>
      </c>
      <c r="C44" s="13">
        <v>85</v>
      </c>
      <c r="D44" s="13">
        <v>32</v>
      </c>
      <c r="E44" s="3">
        <f>IFERROR(AVERAGEIF(Shoppingtable[Item Name],Shoppingtable[[#This Row],[Item Name]],Shoppingtable[ACTUAL COST]),0)</f>
        <v>31</v>
      </c>
      <c r="F44" s="3">
        <f>IF(B44="","",Shoppingtable[[#This Row],[AvgCost]]/Shoppingtable[[#This Row],[Quantity(g/ml)]])</f>
        <v>0.36470588235294116</v>
      </c>
      <c r="G44" s="13">
        <v>32</v>
      </c>
      <c r="H44" s="3">
        <f>Shoppingtable[[#This Row],[Buying Cost]]-Shoppingtable[[#This Row],[ACTUAL COST]]</f>
        <v>0</v>
      </c>
      <c r="L44" s="9" t="s">
        <v>472</v>
      </c>
      <c r="M44" s="37">
        <v>173</v>
      </c>
      <c r="N44" s="37">
        <v>1</v>
      </c>
      <c r="O44" s="37">
        <v>20</v>
      </c>
    </row>
    <row r="45" spans="1:15" x14ac:dyDescent="0.25">
      <c r="A45" s="15">
        <v>45639</v>
      </c>
      <c r="B45" s="13" t="s">
        <v>47</v>
      </c>
      <c r="C45" s="13">
        <v>100</v>
      </c>
      <c r="D45" s="13">
        <v>20</v>
      </c>
      <c r="E45" s="3">
        <f>IFERROR(AVERAGEIF(Shoppingtable[Item Name],Shoppingtable[[#This Row],[Item Name]],Shoppingtable[ACTUAL COST]),0)</f>
        <v>20</v>
      </c>
      <c r="F45" s="3">
        <f>IF(B45="","",Shoppingtable[[#This Row],[AvgCost]]/Shoppingtable[[#This Row],[Quantity(g/ml)]])</f>
        <v>0.2</v>
      </c>
      <c r="G45" s="13">
        <v>40</v>
      </c>
      <c r="H45" s="3">
        <f>Shoppingtable[[#This Row],[Buying Cost]]-Shoppingtable[[#This Row],[ACTUAL COST]]</f>
        <v>20</v>
      </c>
      <c r="L45" s="9" t="s">
        <v>146</v>
      </c>
      <c r="M45" s="37">
        <v>1</v>
      </c>
      <c r="N45" s="37">
        <v>1</v>
      </c>
      <c r="O45" s="37">
        <v>5</v>
      </c>
    </row>
    <row r="46" spans="1:15" x14ac:dyDescent="0.25">
      <c r="A46" s="15">
        <v>45639</v>
      </c>
      <c r="B46" s="13" t="s">
        <v>517</v>
      </c>
      <c r="C46" s="13">
        <v>102</v>
      </c>
      <c r="D46" s="13">
        <v>102</v>
      </c>
      <c r="E46" s="3">
        <f>IFERROR(AVERAGEIF(Shoppingtable[Item Name],Shoppingtable[[#This Row],[Item Name]],Shoppingtable[ACTUAL COST]),0)</f>
        <v>102</v>
      </c>
      <c r="F46" s="3">
        <f>IF(B46="","",Shoppingtable[[#This Row],[AvgCost]]/Shoppingtable[[#This Row],[Quantity(g/ml)]])</f>
        <v>1</v>
      </c>
      <c r="G46" s="13">
        <v>102</v>
      </c>
      <c r="H46" s="3">
        <f>Shoppingtable[[#This Row],[Buying Cost]]-Shoppingtable[[#This Row],[ACTUAL COST]]</f>
        <v>0</v>
      </c>
      <c r="L46" s="9" t="s">
        <v>489</v>
      </c>
      <c r="M46" s="37">
        <v>25</v>
      </c>
      <c r="N46" s="37">
        <v>1</v>
      </c>
      <c r="O46" s="37">
        <v>15</v>
      </c>
    </row>
    <row r="47" spans="1:15" x14ac:dyDescent="0.25">
      <c r="A47" s="15">
        <v>45639</v>
      </c>
      <c r="B47" s="13" t="s">
        <v>474</v>
      </c>
      <c r="C47" s="13">
        <v>110</v>
      </c>
      <c r="D47" s="13">
        <v>25</v>
      </c>
      <c r="E47" s="3">
        <f>IFERROR(AVERAGEIF(Shoppingtable[Item Name],Shoppingtable[[#This Row],[Item Name]],Shoppingtable[ACTUAL COST]),0)</f>
        <v>25</v>
      </c>
      <c r="F47" s="3">
        <f>IF(B47="","",Shoppingtable[[#This Row],[AvgCost]]/Shoppingtable[[#This Row],[Quantity(g/ml)]])</f>
        <v>0.22727272727272727</v>
      </c>
      <c r="G47" s="13">
        <v>25</v>
      </c>
      <c r="H47" s="3">
        <f>Shoppingtable[[#This Row],[Buying Cost]]-Shoppingtable[[#This Row],[ACTUAL COST]]</f>
        <v>0</v>
      </c>
      <c r="L47" s="9" t="s">
        <v>510</v>
      </c>
      <c r="M47" s="37">
        <v>500</v>
      </c>
      <c r="N47" s="37">
        <v>1</v>
      </c>
      <c r="O47" s="37">
        <v>46</v>
      </c>
    </row>
    <row r="48" spans="1:15" x14ac:dyDescent="0.25">
      <c r="A48" s="15">
        <v>45639</v>
      </c>
      <c r="B48" s="13" t="s">
        <v>506</v>
      </c>
      <c r="C48" s="13">
        <v>111</v>
      </c>
      <c r="D48" s="13">
        <v>16</v>
      </c>
      <c r="E48" s="3">
        <f>IFERROR(AVERAGEIF(Shoppingtable[Item Name],Shoppingtable[[#This Row],[Item Name]],Shoppingtable[ACTUAL COST]),0)</f>
        <v>16</v>
      </c>
      <c r="F48" s="3">
        <f>IF(B48="","",Shoppingtable[[#This Row],[AvgCost]]/Shoppingtable[[#This Row],[Quantity(g/ml)]])</f>
        <v>0.14414414414414414</v>
      </c>
      <c r="G48" s="13">
        <v>20</v>
      </c>
      <c r="H48" s="3">
        <f>Shoppingtable[[#This Row],[Buying Cost]]-Shoppingtable[[#This Row],[ACTUAL COST]]</f>
        <v>4</v>
      </c>
      <c r="L48" s="9" t="s">
        <v>522</v>
      </c>
      <c r="M48" s="37">
        <v>185</v>
      </c>
      <c r="N48" s="37">
        <v>1</v>
      </c>
      <c r="O48" s="37">
        <v>30</v>
      </c>
    </row>
    <row r="49" spans="1:15" x14ac:dyDescent="0.25">
      <c r="A49" s="15">
        <v>45639</v>
      </c>
      <c r="B49" s="13" t="s">
        <v>82</v>
      </c>
      <c r="C49" s="13">
        <v>163</v>
      </c>
      <c r="D49" s="13">
        <v>36</v>
      </c>
      <c r="E49" s="3">
        <f>IFERROR(AVERAGEIF(Shoppingtable[Item Name],Shoppingtable[[#This Row],[Item Name]],Shoppingtable[ACTUAL COST]),0)</f>
        <v>36</v>
      </c>
      <c r="F49" s="3">
        <f>IF(B49="","",Shoppingtable[[#This Row],[AvgCost]]/Shoppingtable[[#This Row],[Quantity(g/ml)]])</f>
        <v>0.22085889570552147</v>
      </c>
      <c r="G49" s="13">
        <v>36</v>
      </c>
      <c r="H49" s="3">
        <f>Shoppingtable[[#This Row],[Buying Cost]]-Shoppingtable[[#This Row],[ACTUAL COST]]</f>
        <v>0</v>
      </c>
      <c r="L49" s="9" t="s">
        <v>507</v>
      </c>
      <c r="M49" s="37">
        <v>177</v>
      </c>
      <c r="N49" s="37">
        <v>1</v>
      </c>
      <c r="O49" s="37">
        <v>20</v>
      </c>
    </row>
    <row r="50" spans="1:15" x14ac:dyDescent="0.25">
      <c r="A50" s="15">
        <v>45639</v>
      </c>
      <c r="B50" s="13" t="s">
        <v>472</v>
      </c>
      <c r="C50" s="13">
        <v>173</v>
      </c>
      <c r="D50" s="13">
        <v>20</v>
      </c>
      <c r="E50" s="3">
        <f>IFERROR(AVERAGEIF(Shoppingtable[Item Name],Shoppingtable[[#This Row],[Item Name]],Shoppingtable[ACTUAL COST]),0)</f>
        <v>20</v>
      </c>
      <c r="F50" s="3">
        <f>IF(B50="","",Shoppingtable[[#This Row],[AvgCost]]/Shoppingtable[[#This Row],[Quantity(g/ml)]])</f>
        <v>0.11560693641618497</v>
      </c>
      <c r="G50" s="13">
        <v>20</v>
      </c>
      <c r="H50" s="3">
        <f>Shoppingtable[[#This Row],[Buying Cost]]-Shoppingtable[[#This Row],[ACTUAL COST]]</f>
        <v>0</v>
      </c>
      <c r="L50" s="9" t="s">
        <v>546</v>
      </c>
      <c r="M50" s="37">
        <v>3</v>
      </c>
      <c r="N50" s="37">
        <v>1</v>
      </c>
      <c r="O50" s="37">
        <v>50</v>
      </c>
    </row>
    <row r="51" spans="1:15" x14ac:dyDescent="0.25">
      <c r="A51" s="15">
        <v>45639</v>
      </c>
      <c r="B51" s="13" t="s">
        <v>523</v>
      </c>
      <c r="C51" s="13">
        <v>174</v>
      </c>
      <c r="D51" s="13">
        <v>22.5</v>
      </c>
      <c r="E51" s="3">
        <f>IFERROR(AVERAGEIF(Shoppingtable[Item Name],Shoppingtable[[#This Row],[Item Name]],Shoppingtable[ACTUAL COST]),0)</f>
        <v>22.5</v>
      </c>
      <c r="F51" s="3">
        <f>IF(B51="","",Shoppingtable[[#This Row],[AvgCost]]/Shoppingtable[[#This Row],[Quantity(g/ml)]])</f>
        <v>0.12931034482758622</v>
      </c>
      <c r="G51" s="13">
        <v>40</v>
      </c>
      <c r="H51" s="3">
        <f>Shoppingtable[[#This Row],[Buying Cost]]-Shoppingtable[[#This Row],[ACTUAL COST]]</f>
        <v>17.5</v>
      </c>
      <c r="L51" s="9" t="s">
        <v>515</v>
      </c>
      <c r="M51" s="37">
        <v>20</v>
      </c>
      <c r="N51" s="37">
        <v>1</v>
      </c>
      <c r="O51" s="37">
        <v>10</v>
      </c>
    </row>
    <row r="52" spans="1:15" x14ac:dyDescent="0.25">
      <c r="A52" s="15">
        <v>45639</v>
      </c>
      <c r="B52" s="13" t="s">
        <v>507</v>
      </c>
      <c r="C52" s="13">
        <v>177</v>
      </c>
      <c r="D52" s="13">
        <v>20</v>
      </c>
      <c r="E52" s="3">
        <f>IFERROR(AVERAGEIF(Shoppingtable[Item Name],Shoppingtable[[#This Row],[Item Name]],Shoppingtable[ACTUAL COST]),0)</f>
        <v>20</v>
      </c>
      <c r="F52" s="3">
        <f>IF(B52="","",Shoppingtable[[#This Row],[AvgCost]]/Shoppingtable[[#This Row],[Quantity(g/ml)]])</f>
        <v>0.11299435028248588</v>
      </c>
      <c r="G52" s="13">
        <v>20</v>
      </c>
      <c r="H52" s="3">
        <f>Shoppingtable[[#This Row],[Buying Cost]]-Shoppingtable[[#This Row],[ACTUAL COST]]</f>
        <v>0</v>
      </c>
      <c r="L52" s="9" t="s">
        <v>423</v>
      </c>
      <c r="M52" s="37">
        <v>2000</v>
      </c>
      <c r="N52" s="37">
        <v>1</v>
      </c>
      <c r="O52" s="37">
        <v>750</v>
      </c>
    </row>
    <row r="53" spans="1:15" x14ac:dyDescent="0.25">
      <c r="A53" s="15">
        <v>45639</v>
      </c>
      <c r="B53" s="13" t="s">
        <v>522</v>
      </c>
      <c r="C53" s="13">
        <v>185</v>
      </c>
      <c r="D53" s="13">
        <v>88.5</v>
      </c>
      <c r="E53" s="3">
        <f>IFERROR(AVERAGEIF(Shoppingtable[Item Name],Shoppingtable[[#This Row],[Item Name]],Shoppingtable[ACTUAL COST]),0)</f>
        <v>88.5</v>
      </c>
      <c r="F53" s="3">
        <f>IF(B53="","",Shoppingtable[[#This Row],[AvgCost]]/Shoppingtable[[#This Row],[Quantity(g/ml)]])</f>
        <v>0.47837837837837838</v>
      </c>
      <c r="G53" s="13">
        <v>30</v>
      </c>
      <c r="H53" s="3">
        <f>Shoppingtable[[#This Row],[Buying Cost]]-Shoppingtable[[#This Row],[ACTUAL COST]]</f>
        <v>-58.5</v>
      </c>
      <c r="L53" s="9" t="s">
        <v>519</v>
      </c>
      <c r="M53" s="37">
        <v>11</v>
      </c>
      <c r="N53" s="37">
        <v>1</v>
      </c>
      <c r="O53" s="37">
        <v>11</v>
      </c>
    </row>
    <row r="54" spans="1:15" x14ac:dyDescent="0.25">
      <c r="A54" s="15">
        <v>45639</v>
      </c>
      <c r="B54" s="13" t="s">
        <v>18</v>
      </c>
      <c r="C54" s="13">
        <v>200</v>
      </c>
      <c r="D54" s="13">
        <v>30</v>
      </c>
      <c r="E54" s="3">
        <f>IFERROR(AVERAGEIF(Shoppingtable[Item Name],Shoppingtable[[#This Row],[Item Name]],Shoppingtable[ACTUAL COST]),0)</f>
        <v>30</v>
      </c>
      <c r="F54" s="3">
        <f>IF(B54="","",Shoppingtable[[#This Row],[AvgCost]]/Shoppingtable[[#This Row],[Quantity(g/ml)]])</f>
        <v>0.15</v>
      </c>
      <c r="G54" s="13">
        <v>30</v>
      </c>
      <c r="H54" s="3">
        <f>Shoppingtable[[#This Row],[Buying Cost]]-Shoppingtable[[#This Row],[ACTUAL COST]]</f>
        <v>0</v>
      </c>
      <c r="L54" s="9" t="s">
        <v>64</v>
      </c>
      <c r="M54" s="37">
        <v>1</v>
      </c>
      <c r="N54" s="37">
        <v>1</v>
      </c>
      <c r="O54" s="37">
        <v>5</v>
      </c>
    </row>
    <row r="55" spans="1:15" x14ac:dyDescent="0.25">
      <c r="A55" s="15">
        <v>45639</v>
      </c>
      <c r="B55" s="13" t="s">
        <v>481</v>
      </c>
      <c r="C55" s="13">
        <v>200</v>
      </c>
      <c r="D55" s="13">
        <v>25</v>
      </c>
      <c r="E55" s="3">
        <f>IFERROR(AVERAGEIF(Shoppingtable[Item Name],Shoppingtable[[#This Row],[Item Name]],Shoppingtable[ACTUAL COST]),0)</f>
        <v>25</v>
      </c>
      <c r="F55" s="3">
        <f>IF(B55="","",Shoppingtable[[#This Row],[AvgCost]]/Shoppingtable[[#This Row],[Quantity(g/ml)]])</f>
        <v>0.125</v>
      </c>
      <c r="G55" s="13">
        <v>25</v>
      </c>
      <c r="H55" s="3">
        <f>Shoppingtable[[#This Row],[Buying Cost]]-Shoppingtable[[#This Row],[ACTUAL COST]]</f>
        <v>0</v>
      </c>
      <c r="L55" s="9" t="s">
        <v>513</v>
      </c>
      <c r="M55" s="37">
        <v>200</v>
      </c>
      <c r="N55" s="37">
        <v>1</v>
      </c>
      <c r="O55" s="37">
        <v>6</v>
      </c>
    </row>
    <row r="56" spans="1:15" x14ac:dyDescent="0.25">
      <c r="A56" s="15">
        <v>45639</v>
      </c>
      <c r="B56" s="13" t="s">
        <v>513</v>
      </c>
      <c r="C56" s="13">
        <v>200</v>
      </c>
      <c r="D56" s="13">
        <v>6</v>
      </c>
      <c r="E56" s="3">
        <f>IFERROR(AVERAGEIF(Shoppingtable[Item Name],Shoppingtable[[#This Row],[Item Name]],Shoppingtable[ACTUAL COST]),0)</f>
        <v>6</v>
      </c>
      <c r="F56" s="3">
        <f>IF(B56="","",Shoppingtable[[#This Row],[AvgCost]]/Shoppingtable[[#This Row],[Quantity(g/ml)]])</f>
        <v>0.03</v>
      </c>
      <c r="G56" s="13">
        <v>6</v>
      </c>
      <c r="H56" s="3">
        <f>Shoppingtable[[#This Row],[Buying Cost]]-Shoppingtable[[#This Row],[ACTUAL COST]]</f>
        <v>0</v>
      </c>
      <c r="L56" s="9" t="s">
        <v>67</v>
      </c>
      <c r="M56" s="37">
        <v>500</v>
      </c>
      <c r="N56" s="37">
        <v>1</v>
      </c>
      <c r="O56" s="37">
        <v>38</v>
      </c>
    </row>
    <row r="57" spans="1:15" x14ac:dyDescent="0.25">
      <c r="A57" s="15">
        <v>45639</v>
      </c>
      <c r="B57" s="13" t="s">
        <v>525</v>
      </c>
      <c r="C57" s="13">
        <v>200</v>
      </c>
      <c r="D57" s="13">
        <v>60</v>
      </c>
      <c r="E57" s="3">
        <f>IFERROR(AVERAGEIF(Shoppingtable[Item Name],Shoppingtable[[#This Row],[Item Name]],Shoppingtable[ACTUAL COST]),0)</f>
        <v>60</v>
      </c>
      <c r="F57" s="3">
        <f>IF(B57="","",Shoppingtable[[#This Row],[AvgCost]]/Shoppingtable[[#This Row],[Quantity(g/ml)]])</f>
        <v>0.3</v>
      </c>
      <c r="G57" s="13">
        <v>60</v>
      </c>
      <c r="H57" s="3">
        <f>Shoppingtable[[#This Row],[Buying Cost]]-Shoppingtable[[#This Row],[ACTUAL COST]]</f>
        <v>0</v>
      </c>
      <c r="L57" s="9" t="s">
        <v>478</v>
      </c>
      <c r="M57" s="37">
        <v>60</v>
      </c>
      <c r="N57" s="37">
        <v>1</v>
      </c>
      <c r="O57" s="37">
        <v>15</v>
      </c>
    </row>
    <row r="58" spans="1:15" x14ac:dyDescent="0.25">
      <c r="A58" s="15">
        <v>45639</v>
      </c>
      <c r="B58" s="13" t="s">
        <v>482</v>
      </c>
      <c r="C58" s="13">
        <v>236</v>
      </c>
      <c r="D58" s="13">
        <v>45</v>
      </c>
      <c r="E58" s="3">
        <f>IFERROR(AVERAGEIF(Shoppingtable[Item Name],Shoppingtable[[#This Row],[Item Name]],Shoppingtable[ACTUAL COST]),0)</f>
        <v>57.5</v>
      </c>
      <c r="F58" s="3">
        <f>IF(B58="","",Shoppingtable[[#This Row],[AvgCost]]/Shoppingtable[[#This Row],[Quantity(g/ml)]])</f>
        <v>0.24364406779661016</v>
      </c>
      <c r="G58" s="13">
        <v>45</v>
      </c>
      <c r="H58" s="3">
        <f>Shoppingtable[[#This Row],[Buying Cost]]-Shoppingtable[[#This Row],[ACTUAL COST]]</f>
        <v>0</v>
      </c>
      <c r="L58" s="9" t="s">
        <v>75</v>
      </c>
      <c r="M58" s="37">
        <v>1500</v>
      </c>
      <c r="N58" s="37">
        <v>1</v>
      </c>
      <c r="O58" s="37">
        <v>219</v>
      </c>
    </row>
    <row r="59" spans="1:15" x14ac:dyDescent="0.25">
      <c r="A59" s="15">
        <v>45639</v>
      </c>
      <c r="B59" s="13" t="s">
        <v>471</v>
      </c>
      <c r="C59" s="13">
        <v>250</v>
      </c>
      <c r="D59" s="13">
        <v>20</v>
      </c>
      <c r="E59" s="3">
        <f>IFERROR(AVERAGEIF(Shoppingtable[Item Name],Shoppingtable[[#This Row],[Item Name]],Shoppingtable[ACTUAL COST]),0)</f>
        <v>20</v>
      </c>
      <c r="F59" s="3">
        <f>IF(B59="","",Shoppingtable[[#This Row],[AvgCost]]/Shoppingtable[[#This Row],[Quantity(g/ml)]])</f>
        <v>0.08</v>
      </c>
      <c r="G59" s="13">
        <v>20</v>
      </c>
      <c r="H59" s="3">
        <f>Shoppingtable[[#This Row],[Buying Cost]]-Shoppingtable[[#This Row],[ACTUAL COST]]</f>
        <v>0</v>
      </c>
      <c r="L59" s="9" t="s">
        <v>77</v>
      </c>
      <c r="M59" s="37">
        <v>1500</v>
      </c>
      <c r="N59" s="37">
        <v>2</v>
      </c>
      <c r="O59" s="37">
        <v>83</v>
      </c>
    </row>
    <row r="60" spans="1:15" x14ac:dyDescent="0.25">
      <c r="A60" s="15">
        <v>45639</v>
      </c>
      <c r="B60" s="13" t="s">
        <v>48</v>
      </c>
      <c r="C60" s="13">
        <v>250</v>
      </c>
      <c r="D60" s="13">
        <v>185</v>
      </c>
      <c r="E60" s="3">
        <f>IFERROR(AVERAGEIF(Shoppingtable[Item Name],Shoppingtable[[#This Row],[Item Name]],Shoppingtable[ACTUAL COST]),0)</f>
        <v>185</v>
      </c>
      <c r="F60" s="3">
        <f>IF(B60="","",Shoppingtable[[#This Row],[AvgCost]]/Shoppingtable[[#This Row],[Quantity(g/ml)]])</f>
        <v>0.74</v>
      </c>
      <c r="G60" s="13">
        <v>185</v>
      </c>
      <c r="H60" s="3">
        <f>Shoppingtable[[#This Row],[Buying Cost]]-Shoppingtable[[#This Row],[ACTUAL COST]]</f>
        <v>0</v>
      </c>
      <c r="L60" s="9" t="s">
        <v>506</v>
      </c>
      <c r="M60" s="37">
        <v>111</v>
      </c>
      <c r="N60" s="37">
        <v>1</v>
      </c>
      <c r="O60" s="37">
        <v>20</v>
      </c>
    </row>
    <row r="61" spans="1:15" x14ac:dyDescent="0.25">
      <c r="A61" s="15">
        <v>45639</v>
      </c>
      <c r="B61" s="13" t="s">
        <v>508</v>
      </c>
      <c r="C61" s="13">
        <v>450</v>
      </c>
      <c r="D61" s="13">
        <v>140</v>
      </c>
      <c r="E61" s="3">
        <f>IFERROR(AVERAGEIF(Shoppingtable[Item Name],Shoppingtable[[#This Row],[Item Name]],Shoppingtable[ACTUAL COST]),0)</f>
        <v>140</v>
      </c>
      <c r="F61" s="3">
        <f>IF(B61="","",Shoppingtable[[#This Row],[AvgCost]]/Shoppingtable[[#This Row],[Quantity(g/ml)]])</f>
        <v>0.31111111111111112</v>
      </c>
      <c r="G61" s="13">
        <v>140</v>
      </c>
      <c r="H61" s="3">
        <f>Shoppingtable[[#This Row],[Buying Cost]]-Shoppingtable[[#This Row],[ACTUAL COST]]</f>
        <v>0</v>
      </c>
      <c r="L61" s="9" t="s">
        <v>82</v>
      </c>
      <c r="M61" s="37">
        <v>163</v>
      </c>
      <c r="N61" s="37">
        <v>1</v>
      </c>
      <c r="O61" s="37">
        <v>36</v>
      </c>
    </row>
    <row r="62" spans="1:15" x14ac:dyDescent="0.25">
      <c r="A62" s="15">
        <v>45639</v>
      </c>
      <c r="B62" s="13" t="s">
        <v>102</v>
      </c>
      <c r="C62" s="13">
        <v>460</v>
      </c>
      <c r="D62" s="13">
        <v>23</v>
      </c>
      <c r="E62" s="3">
        <f>IFERROR(AVERAGEIF(Shoppingtable[Item Name],Shoppingtable[[#This Row],[Item Name]],Shoppingtable[ACTUAL COST]),0)</f>
        <v>23</v>
      </c>
      <c r="F62" s="3">
        <f>IF(B62="","",Shoppingtable[[#This Row],[AvgCost]]/Shoppingtable[[#This Row],[Quantity(g/ml)]])</f>
        <v>0.05</v>
      </c>
      <c r="G62" s="13">
        <v>23</v>
      </c>
      <c r="H62" s="3">
        <f>Shoppingtable[[#This Row],[Buying Cost]]-Shoppingtable[[#This Row],[ACTUAL COST]]</f>
        <v>0</v>
      </c>
      <c r="L62" s="9" t="s">
        <v>84</v>
      </c>
      <c r="M62" s="37">
        <v>100</v>
      </c>
      <c r="N62" s="37">
        <v>1</v>
      </c>
      <c r="O62" s="37">
        <v>70</v>
      </c>
    </row>
    <row r="63" spans="1:15" x14ac:dyDescent="0.25">
      <c r="A63" s="15">
        <v>45639</v>
      </c>
      <c r="B63" s="13" t="s">
        <v>505</v>
      </c>
      <c r="C63" s="13">
        <v>490</v>
      </c>
      <c r="D63" s="13">
        <v>90</v>
      </c>
      <c r="E63" s="3">
        <f>IFERROR(AVERAGEIF(Shoppingtable[Item Name],Shoppingtable[[#This Row],[Item Name]],Shoppingtable[ACTUAL COST]),0)</f>
        <v>90</v>
      </c>
      <c r="F63" s="3">
        <f>IF(B63="","",Shoppingtable[[#This Row],[AvgCost]]/Shoppingtable[[#This Row],[Quantity(g/ml)]])</f>
        <v>0.18367346938775511</v>
      </c>
      <c r="G63" s="13">
        <v>90</v>
      </c>
      <c r="H63" s="3">
        <f>Shoppingtable[[#This Row],[Buying Cost]]-Shoppingtable[[#This Row],[ACTUAL COST]]</f>
        <v>0</v>
      </c>
      <c r="L63" s="9" t="s">
        <v>479</v>
      </c>
      <c r="M63" s="37">
        <v>29</v>
      </c>
      <c r="N63" s="37">
        <v>1</v>
      </c>
      <c r="O63" s="37">
        <v>30</v>
      </c>
    </row>
    <row r="64" spans="1:15" x14ac:dyDescent="0.25">
      <c r="A64" s="15">
        <v>45639</v>
      </c>
      <c r="B64" s="13" t="s">
        <v>42</v>
      </c>
      <c r="C64" s="13">
        <v>500</v>
      </c>
      <c r="D64" s="13">
        <v>34</v>
      </c>
      <c r="E64" s="3">
        <f>IFERROR(AVERAGEIF(Shoppingtable[Item Name],Shoppingtable[[#This Row],[Item Name]],Shoppingtable[ACTUAL COST]),0)</f>
        <v>34</v>
      </c>
      <c r="F64" s="3">
        <f>IF(B64="","",Shoppingtable[[#This Row],[AvgCost]]/Shoppingtable[[#This Row],[Quantity(g/ml)]])</f>
        <v>6.8000000000000005E-2</v>
      </c>
      <c r="G64" s="13">
        <v>34</v>
      </c>
      <c r="H64" s="3">
        <f>Shoppingtable[[#This Row],[Buying Cost]]-Shoppingtable[[#This Row],[ACTUAL COST]]</f>
        <v>0</v>
      </c>
      <c r="L64" s="9" t="s">
        <v>491</v>
      </c>
      <c r="M64" s="37">
        <v>16</v>
      </c>
      <c r="N64" s="37">
        <v>1</v>
      </c>
      <c r="O64" s="37">
        <v>20</v>
      </c>
    </row>
    <row r="65" spans="1:15" x14ac:dyDescent="0.25">
      <c r="A65" s="15">
        <v>45641</v>
      </c>
      <c r="B65" s="13" t="s">
        <v>510</v>
      </c>
      <c r="C65" s="13">
        <v>500</v>
      </c>
      <c r="D65" s="13">
        <v>46</v>
      </c>
      <c r="E65" s="3">
        <f>IFERROR(AVERAGEIF(Shoppingtable[Item Name],Shoppingtable[[#This Row],[Item Name]],Shoppingtable[ACTUAL COST]),0)</f>
        <v>46</v>
      </c>
      <c r="F65" s="3">
        <f>IF(B65="","",Shoppingtable[[#This Row],[AvgCost]]/Shoppingtable[[#This Row],[Quantity(g/ml)]])</f>
        <v>9.1999999999999998E-2</v>
      </c>
      <c r="G65" s="13">
        <v>46</v>
      </c>
      <c r="H65" s="3">
        <f>Shoppingtable[[#This Row],[Buying Cost]]-Shoppingtable[[#This Row],[ACTUAL COST]]</f>
        <v>0</v>
      </c>
      <c r="L65" s="9" t="s">
        <v>521</v>
      </c>
      <c r="M65" s="37">
        <v>50</v>
      </c>
      <c r="N65" s="37">
        <v>1</v>
      </c>
      <c r="O65" s="37">
        <v>92</v>
      </c>
    </row>
    <row r="66" spans="1:15" x14ac:dyDescent="0.25">
      <c r="A66" s="15">
        <v>45642</v>
      </c>
      <c r="B66" s="13" t="s">
        <v>67</v>
      </c>
      <c r="C66" s="13">
        <v>500</v>
      </c>
      <c r="D66" s="13">
        <v>38</v>
      </c>
      <c r="E66" s="3">
        <f>IFERROR(AVERAGEIF(Shoppingtable[Item Name],Shoppingtable[[#This Row],[Item Name]],Shoppingtable[ACTUAL COST]),0)</f>
        <v>38</v>
      </c>
      <c r="F66" s="3">
        <f>IF(B66="","",Shoppingtable[[#This Row],[AvgCost]]/Shoppingtable[[#This Row],[Quantity(g/ml)]])</f>
        <v>7.5999999999999998E-2</v>
      </c>
      <c r="G66" s="13">
        <v>38</v>
      </c>
      <c r="H66" s="3">
        <f>Shoppingtable[[#This Row],[Buying Cost]]-Shoppingtable[[#This Row],[ACTUAL COST]]</f>
        <v>0</v>
      </c>
      <c r="L66" s="9" t="s">
        <v>89</v>
      </c>
      <c r="M66" s="37">
        <v>1000</v>
      </c>
      <c r="N66" s="37">
        <v>1</v>
      </c>
      <c r="O66" s="37">
        <v>60</v>
      </c>
    </row>
    <row r="67" spans="1:15" x14ac:dyDescent="0.25">
      <c r="A67" s="15">
        <v>45639</v>
      </c>
      <c r="B67" s="13" t="s">
        <v>96</v>
      </c>
      <c r="C67" s="13">
        <v>500</v>
      </c>
      <c r="D67" s="13">
        <v>25</v>
      </c>
      <c r="E67" s="3">
        <f>IFERROR(AVERAGEIF(Shoppingtable[Item Name],Shoppingtable[[#This Row],[Item Name]],Shoppingtable[ACTUAL COST]),0)</f>
        <v>25</v>
      </c>
      <c r="F67" s="3">
        <f>IF(B67="","",Shoppingtable[[#This Row],[AvgCost]]/Shoppingtable[[#This Row],[Quantity(g/ml)]])</f>
        <v>0.05</v>
      </c>
      <c r="G67" s="13">
        <v>25</v>
      </c>
      <c r="H67" s="3">
        <f>Shoppingtable[[#This Row],[Buying Cost]]-Shoppingtable[[#This Row],[ACTUAL COST]]</f>
        <v>0</v>
      </c>
      <c r="L67" s="9" t="s">
        <v>493</v>
      </c>
      <c r="M67" s="37">
        <v>50</v>
      </c>
      <c r="N67" s="37">
        <v>1</v>
      </c>
      <c r="O67" s="37">
        <v>50</v>
      </c>
    </row>
    <row r="68" spans="1:15" x14ac:dyDescent="0.25">
      <c r="A68" s="15">
        <v>45641</v>
      </c>
      <c r="B68" s="13" t="s">
        <v>542</v>
      </c>
      <c r="C68" s="13">
        <v>500</v>
      </c>
      <c r="D68" s="13">
        <v>40</v>
      </c>
      <c r="E68" s="3">
        <f>IFERROR(AVERAGEIF(Shoppingtable[Item Name],Shoppingtable[[#This Row],[Item Name]],Shoppingtable[ACTUAL COST]),0)</f>
        <v>40</v>
      </c>
      <c r="F68" s="3">
        <f>IF(B68="","",Shoppingtable[[#This Row],[AvgCost]]/Shoppingtable[[#This Row],[Quantity(g/ml)]])</f>
        <v>0.08</v>
      </c>
      <c r="G68" s="13">
        <v>40</v>
      </c>
      <c r="H68" s="3">
        <f>Shoppingtable[[#This Row],[Buying Cost]]-Shoppingtable[[#This Row],[ACTUAL COST]]</f>
        <v>0</v>
      </c>
      <c r="L68" s="9" t="s">
        <v>511</v>
      </c>
      <c r="M68" s="37">
        <v>25000</v>
      </c>
      <c r="N68" s="37">
        <v>1</v>
      </c>
      <c r="O68" s="37">
        <v>0</v>
      </c>
    </row>
    <row r="69" spans="1:15" x14ac:dyDescent="0.25">
      <c r="A69" s="15">
        <v>45639</v>
      </c>
      <c r="B69" s="13" t="s">
        <v>577</v>
      </c>
      <c r="C69" s="13">
        <v>520</v>
      </c>
      <c r="D69" s="13">
        <v>30</v>
      </c>
      <c r="E69" s="3">
        <f>IFERROR(AVERAGEIF(Shoppingtable[Item Name],Shoppingtable[[#This Row],[Item Name]],Shoppingtable[ACTUAL COST]),0)</f>
        <v>30</v>
      </c>
      <c r="F69" s="3">
        <f>IF(B69="","",Shoppingtable[[#This Row],[AvgCost]]/Shoppingtable[[#This Row],[Quantity(g/ml)]])</f>
        <v>5.7692307692307696E-2</v>
      </c>
      <c r="G69" s="13">
        <v>30</v>
      </c>
      <c r="H69" s="3">
        <f>Shoppingtable[[#This Row],[Buying Cost]]-Shoppingtable[[#This Row],[ACTUAL COST]]</f>
        <v>0</v>
      </c>
      <c r="L69" s="9" t="s">
        <v>512</v>
      </c>
      <c r="M69" s="37">
        <v>35</v>
      </c>
      <c r="N69" s="37">
        <v>1</v>
      </c>
      <c r="O69" s="37">
        <v>3</v>
      </c>
    </row>
    <row r="70" spans="1:15" x14ac:dyDescent="0.25">
      <c r="A70" s="15">
        <v>45639</v>
      </c>
      <c r="B70" s="13" t="s">
        <v>576</v>
      </c>
      <c r="C70" s="13">
        <v>600</v>
      </c>
      <c r="D70" s="13">
        <v>35</v>
      </c>
      <c r="E70" s="3">
        <f>IFERROR(AVERAGEIF(Shoppingtable[Item Name],Shoppingtable[[#This Row],[Item Name]],Shoppingtable[ACTUAL COST]),0)</f>
        <v>35</v>
      </c>
      <c r="F70" s="3">
        <f>IF(B70="","",Shoppingtable[[#This Row],[AvgCost]]/Shoppingtable[[#This Row],[Quantity(g/ml)]])</f>
        <v>5.8333333333333334E-2</v>
      </c>
      <c r="G70" s="13">
        <v>35</v>
      </c>
      <c r="H70" s="3">
        <f>Shoppingtable[[#This Row],[Buying Cost]]-Shoppingtable[[#This Row],[ACTUAL COST]]</f>
        <v>0</v>
      </c>
      <c r="L70" s="9" t="s">
        <v>486</v>
      </c>
      <c r="M70" s="37">
        <v>185</v>
      </c>
      <c r="N70" s="37">
        <v>2</v>
      </c>
      <c r="O70" s="37">
        <v>62</v>
      </c>
    </row>
    <row r="71" spans="1:15" x14ac:dyDescent="0.25">
      <c r="A71" s="15">
        <v>45639</v>
      </c>
      <c r="B71" s="13" t="s">
        <v>33</v>
      </c>
      <c r="C71" s="13">
        <v>900</v>
      </c>
      <c r="D71" s="13">
        <v>120</v>
      </c>
      <c r="E71" s="3">
        <f>IFERROR(AVERAGEIF(Shoppingtable[Item Name],Shoppingtable[[#This Row],[Item Name]],Shoppingtable[ACTUAL COST]),0)</f>
        <v>120</v>
      </c>
      <c r="F71" s="3">
        <f>IF(B71="","",Shoppingtable[[#This Row],[AvgCost]]/Shoppingtable[[#This Row],[Quantity(g/ml)]])</f>
        <v>0.13333333333333333</v>
      </c>
      <c r="G71" s="13">
        <v>120</v>
      </c>
      <c r="H71" s="3">
        <f>Shoppingtable[[#This Row],[Buying Cost]]-Shoppingtable[[#This Row],[ACTUAL COST]]</f>
        <v>0</v>
      </c>
      <c r="L71" s="9" t="s">
        <v>494</v>
      </c>
      <c r="M71" s="37">
        <v>50</v>
      </c>
      <c r="N71" s="37">
        <v>1</v>
      </c>
      <c r="O71" s="37">
        <v>20</v>
      </c>
    </row>
    <row r="72" spans="1:15" x14ac:dyDescent="0.25">
      <c r="A72" s="15">
        <v>45639</v>
      </c>
      <c r="B72" s="13" t="s">
        <v>560</v>
      </c>
      <c r="C72" s="13">
        <v>1000</v>
      </c>
      <c r="D72" s="13">
        <v>22.2</v>
      </c>
      <c r="E72" s="3">
        <f>IFERROR(AVERAGEIF(Shoppingtable[Item Name],Shoppingtable[[#This Row],[Item Name]],Shoppingtable[ACTUAL COST]),0)</f>
        <v>22.2</v>
      </c>
      <c r="F72" s="3">
        <f>IF(B72="","",Shoppingtable[[#This Row],[AvgCost]]/Shoppingtable[[#This Row],[Quantity(g/ml)]])</f>
        <v>2.2200000000000001E-2</v>
      </c>
      <c r="G72" s="13">
        <v>22.2</v>
      </c>
      <c r="H72" s="3">
        <f>Shoppingtable[[#This Row],[Buying Cost]]-Shoppingtable[[#This Row],[ACTUAL COST]]</f>
        <v>0</v>
      </c>
      <c r="L72" s="9" t="s">
        <v>96</v>
      </c>
      <c r="M72" s="37">
        <v>500</v>
      </c>
      <c r="N72" s="37">
        <v>1</v>
      </c>
      <c r="O72" s="37">
        <v>25</v>
      </c>
    </row>
    <row r="73" spans="1:15" x14ac:dyDescent="0.25">
      <c r="A73" s="15">
        <v>45639</v>
      </c>
      <c r="B73" s="13" t="s">
        <v>77</v>
      </c>
      <c r="C73" s="13">
        <v>1000</v>
      </c>
      <c r="D73" s="13">
        <v>50</v>
      </c>
      <c r="E73" s="3">
        <f>IFERROR(AVERAGEIF(Shoppingtable[Item Name],Shoppingtable[[#This Row],[Item Name]],Shoppingtable[ACTUAL COST]),0)</f>
        <v>41.5</v>
      </c>
      <c r="F73" s="3">
        <f>IF(B73="","",Shoppingtable[[#This Row],[AvgCost]]/Shoppingtable[[#This Row],[Quantity(g/ml)]])</f>
        <v>4.1500000000000002E-2</v>
      </c>
      <c r="G73" s="13">
        <v>50</v>
      </c>
      <c r="H73" s="3">
        <f>Shoppingtable[[#This Row],[Buying Cost]]-Shoppingtable[[#This Row],[ACTUAL COST]]</f>
        <v>0</v>
      </c>
      <c r="L73" s="9" t="s">
        <v>98</v>
      </c>
      <c r="M73" s="37">
        <v>1200</v>
      </c>
      <c r="N73" s="37">
        <v>1</v>
      </c>
      <c r="O73" s="37">
        <v>65</v>
      </c>
    </row>
    <row r="74" spans="1:15" x14ac:dyDescent="0.25">
      <c r="A74" s="15">
        <v>45639</v>
      </c>
      <c r="B74" s="13" t="s">
        <v>89</v>
      </c>
      <c r="C74" s="13">
        <v>1000</v>
      </c>
      <c r="D74" s="13">
        <v>60</v>
      </c>
      <c r="E74" s="3">
        <f>IFERROR(AVERAGEIF(Shoppingtable[Item Name],Shoppingtable[[#This Row],[Item Name]],Shoppingtable[ACTUAL COST]),0)</f>
        <v>60</v>
      </c>
      <c r="F74" s="3">
        <f>IF(B74="","",Shoppingtable[[#This Row],[AvgCost]]/Shoppingtable[[#This Row],[Quantity(g/ml)]])</f>
        <v>0.06</v>
      </c>
      <c r="G74" s="13">
        <v>60</v>
      </c>
      <c r="H74" s="3">
        <f>Shoppingtable[[#This Row],[Buying Cost]]-Shoppingtable[[#This Row],[ACTUAL COST]]</f>
        <v>0</v>
      </c>
      <c r="L74" s="9" t="s">
        <v>503</v>
      </c>
      <c r="M74" s="37">
        <v>140</v>
      </c>
      <c r="N74" s="37">
        <v>2</v>
      </c>
      <c r="O74" s="37">
        <v>55</v>
      </c>
    </row>
    <row r="75" spans="1:15" x14ac:dyDescent="0.25">
      <c r="A75" s="15">
        <v>45639</v>
      </c>
      <c r="B75" s="13" t="s">
        <v>98</v>
      </c>
      <c r="C75" s="13">
        <v>1200</v>
      </c>
      <c r="D75" s="13">
        <v>65</v>
      </c>
      <c r="E75" s="3">
        <f>IFERROR(AVERAGEIF(Shoppingtable[Item Name],Shoppingtable[[#This Row],[Item Name]],Shoppingtable[ACTUAL COST]),0)</f>
        <v>65</v>
      </c>
      <c r="F75" s="3">
        <f>IF(B75="","",Shoppingtable[[#This Row],[AvgCost]]/Shoppingtable[[#This Row],[Quantity(g/ml)]])</f>
        <v>5.4166666666666669E-2</v>
      </c>
      <c r="G75" s="13">
        <v>65</v>
      </c>
      <c r="H75" s="3">
        <f>Shoppingtable[[#This Row],[Buying Cost]]-Shoppingtable[[#This Row],[ACTUAL COST]]</f>
        <v>0</v>
      </c>
      <c r="L75" s="9" t="s">
        <v>504</v>
      </c>
      <c r="M75" s="37">
        <v>50</v>
      </c>
      <c r="N75" s="37">
        <v>1</v>
      </c>
      <c r="O75" s="37">
        <v>10</v>
      </c>
    </row>
    <row r="76" spans="1:15" x14ac:dyDescent="0.25">
      <c r="A76" s="15">
        <v>45639</v>
      </c>
      <c r="B76" s="13" t="s">
        <v>75</v>
      </c>
      <c r="C76" s="13">
        <v>1500</v>
      </c>
      <c r="D76" s="13">
        <v>219</v>
      </c>
      <c r="E76" s="3">
        <f>IFERROR(AVERAGEIF(Shoppingtable[Item Name],Shoppingtable[[#This Row],[Item Name]],Shoppingtable[ACTUAL COST]),0)</f>
        <v>219</v>
      </c>
      <c r="F76" s="3">
        <f>IF(B76="","",Shoppingtable[[#This Row],[AvgCost]]/Shoppingtable[[#This Row],[Quantity(g/ml)]])</f>
        <v>0.14599999999999999</v>
      </c>
      <c r="G76" s="13">
        <v>219</v>
      </c>
      <c r="H76" s="3">
        <f>Shoppingtable[[#This Row],[Buying Cost]]-Shoppingtable[[#This Row],[ACTUAL COST]]</f>
        <v>0</v>
      </c>
      <c r="L76" s="9" t="s">
        <v>509</v>
      </c>
      <c r="M76" s="37">
        <v>6000</v>
      </c>
      <c r="N76" s="37">
        <v>1</v>
      </c>
      <c r="O76" s="37">
        <v>270</v>
      </c>
    </row>
    <row r="77" spans="1:15" x14ac:dyDescent="0.25">
      <c r="A77" s="15">
        <v>45639</v>
      </c>
      <c r="B77" s="13" t="s">
        <v>423</v>
      </c>
      <c r="C77" s="13">
        <v>2000</v>
      </c>
      <c r="D77" s="13">
        <v>750</v>
      </c>
      <c r="E77" s="3">
        <f>IFERROR(AVERAGEIF(Shoppingtable[Item Name],Shoppingtable[[#This Row],[Item Name]],Shoppingtable[ACTUAL COST]),0)</f>
        <v>750</v>
      </c>
      <c r="F77" s="3">
        <f>IF(B77="","",Shoppingtable[[#This Row],[AvgCost]]/Shoppingtable[[#This Row],[Quantity(g/ml)]])</f>
        <v>0.375</v>
      </c>
      <c r="G77" s="13">
        <v>750</v>
      </c>
      <c r="H77" s="3">
        <f>Shoppingtable[[#This Row],[Buying Cost]]-Shoppingtable[[#This Row],[ACTUAL COST]]</f>
        <v>0</v>
      </c>
      <c r="L77" s="9" t="s">
        <v>525</v>
      </c>
      <c r="M77" s="37">
        <v>200</v>
      </c>
      <c r="N77" s="37">
        <v>1</v>
      </c>
      <c r="O77" s="37">
        <v>60</v>
      </c>
    </row>
    <row r="78" spans="1:15" x14ac:dyDescent="0.25">
      <c r="A78" s="15">
        <v>45639</v>
      </c>
      <c r="B78" s="13" t="s">
        <v>375</v>
      </c>
      <c r="C78" s="13">
        <v>2500</v>
      </c>
      <c r="D78" s="13">
        <v>131</v>
      </c>
      <c r="E78" s="3">
        <f>IFERROR(AVERAGEIF(Shoppingtable[Item Name],Shoppingtable[[#This Row],[Item Name]],Shoppingtable[ACTUAL COST]),0)</f>
        <v>131</v>
      </c>
      <c r="F78" s="3">
        <f>IF(B78="","",Shoppingtable[[#This Row],[AvgCost]]/Shoppingtable[[#This Row],[Quantity(g/ml)]])</f>
        <v>5.2400000000000002E-2</v>
      </c>
      <c r="G78" s="13">
        <v>131</v>
      </c>
      <c r="H78" s="3">
        <f>Shoppingtable[[#This Row],[Buying Cost]]-Shoppingtable[[#This Row],[ACTUAL COST]]</f>
        <v>0</v>
      </c>
      <c r="L78" s="9" t="s">
        <v>484</v>
      </c>
      <c r="M78" s="37">
        <v>14</v>
      </c>
      <c r="N78" s="37">
        <v>1</v>
      </c>
      <c r="O78" s="37">
        <v>10</v>
      </c>
    </row>
    <row r="79" spans="1:15" x14ac:dyDescent="0.25">
      <c r="A79" s="15">
        <v>45639</v>
      </c>
      <c r="B79" s="13" t="s">
        <v>104</v>
      </c>
      <c r="C79" s="13">
        <v>3000</v>
      </c>
      <c r="D79" s="13">
        <v>90</v>
      </c>
      <c r="E79" s="3">
        <f>IFERROR(AVERAGEIF(Shoppingtable[Item Name],Shoppingtable[[#This Row],[Item Name]],Shoppingtable[ACTUAL COST]),0)</f>
        <v>90</v>
      </c>
      <c r="F79" s="3">
        <f>IF(B79="","",Shoppingtable[[#This Row],[AvgCost]]/Shoppingtable[[#This Row],[Quantity(g/ml)]])</f>
        <v>0.03</v>
      </c>
      <c r="G79" s="13">
        <v>90</v>
      </c>
      <c r="H79" s="3">
        <f>Shoppingtable[[#This Row],[Buying Cost]]-Shoppingtable[[#This Row],[ACTUAL COST]]</f>
        <v>0</v>
      </c>
      <c r="L79" s="9" t="s">
        <v>102</v>
      </c>
      <c r="M79" s="37">
        <v>460</v>
      </c>
      <c r="N79" s="37">
        <v>1</v>
      </c>
      <c r="O79" s="37">
        <v>23</v>
      </c>
    </row>
    <row r="80" spans="1:15" x14ac:dyDescent="0.25">
      <c r="A80" s="15">
        <v>45639</v>
      </c>
      <c r="B80" s="13" t="s">
        <v>509</v>
      </c>
      <c r="C80" s="13">
        <v>6000</v>
      </c>
      <c r="D80" s="13">
        <v>270</v>
      </c>
      <c r="E80" s="3">
        <f>IFERROR(AVERAGEIF(Shoppingtable[Item Name],Shoppingtable[[#This Row],[Item Name]],Shoppingtable[ACTUAL COST]),0)</f>
        <v>270</v>
      </c>
      <c r="F80" s="3">
        <f>IF(B80="","",Shoppingtable[[#This Row],[AvgCost]]/Shoppingtable[[#This Row],[Quantity(g/ml)]])</f>
        <v>4.4999999999999998E-2</v>
      </c>
      <c r="G80" s="13">
        <v>270</v>
      </c>
      <c r="H80" s="3">
        <f>Shoppingtable[[#This Row],[Buying Cost]]-Shoppingtable[[#This Row],[ACTUAL COST]]</f>
        <v>0</v>
      </c>
      <c r="L80" s="9" t="s">
        <v>483</v>
      </c>
      <c r="M80" s="37">
        <v>20</v>
      </c>
      <c r="N80" s="37">
        <v>1</v>
      </c>
      <c r="O80" s="37">
        <v>10</v>
      </c>
    </row>
    <row r="81" spans="1:15" x14ac:dyDescent="0.25">
      <c r="A81" s="15">
        <v>45639</v>
      </c>
      <c r="B81" s="13" t="s">
        <v>44</v>
      </c>
      <c r="C81" s="13">
        <v>7000</v>
      </c>
      <c r="D81" s="13">
        <v>200</v>
      </c>
      <c r="E81" s="3">
        <f>IFERROR(AVERAGEIF(Shoppingtable[Item Name],Shoppingtable[[#This Row],[Item Name]],Shoppingtable[ACTUAL COST]),0)</f>
        <v>200</v>
      </c>
      <c r="F81" s="3">
        <f>IF(B81="","",Shoppingtable[[#This Row],[AvgCost]]/Shoppingtable[[#This Row],[Quantity(g/ml)]])</f>
        <v>2.8571428571428571E-2</v>
      </c>
      <c r="G81" s="13">
        <v>190</v>
      </c>
      <c r="H81" s="3">
        <f>Shoppingtable[[#This Row],[Buying Cost]]-Shoppingtable[[#This Row],[ACTUAL COST]]</f>
        <v>-10</v>
      </c>
      <c r="L81" s="9" t="s">
        <v>104</v>
      </c>
      <c r="M81" s="37">
        <v>3000</v>
      </c>
      <c r="N81" s="37">
        <v>1</v>
      </c>
      <c r="O81" s="37">
        <v>90</v>
      </c>
    </row>
    <row r="82" spans="1:15" x14ac:dyDescent="0.25">
      <c r="A82" s="15">
        <v>45628</v>
      </c>
      <c r="B82" s="13" t="s">
        <v>496</v>
      </c>
      <c r="C82" s="13">
        <v>10000</v>
      </c>
      <c r="D82" s="13">
        <v>740</v>
      </c>
      <c r="E82" s="3">
        <f>IFERROR(AVERAGEIF(Shoppingtable[Item Name],Shoppingtable[[#This Row],[Item Name]],Shoppingtable[ACTUAL COST]),0)</f>
        <v>740</v>
      </c>
      <c r="F82" s="3">
        <f>IF(B82="","",Shoppingtable[[#This Row],[AvgCost]]/Shoppingtable[[#This Row],[Quantity(g/ml)]])</f>
        <v>7.3999999999999996E-2</v>
      </c>
      <c r="G82" s="13">
        <v>740</v>
      </c>
      <c r="H82" s="3">
        <f>Shoppingtable[[#This Row],[Buying Cost]]-Shoppingtable[[#This Row],[ACTUAL COST]]</f>
        <v>0</v>
      </c>
      <c r="L82" s="9" t="s">
        <v>576</v>
      </c>
      <c r="M82" s="37">
        <v>600</v>
      </c>
      <c r="N82" s="37">
        <v>1</v>
      </c>
      <c r="O82" s="37">
        <v>35</v>
      </c>
    </row>
    <row r="83" spans="1:15" x14ac:dyDescent="0.25">
      <c r="A83" s="15">
        <v>45639</v>
      </c>
      <c r="B83" s="13" t="s">
        <v>511</v>
      </c>
      <c r="C83" s="13">
        <v>25000</v>
      </c>
      <c r="D83" s="13">
        <v>0</v>
      </c>
      <c r="E83" s="3">
        <f>IFERROR(AVERAGEIF(Shoppingtable[Item Name],Shoppingtable[[#This Row],[Item Name]],Shoppingtable[ACTUAL COST]),0)</f>
        <v>0</v>
      </c>
      <c r="F83" s="3">
        <f>IF(B83="","",Shoppingtable[[#This Row],[AvgCost]]/Shoppingtable[[#This Row],[Quantity(g/ml)]])</f>
        <v>0</v>
      </c>
      <c r="G83" s="13">
        <v>0</v>
      </c>
      <c r="H83" s="3">
        <f>Shoppingtable[[#This Row],[Buying Cost]]-Shoppingtable[[#This Row],[ACTUAL COST]]</f>
        <v>0</v>
      </c>
      <c r="L83" s="9" t="s">
        <v>517</v>
      </c>
      <c r="M83" s="37">
        <v>102</v>
      </c>
      <c r="N83" s="37">
        <v>1</v>
      </c>
      <c r="O83" s="37">
        <v>102</v>
      </c>
    </row>
    <row r="84" spans="1:15" x14ac:dyDescent="0.25">
      <c r="A84" s="15">
        <v>45646</v>
      </c>
      <c r="B84" s="13" t="s">
        <v>503</v>
      </c>
      <c r="C84" s="13">
        <v>100</v>
      </c>
      <c r="D84" s="13">
        <v>35</v>
      </c>
      <c r="E84" s="3">
        <f>IFERROR(AVERAGEIF(Shoppingtable[Item Name],Shoppingtable[[#This Row],[Item Name]],Shoppingtable[ACTUAL COST]),0)</f>
        <v>21.5</v>
      </c>
      <c r="F84" s="3">
        <f>IF(B84="","",Shoppingtable[[#This Row],[AvgCost]]/Shoppingtable[[#This Row],[Quantity(g/ml)]])</f>
        <v>0.215</v>
      </c>
      <c r="G84" s="13">
        <v>35</v>
      </c>
      <c r="H84" s="3">
        <f>Shoppingtable[[#This Row],[Buying Cost]]-Shoppingtable[[#This Row],[ACTUAL COST]]</f>
        <v>0</v>
      </c>
      <c r="L84" s="9" t="s">
        <v>505</v>
      </c>
      <c r="M84" s="37">
        <v>490</v>
      </c>
      <c r="N84" s="37">
        <v>1</v>
      </c>
      <c r="O84" s="37">
        <v>90</v>
      </c>
    </row>
    <row r="85" spans="1:15" x14ac:dyDescent="0.25">
      <c r="A85" s="15">
        <v>45646</v>
      </c>
      <c r="B85" s="13" t="s">
        <v>486</v>
      </c>
      <c r="C85" s="13">
        <v>100</v>
      </c>
      <c r="D85" s="13">
        <v>30</v>
      </c>
      <c r="E85" s="3">
        <f>IFERROR(AVERAGEIF(Shoppingtable[Item Name],Shoppingtable[[#This Row],[Item Name]],Shoppingtable[ACTUAL COST]),0)</f>
        <v>31</v>
      </c>
      <c r="F85" s="3">
        <f>IF(B85="","",Shoppingtable[[#This Row],[AvgCost]]/Shoppingtable[[#This Row],[Quantity(g/ml)]])</f>
        <v>0.31</v>
      </c>
      <c r="G85" s="13">
        <v>30</v>
      </c>
      <c r="H85" s="3">
        <f>Shoppingtable[[#This Row],[Buying Cost]]-Shoppingtable[[#This Row],[ACTUAL COST]]</f>
        <v>0</v>
      </c>
      <c r="L85" s="9" t="s">
        <v>432</v>
      </c>
      <c r="M85" s="37">
        <v>2</v>
      </c>
      <c r="N85" s="37">
        <v>1</v>
      </c>
      <c r="O85" s="37">
        <v>2</v>
      </c>
    </row>
    <row r="86" spans="1:15" x14ac:dyDescent="0.25">
      <c r="A86" s="15">
        <v>45646</v>
      </c>
      <c r="B86" s="13" t="s">
        <v>487</v>
      </c>
      <c r="C86" s="13">
        <v>100</v>
      </c>
      <c r="D86" s="13">
        <v>45</v>
      </c>
      <c r="E86" s="3">
        <f>IFERROR(AVERAGEIF(Shoppingtable[Item Name],Shoppingtable[[#This Row],[Item Name]],Shoppingtable[ACTUAL COST]),0)</f>
        <v>31.5</v>
      </c>
      <c r="F86" s="3">
        <f>IF(B86="","",Shoppingtable[[#This Row],[AvgCost]]/Shoppingtable[[#This Row],[Quantity(g/ml)]])</f>
        <v>0.315</v>
      </c>
      <c r="G86" s="13">
        <v>45</v>
      </c>
      <c r="H86" s="3">
        <f>Shoppingtable[[#This Row],[Buying Cost]]-Shoppingtable[[#This Row],[ACTUAL COST]]</f>
        <v>0</v>
      </c>
      <c r="L86" s="9" t="s">
        <v>508</v>
      </c>
      <c r="M86" s="37">
        <v>450</v>
      </c>
      <c r="N86" s="37">
        <v>1</v>
      </c>
      <c r="O86" s="37">
        <v>140</v>
      </c>
    </row>
    <row r="87" spans="1:15" x14ac:dyDescent="0.25">
      <c r="A87" s="15">
        <v>45646</v>
      </c>
      <c r="B87" s="13" t="s">
        <v>482</v>
      </c>
      <c r="C87" s="13">
        <v>500</v>
      </c>
      <c r="D87" s="13">
        <v>70</v>
      </c>
      <c r="E87" s="3">
        <f>IFERROR(AVERAGEIF(Shoppingtable[Item Name],Shoppingtable[[#This Row],[Item Name]],Shoppingtable[ACTUAL COST]),0)</f>
        <v>57.5</v>
      </c>
      <c r="F87" s="3">
        <f>IF(B87="","",Shoppingtable[[#This Row],[AvgCost]]/Shoppingtable[[#This Row],[Quantity(g/ml)]])</f>
        <v>0.115</v>
      </c>
      <c r="G87" s="13">
        <v>70</v>
      </c>
      <c r="H87" s="3">
        <f>Shoppingtable[[#This Row],[Buying Cost]]-Shoppingtable[[#This Row],[ACTUAL COST]]</f>
        <v>0</v>
      </c>
      <c r="L87" s="9" t="s">
        <v>542</v>
      </c>
      <c r="M87" s="37">
        <v>500</v>
      </c>
      <c r="N87" s="37">
        <v>1</v>
      </c>
      <c r="O87" s="37">
        <v>40</v>
      </c>
    </row>
    <row r="88" spans="1:15" x14ac:dyDescent="0.25">
      <c r="A88" s="15">
        <v>45647</v>
      </c>
      <c r="B88" s="13" t="s">
        <v>601</v>
      </c>
      <c r="C88" s="13">
        <v>12</v>
      </c>
      <c r="D88" s="13">
        <v>200</v>
      </c>
      <c r="E88" s="3">
        <f>IFERROR(AVERAGEIF(Shoppingtable[Item Name],Shoppingtable[[#This Row],[Item Name]],Shoppingtable[ACTUAL COST]),0)</f>
        <v>175</v>
      </c>
      <c r="F88" s="3">
        <f>IF(B88="","",Shoppingtable[[#This Row],[AvgCost]]/Shoppingtable[[#This Row],[Quantity(g/ml)]])</f>
        <v>14.583333333333334</v>
      </c>
      <c r="G88" s="13">
        <v>200</v>
      </c>
      <c r="H88" s="3">
        <f>Shoppingtable[[#This Row],[Buying Cost]]-Shoppingtable[[#This Row],[ACTUAL COST]]</f>
        <v>0</v>
      </c>
      <c r="L88" s="9" t="s">
        <v>375</v>
      </c>
      <c r="M88" s="37">
        <v>2500</v>
      </c>
      <c r="N88" s="37">
        <v>1</v>
      </c>
      <c r="O88" s="37">
        <v>131</v>
      </c>
    </row>
    <row r="89" spans="1:15" x14ac:dyDescent="0.25">
      <c r="A89" s="15">
        <v>45647</v>
      </c>
      <c r="B89" s="13" t="s">
        <v>600</v>
      </c>
      <c r="C89" s="13">
        <v>1600</v>
      </c>
      <c r="D89" s="13">
        <v>142</v>
      </c>
      <c r="E89" s="3">
        <f>IFERROR(AVERAGEIF(Shoppingtable[Item Name],Shoppingtable[[#This Row],[Item Name]],Shoppingtable[ACTUAL COST]),0)</f>
        <v>142</v>
      </c>
      <c r="F89" s="3">
        <f>IF(B89="","",Shoppingtable[[#This Row],[AvgCost]]/Shoppingtable[[#This Row],[Quantity(g/ml)]])</f>
        <v>8.8749999999999996E-2</v>
      </c>
      <c r="G89" s="13">
        <v>142</v>
      </c>
      <c r="H89" s="3">
        <f>Shoppingtable[[#This Row],[Buying Cost]]-Shoppingtable[[#This Row],[ACTUAL COST]]</f>
        <v>0</v>
      </c>
      <c r="L89" s="9" t="s">
        <v>395</v>
      </c>
      <c r="M89" s="37"/>
      <c r="N89" s="37">
        <v>33</v>
      </c>
      <c r="O89" s="37"/>
    </row>
    <row r="90" spans="1:15" x14ac:dyDescent="0.25">
      <c r="A90" s="15">
        <v>45647</v>
      </c>
      <c r="B90" s="13" t="s">
        <v>77</v>
      </c>
      <c r="C90" s="13">
        <v>500</v>
      </c>
      <c r="D90" s="13">
        <v>33</v>
      </c>
      <c r="E90" s="3">
        <f>IFERROR(AVERAGEIF(Shoppingtable[Item Name],Shoppingtable[[#This Row],[Item Name]],Shoppingtable[ACTUAL COST]),0)</f>
        <v>41.5</v>
      </c>
      <c r="F90" s="3">
        <f>IF(B90="","",Shoppingtable[[#This Row],[AvgCost]]/Shoppingtable[[#This Row],[Quantity(g/ml)]])</f>
        <v>8.3000000000000004E-2</v>
      </c>
      <c r="G90" s="13">
        <v>33</v>
      </c>
      <c r="H90" s="3">
        <f>Shoppingtable[[#This Row],[Buying Cost]]-Shoppingtable[[#This Row],[ACTUAL COST]]</f>
        <v>0</v>
      </c>
      <c r="L90" s="9" t="s">
        <v>394</v>
      </c>
      <c r="M90" s="37">
        <v>75711</v>
      </c>
      <c r="N90" s="37">
        <v>121</v>
      </c>
      <c r="O90" s="37">
        <v>5900.76</v>
      </c>
    </row>
    <row r="91" spans="1:15" x14ac:dyDescent="0.25">
      <c r="A91" s="15">
        <v>45646</v>
      </c>
      <c r="B91" s="13" t="s">
        <v>84</v>
      </c>
      <c r="C91" s="13">
        <v>100</v>
      </c>
      <c r="D91" s="13">
        <v>70</v>
      </c>
      <c r="E91" s="3">
        <f>IFERROR(AVERAGEIF(Shoppingtable[Item Name],Shoppingtable[[#This Row],[Item Name]],Shoppingtable[ACTUAL COST]),0)</f>
        <v>70</v>
      </c>
      <c r="F91" s="3">
        <f>IF(B91="","",Shoppingtable[[#This Row],[AvgCost]]/Shoppingtable[[#This Row],[Quantity(g/ml)]])</f>
        <v>0.7</v>
      </c>
      <c r="G91" s="13">
        <v>70</v>
      </c>
      <c r="H91" s="3">
        <f>Shoppingtable[[#This Row],[Buying Cost]]-Shoppingtable[[#This Row],[ACTUAL COST]]</f>
        <v>0</v>
      </c>
    </row>
    <row r="92" spans="1:15" x14ac:dyDescent="0.25">
      <c r="A92" s="15">
        <v>45647</v>
      </c>
      <c r="B92" s="13" t="s">
        <v>622</v>
      </c>
      <c r="C92" s="13">
        <v>14</v>
      </c>
      <c r="D92" s="13">
        <v>40</v>
      </c>
      <c r="E92" s="3">
        <f>IFERROR(AVERAGEIF(Shoppingtable[Item Name],Shoppingtable[[#This Row],[Item Name]],Shoppingtable[ACTUAL COST]),0)</f>
        <v>40</v>
      </c>
      <c r="F92" s="3">
        <f>IF(B92="","",Shoppingtable[[#This Row],[AvgCost]]/Shoppingtable[[#This Row],[Quantity(g/ml)]])</f>
        <v>2.8571428571428572</v>
      </c>
      <c r="G92" s="13">
        <v>40</v>
      </c>
      <c r="H92" s="3">
        <f>Shoppingtable[[#This Row],[Buying Cost]]-Shoppingtable[[#This Row],[ACTUAL COST]]</f>
        <v>0</v>
      </c>
    </row>
    <row r="93" spans="1:15" x14ac:dyDescent="0.25">
      <c r="A93" s="15">
        <v>45648</v>
      </c>
      <c r="B93" s="13" t="s">
        <v>26</v>
      </c>
      <c r="C93" s="13">
        <v>500</v>
      </c>
      <c r="D93" s="13">
        <v>200</v>
      </c>
      <c r="E93" s="3">
        <f>IFERROR(AVERAGEIF(Shoppingtable[Item Name],Shoppingtable[[#This Row],[Item Name]],Shoppingtable[ACTUAL COST]),0)</f>
        <v>200</v>
      </c>
      <c r="F93" s="3">
        <f>IF(B93="","",Shoppingtable[[#This Row],[AvgCost]]/Shoppingtable[[#This Row],[Quantity(g/ml)]])</f>
        <v>0.4</v>
      </c>
      <c r="G93" s="13">
        <v>200</v>
      </c>
      <c r="H93" s="3">
        <f>Shoppingtable[[#This Row],[Buying Cost]]-Shoppingtable[[#This Row],[ACTUAL COST]]</f>
        <v>0</v>
      </c>
    </row>
    <row r="94" spans="1:15" x14ac:dyDescent="0.25">
      <c r="A94" s="15">
        <v>45648</v>
      </c>
      <c r="B94" s="13" t="s">
        <v>625</v>
      </c>
      <c r="C94" s="13">
        <v>1250</v>
      </c>
      <c r="D94" s="13">
        <v>276</v>
      </c>
      <c r="E94" s="3">
        <f>IFERROR(AVERAGEIF(Shoppingtable[Item Name],Shoppingtable[[#This Row],[Item Name]],Shoppingtable[ACTUAL COST]),0)</f>
        <v>276</v>
      </c>
      <c r="F94" s="3">
        <f>IF(B94="","",Shoppingtable[[#This Row],[AvgCost]]/Shoppingtable[[#This Row],[Quantity(g/ml)]])</f>
        <v>0.2208</v>
      </c>
      <c r="G94" s="13">
        <v>276</v>
      </c>
      <c r="H94" s="3">
        <f>Shoppingtable[[#This Row],[Buying Cost]]-Shoppingtable[[#This Row],[ACTUAL COST]]</f>
        <v>0</v>
      </c>
    </row>
    <row r="95" spans="1:15" x14ac:dyDescent="0.25">
      <c r="A95" s="13"/>
      <c r="B95" s="13"/>
      <c r="C95" s="13"/>
      <c r="D95" s="13"/>
      <c r="E95" s="3">
        <f>IFERROR(AVERAGEIF(Shoppingtable[Item Name],Shoppingtable[[#This Row],[Item Name]],Shoppingtable[ACTUAL COST]),0)</f>
        <v>0</v>
      </c>
      <c r="F95" s="3" t="str">
        <f>IF(B95="","",Shoppingtable[[#This Row],[AvgCost]]/Shoppingtable[[#This Row],[Quantity(g/ml)]])</f>
        <v/>
      </c>
      <c r="G95" s="13"/>
      <c r="H95" s="3">
        <f>Shoppingtable[[#This Row],[Buying Cost]]-Shoppingtable[[#This Row],[ACTUAL COST]]</f>
        <v>0</v>
      </c>
    </row>
    <row r="96" spans="1:15" x14ac:dyDescent="0.25">
      <c r="A96" s="13"/>
      <c r="B96" s="13"/>
      <c r="C96" s="13"/>
      <c r="D96" s="13"/>
      <c r="E96" s="3">
        <f>IFERROR(AVERAGEIF(Shoppingtable[Item Name],Shoppingtable[[#This Row],[Item Name]],Shoppingtable[ACTUAL COST]),0)</f>
        <v>0</v>
      </c>
      <c r="F96" s="3" t="str">
        <f>IF(B96="","",Shoppingtable[[#This Row],[AvgCost]]/Shoppingtable[[#This Row],[Quantity(g/ml)]])</f>
        <v/>
      </c>
      <c r="G96" s="13"/>
      <c r="H96" s="3">
        <f>Shoppingtable[[#This Row],[Buying Cost]]-Shoppingtable[[#This Row],[ACTUAL COST]]</f>
        <v>0</v>
      </c>
    </row>
    <row r="97" spans="1:8" x14ac:dyDescent="0.25">
      <c r="A97" s="13"/>
      <c r="B97" s="13"/>
      <c r="C97" s="13"/>
      <c r="D97" s="13"/>
      <c r="E97" s="3">
        <f>IFERROR(AVERAGEIF(Shoppingtable[Item Name],Shoppingtable[[#This Row],[Item Name]],Shoppingtable[ACTUAL COST]),0)</f>
        <v>0</v>
      </c>
      <c r="F97" s="3" t="str">
        <f>IF(B97="","",Shoppingtable[[#This Row],[AvgCost]]/Shoppingtable[[#This Row],[Quantity(g/ml)]])</f>
        <v/>
      </c>
      <c r="G97" s="13"/>
      <c r="H97" s="3">
        <f>Shoppingtable[[#This Row],[Buying Cost]]-Shoppingtable[[#This Row],[ACTUAL COST]]</f>
        <v>0</v>
      </c>
    </row>
    <row r="98" spans="1:8" x14ac:dyDescent="0.25">
      <c r="A98" s="13"/>
      <c r="B98" s="13"/>
      <c r="C98" s="13"/>
      <c r="D98" s="13"/>
      <c r="E98" s="3">
        <f>IFERROR(AVERAGEIF(Shoppingtable[Item Name],Shoppingtable[[#This Row],[Item Name]],Shoppingtable[ACTUAL COST]),0)</f>
        <v>0</v>
      </c>
      <c r="F98" s="3" t="str">
        <f>IF(B98="","",Shoppingtable[[#This Row],[AvgCost]]/Shoppingtable[[#This Row],[Quantity(g/ml)]])</f>
        <v/>
      </c>
      <c r="G98" s="13"/>
      <c r="H98" s="3">
        <f>Shoppingtable[[#This Row],[Buying Cost]]-Shoppingtable[[#This Row],[ACTUAL COST]]</f>
        <v>0</v>
      </c>
    </row>
    <row r="99" spans="1:8" x14ac:dyDescent="0.25">
      <c r="A99" s="13"/>
      <c r="B99" s="13"/>
      <c r="C99" s="13"/>
      <c r="D99" s="13"/>
      <c r="E99" s="3">
        <f>IFERROR(AVERAGEIF(Shoppingtable[Item Name],Shoppingtable[[#This Row],[Item Name]],Shoppingtable[ACTUAL COST]),0)</f>
        <v>0</v>
      </c>
      <c r="F99" s="3" t="str">
        <f>IF(B99="","",Shoppingtable[[#This Row],[AvgCost]]/Shoppingtable[[#This Row],[Quantity(g/ml)]])</f>
        <v/>
      </c>
      <c r="G99" s="13"/>
      <c r="H99" s="3">
        <f>Shoppingtable[[#This Row],[Buying Cost]]-Shoppingtable[[#This Row],[ACTUAL COST]]</f>
        <v>0</v>
      </c>
    </row>
    <row r="100" spans="1:8" x14ac:dyDescent="0.25">
      <c r="A100" s="13"/>
      <c r="B100" s="13"/>
      <c r="C100" s="13"/>
      <c r="D100" s="13"/>
      <c r="E100" s="3">
        <f>IFERROR(AVERAGEIF(Shoppingtable[Item Name],Shoppingtable[[#This Row],[Item Name]],Shoppingtable[ACTUAL COST]),0)</f>
        <v>0</v>
      </c>
      <c r="F100" s="3" t="str">
        <f>IF(B100="","",Shoppingtable[[#This Row],[AvgCost]]/Shoppingtable[[#This Row],[Quantity(g/ml)]])</f>
        <v/>
      </c>
      <c r="G100" s="13"/>
      <c r="H100" s="3">
        <f>Shoppingtable[[#This Row],[Buying Cost]]-Shoppingtable[[#This Row],[ACTUAL COST]]</f>
        <v>0</v>
      </c>
    </row>
    <row r="101" spans="1:8" x14ac:dyDescent="0.25">
      <c r="A101" s="13"/>
      <c r="B101" s="13"/>
      <c r="C101" s="13"/>
      <c r="D101" s="13"/>
      <c r="E101" s="3">
        <f>IFERROR(AVERAGEIF(Shoppingtable[Item Name],Shoppingtable[[#This Row],[Item Name]],Shoppingtable[ACTUAL COST]),0)</f>
        <v>0</v>
      </c>
      <c r="F101" s="3" t="str">
        <f>IF(B101="","",Shoppingtable[[#This Row],[AvgCost]]/Shoppingtable[[#This Row],[Quantity(g/ml)]])</f>
        <v/>
      </c>
      <c r="G101" s="13"/>
      <c r="H101" s="3">
        <f>Shoppingtable[[#This Row],[Buying Cost]]-Shoppingtable[[#This Row],[ACTUAL COST]]</f>
        <v>0</v>
      </c>
    </row>
    <row r="102" spans="1:8" x14ac:dyDescent="0.25">
      <c r="A102" s="13"/>
      <c r="B102" s="13"/>
      <c r="C102" s="13"/>
      <c r="D102" s="13"/>
      <c r="E102" s="3">
        <f>IFERROR(AVERAGEIF(Shoppingtable[Item Name],Shoppingtable[[#This Row],[Item Name]],Shoppingtable[ACTUAL COST]),0)</f>
        <v>0</v>
      </c>
      <c r="F102" s="3" t="str">
        <f>IF(B102="","",Shoppingtable[[#This Row],[AvgCost]]/Shoppingtable[[#This Row],[Quantity(g/ml)]])</f>
        <v/>
      </c>
      <c r="G102" s="13"/>
      <c r="H102" s="3">
        <f>Shoppingtable[[#This Row],[Buying Cost]]-Shoppingtable[[#This Row],[ACTUAL COST]]</f>
        <v>0</v>
      </c>
    </row>
    <row r="103" spans="1:8" x14ac:dyDescent="0.25">
      <c r="A103" s="13"/>
      <c r="B103" s="13"/>
      <c r="C103" s="13"/>
      <c r="D103" s="13"/>
      <c r="E103" s="3">
        <f>IFERROR(AVERAGEIF(Shoppingtable[Item Name],Shoppingtable[[#This Row],[Item Name]],Shoppingtable[ACTUAL COST]),0)</f>
        <v>0</v>
      </c>
      <c r="F103" s="3" t="str">
        <f>IF(B103="","",Shoppingtable[[#This Row],[AvgCost]]/Shoppingtable[[#This Row],[Quantity(g/ml)]])</f>
        <v/>
      </c>
      <c r="G103" s="13"/>
      <c r="H103" s="3">
        <f>Shoppingtable[[#This Row],[Buying Cost]]-Shoppingtable[[#This Row],[ACTUAL COST]]</f>
        <v>0</v>
      </c>
    </row>
    <row r="104" spans="1:8" x14ac:dyDescent="0.25">
      <c r="A104" s="13"/>
      <c r="B104" s="13"/>
      <c r="C104" s="13"/>
      <c r="D104" s="13"/>
      <c r="E104" s="3">
        <f>IFERROR(AVERAGEIF(Shoppingtable[Item Name],Shoppingtable[[#This Row],[Item Name]],Shoppingtable[ACTUAL COST]),0)</f>
        <v>0</v>
      </c>
      <c r="F104" s="3" t="str">
        <f>IF(B104="","",Shoppingtable[[#This Row],[AvgCost]]/Shoppingtable[[#This Row],[Quantity(g/ml)]])</f>
        <v/>
      </c>
      <c r="G104" s="13"/>
      <c r="H104" s="3">
        <f>Shoppingtable[[#This Row],[Buying Cost]]-Shoppingtable[[#This Row],[ACTUAL COST]]</f>
        <v>0</v>
      </c>
    </row>
    <row r="105" spans="1:8" x14ac:dyDescent="0.25">
      <c r="A105" s="13"/>
      <c r="B105" s="13"/>
      <c r="C105" s="13"/>
      <c r="D105" s="13"/>
      <c r="E105" s="3">
        <f>IFERROR(AVERAGEIF(Shoppingtable[Item Name],Shoppingtable[[#This Row],[Item Name]],Shoppingtable[ACTUAL COST]),0)</f>
        <v>0</v>
      </c>
      <c r="F105" s="3" t="str">
        <f>IF(B105="","",Shoppingtable[[#This Row],[AvgCost]]/Shoppingtable[[#This Row],[Quantity(g/ml)]])</f>
        <v/>
      </c>
      <c r="G105" s="13"/>
      <c r="H105" s="3">
        <f>Shoppingtable[[#This Row],[Buying Cost]]-Shoppingtable[[#This Row],[ACTUAL COST]]</f>
        <v>0</v>
      </c>
    </row>
    <row r="106" spans="1:8" x14ac:dyDescent="0.25">
      <c r="A106" s="13"/>
      <c r="B106" s="13"/>
      <c r="C106" s="13"/>
      <c r="D106" s="13"/>
      <c r="E106" s="3">
        <f>IFERROR(AVERAGEIF(Shoppingtable[Item Name],Shoppingtable[[#This Row],[Item Name]],Shoppingtable[ACTUAL COST]),0)</f>
        <v>0</v>
      </c>
      <c r="F106" s="3" t="str">
        <f>IF(B106="","",Shoppingtable[[#This Row],[AvgCost]]/Shoppingtable[[#This Row],[Quantity(g/ml)]])</f>
        <v/>
      </c>
      <c r="G106" s="13"/>
      <c r="H106" s="3">
        <f>Shoppingtable[[#This Row],[Buying Cost]]-Shoppingtable[[#This Row],[ACTUAL COST]]</f>
        <v>0</v>
      </c>
    </row>
    <row r="107" spans="1:8" x14ac:dyDescent="0.25">
      <c r="A107" s="13"/>
      <c r="B107" s="13"/>
      <c r="C107" s="13"/>
      <c r="D107" s="13"/>
      <c r="E107" s="3">
        <f>IFERROR(AVERAGEIF(Shoppingtable[Item Name],Shoppingtable[[#This Row],[Item Name]],Shoppingtable[ACTUAL COST]),0)</f>
        <v>0</v>
      </c>
      <c r="F107" s="3" t="str">
        <f>IF(B107="","",Shoppingtable[[#This Row],[AvgCost]]/Shoppingtable[[#This Row],[Quantity(g/ml)]])</f>
        <v/>
      </c>
      <c r="G107" s="13"/>
      <c r="H107" s="3">
        <f>Shoppingtable[[#This Row],[Buying Cost]]-Shoppingtable[[#This Row],[ACTUAL COST]]</f>
        <v>0</v>
      </c>
    </row>
    <row r="108" spans="1:8" x14ac:dyDescent="0.25">
      <c r="A108" s="13"/>
      <c r="B108" s="13"/>
      <c r="C108" s="13"/>
      <c r="D108" s="13"/>
      <c r="E108" s="3">
        <f>IFERROR(AVERAGEIF(Shoppingtable[Item Name],Shoppingtable[[#This Row],[Item Name]],Shoppingtable[ACTUAL COST]),0)</f>
        <v>0</v>
      </c>
      <c r="F108" s="3" t="str">
        <f>IF(B108="","",Shoppingtable[[#This Row],[AvgCost]]/Shoppingtable[[#This Row],[Quantity(g/ml)]])</f>
        <v/>
      </c>
      <c r="G108" s="13"/>
      <c r="H108" s="3">
        <f>Shoppingtable[[#This Row],[Buying Cost]]-Shoppingtable[[#This Row],[ACTUAL COST]]</f>
        <v>0</v>
      </c>
    </row>
    <row r="109" spans="1:8" x14ac:dyDescent="0.25">
      <c r="A109" s="13"/>
      <c r="B109" s="13"/>
      <c r="C109" s="13"/>
      <c r="D109" s="13"/>
      <c r="E109" s="3">
        <f>IFERROR(AVERAGEIF(Shoppingtable[Item Name],Shoppingtable[[#This Row],[Item Name]],Shoppingtable[ACTUAL COST]),0)</f>
        <v>0</v>
      </c>
      <c r="F109" s="3" t="str">
        <f>IF(B109="","",Shoppingtable[[#This Row],[AvgCost]]/Shoppingtable[[#This Row],[Quantity(g/ml)]])</f>
        <v/>
      </c>
      <c r="G109" s="13"/>
      <c r="H109" s="3">
        <f>Shoppingtable[[#This Row],[Buying Cost]]-Shoppingtable[[#This Row],[ACTUAL COST]]</f>
        <v>0</v>
      </c>
    </row>
    <row r="110" spans="1:8" x14ac:dyDescent="0.25">
      <c r="A110" s="13"/>
      <c r="B110" s="13"/>
      <c r="C110" s="13"/>
      <c r="D110" s="13"/>
      <c r="E110" s="3">
        <f>IFERROR(AVERAGEIF(Shoppingtable[Item Name],Shoppingtable[[#This Row],[Item Name]],Shoppingtable[ACTUAL COST]),0)</f>
        <v>0</v>
      </c>
      <c r="F110" s="3" t="str">
        <f>IF(B110="","",Shoppingtable[[#This Row],[AvgCost]]/Shoppingtable[[#This Row],[Quantity(g/ml)]])</f>
        <v/>
      </c>
      <c r="G110" s="13"/>
      <c r="H110" s="3">
        <f>Shoppingtable[[#This Row],[Buying Cost]]-Shoppingtable[[#This Row],[ACTUAL COST]]</f>
        <v>0</v>
      </c>
    </row>
    <row r="111" spans="1:8" x14ac:dyDescent="0.25">
      <c r="A111" s="13"/>
      <c r="B111" s="13"/>
      <c r="C111" s="13"/>
      <c r="D111" s="13"/>
      <c r="E111" s="3">
        <f>IFERROR(AVERAGEIF(Shoppingtable[Item Name],Shoppingtable[[#This Row],[Item Name]],Shoppingtable[ACTUAL COST]),0)</f>
        <v>0</v>
      </c>
      <c r="F111" s="3" t="str">
        <f>IF(B111="","",Shoppingtable[[#This Row],[AvgCost]]/Shoppingtable[[#This Row],[Quantity(g/ml)]])</f>
        <v/>
      </c>
      <c r="G111" s="13"/>
      <c r="H111" s="3">
        <f>Shoppingtable[[#This Row],[Buying Cost]]-Shoppingtable[[#This Row],[ACTUAL COST]]</f>
        <v>0</v>
      </c>
    </row>
    <row r="112" spans="1:8" x14ac:dyDescent="0.25">
      <c r="A112" s="13"/>
      <c r="B112" s="13"/>
      <c r="C112" s="13"/>
      <c r="D112" s="13"/>
      <c r="E112" s="3">
        <f>IFERROR(AVERAGEIF(Shoppingtable[Item Name],Shoppingtable[[#This Row],[Item Name]],Shoppingtable[ACTUAL COST]),0)</f>
        <v>0</v>
      </c>
      <c r="F112" s="3" t="str">
        <f>IF(B112="","",Shoppingtable[[#This Row],[AvgCost]]/Shoppingtable[[#This Row],[Quantity(g/ml)]])</f>
        <v/>
      </c>
      <c r="G112" s="13"/>
      <c r="H112" s="3">
        <f>Shoppingtable[[#This Row],[Buying Cost]]-Shoppingtable[[#This Row],[ACTUAL COST]]</f>
        <v>0</v>
      </c>
    </row>
    <row r="113" spans="1:8" x14ac:dyDescent="0.25">
      <c r="A113" s="13"/>
      <c r="B113" s="13"/>
      <c r="C113" s="13"/>
      <c r="D113" s="13"/>
      <c r="E113" s="3">
        <f>IFERROR(AVERAGEIF(Shoppingtable[Item Name],Shoppingtable[[#This Row],[Item Name]],Shoppingtable[ACTUAL COST]),0)</f>
        <v>0</v>
      </c>
      <c r="F113" s="3" t="str">
        <f>IF(B113="","",Shoppingtable[[#This Row],[AvgCost]]/Shoppingtable[[#This Row],[Quantity(g/ml)]])</f>
        <v/>
      </c>
      <c r="G113" s="13"/>
      <c r="H113" s="3">
        <f>Shoppingtable[[#This Row],[Buying Cost]]-Shoppingtable[[#This Row],[ACTUAL COST]]</f>
        <v>0</v>
      </c>
    </row>
    <row r="114" spans="1:8" x14ac:dyDescent="0.25">
      <c r="A114" s="13"/>
      <c r="B114" s="13"/>
      <c r="C114" s="13"/>
      <c r="D114" s="13"/>
      <c r="E114" s="3">
        <f>IFERROR(AVERAGEIF(Shoppingtable[Item Name],Shoppingtable[[#This Row],[Item Name]],Shoppingtable[ACTUAL COST]),0)</f>
        <v>0</v>
      </c>
      <c r="F114" s="3" t="str">
        <f>IF(B114="","",Shoppingtable[[#This Row],[AvgCost]]/Shoppingtable[[#This Row],[Quantity(g/ml)]])</f>
        <v/>
      </c>
      <c r="G114" s="13"/>
      <c r="H114" s="3">
        <f>Shoppingtable[[#This Row],[Buying Cost]]-Shoppingtable[[#This Row],[ACTUAL COST]]</f>
        <v>0</v>
      </c>
    </row>
    <row r="115" spans="1:8" x14ac:dyDescent="0.25">
      <c r="A115" s="13"/>
      <c r="B115" s="13"/>
      <c r="C115" s="13"/>
      <c r="D115" s="13"/>
      <c r="E115" s="3">
        <f>IFERROR(AVERAGEIF(Shoppingtable[Item Name],Shoppingtable[[#This Row],[Item Name]],Shoppingtable[ACTUAL COST]),0)</f>
        <v>0</v>
      </c>
      <c r="F115" s="3" t="str">
        <f>IF(B115="","",Shoppingtable[[#This Row],[AvgCost]]/Shoppingtable[[#This Row],[Quantity(g/ml)]])</f>
        <v/>
      </c>
      <c r="G115" s="13"/>
      <c r="H115" s="3">
        <f>Shoppingtable[[#This Row],[Buying Cost]]-Shoppingtable[[#This Row],[ACTUAL COST]]</f>
        <v>0</v>
      </c>
    </row>
    <row r="116" spans="1:8" x14ac:dyDescent="0.25">
      <c r="A116" s="13"/>
      <c r="B116" s="13"/>
      <c r="C116" s="13"/>
      <c r="D116" s="13"/>
      <c r="E116" s="3">
        <f>IFERROR(AVERAGEIF(Shoppingtable[Item Name],Shoppingtable[[#This Row],[Item Name]],Shoppingtable[ACTUAL COST]),0)</f>
        <v>0</v>
      </c>
      <c r="F116" s="3" t="str">
        <f>IF(B116="","",Shoppingtable[[#This Row],[AvgCost]]/Shoppingtable[[#This Row],[Quantity(g/ml)]])</f>
        <v/>
      </c>
      <c r="G116" s="13"/>
      <c r="H116" s="3">
        <f>Shoppingtable[[#This Row],[Buying Cost]]-Shoppingtable[[#This Row],[ACTUAL COST]]</f>
        <v>0</v>
      </c>
    </row>
    <row r="117" spans="1:8" x14ac:dyDescent="0.25">
      <c r="A117" s="13"/>
      <c r="B117" s="13"/>
      <c r="C117" s="13"/>
      <c r="D117" s="13"/>
      <c r="E117" s="3">
        <f>IFERROR(AVERAGEIF(Shoppingtable[Item Name],Shoppingtable[[#This Row],[Item Name]],Shoppingtable[ACTUAL COST]),0)</f>
        <v>0</v>
      </c>
      <c r="F117" s="3" t="str">
        <f>IF(B117="","",Shoppingtable[[#This Row],[AvgCost]]/Shoppingtable[[#This Row],[Quantity(g/ml)]])</f>
        <v/>
      </c>
      <c r="G117" s="13"/>
      <c r="H117" s="3">
        <f>Shoppingtable[[#This Row],[Buying Cost]]-Shoppingtable[[#This Row],[ACTUAL COST]]</f>
        <v>0</v>
      </c>
    </row>
    <row r="118" spans="1:8" x14ac:dyDescent="0.25">
      <c r="A118" s="13"/>
      <c r="B118" s="13"/>
      <c r="C118" s="13"/>
      <c r="D118" s="13"/>
      <c r="E118" s="3">
        <f>IFERROR(AVERAGEIF(Shoppingtable[Item Name],Shoppingtable[[#This Row],[Item Name]],Shoppingtable[ACTUAL COST]),0)</f>
        <v>0</v>
      </c>
      <c r="F118" s="3" t="str">
        <f>IF(B118="","",Shoppingtable[[#This Row],[AvgCost]]/Shoppingtable[[#This Row],[Quantity(g/ml)]])</f>
        <v/>
      </c>
      <c r="G118" s="13"/>
      <c r="H118" s="3">
        <f>Shoppingtable[[#This Row],[Buying Cost]]-Shoppingtable[[#This Row],[ACTUAL COST]]</f>
        <v>0</v>
      </c>
    </row>
    <row r="119" spans="1:8" x14ac:dyDescent="0.25">
      <c r="A119" s="13"/>
      <c r="B119" s="13"/>
      <c r="C119" s="13"/>
      <c r="D119" s="13"/>
      <c r="E119" s="3">
        <f>IFERROR(AVERAGEIF(Shoppingtable[Item Name],Shoppingtable[[#This Row],[Item Name]],Shoppingtable[ACTUAL COST]),0)</f>
        <v>0</v>
      </c>
      <c r="F119" s="3" t="str">
        <f>IF(B119="","",Shoppingtable[[#This Row],[AvgCost]]/Shoppingtable[[#This Row],[Quantity(g/ml)]])</f>
        <v/>
      </c>
      <c r="G119" s="13"/>
      <c r="H119" s="3">
        <f>Shoppingtable[[#This Row],[Buying Cost]]-Shoppingtable[[#This Row],[ACTUAL COST]]</f>
        <v>0</v>
      </c>
    </row>
    <row r="120" spans="1:8" x14ac:dyDescent="0.25">
      <c r="A120" s="13"/>
      <c r="B120" s="13"/>
      <c r="C120" s="13"/>
      <c r="D120" s="13"/>
      <c r="E120" s="3">
        <f>IFERROR(AVERAGEIF(Shoppingtable[Item Name],Shoppingtable[[#This Row],[Item Name]],Shoppingtable[ACTUAL COST]),0)</f>
        <v>0</v>
      </c>
      <c r="F120" s="3" t="str">
        <f>IF(B120="","",Shoppingtable[[#This Row],[AvgCost]]/Shoppingtable[[#This Row],[Quantity(g/ml)]])</f>
        <v/>
      </c>
      <c r="G120" s="13"/>
      <c r="H120" s="3">
        <f>Shoppingtable[[#This Row],[Buying Cost]]-Shoppingtable[[#This Row],[ACTUAL COST]]</f>
        <v>0</v>
      </c>
    </row>
    <row r="121" spans="1:8" x14ac:dyDescent="0.25">
      <c r="A121" s="13"/>
      <c r="B121" s="13"/>
      <c r="C121" s="13"/>
      <c r="D121" s="13"/>
      <c r="E121" s="3">
        <f>IFERROR(AVERAGEIF(Shoppingtable[Item Name],Shoppingtable[[#This Row],[Item Name]],Shoppingtable[ACTUAL COST]),0)</f>
        <v>0</v>
      </c>
      <c r="F121" s="3" t="str">
        <f>IF(B121="","",Shoppingtable[[#This Row],[AvgCost]]/Shoppingtable[[#This Row],[Quantity(g/ml)]])</f>
        <v/>
      </c>
      <c r="G121" s="13"/>
      <c r="H121" s="3">
        <f>Shoppingtable[[#This Row],[Buying Cost]]-Shoppingtable[[#This Row],[ACTUAL COST]]</f>
        <v>0</v>
      </c>
    </row>
    <row r="122" spans="1:8" x14ac:dyDescent="0.25">
      <c r="A122" s="13"/>
      <c r="B122" s="13"/>
      <c r="C122" s="13"/>
      <c r="D122" s="13"/>
      <c r="E122" s="3">
        <f>IFERROR(AVERAGEIF(Shoppingtable[Item Name],Shoppingtable[[#This Row],[Item Name]],Shoppingtable[ACTUAL COST]),0)</f>
        <v>0</v>
      </c>
      <c r="F122" s="3" t="str">
        <f>IF(B122="","",Shoppingtable[[#This Row],[AvgCost]]/Shoppingtable[[#This Row],[Quantity(g/ml)]])</f>
        <v/>
      </c>
      <c r="G122" s="13"/>
      <c r="H122" s="3">
        <f>Shoppingtable[[#This Row],[Buying Cost]]-Shoppingtable[[#This Row],[ACTUAL COST]]</f>
        <v>0</v>
      </c>
    </row>
    <row r="123" spans="1:8" x14ac:dyDescent="0.25">
      <c r="A123" s="13"/>
      <c r="B123" s="13"/>
      <c r="C123" s="13"/>
      <c r="D123" s="13"/>
      <c r="E123" s="3">
        <f>IFERROR(AVERAGEIF(Shoppingtable[Item Name],Shoppingtable[[#This Row],[Item Name]],Shoppingtable[ACTUAL COST]),0)</f>
        <v>0</v>
      </c>
      <c r="F123" s="3" t="str">
        <f>IF(B123="","",Shoppingtable[[#This Row],[AvgCost]]/Shoppingtable[[#This Row],[Quantity(g/ml)]])</f>
        <v/>
      </c>
      <c r="G123" s="13"/>
      <c r="H123" s="3">
        <f>Shoppingtable[[#This Row],[Buying Cost]]-Shoppingtable[[#This Row],[ACTUAL COST]]</f>
        <v>0</v>
      </c>
    </row>
    <row r="124" spans="1:8" x14ac:dyDescent="0.25">
      <c r="A124" s="13"/>
      <c r="B124" s="13"/>
      <c r="C124" s="13"/>
      <c r="D124" s="13"/>
      <c r="E124" s="3">
        <f>IFERROR(AVERAGEIF(Shoppingtable[Item Name],Shoppingtable[[#This Row],[Item Name]],Shoppingtable[ACTUAL COST]),0)</f>
        <v>0</v>
      </c>
      <c r="F124" s="3" t="str">
        <f>IF(B124="","",Shoppingtable[[#This Row],[AvgCost]]/Shoppingtable[[#This Row],[Quantity(g/ml)]])</f>
        <v/>
      </c>
      <c r="G124" s="13"/>
      <c r="H124" s="3">
        <f>Shoppingtable[[#This Row],[Buying Cost]]-Shoppingtable[[#This Row],[ACTUAL COST]]</f>
        <v>0</v>
      </c>
    </row>
    <row r="125" spans="1:8" x14ac:dyDescent="0.25">
      <c r="A125" s="13"/>
      <c r="B125" s="13"/>
      <c r="C125" s="13"/>
      <c r="D125" s="13"/>
      <c r="E125" s="3">
        <f>IFERROR(AVERAGEIF(Shoppingtable[Item Name],Shoppingtable[[#This Row],[Item Name]],Shoppingtable[ACTUAL COST]),0)</f>
        <v>0</v>
      </c>
      <c r="F125" s="3" t="str">
        <f>IF(B125="","",Shoppingtable[[#This Row],[AvgCost]]/Shoppingtable[[#This Row],[Quantity(g/ml)]])</f>
        <v/>
      </c>
      <c r="G125" s="13"/>
      <c r="H125" s="3">
        <f>Shoppingtable[[#This Row],[Buying Cost]]-Shoppingtable[[#This Row],[ACTUAL COST]]</f>
        <v>0</v>
      </c>
    </row>
    <row r="126" spans="1:8" x14ac:dyDescent="0.25">
      <c r="A126" s="13"/>
      <c r="B126" s="13"/>
      <c r="C126" s="13"/>
      <c r="D126" s="13"/>
      <c r="E126" s="3">
        <f>IFERROR(AVERAGEIF(Shoppingtable[Item Name],Shoppingtable[[#This Row],[Item Name]],Shoppingtable[ACTUAL COST]),0)</f>
        <v>0</v>
      </c>
      <c r="F126" s="3" t="str">
        <f>IF(B126="","",Shoppingtable[[#This Row],[AvgCost]]/Shoppingtable[[#This Row],[Quantity(g/ml)]])</f>
        <v/>
      </c>
      <c r="G126" s="13"/>
      <c r="H126" s="3">
        <f>Shoppingtable[[#This Row],[Buying Cost]]-Shoppingtable[[#This Row],[ACTUAL COST]]</f>
        <v>0</v>
      </c>
    </row>
    <row r="127" spans="1:8" x14ac:dyDescent="0.25">
      <c r="A127" s="13"/>
      <c r="B127" s="13"/>
      <c r="C127" s="13"/>
      <c r="D127" s="13"/>
      <c r="E127" s="3">
        <f>IFERROR(AVERAGEIF(Shoppingtable[Item Name],Shoppingtable[[#This Row],[Item Name]],Shoppingtable[ACTUAL COST]),0)</f>
        <v>0</v>
      </c>
      <c r="F127" s="3" t="str">
        <f>IF(B127="","",Shoppingtable[[#This Row],[AvgCost]]/Shoppingtable[[#This Row],[Quantity(g/ml)]])</f>
        <v/>
      </c>
      <c r="G127" s="13"/>
      <c r="H127" s="3">
        <f>Shoppingtable[[#This Row],[Buying Cost]]-Shoppingtable[[#This Row],[ACTUAL COST]]</f>
        <v>0</v>
      </c>
    </row>
  </sheetData>
  <conditionalFormatting sqref="B7:B75 B78:B79">
    <cfRule type="duplicateValues" dxfId="4" priority="3"/>
  </conditionalFormatting>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2CD9B60-3F2C-41F3-AF45-691476E58FC9}">
          <x14:formula1>
            <xm:f>Inventory!$T$8:$T$1048576</xm:f>
          </x14:formula1>
          <xm:sqref>B128:B1048576</xm:sqref>
        </x14:dataValidation>
        <x14:dataValidation type="list" allowBlank="1" showInputMessage="1" showErrorMessage="1" xr:uid="{E9C34095-9184-48B5-9F91-EFCA4F5C093E}">
          <x14:formula1>
            <xm:f>Inventory!$B$7:$B$111</xm:f>
          </x14:formula1>
          <xm:sqref>B7:B80 B82:B127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C049D-EB66-412D-B74C-9F076D387A23}">
  <dimension ref="A1:N31"/>
  <sheetViews>
    <sheetView showGridLines="0" workbookViewId="0">
      <pane ySplit="6" topLeftCell="A7" activePane="bottomLeft" state="frozen"/>
      <selection pane="bottomLeft" activeCell="A7" sqref="A7"/>
    </sheetView>
  </sheetViews>
  <sheetFormatPr defaultRowHeight="15" x14ac:dyDescent="0.25"/>
  <cols>
    <col min="1" max="1" width="15.140625" customWidth="1"/>
    <col min="2" max="2" width="24.28515625" customWidth="1"/>
    <col min="3" max="3" width="24.140625" customWidth="1"/>
    <col min="4" max="4" width="64.85546875" customWidth="1"/>
    <col min="5" max="5" width="15.7109375" customWidth="1"/>
    <col min="13" max="13" width="16.28515625" bestFit="1" customWidth="1"/>
    <col min="14" max="14" width="23" bestFit="1" customWidth="1"/>
  </cols>
  <sheetData>
    <row r="1" spans="1:14" s="2" customFormat="1" x14ac:dyDescent="0.25"/>
    <row r="2" spans="1:14" s="2" customFormat="1" x14ac:dyDescent="0.25"/>
    <row r="3" spans="1:14" s="2" customFormat="1" x14ac:dyDescent="0.25"/>
    <row r="4" spans="1:14" s="2" customFormat="1" x14ac:dyDescent="0.25"/>
    <row r="6" spans="1:14" x14ac:dyDescent="0.25">
      <c r="A6" s="3" t="s">
        <v>456</v>
      </c>
      <c r="B6" s="3" t="s">
        <v>398</v>
      </c>
      <c r="C6" s="3" t="s">
        <v>356</v>
      </c>
      <c r="D6" s="3" t="s">
        <v>357</v>
      </c>
      <c r="E6" s="3" t="s">
        <v>352</v>
      </c>
      <c r="M6" s="10" t="s">
        <v>393</v>
      </c>
      <c r="N6" t="s">
        <v>469</v>
      </c>
    </row>
    <row r="7" spans="1:14" x14ac:dyDescent="0.25">
      <c r="A7" s="4">
        <v>45574</v>
      </c>
      <c r="B7" s="3" t="s">
        <v>135</v>
      </c>
      <c r="C7" s="3">
        <v>400</v>
      </c>
      <c r="D7" s="3" t="s">
        <v>447</v>
      </c>
      <c r="E7" s="4">
        <v>45608</v>
      </c>
      <c r="M7" s="9" t="s">
        <v>135</v>
      </c>
      <c r="N7">
        <v>400</v>
      </c>
    </row>
    <row r="8" spans="1:14" x14ac:dyDescent="0.25">
      <c r="A8" s="3"/>
      <c r="B8" s="3"/>
      <c r="C8" s="3"/>
      <c r="D8" s="3"/>
      <c r="E8" s="3"/>
      <c r="M8" s="9" t="s">
        <v>395</v>
      </c>
    </row>
    <row r="9" spans="1:14" x14ac:dyDescent="0.25">
      <c r="A9" s="3"/>
      <c r="B9" s="3"/>
      <c r="C9" s="3"/>
      <c r="D9" s="3"/>
      <c r="E9" s="3"/>
      <c r="M9" s="9" t="s">
        <v>394</v>
      </c>
      <c r="N9">
        <v>400</v>
      </c>
    </row>
    <row r="10" spans="1:14" x14ac:dyDescent="0.25">
      <c r="A10" s="3"/>
      <c r="B10" s="3"/>
      <c r="C10" s="3"/>
      <c r="D10" s="3"/>
      <c r="E10" s="3"/>
    </row>
    <row r="11" spans="1:14" x14ac:dyDescent="0.25">
      <c r="A11" s="3"/>
      <c r="B11" s="3"/>
      <c r="C11" s="3"/>
      <c r="D11" s="3"/>
      <c r="E11" s="3"/>
    </row>
    <row r="12" spans="1:14" x14ac:dyDescent="0.25">
      <c r="A12" s="3"/>
      <c r="B12" s="3"/>
      <c r="C12" s="3"/>
      <c r="D12" s="3"/>
      <c r="E12" s="3"/>
    </row>
    <row r="13" spans="1:14" x14ac:dyDescent="0.25">
      <c r="A13" s="3"/>
      <c r="B13" s="3"/>
      <c r="C13" s="3"/>
      <c r="D13" s="3"/>
      <c r="E13" s="3"/>
    </row>
    <row r="14" spans="1:14" x14ac:dyDescent="0.25">
      <c r="A14" s="3"/>
      <c r="B14" s="3"/>
      <c r="C14" s="3"/>
      <c r="D14" s="3"/>
      <c r="E14" s="3"/>
    </row>
    <row r="15" spans="1:14" x14ac:dyDescent="0.25">
      <c r="A15" s="3"/>
      <c r="B15" s="3"/>
      <c r="C15" s="3"/>
      <c r="D15" s="3"/>
      <c r="E15" s="3"/>
    </row>
    <row r="16" spans="1:14" x14ac:dyDescent="0.25">
      <c r="A16" s="3"/>
      <c r="B16" s="3"/>
      <c r="C16" s="3"/>
      <c r="D16" s="3"/>
      <c r="E16" s="3"/>
    </row>
    <row r="17" spans="1:5" x14ac:dyDescent="0.25">
      <c r="A17" s="3"/>
      <c r="B17" s="3"/>
      <c r="C17" s="3"/>
      <c r="D17" s="3"/>
      <c r="E17" s="3"/>
    </row>
    <row r="18" spans="1:5" x14ac:dyDescent="0.25">
      <c r="A18" s="3"/>
      <c r="B18" s="3"/>
      <c r="C18" s="3"/>
      <c r="D18" s="3"/>
      <c r="E18" s="3"/>
    </row>
    <row r="19" spans="1:5" x14ac:dyDescent="0.25">
      <c r="A19" s="3"/>
      <c r="B19" s="3"/>
      <c r="C19" s="3"/>
      <c r="D19" s="3"/>
      <c r="E19" s="3"/>
    </row>
    <row r="20" spans="1:5" x14ac:dyDescent="0.25">
      <c r="A20" s="3"/>
      <c r="B20" s="3"/>
      <c r="C20" s="3"/>
      <c r="D20" s="3"/>
      <c r="E20" s="3"/>
    </row>
    <row r="21" spans="1:5" x14ac:dyDescent="0.25">
      <c r="A21" s="3"/>
      <c r="B21" s="3"/>
      <c r="C21" s="3"/>
      <c r="D21" s="3"/>
      <c r="E21" s="3"/>
    </row>
    <row r="22" spans="1:5" x14ac:dyDescent="0.25">
      <c r="A22" s="3"/>
      <c r="B22" s="3"/>
      <c r="C22" s="3"/>
      <c r="D22" s="3"/>
      <c r="E22" s="3"/>
    </row>
    <row r="23" spans="1:5" x14ac:dyDescent="0.25">
      <c r="A23" s="3"/>
      <c r="B23" s="3"/>
      <c r="C23" s="3"/>
      <c r="D23" s="3"/>
      <c r="E23" s="3"/>
    </row>
    <row r="24" spans="1:5" x14ac:dyDescent="0.25">
      <c r="A24" s="3"/>
      <c r="B24" s="3"/>
      <c r="C24" s="3"/>
      <c r="D24" s="3"/>
      <c r="E24" s="3"/>
    </row>
    <row r="25" spans="1:5" x14ac:dyDescent="0.25">
      <c r="A25" s="3"/>
      <c r="B25" s="3"/>
      <c r="C25" s="3"/>
      <c r="D25" s="3"/>
      <c r="E25" s="3"/>
    </row>
    <row r="26" spans="1:5" x14ac:dyDescent="0.25">
      <c r="A26" s="3"/>
      <c r="B26" s="3"/>
      <c r="C26" s="3"/>
      <c r="D26" s="3"/>
      <c r="E26" s="3"/>
    </row>
    <row r="27" spans="1:5" x14ac:dyDescent="0.25">
      <c r="A27" s="3"/>
      <c r="B27" s="3"/>
      <c r="C27" s="3"/>
      <c r="D27" s="3"/>
      <c r="E27" s="3"/>
    </row>
    <row r="28" spans="1:5" x14ac:dyDescent="0.25">
      <c r="A28" s="3"/>
      <c r="B28" s="3"/>
      <c r="C28" s="3"/>
      <c r="D28" s="3"/>
      <c r="E28" s="3"/>
    </row>
    <row r="29" spans="1:5" x14ac:dyDescent="0.25">
      <c r="A29" s="3"/>
      <c r="B29" s="3"/>
      <c r="C29" s="3"/>
      <c r="D29" s="3"/>
      <c r="E29" s="3"/>
    </row>
    <row r="30" spans="1:5" x14ac:dyDescent="0.25">
      <c r="A30" s="3"/>
      <c r="B30" s="3"/>
      <c r="C30" s="3"/>
      <c r="D30" s="3"/>
      <c r="E30" s="3"/>
    </row>
    <row r="31" spans="1:5" x14ac:dyDescent="0.25">
      <c r="A31" s="3"/>
      <c r="B31" s="3"/>
      <c r="C31" s="3"/>
      <c r="D31" s="3"/>
      <c r="E31" s="3"/>
    </row>
  </sheetData>
  <pageMargins left="0.7" right="0.7" top="0.75" bottom="0.75" header="0.3" footer="0.3"/>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95A6012A-53FC-4457-BAB9-89747D6A0BF2}">
          <x14:formula1>
            <xm:f>'Quantity Table'!$B$7:$B$391</xm:f>
          </x14:formula1>
          <xm:sqref>B7:B31</xm:sqref>
        </x14:dataValidation>
      </x14:dataValidation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r q N r 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r q N 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6 j a 1 k o i k e 4 D g A A A B E A A A A T A B w A R m 9 y b X V s Y X M v U 2 V j d G l v b j E u b S C i G A A o o B Q A A A A A A A A A A A A A A A A A A A A A A A A A A A A r T k 0 u y c z P U w i G 0 I b W A F B L A Q I t A B Q A A g A I A K 6 j a 1 m G V K h z p A A A A P Y A A A A S A A A A A A A A A A A A A A A A A A A A A A B D b 2 5 m a W c v U G F j a 2 F n Z S 5 4 b W x Q S w E C L Q A U A A I A C A C u o 2 t Z D 8 r p q 6 Q A A A D p A A A A E w A A A A A A A A A A A A A A A A D w A A A A W 0 N v b n R l b n R f V H l w Z X N d L n h t b F B L A Q I t A B Q A A g A I A K 6 j a 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E G 6 N i d 0 h b T Z C 6 E 6 R o 6 A / N A A A A A A I A A A A A A B B m A A A A A Q A A I A A A A O l F h E 0 Q c z H M 2 A p L b o q g m d n K Y R L O 6 6 o s o z 1 r 3 K P 2 0 4 X 8 A A A A A A 6 A A A A A A g A A I A A A A E K 7 y f c 1 h + p 3 j k R 9 5 M 8 O / Q I T F U H O E G 1 9 3 y Y z W h T I e p Q m U A A A A K J Z x k r / z l S d 3 o H H 8 i A o r 6 3 Y 8 t U C Z 9 8 u B M 4 E P x e 6 I 6 R U X 0 n D 6 w V 8 x h W Q Z y p j B C 5 V O A O 8 u 0 5 N + j s G o V d Y Q D V 5 0 e v a U T n K i a a 6 L X d s y / l H G k t + Q A A A A F U d c 3 e W V s t R M 3 K 9 6 c e c G i y e / x 3 b F 5 9 W x Z 7 S S S D u K R U r l 7 0 D 2 t K 2 x d g A T 7 h G h + g H z 6 8 j x I R g D 4 X r Q U 5 g x F z B G H M = < / D a t a M a s h u p > 
</file>

<file path=customXml/itemProps1.xml><?xml version="1.0" encoding="utf-8"?>
<ds:datastoreItem xmlns:ds="http://schemas.openxmlformats.org/officeDocument/2006/customXml" ds:itemID="{105E47E1-A489-4231-B564-9D585C1B39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Inventory</vt:lpstr>
      <vt:lpstr>Receipe DataBase</vt:lpstr>
      <vt:lpstr>Receipe sample</vt:lpstr>
      <vt:lpstr>Quantity Table</vt:lpstr>
      <vt:lpstr>Quantity Sample</vt:lpstr>
      <vt:lpstr>Sales Tracking</vt:lpstr>
      <vt:lpstr>Shopping</vt:lpstr>
      <vt:lpstr>WasteTracking</vt:lpstr>
      <vt:lpstr>Meal PLanning</vt:lpstr>
      <vt:lpstr>Cleaning Nd Maintanence</vt:lpstr>
      <vt:lpstr>Prize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VASANTH</dc:creator>
  <cp:lastModifiedBy>VASANTHAN E</cp:lastModifiedBy>
  <cp:lastPrinted>2024-12-16T15:56:48Z</cp:lastPrinted>
  <dcterms:created xsi:type="dcterms:W3CDTF">2015-06-05T18:17:20Z</dcterms:created>
  <dcterms:modified xsi:type="dcterms:W3CDTF">2025-01-16T17:07:16Z</dcterms:modified>
</cp:coreProperties>
</file>