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ork\malaysia\Fertilemate\train_data\meal\"/>
    </mc:Choice>
  </mc:AlternateContent>
  <xr:revisionPtr revIDLastSave="0" documentId="13_ncr:1_{766C1865-4E53-42F6-B3AA-446203288119}" xr6:coauthVersionLast="47" xr6:coauthVersionMax="47" xr10:uidLastSave="{00000000-0000-0000-0000-000000000000}"/>
  <bookViews>
    <workbookView xWindow="0" yWindow="870" windowWidth="21600" windowHeight="12645" xr2:uid="{00000000-000D-0000-FFFF-FFFF00000000}"/>
  </bookViews>
  <sheets>
    <sheet name="Generated_Questionnaire_Respons" sheetId="1" r:id="rId1"/>
    <sheet name="{dont change} bmi water tdee" sheetId="2" r:id="rId2"/>
    <sheet name="CODE" sheetId="3" r:id="rId3"/>
    <sheet name="MEAL PLAN" sheetId="4" r:id="rId4"/>
  </sheets>
  <calcPr calcId="191029"/>
</workbook>
</file>

<file path=xl/calcChain.xml><?xml version="1.0" encoding="utf-8"?>
<calcChain xmlns="http://schemas.openxmlformats.org/spreadsheetml/2006/main">
  <c r="H1046" i="2" l="1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P1003" i="2"/>
  <c r="H1003" i="2"/>
  <c r="P1002" i="2"/>
  <c r="H1002" i="2"/>
  <c r="P1001" i="2"/>
  <c r="H1001" i="2"/>
  <c r="P1000" i="2"/>
  <c r="H1000" i="2"/>
  <c r="P999" i="2"/>
  <c r="H999" i="2"/>
  <c r="P998" i="2"/>
  <c r="H998" i="2"/>
  <c r="P997" i="2"/>
  <c r="H997" i="2"/>
  <c r="P996" i="2"/>
  <c r="H996" i="2"/>
  <c r="P995" i="2"/>
  <c r="H995" i="2"/>
  <c r="P994" i="2"/>
  <c r="H994" i="2"/>
  <c r="P993" i="2"/>
  <c r="H993" i="2"/>
  <c r="P992" i="2"/>
  <c r="H992" i="2"/>
  <c r="P991" i="2"/>
  <c r="H991" i="2"/>
  <c r="P990" i="2"/>
  <c r="H990" i="2"/>
  <c r="P989" i="2"/>
  <c r="H989" i="2"/>
  <c r="P988" i="2"/>
  <c r="H988" i="2"/>
  <c r="P987" i="2"/>
  <c r="H987" i="2"/>
  <c r="P986" i="2"/>
  <c r="H986" i="2"/>
  <c r="P985" i="2"/>
  <c r="H985" i="2"/>
  <c r="P984" i="2"/>
  <c r="H984" i="2"/>
  <c r="P983" i="2"/>
  <c r="H983" i="2"/>
  <c r="P982" i="2"/>
  <c r="H982" i="2"/>
  <c r="P981" i="2"/>
  <c r="H981" i="2"/>
  <c r="P980" i="2"/>
  <c r="H980" i="2"/>
  <c r="P979" i="2"/>
  <c r="H979" i="2"/>
  <c r="P978" i="2"/>
  <c r="H978" i="2"/>
  <c r="P977" i="2"/>
  <c r="H977" i="2"/>
  <c r="P976" i="2"/>
  <c r="H976" i="2"/>
  <c r="P975" i="2"/>
  <c r="H975" i="2"/>
  <c r="P974" i="2"/>
  <c r="H974" i="2"/>
  <c r="P973" i="2"/>
  <c r="H973" i="2"/>
  <c r="P972" i="2"/>
  <c r="H972" i="2"/>
  <c r="P971" i="2"/>
  <c r="H971" i="2"/>
  <c r="P970" i="2"/>
  <c r="H970" i="2"/>
  <c r="P969" i="2"/>
  <c r="H969" i="2"/>
  <c r="P968" i="2"/>
  <c r="H968" i="2"/>
  <c r="P967" i="2"/>
  <c r="H967" i="2"/>
  <c r="P966" i="2"/>
  <c r="H966" i="2"/>
  <c r="P965" i="2"/>
  <c r="H965" i="2"/>
  <c r="P964" i="2"/>
  <c r="H964" i="2"/>
  <c r="P963" i="2"/>
  <c r="H963" i="2"/>
  <c r="P962" i="2"/>
  <c r="H962" i="2"/>
  <c r="P961" i="2"/>
  <c r="H961" i="2"/>
  <c r="P960" i="2"/>
  <c r="H960" i="2"/>
  <c r="P959" i="2"/>
  <c r="H959" i="2"/>
  <c r="P958" i="2"/>
  <c r="H958" i="2"/>
  <c r="P957" i="2"/>
  <c r="H957" i="2"/>
  <c r="P956" i="2"/>
  <c r="H956" i="2"/>
  <c r="P955" i="2"/>
  <c r="H955" i="2"/>
  <c r="P954" i="2"/>
  <c r="H954" i="2"/>
  <c r="P953" i="2"/>
  <c r="H953" i="2"/>
  <c r="P952" i="2"/>
  <c r="H952" i="2"/>
  <c r="P951" i="2"/>
  <c r="H951" i="2"/>
  <c r="P950" i="2"/>
  <c r="H950" i="2"/>
  <c r="P949" i="2"/>
  <c r="H949" i="2"/>
  <c r="P948" i="2"/>
  <c r="H948" i="2"/>
  <c r="P947" i="2"/>
  <c r="H947" i="2"/>
  <c r="P946" i="2"/>
  <c r="H946" i="2"/>
  <c r="P945" i="2"/>
  <c r="H945" i="2"/>
  <c r="P944" i="2"/>
  <c r="H944" i="2"/>
  <c r="P943" i="2"/>
  <c r="H943" i="2"/>
  <c r="P942" i="2"/>
  <c r="H942" i="2"/>
  <c r="P941" i="2"/>
  <c r="H941" i="2"/>
  <c r="P940" i="2"/>
  <c r="H940" i="2"/>
  <c r="P939" i="2"/>
  <c r="H939" i="2"/>
  <c r="P938" i="2"/>
  <c r="H938" i="2"/>
  <c r="P937" i="2"/>
  <c r="H937" i="2"/>
  <c r="P936" i="2"/>
  <c r="H936" i="2"/>
  <c r="P935" i="2"/>
  <c r="H935" i="2"/>
  <c r="P934" i="2"/>
  <c r="H934" i="2"/>
  <c r="P933" i="2"/>
  <c r="H933" i="2"/>
  <c r="P932" i="2"/>
  <c r="H932" i="2"/>
  <c r="P931" i="2"/>
  <c r="H931" i="2"/>
  <c r="P930" i="2"/>
  <c r="H930" i="2"/>
  <c r="P929" i="2"/>
  <c r="H929" i="2"/>
  <c r="P928" i="2"/>
  <c r="H928" i="2"/>
  <c r="P927" i="2"/>
  <c r="H927" i="2"/>
  <c r="P926" i="2"/>
  <c r="H926" i="2"/>
  <c r="P925" i="2"/>
  <c r="H925" i="2"/>
  <c r="P924" i="2"/>
  <c r="H924" i="2"/>
  <c r="P923" i="2"/>
  <c r="H923" i="2"/>
  <c r="P922" i="2"/>
  <c r="H922" i="2"/>
  <c r="P921" i="2"/>
  <c r="H921" i="2"/>
  <c r="P920" i="2"/>
  <c r="H920" i="2"/>
  <c r="P919" i="2"/>
  <c r="H919" i="2"/>
  <c r="P918" i="2"/>
  <c r="H918" i="2"/>
  <c r="P917" i="2"/>
  <c r="H917" i="2"/>
  <c r="P916" i="2"/>
  <c r="H916" i="2"/>
  <c r="P915" i="2"/>
  <c r="H915" i="2"/>
  <c r="P914" i="2"/>
  <c r="H914" i="2"/>
  <c r="P913" i="2"/>
  <c r="H913" i="2"/>
  <c r="P912" i="2"/>
  <c r="H912" i="2"/>
  <c r="P911" i="2"/>
  <c r="H911" i="2"/>
  <c r="P910" i="2"/>
  <c r="H910" i="2"/>
  <c r="P909" i="2"/>
  <c r="H909" i="2"/>
  <c r="P908" i="2"/>
  <c r="H908" i="2"/>
  <c r="P907" i="2"/>
  <c r="H907" i="2"/>
  <c r="P906" i="2"/>
  <c r="H906" i="2"/>
  <c r="P905" i="2"/>
  <c r="H905" i="2"/>
  <c r="P904" i="2"/>
  <c r="H904" i="2"/>
  <c r="P903" i="2"/>
  <c r="H903" i="2"/>
  <c r="P902" i="2"/>
  <c r="H902" i="2"/>
  <c r="P901" i="2"/>
  <c r="H901" i="2"/>
  <c r="P900" i="2"/>
  <c r="H900" i="2"/>
  <c r="P899" i="2"/>
  <c r="H899" i="2"/>
  <c r="P898" i="2"/>
  <c r="H898" i="2"/>
  <c r="P897" i="2"/>
  <c r="H897" i="2"/>
  <c r="P896" i="2"/>
  <c r="H896" i="2"/>
  <c r="P895" i="2"/>
  <c r="H895" i="2"/>
  <c r="P894" i="2"/>
  <c r="H894" i="2"/>
  <c r="P893" i="2"/>
  <c r="H893" i="2"/>
  <c r="P892" i="2"/>
  <c r="H892" i="2"/>
  <c r="P891" i="2"/>
  <c r="H891" i="2"/>
  <c r="P890" i="2"/>
  <c r="H890" i="2"/>
  <c r="P889" i="2"/>
  <c r="H889" i="2"/>
  <c r="P888" i="2"/>
  <c r="H888" i="2"/>
  <c r="P887" i="2"/>
  <c r="H887" i="2"/>
  <c r="P886" i="2"/>
  <c r="H886" i="2"/>
  <c r="P885" i="2"/>
  <c r="H885" i="2"/>
  <c r="P884" i="2"/>
  <c r="H884" i="2"/>
  <c r="P883" i="2"/>
  <c r="H883" i="2"/>
  <c r="P882" i="2"/>
  <c r="H882" i="2"/>
  <c r="P881" i="2"/>
  <c r="H881" i="2"/>
  <c r="P880" i="2"/>
  <c r="H880" i="2"/>
  <c r="P879" i="2"/>
  <c r="H879" i="2"/>
  <c r="P878" i="2"/>
  <c r="H878" i="2"/>
  <c r="P877" i="2"/>
  <c r="H877" i="2"/>
  <c r="P876" i="2"/>
  <c r="H876" i="2"/>
  <c r="P875" i="2"/>
  <c r="H875" i="2"/>
  <c r="P874" i="2"/>
  <c r="H874" i="2"/>
  <c r="P873" i="2"/>
  <c r="H873" i="2"/>
  <c r="P872" i="2"/>
  <c r="H872" i="2"/>
  <c r="P871" i="2"/>
  <c r="H871" i="2"/>
  <c r="P870" i="2"/>
  <c r="H870" i="2"/>
  <c r="P869" i="2"/>
  <c r="H869" i="2"/>
  <c r="P868" i="2"/>
  <c r="H868" i="2"/>
  <c r="P867" i="2"/>
  <c r="H867" i="2"/>
  <c r="P866" i="2"/>
  <c r="H866" i="2"/>
  <c r="P865" i="2"/>
  <c r="H865" i="2"/>
  <c r="P864" i="2"/>
  <c r="H864" i="2"/>
  <c r="P863" i="2"/>
  <c r="H863" i="2"/>
  <c r="P862" i="2"/>
  <c r="H862" i="2"/>
  <c r="P861" i="2"/>
  <c r="H861" i="2"/>
  <c r="P860" i="2"/>
  <c r="H860" i="2"/>
  <c r="P859" i="2"/>
  <c r="H859" i="2"/>
  <c r="P858" i="2"/>
  <c r="H858" i="2"/>
  <c r="P857" i="2"/>
  <c r="H857" i="2"/>
  <c r="P856" i="2"/>
  <c r="H856" i="2"/>
  <c r="P855" i="2"/>
  <c r="H855" i="2"/>
  <c r="P854" i="2"/>
  <c r="H854" i="2"/>
  <c r="P853" i="2"/>
  <c r="H853" i="2"/>
  <c r="P852" i="2"/>
  <c r="H852" i="2"/>
  <c r="P851" i="2"/>
  <c r="H851" i="2"/>
  <c r="P850" i="2"/>
  <c r="H850" i="2"/>
  <c r="P849" i="2"/>
  <c r="H849" i="2"/>
  <c r="P848" i="2"/>
  <c r="H848" i="2"/>
  <c r="P847" i="2"/>
  <c r="H847" i="2"/>
  <c r="P846" i="2"/>
  <c r="H846" i="2"/>
  <c r="P845" i="2"/>
  <c r="H845" i="2"/>
  <c r="P844" i="2"/>
  <c r="H844" i="2"/>
  <c r="P843" i="2"/>
  <c r="H843" i="2"/>
  <c r="P842" i="2"/>
  <c r="H842" i="2"/>
  <c r="P841" i="2"/>
  <c r="H841" i="2"/>
  <c r="P840" i="2"/>
  <c r="H840" i="2"/>
  <c r="P839" i="2"/>
  <c r="H839" i="2"/>
  <c r="P838" i="2"/>
  <c r="H838" i="2"/>
  <c r="P837" i="2"/>
  <c r="H837" i="2"/>
  <c r="P836" i="2"/>
  <c r="H836" i="2"/>
  <c r="P835" i="2"/>
  <c r="H835" i="2"/>
  <c r="P834" i="2"/>
  <c r="H834" i="2"/>
  <c r="P833" i="2"/>
  <c r="H833" i="2"/>
  <c r="P832" i="2"/>
  <c r="H832" i="2"/>
  <c r="P831" i="2"/>
  <c r="H831" i="2"/>
  <c r="P830" i="2"/>
  <c r="H830" i="2"/>
  <c r="P829" i="2"/>
  <c r="H829" i="2"/>
  <c r="P828" i="2"/>
  <c r="H828" i="2"/>
  <c r="P827" i="2"/>
  <c r="H827" i="2"/>
  <c r="P826" i="2"/>
  <c r="H826" i="2"/>
  <c r="P825" i="2"/>
  <c r="H825" i="2"/>
  <c r="P824" i="2"/>
  <c r="H824" i="2"/>
  <c r="P823" i="2"/>
  <c r="H823" i="2"/>
  <c r="P822" i="2"/>
  <c r="H822" i="2"/>
  <c r="P821" i="2"/>
  <c r="H821" i="2"/>
  <c r="P820" i="2"/>
  <c r="H820" i="2"/>
  <c r="P819" i="2"/>
  <c r="H819" i="2"/>
  <c r="P818" i="2"/>
  <c r="H818" i="2"/>
  <c r="P817" i="2"/>
  <c r="H817" i="2"/>
  <c r="P816" i="2"/>
  <c r="H816" i="2"/>
  <c r="P815" i="2"/>
  <c r="H815" i="2"/>
  <c r="P814" i="2"/>
  <c r="H814" i="2"/>
  <c r="P813" i="2"/>
  <c r="H813" i="2"/>
  <c r="P812" i="2"/>
  <c r="H812" i="2"/>
  <c r="P811" i="2"/>
  <c r="H811" i="2"/>
  <c r="P810" i="2"/>
  <c r="H810" i="2"/>
  <c r="P809" i="2"/>
  <c r="H809" i="2"/>
  <c r="P808" i="2"/>
  <c r="H808" i="2"/>
  <c r="P807" i="2"/>
  <c r="H807" i="2"/>
  <c r="P806" i="2"/>
  <c r="H806" i="2"/>
  <c r="P805" i="2"/>
  <c r="H805" i="2"/>
  <c r="P804" i="2"/>
  <c r="H804" i="2"/>
  <c r="P803" i="2"/>
  <c r="H803" i="2"/>
  <c r="P802" i="2"/>
  <c r="H802" i="2"/>
  <c r="P801" i="2"/>
  <c r="H801" i="2"/>
  <c r="P800" i="2"/>
  <c r="H800" i="2"/>
  <c r="P799" i="2"/>
  <c r="H799" i="2"/>
  <c r="P798" i="2"/>
  <c r="H798" i="2"/>
  <c r="P797" i="2"/>
  <c r="H797" i="2"/>
  <c r="P796" i="2"/>
  <c r="H796" i="2"/>
  <c r="P795" i="2"/>
  <c r="H795" i="2"/>
  <c r="P794" i="2"/>
  <c r="H794" i="2"/>
  <c r="P793" i="2"/>
  <c r="H793" i="2"/>
  <c r="P792" i="2"/>
  <c r="H792" i="2"/>
  <c r="P791" i="2"/>
  <c r="H791" i="2"/>
  <c r="P790" i="2"/>
  <c r="H790" i="2"/>
  <c r="P789" i="2"/>
  <c r="H789" i="2"/>
  <c r="P788" i="2"/>
  <c r="H788" i="2"/>
  <c r="P787" i="2"/>
  <c r="H787" i="2"/>
  <c r="P786" i="2"/>
  <c r="H786" i="2"/>
  <c r="P785" i="2"/>
  <c r="H785" i="2"/>
  <c r="P784" i="2"/>
  <c r="H784" i="2"/>
  <c r="P783" i="2"/>
  <c r="H783" i="2"/>
  <c r="P782" i="2"/>
  <c r="H782" i="2"/>
  <c r="P781" i="2"/>
  <c r="H781" i="2"/>
  <c r="P780" i="2"/>
  <c r="H780" i="2"/>
  <c r="P779" i="2"/>
  <c r="H779" i="2"/>
  <c r="P778" i="2"/>
  <c r="H778" i="2"/>
  <c r="P777" i="2"/>
  <c r="H777" i="2"/>
  <c r="P776" i="2"/>
  <c r="H776" i="2"/>
  <c r="P775" i="2"/>
  <c r="H775" i="2"/>
  <c r="P774" i="2"/>
  <c r="H774" i="2"/>
  <c r="P773" i="2"/>
  <c r="H773" i="2"/>
  <c r="P772" i="2"/>
  <c r="H772" i="2"/>
  <c r="P771" i="2"/>
  <c r="H771" i="2"/>
  <c r="P770" i="2"/>
  <c r="H770" i="2"/>
  <c r="P769" i="2"/>
  <c r="H769" i="2"/>
  <c r="P768" i="2"/>
  <c r="H768" i="2"/>
  <c r="P767" i="2"/>
  <c r="H767" i="2"/>
  <c r="P766" i="2"/>
  <c r="H766" i="2"/>
  <c r="P765" i="2"/>
  <c r="H765" i="2"/>
  <c r="P764" i="2"/>
  <c r="H764" i="2"/>
  <c r="P763" i="2"/>
  <c r="H763" i="2"/>
  <c r="P762" i="2"/>
  <c r="H762" i="2"/>
  <c r="P761" i="2"/>
  <c r="H761" i="2"/>
  <c r="P760" i="2"/>
  <c r="H760" i="2"/>
  <c r="P759" i="2"/>
  <c r="H759" i="2"/>
  <c r="P758" i="2"/>
  <c r="H758" i="2"/>
  <c r="P757" i="2"/>
  <c r="H757" i="2"/>
  <c r="P756" i="2"/>
  <c r="H756" i="2"/>
  <c r="P755" i="2"/>
  <c r="H755" i="2"/>
  <c r="P754" i="2"/>
  <c r="H754" i="2"/>
  <c r="P753" i="2"/>
  <c r="H753" i="2"/>
  <c r="P752" i="2"/>
  <c r="H752" i="2"/>
  <c r="P751" i="2"/>
  <c r="H751" i="2"/>
  <c r="P750" i="2"/>
  <c r="H750" i="2"/>
  <c r="P749" i="2"/>
  <c r="H749" i="2"/>
  <c r="P748" i="2"/>
  <c r="H748" i="2"/>
  <c r="P747" i="2"/>
  <c r="H747" i="2"/>
  <c r="P746" i="2"/>
  <c r="H746" i="2"/>
  <c r="P745" i="2"/>
  <c r="H745" i="2"/>
  <c r="P744" i="2"/>
  <c r="H744" i="2"/>
  <c r="P743" i="2"/>
  <c r="H743" i="2"/>
  <c r="P742" i="2"/>
  <c r="H742" i="2"/>
  <c r="P741" i="2"/>
  <c r="H741" i="2"/>
  <c r="P740" i="2"/>
  <c r="H740" i="2"/>
  <c r="P739" i="2"/>
  <c r="H739" i="2"/>
  <c r="P738" i="2"/>
  <c r="H738" i="2"/>
  <c r="P737" i="2"/>
  <c r="H737" i="2"/>
  <c r="P736" i="2"/>
  <c r="H736" i="2"/>
  <c r="P735" i="2"/>
  <c r="H735" i="2"/>
  <c r="P734" i="2"/>
  <c r="H734" i="2"/>
  <c r="P733" i="2"/>
  <c r="H733" i="2"/>
  <c r="P732" i="2"/>
  <c r="H732" i="2"/>
  <c r="P731" i="2"/>
  <c r="H731" i="2"/>
  <c r="P730" i="2"/>
  <c r="H730" i="2"/>
  <c r="P729" i="2"/>
  <c r="H729" i="2"/>
  <c r="P728" i="2"/>
  <c r="H728" i="2"/>
  <c r="P727" i="2"/>
  <c r="H727" i="2"/>
  <c r="P726" i="2"/>
  <c r="H726" i="2"/>
  <c r="P725" i="2"/>
  <c r="H725" i="2"/>
  <c r="P724" i="2"/>
  <c r="H724" i="2"/>
  <c r="P723" i="2"/>
  <c r="H723" i="2"/>
  <c r="P722" i="2"/>
  <c r="H722" i="2"/>
  <c r="P721" i="2"/>
  <c r="H721" i="2"/>
  <c r="P720" i="2"/>
  <c r="H720" i="2"/>
  <c r="P719" i="2"/>
  <c r="H719" i="2"/>
  <c r="P718" i="2"/>
  <c r="H718" i="2"/>
  <c r="P717" i="2"/>
  <c r="H717" i="2"/>
  <c r="P716" i="2"/>
  <c r="H716" i="2"/>
  <c r="P715" i="2"/>
  <c r="H715" i="2"/>
  <c r="P714" i="2"/>
  <c r="H714" i="2"/>
  <c r="P713" i="2"/>
  <c r="H713" i="2"/>
  <c r="P712" i="2"/>
  <c r="H712" i="2"/>
  <c r="P711" i="2"/>
  <c r="H711" i="2"/>
  <c r="P710" i="2"/>
  <c r="H710" i="2"/>
  <c r="P709" i="2"/>
  <c r="H709" i="2"/>
  <c r="P708" i="2"/>
  <c r="H708" i="2"/>
  <c r="P707" i="2"/>
  <c r="H707" i="2"/>
  <c r="P706" i="2"/>
  <c r="H706" i="2"/>
  <c r="P705" i="2"/>
  <c r="H705" i="2"/>
  <c r="P704" i="2"/>
  <c r="H704" i="2"/>
  <c r="P703" i="2"/>
  <c r="H703" i="2"/>
  <c r="P702" i="2"/>
  <c r="H702" i="2"/>
  <c r="P701" i="2"/>
  <c r="H701" i="2"/>
  <c r="P700" i="2"/>
  <c r="H700" i="2"/>
  <c r="P699" i="2"/>
  <c r="H699" i="2"/>
  <c r="P698" i="2"/>
  <c r="H698" i="2"/>
  <c r="P697" i="2"/>
  <c r="H697" i="2"/>
  <c r="P696" i="2"/>
  <c r="H696" i="2"/>
  <c r="P695" i="2"/>
  <c r="H695" i="2"/>
  <c r="P694" i="2"/>
  <c r="H694" i="2"/>
  <c r="P693" i="2"/>
  <c r="H693" i="2"/>
  <c r="P692" i="2"/>
  <c r="H692" i="2"/>
  <c r="P691" i="2"/>
  <c r="H691" i="2"/>
  <c r="P690" i="2"/>
  <c r="H690" i="2"/>
  <c r="P689" i="2"/>
  <c r="H689" i="2"/>
  <c r="P688" i="2"/>
  <c r="H688" i="2"/>
  <c r="P687" i="2"/>
  <c r="H687" i="2"/>
  <c r="P686" i="2"/>
  <c r="H686" i="2"/>
  <c r="P685" i="2"/>
  <c r="H685" i="2"/>
  <c r="P684" i="2"/>
  <c r="H684" i="2"/>
  <c r="P683" i="2"/>
  <c r="H683" i="2"/>
  <c r="P682" i="2"/>
  <c r="H682" i="2"/>
  <c r="P681" i="2"/>
  <c r="H681" i="2"/>
  <c r="P680" i="2"/>
  <c r="H680" i="2"/>
  <c r="P679" i="2"/>
  <c r="H679" i="2"/>
  <c r="P678" i="2"/>
  <c r="H678" i="2"/>
  <c r="P677" i="2"/>
  <c r="H677" i="2"/>
  <c r="P676" i="2"/>
  <c r="H676" i="2"/>
  <c r="P675" i="2"/>
  <c r="H675" i="2"/>
  <c r="P674" i="2"/>
  <c r="H674" i="2"/>
  <c r="P673" i="2"/>
  <c r="H673" i="2"/>
  <c r="P672" i="2"/>
  <c r="H672" i="2"/>
  <c r="P671" i="2"/>
  <c r="H671" i="2"/>
  <c r="P670" i="2"/>
  <c r="H670" i="2"/>
  <c r="P669" i="2"/>
  <c r="H669" i="2"/>
  <c r="P668" i="2"/>
  <c r="H668" i="2"/>
  <c r="P667" i="2"/>
  <c r="H667" i="2"/>
  <c r="P666" i="2"/>
  <c r="H666" i="2"/>
  <c r="P665" i="2"/>
  <c r="H665" i="2"/>
  <c r="P664" i="2"/>
  <c r="H664" i="2"/>
  <c r="P663" i="2"/>
  <c r="H663" i="2"/>
  <c r="P662" i="2"/>
  <c r="H662" i="2"/>
  <c r="P661" i="2"/>
  <c r="H661" i="2"/>
  <c r="P660" i="2"/>
  <c r="H660" i="2"/>
  <c r="P659" i="2"/>
  <c r="H659" i="2"/>
  <c r="P658" i="2"/>
  <c r="H658" i="2"/>
  <c r="P657" i="2"/>
  <c r="H657" i="2"/>
  <c r="P656" i="2"/>
  <c r="H656" i="2"/>
  <c r="P655" i="2"/>
  <c r="H655" i="2"/>
  <c r="P654" i="2"/>
  <c r="H654" i="2"/>
  <c r="P653" i="2"/>
  <c r="H653" i="2"/>
  <c r="P652" i="2"/>
  <c r="H652" i="2"/>
  <c r="P651" i="2"/>
  <c r="H651" i="2"/>
  <c r="P650" i="2"/>
  <c r="H650" i="2"/>
  <c r="P649" i="2"/>
  <c r="H649" i="2"/>
  <c r="P648" i="2"/>
  <c r="H648" i="2"/>
  <c r="P647" i="2"/>
  <c r="H647" i="2"/>
  <c r="P646" i="2"/>
  <c r="H646" i="2"/>
  <c r="P645" i="2"/>
  <c r="H645" i="2"/>
  <c r="P644" i="2"/>
  <c r="H644" i="2"/>
  <c r="P643" i="2"/>
  <c r="H643" i="2"/>
  <c r="P642" i="2"/>
  <c r="H642" i="2"/>
  <c r="P641" i="2"/>
  <c r="H641" i="2"/>
  <c r="P640" i="2"/>
  <c r="H640" i="2"/>
  <c r="P639" i="2"/>
  <c r="H639" i="2"/>
  <c r="P638" i="2"/>
  <c r="H638" i="2"/>
  <c r="P637" i="2"/>
  <c r="H637" i="2"/>
  <c r="P636" i="2"/>
  <c r="H636" i="2"/>
  <c r="P635" i="2"/>
  <c r="H635" i="2"/>
  <c r="P634" i="2"/>
  <c r="H634" i="2"/>
  <c r="P633" i="2"/>
  <c r="H633" i="2"/>
  <c r="P632" i="2"/>
  <c r="H632" i="2"/>
  <c r="P631" i="2"/>
  <c r="H631" i="2"/>
  <c r="P630" i="2"/>
  <c r="H630" i="2"/>
  <c r="P629" i="2"/>
  <c r="H629" i="2"/>
  <c r="P628" i="2"/>
  <c r="H628" i="2"/>
  <c r="P627" i="2"/>
  <c r="H627" i="2"/>
  <c r="P626" i="2"/>
  <c r="H626" i="2"/>
  <c r="P625" i="2"/>
  <c r="H625" i="2"/>
  <c r="P624" i="2"/>
  <c r="H624" i="2"/>
  <c r="P623" i="2"/>
  <c r="H623" i="2"/>
  <c r="P622" i="2"/>
  <c r="H622" i="2"/>
  <c r="P621" i="2"/>
  <c r="H621" i="2"/>
  <c r="P620" i="2"/>
  <c r="H620" i="2"/>
  <c r="P619" i="2"/>
  <c r="H619" i="2"/>
  <c r="P618" i="2"/>
  <c r="H618" i="2"/>
  <c r="P617" i="2"/>
  <c r="H617" i="2"/>
  <c r="P616" i="2"/>
  <c r="H616" i="2"/>
  <c r="P615" i="2"/>
  <c r="H615" i="2"/>
  <c r="P614" i="2"/>
  <c r="H614" i="2"/>
  <c r="P613" i="2"/>
  <c r="H613" i="2"/>
  <c r="P612" i="2"/>
  <c r="H612" i="2"/>
  <c r="P611" i="2"/>
  <c r="H611" i="2"/>
  <c r="P610" i="2"/>
  <c r="H610" i="2"/>
  <c r="P609" i="2"/>
  <c r="H609" i="2"/>
  <c r="P608" i="2"/>
  <c r="H608" i="2"/>
  <c r="P607" i="2"/>
  <c r="H607" i="2"/>
  <c r="P606" i="2"/>
  <c r="H606" i="2"/>
  <c r="P605" i="2"/>
  <c r="H605" i="2"/>
  <c r="P604" i="2"/>
  <c r="H604" i="2"/>
  <c r="P603" i="2"/>
  <c r="H603" i="2"/>
  <c r="P602" i="2"/>
  <c r="H602" i="2"/>
  <c r="P601" i="2"/>
  <c r="H601" i="2"/>
  <c r="P600" i="2"/>
  <c r="H600" i="2"/>
  <c r="P599" i="2"/>
  <c r="H599" i="2"/>
  <c r="P598" i="2"/>
  <c r="H598" i="2"/>
  <c r="P597" i="2"/>
  <c r="H597" i="2"/>
  <c r="P596" i="2"/>
  <c r="H596" i="2"/>
  <c r="P595" i="2"/>
  <c r="H595" i="2"/>
  <c r="P594" i="2"/>
  <c r="H594" i="2"/>
  <c r="P593" i="2"/>
  <c r="H593" i="2"/>
  <c r="P592" i="2"/>
  <c r="H592" i="2"/>
  <c r="P591" i="2"/>
  <c r="H591" i="2"/>
  <c r="P590" i="2"/>
  <c r="H590" i="2"/>
  <c r="P589" i="2"/>
  <c r="H589" i="2"/>
  <c r="P588" i="2"/>
  <c r="H588" i="2"/>
  <c r="P587" i="2"/>
  <c r="H587" i="2"/>
  <c r="P586" i="2"/>
  <c r="H586" i="2"/>
  <c r="P585" i="2"/>
  <c r="H585" i="2"/>
  <c r="P584" i="2"/>
  <c r="H584" i="2"/>
  <c r="P583" i="2"/>
  <c r="H583" i="2"/>
  <c r="P582" i="2"/>
  <c r="H582" i="2"/>
  <c r="P581" i="2"/>
  <c r="H581" i="2"/>
  <c r="P580" i="2"/>
  <c r="H580" i="2"/>
  <c r="P579" i="2"/>
  <c r="H579" i="2"/>
  <c r="P578" i="2"/>
  <c r="H578" i="2"/>
  <c r="P577" i="2"/>
  <c r="H577" i="2"/>
  <c r="P576" i="2"/>
  <c r="H576" i="2"/>
  <c r="P575" i="2"/>
  <c r="H575" i="2"/>
  <c r="P574" i="2"/>
  <c r="H574" i="2"/>
  <c r="P573" i="2"/>
  <c r="H573" i="2"/>
  <c r="P572" i="2"/>
  <c r="H572" i="2"/>
  <c r="P571" i="2"/>
  <c r="H571" i="2"/>
  <c r="P570" i="2"/>
  <c r="H570" i="2"/>
  <c r="P569" i="2"/>
  <c r="H569" i="2"/>
  <c r="P568" i="2"/>
  <c r="H568" i="2"/>
  <c r="P567" i="2"/>
  <c r="H567" i="2"/>
  <c r="P566" i="2"/>
  <c r="H566" i="2"/>
  <c r="P565" i="2"/>
  <c r="H565" i="2"/>
  <c r="P564" i="2"/>
  <c r="H564" i="2"/>
  <c r="P563" i="2"/>
  <c r="H563" i="2"/>
  <c r="P562" i="2"/>
  <c r="H562" i="2"/>
  <c r="P561" i="2"/>
  <c r="H561" i="2"/>
  <c r="P560" i="2"/>
  <c r="H560" i="2"/>
  <c r="P559" i="2"/>
  <c r="H559" i="2"/>
  <c r="P558" i="2"/>
  <c r="H558" i="2"/>
  <c r="P557" i="2"/>
  <c r="H557" i="2"/>
  <c r="P556" i="2"/>
  <c r="H556" i="2"/>
  <c r="P555" i="2"/>
  <c r="H555" i="2"/>
  <c r="P554" i="2"/>
  <c r="H554" i="2"/>
  <c r="P553" i="2"/>
  <c r="H553" i="2"/>
  <c r="P552" i="2"/>
  <c r="H552" i="2"/>
  <c r="P551" i="2"/>
  <c r="H551" i="2"/>
  <c r="P550" i="2"/>
  <c r="H550" i="2"/>
  <c r="P549" i="2"/>
  <c r="H549" i="2"/>
  <c r="P548" i="2"/>
  <c r="H548" i="2"/>
  <c r="P547" i="2"/>
  <c r="H547" i="2"/>
  <c r="P546" i="2"/>
  <c r="H546" i="2"/>
  <c r="P545" i="2"/>
  <c r="H545" i="2"/>
  <c r="P544" i="2"/>
  <c r="H544" i="2"/>
  <c r="P543" i="2"/>
  <c r="H543" i="2"/>
  <c r="P542" i="2"/>
  <c r="H542" i="2"/>
  <c r="P541" i="2"/>
  <c r="H541" i="2"/>
  <c r="P540" i="2"/>
  <c r="H540" i="2"/>
  <c r="P539" i="2"/>
  <c r="H539" i="2"/>
  <c r="P538" i="2"/>
  <c r="H538" i="2"/>
  <c r="P537" i="2"/>
  <c r="H537" i="2"/>
  <c r="P536" i="2"/>
  <c r="H536" i="2"/>
  <c r="P535" i="2"/>
  <c r="H535" i="2"/>
  <c r="P534" i="2"/>
  <c r="H534" i="2"/>
  <c r="P533" i="2"/>
  <c r="H533" i="2"/>
  <c r="P532" i="2"/>
  <c r="H532" i="2"/>
  <c r="P531" i="2"/>
  <c r="H531" i="2"/>
  <c r="P530" i="2"/>
  <c r="H530" i="2"/>
  <c r="P529" i="2"/>
  <c r="H529" i="2"/>
  <c r="P528" i="2"/>
  <c r="H528" i="2"/>
  <c r="P527" i="2"/>
  <c r="H527" i="2"/>
  <c r="P526" i="2"/>
  <c r="H526" i="2"/>
  <c r="P525" i="2"/>
  <c r="H525" i="2"/>
  <c r="P524" i="2"/>
  <c r="H524" i="2"/>
  <c r="P523" i="2"/>
  <c r="H523" i="2"/>
  <c r="P522" i="2"/>
  <c r="H522" i="2"/>
  <c r="P521" i="2"/>
  <c r="H521" i="2"/>
  <c r="P520" i="2"/>
  <c r="H520" i="2"/>
  <c r="P519" i="2"/>
  <c r="H519" i="2"/>
  <c r="P518" i="2"/>
  <c r="H518" i="2"/>
  <c r="P517" i="2"/>
  <c r="H517" i="2"/>
  <c r="P516" i="2"/>
  <c r="H516" i="2"/>
  <c r="P515" i="2"/>
  <c r="H515" i="2"/>
  <c r="P514" i="2"/>
  <c r="H514" i="2"/>
  <c r="P513" i="2"/>
  <c r="H513" i="2"/>
  <c r="P512" i="2"/>
  <c r="H512" i="2"/>
  <c r="P511" i="2"/>
  <c r="H511" i="2"/>
  <c r="P510" i="2"/>
  <c r="H510" i="2"/>
  <c r="P509" i="2"/>
  <c r="H509" i="2"/>
  <c r="P508" i="2"/>
  <c r="H508" i="2"/>
  <c r="P507" i="2"/>
  <c r="H507" i="2"/>
  <c r="P506" i="2"/>
  <c r="H506" i="2"/>
  <c r="P505" i="2"/>
  <c r="H505" i="2"/>
  <c r="P504" i="2"/>
  <c r="H504" i="2"/>
  <c r="P503" i="2"/>
  <c r="H503" i="2"/>
  <c r="P502" i="2"/>
  <c r="H502" i="2"/>
  <c r="P501" i="2"/>
  <c r="H501" i="2"/>
  <c r="P500" i="2"/>
  <c r="H500" i="2"/>
  <c r="P499" i="2"/>
  <c r="H499" i="2"/>
  <c r="P498" i="2"/>
  <c r="H498" i="2"/>
  <c r="P497" i="2"/>
  <c r="H497" i="2"/>
  <c r="P496" i="2"/>
  <c r="H496" i="2"/>
  <c r="P495" i="2"/>
  <c r="H495" i="2"/>
  <c r="P494" i="2"/>
  <c r="H494" i="2"/>
  <c r="P493" i="2"/>
  <c r="H493" i="2"/>
  <c r="P492" i="2"/>
  <c r="H492" i="2"/>
  <c r="P491" i="2"/>
  <c r="H491" i="2"/>
  <c r="P490" i="2"/>
  <c r="H490" i="2"/>
  <c r="P489" i="2"/>
  <c r="H489" i="2"/>
  <c r="P488" i="2"/>
  <c r="H488" i="2"/>
  <c r="P487" i="2"/>
  <c r="H487" i="2"/>
  <c r="P486" i="2"/>
  <c r="H486" i="2"/>
  <c r="P485" i="2"/>
  <c r="H485" i="2"/>
  <c r="P484" i="2"/>
  <c r="H484" i="2"/>
  <c r="P483" i="2"/>
  <c r="H483" i="2"/>
  <c r="P482" i="2"/>
  <c r="H482" i="2"/>
  <c r="P481" i="2"/>
  <c r="H481" i="2"/>
  <c r="P480" i="2"/>
  <c r="H480" i="2"/>
  <c r="P479" i="2"/>
  <c r="H479" i="2"/>
  <c r="P478" i="2"/>
  <c r="H478" i="2"/>
  <c r="P477" i="2"/>
  <c r="H477" i="2"/>
  <c r="P476" i="2"/>
  <c r="H476" i="2"/>
  <c r="P475" i="2"/>
  <c r="H475" i="2"/>
  <c r="P474" i="2"/>
  <c r="H474" i="2"/>
  <c r="P473" i="2"/>
  <c r="H473" i="2"/>
  <c r="P472" i="2"/>
  <c r="H472" i="2"/>
  <c r="P471" i="2"/>
  <c r="H471" i="2"/>
  <c r="P470" i="2"/>
  <c r="H470" i="2"/>
  <c r="P469" i="2"/>
  <c r="H469" i="2"/>
  <c r="P468" i="2"/>
  <c r="H468" i="2"/>
  <c r="P467" i="2"/>
  <c r="H467" i="2"/>
  <c r="P466" i="2"/>
  <c r="H466" i="2"/>
  <c r="P465" i="2"/>
  <c r="H465" i="2"/>
  <c r="P464" i="2"/>
  <c r="H464" i="2"/>
  <c r="P463" i="2"/>
  <c r="H463" i="2"/>
  <c r="P462" i="2"/>
  <c r="H462" i="2"/>
  <c r="P461" i="2"/>
  <c r="H461" i="2"/>
  <c r="P460" i="2"/>
  <c r="H460" i="2"/>
  <c r="P459" i="2"/>
  <c r="H459" i="2"/>
  <c r="P458" i="2"/>
  <c r="H458" i="2"/>
  <c r="P457" i="2"/>
  <c r="H457" i="2"/>
  <c r="P456" i="2"/>
  <c r="H456" i="2"/>
  <c r="P455" i="2"/>
  <c r="H455" i="2"/>
  <c r="P454" i="2"/>
  <c r="H454" i="2"/>
  <c r="P453" i="2"/>
  <c r="H453" i="2"/>
  <c r="P452" i="2"/>
  <c r="H452" i="2"/>
  <c r="P451" i="2"/>
  <c r="H451" i="2"/>
  <c r="P450" i="2"/>
  <c r="H450" i="2"/>
  <c r="P449" i="2"/>
  <c r="H449" i="2"/>
  <c r="P448" i="2"/>
  <c r="H448" i="2"/>
  <c r="P447" i="2"/>
  <c r="H447" i="2"/>
  <c r="P446" i="2"/>
  <c r="H446" i="2"/>
  <c r="P445" i="2"/>
  <c r="H445" i="2"/>
  <c r="P444" i="2"/>
  <c r="H444" i="2"/>
  <c r="P443" i="2"/>
  <c r="H443" i="2"/>
  <c r="P442" i="2"/>
  <c r="H442" i="2"/>
  <c r="P441" i="2"/>
  <c r="H441" i="2"/>
  <c r="P440" i="2"/>
  <c r="H440" i="2"/>
  <c r="P439" i="2"/>
  <c r="H439" i="2"/>
  <c r="P438" i="2"/>
  <c r="H438" i="2"/>
  <c r="P437" i="2"/>
  <c r="H437" i="2"/>
  <c r="P436" i="2"/>
  <c r="H436" i="2"/>
  <c r="P435" i="2"/>
  <c r="H435" i="2"/>
  <c r="P434" i="2"/>
  <c r="H434" i="2"/>
  <c r="P433" i="2"/>
  <c r="H433" i="2"/>
  <c r="P432" i="2"/>
  <c r="H432" i="2"/>
  <c r="P431" i="2"/>
  <c r="H431" i="2"/>
  <c r="P430" i="2"/>
  <c r="H430" i="2"/>
  <c r="P429" i="2"/>
  <c r="H429" i="2"/>
  <c r="P428" i="2"/>
  <c r="H428" i="2"/>
  <c r="P427" i="2"/>
  <c r="H427" i="2"/>
  <c r="P426" i="2"/>
  <c r="H426" i="2"/>
  <c r="P425" i="2"/>
  <c r="H425" i="2"/>
  <c r="P424" i="2"/>
  <c r="H424" i="2"/>
  <c r="P423" i="2"/>
  <c r="H423" i="2"/>
  <c r="P422" i="2"/>
  <c r="H422" i="2"/>
  <c r="P421" i="2"/>
  <c r="H421" i="2"/>
  <c r="P420" i="2"/>
  <c r="H420" i="2"/>
  <c r="P419" i="2"/>
  <c r="H419" i="2"/>
  <c r="P418" i="2"/>
  <c r="H418" i="2"/>
  <c r="P417" i="2"/>
  <c r="H417" i="2"/>
  <c r="P416" i="2"/>
  <c r="H416" i="2"/>
  <c r="P415" i="2"/>
  <c r="H415" i="2"/>
  <c r="P414" i="2"/>
  <c r="H414" i="2"/>
  <c r="P413" i="2"/>
  <c r="H413" i="2"/>
  <c r="P412" i="2"/>
  <c r="H412" i="2"/>
  <c r="P411" i="2"/>
  <c r="H411" i="2"/>
  <c r="P410" i="2"/>
  <c r="H410" i="2"/>
  <c r="P409" i="2"/>
  <c r="H409" i="2"/>
  <c r="P408" i="2"/>
  <c r="H408" i="2"/>
  <c r="P407" i="2"/>
  <c r="H407" i="2"/>
  <c r="P406" i="2"/>
  <c r="H406" i="2"/>
  <c r="P405" i="2"/>
  <c r="H405" i="2"/>
  <c r="P404" i="2"/>
  <c r="H404" i="2"/>
  <c r="P403" i="2"/>
  <c r="H403" i="2"/>
  <c r="P402" i="2"/>
  <c r="H402" i="2"/>
  <c r="P401" i="2"/>
  <c r="H401" i="2"/>
  <c r="P400" i="2"/>
  <c r="H400" i="2"/>
  <c r="P399" i="2"/>
  <c r="H399" i="2"/>
  <c r="P398" i="2"/>
  <c r="H398" i="2"/>
  <c r="P397" i="2"/>
  <c r="H397" i="2"/>
  <c r="P396" i="2"/>
  <c r="H396" i="2"/>
  <c r="P395" i="2"/>
  <c r="H395" i="2"/>
  <c r="P394" i="2"/>
  <c r="H394" i="2"/>
  <c r="P393" i="2"/>
  <c r="H393" i="2"/>
  <c r="P392" i="2"/>
  <c r="H392" i="2"/>
  <c r="P391" i="2"/>
  <c r="H391" i="2"/>
  <c r="P390" i="2"/>
  <c r="H390" i="2"/>
  <c r="P389" i="2"/>
  <c r="H389" i="2"/>
  <c r="P388" i="2"/>
  <c r="H388" i="2"/>
  <c r="P387" i="2"/>
  <c r="H387" i="2"/>
  <c r="P386" i="2"/>
  <c r="H386" i="2"/>
  <c r="P385" i="2"/>
  <c r="H385" i="2"/>
  <c r="P384" i="2"/>
  <c r="H384" i="2"/>
  <c r="P383" i="2"/>
  <c r="H383" i="2"/>
  <c r="P382" i="2"/>
  <c r="H382" i="2"/>
  <c r="P381" i="2"/>
  <c r="H381" i="2"/>
  <c r="P380" i="2"/>
  <c r="H380" i="2"/>
  <c r="P379" i="2"/>
  <c r="H379" i="2"/>
  <c r="P378" i="2"/>
  <c r="H378" i="2"/>
  <c r="P377" i="2"/>
  <c r="H377" i="2"/>
  <c r="P376" i="2"/>
  <c r="H376" i="2"/>
  <c r="P375" i="2"/>
  <c r="H375" i="2"/>
  <c r="P374" i="2"/>
  <c r="H374" i="2"/>
  <c r="P373" i="2"/>
  <c r="H373" i="2"/>
  <c r="P372" i="2"/>
  <c r="H372" i="2"/>
  <c r="P371" i="2"/>
  <c r="H371" i="2"/>
  <c r="P370" i="2"/>
  <c r="H370" i="2"/>
  <c r="P369" i="2"/>
  <c r="H369" i="2"/>
  <c r="P368" i="2"/>
  <c r="H368" i="2"/>
  <c r="P367" i="2"/>
  <c r="H367" i="2"/>
  <c r="P366" i="2"/>
  <c r="H366" i="2"/>
  <c r="P365" i="2"/>
  <c r="H365" i="2"/>
  <c r="P364" i="2"/>
  <c r="H364" i="2"/>
  <c r="P363" i="2"/>
  <c r="H363" i="2"/>
  <c r="P362" i="2"/>
  <c r="H362" i="2"/>
  <c r="P361" i="2"/>
  <c r="H361" i="2"/>
  <c r="P360" i="2"/>
  <c r="H360" i="2"/>
  <c r="P359" i="2"/>
  <c r="H359" i="2"/>
  <c r="P358" i="2"/>
  <c r="H358" i="2"/>
  <c r="P357" i="2"/>
  <c r="H357" i="2"/>
  <c r="P356" i="2"/>
  <c r="H356" i="2"/>
  <c r="P355" i="2"/>
  <c r="H355" i="2"/>
  <c r="P354" i="2"/>
  <c r="H354" i="2"/>
  <c r="P353" i="2"/>
  <c r="H353" i="2"/>
  <c r="P352" i="2"/>
  <c r="H352" i="2"/>
  <c r="P351" i="2"/>
  <c r="H351" i="2"/>
  <c r="P350" i="2"/>
  <c r="H350" i="2"/>
  <c r="P349" i="2"/>
  <c r="H349" i="2"/>
  <c r="P348" i="2"/>
  <c r="H348" i="2"/>
  <c r="P347" i="2"/>
  <c r="H347" i="2"/>
  <c r="P346" i="2"/>
  <c r="H346" i="2"/>
  <c r="P345" i="2"/>
  <c r="H345" i="2"/>
  <c r="P344" i="2"/>
  <c r="H344" i="2"/>
  <c r="P343" i="2"/>
  <c r="H343" i="2"/>
  <c r="P342" i="2"/>
  <c r="H342" i="2"/>
  <c r="P341" i="2"/>
  <c r="H341" i="2"/>
  <c r="P340" i="2"/>
  <c r="H340" i="2"/>
  <c r="P339" i="2"/>
  <c r="H339" i="2"/>
  <c r="P338" i="2"/>
  <c r="H338" i="2"/>
  <c r="P337" i="2"/>
  <c r="H337" i="2"/>
  <c r="P336" i="2"/>
  <c r="H336" i="2"/>
  <c r="P335" i="2"/>
  <c r="H335" i="2"/>
  <c r="P334" i="2"/>
  <c r="H334" i="2"/>
  <c r="P333" i="2"/>
  <c r="H333" i="2"/>
  <c r="P332" i="2"/>
  <c r="H332" i="2"/>
  <c r="P331" i="2"/>
  <c r="H331" i="2"/>
  <c r="P330" i="2"/>
  <c r="H330" i="2"/>
  <c r="P329" i="2"/>
  <c r="H329" i="2"/>
  <c r="P328" i="2"/>
  <c r="H328" i="2"/>
  <c r="P327" i="2"/>
  <c r="H327" i="2"/>
  <c r="P326" i="2"/>
  <c r="H326" i="2"/>
  <c r="P325" i="2"/>
  <c r="H325" i="2"/>
  <c r="P324" i="2"/>
  <c r="H324" i="2"/>
  <c r="P323" i="2"/>
  <c r="H323" i="2"/>
  <c r="P322" i="2"/>
  <c r="H322" i="2"/>
  <c r="P321" i="2"/>
  <c r="H321" i="2"/>
  <c r="P320" i="2"/>
  <c r="H320" i="2"/>
  <c r="P319" i="2"/>
  <c r="H319" i="2"/>
  <c r="P318" i="2"/>
  <c r="H318" i="2"/>
  <c r="P317" i="2"/>
  <c r="H317" i="2"/>
  <c r="P316" i="2"/>
  <c r="H316" i="2"/>
  <c r="P315" i="2"/>
  <c r="H315" i="2"/>
  <c r="P314" i="2"/>
  <c r="H314" i="2"/>
  <c r="P313" i="2"/>
  <c r="H313" i="2"/>
  <c r="P312" i="2"/>
  <c r="H312" i="2"/>
  <c r="P311" i="2"/>
  <c r="H311" i="2"/>
  <c r="P310" i="2"/>
  <c r="H310" i="2"/>
  <c r="P309" i="2"/>
  <c r="H309" i="2"/>
  <c r="P308" i="2"/>
  <c r="H308" i="2"/>
  <c r="P307" i="2"/>
  <c r="H307" i="2"/>
  <c r="P306" i="2"/>
  <c r="H306" i="2"/>
  <c r="P305" i="2"/>
  <c r="H305" i="2"/>
  <c r="P304" i="2"/>
  <c r="H304" i="2"/>
  <c r="P303" i="2"/>
  <c r="H303" i="2"/>
  <c r="P302" i="2"/>
  <c r="H302" i="2"/>
  <c r="P301" i="2"/>
  <c r="H301" i="2"/>
  <c r="P300" i="2"/>
  <c r="H300" i="2"/>
  <c r="P299" i="2"/>
  <c r="H299" i="2"/>
  <c r="P298" i="2"/>
  <c r="H298" i="2"/>
  <c r="P297" i="2"/>
  <c r="H297" i="2"/>
  <c r="P296" i="2"/>
  <c r="H296" i="2"/>
  <c r="P295" i="2"/>
  <c r="H295" i="2"/>
  <c r="P294" i="2"/>
  <c r="H294" i="2"/>
  <c r="P293" i="2"/>
  <c r="H293" i="2"/>
  <c r="P292" i="2"/>
  <c r="H292" i="2"/>
  <c r="P291" i="2"/>
  <c r="H291" i="2"/>
  <c r="P290" i="2"/>
  <c r="H290" i="2"/>
  <c r="P289" i="2"/>
  <c r="H289" i="2"/>
  <c r="P288" i="2"/>
  <c r="H288" i="2"/>
  <c r="P287" i="2"/>
  <c r="H287" i="2"/>
  <c r="P286" i="2"/>
  <c r="H286" i="2"/>
  <c r="P285" i="2"/>
  <c r="H285" i="2"/>
  <c r="P284" i="2"/>
  <c r="H284" i="2"/>
  <c r="P283" i="2"/>
  <c r="H283" i="2"/>
  <c r="P282" i="2"/>
  <c r="H282" i="2"/>
  <c r="P281" i="2"/>
  <c r="H281" i="2"/>
  <c r="P280" i="2"/>
  <c r="H280" i="2"/>
  <c r="P279" i="2"/>
  <c r="H279" i="2"/>
  <c r="P278" i="2"/>
  <c r="H278" i="2"/>
  <c r="P277" i="2"/>
  <c r="H277" i="2"/>
  <c r="P276" i="2"/>
  <c r="H276" i="2"/>
  <c r="P275" i="2"/>
  <c r="H275" i="2"/>
  <c r="P274" i="2"/>
  <c r="H274" i="2"/>
  <c r="P273" i="2"/>
  <c r="H273" i="2"/>
  <c r="P272" i="2"/>
  <c r="H272" i="2"/>
  <c r="P271" i="2"/>
  <c r="H271" i="2"/>
  <c r="P270" i="2"/>
  <c r="H270" i="2"/>
  <c r="P269" i="2"/>
  <c r="H269" i="2"/>
  <c r="P268" i="2"/>
  <c r="H268" i="2"/>
  <c r="P267" i="2"/>
  <c r="H267" i="2"/>
  <c r="P266" i="2"/>
  <c r="H266" i="2"/>
  <c r="P265" i="2"/>
  <c r="H265" i="2"/>
  <c r="P264" i="2"/>
  <c r="H264" i="2"/>
  <c r="P263" i="2"/>
  <c r="H263" i="2"/>
  <c r="P262" i="2"/>
  <c r="H262" i="2"/>
  <c r="P261" i="2"/>
  <c r="H261" i="2"/>
  <c r="P260" i="2"/>
  <c r="H260" i="2"/>
  <c r="P259" i="2"/>
  <c r="H259" i="2"/>
  <c r="P258" i="2"/>
  <c r="H258" i="2"/>
  <c r="P257" i="2"/>
  <c r="H257" i="2"/>
  <c r="P256" i="2"/>
  <c r="H256" i="2"/>
  <c r="P255" i="2"/>
  <c r="H255" i="2"/>
  <c r="P254" i="2"/>
  <c r="H254" i="2"/>
  <c r="P253" i="2"/>
  <c r="H253" i="2"/>
  <c r="P252" i="2"/>
  <c r="H252" i="2"/>
  <c r="P251" i="2"/>
  <c r="H251" i="2"/>
  <c r="P250" i="2"/>
  <c r="H250" i="2"/>
  <c r="P249" i="2"/>
  <c r="H249" i="2"/>
  <c r="P248" i="2"/>
  <c r="H248" i="2"/>
  <c r="P247" i="2"/>
  <c r="H247" i="2"/>
  <c r="P246" i="2"/>
  <c r="H246" i="2"/>
  <c r="P245" i="2"/>
  <c r="H245" i="2"/>
  <c r="P244" i="2"/>
  <c r="H244" i="2"/>
  <c r="P243" i="2"/>
  <c r="H243" i="2"/>
  <c r="P242" i="2"/>
  <c r="H242" i="2"/>
  <c r="P241" i="2"/>
  <c r="H241" i="2"/>
  <c r="P240" i="2"/>
  <c r="H240" i="2"/>
  <c r="P239" i="2"/>
  <c r="H239" i="2"/>
  <c r="P238" i="2"/>
  <c r="H238" i="2"/>
  <c r="P237" i="2"/>
  <c r="H237" i="2"/>
  <c r="P236" i="2"/>
  <c r="H236" i="2"/>
  <c r="P235" i="2"/>
  <c r="H235" i="2"/>
  <c r="P234" i="2"/>
  <c r="H234" i="2"/>
  <c r="P233" i="2"/>
  <c r="H233" i="2"/>
  <c r="P232" i="2"/>
  <c r="H232" i="2"/>
  <c r="P231" i="2"/>
  <c r="H231" i="2"/>
  <c r="P230" i="2"/>
  <c r="H230" i="2"/>
  <c r="P229" i="2"/>
  <c r="H229" i="2"/>
  <c r="P228" i="2"/>
  <c r="H228" i="2"/>
  <c r="P227" i="2"/>
  <c r="H227" i="2"/>
  <c r="P226" i="2"/>
  <c r="H226" i="2"/>
  <c r="P225" i="2"/>
  <c r="H225" i="2"/>
  <c r="P224" i="2"/>
  <c r="H224" i="2"/>
  <c r="P223" i="2"/>
  <c r="H223" i="2"/>
  <c r="P222" i="2"/>
  <c r="H222" i="2"/>
  <c r="P221" i="2"/>
  <c r="H221" i="2"/>
  <c r="P220" i="2"/>
  <c r="H220" i="2"/>
  <c r="P219" i="2"/>
  <c r="H219" i="2"/>
  <c r="P218" i="2"/>
  <c r="H218" i="2"/>
  <c r="P217" i="2"/>
  <c r="H217" i="2"/>
  <c r="P216" i="2"/>
  <c r="H216" i="2"/>
  <c r="P215" i="2"/>
  <c r="H215" i="2"/>
  <c r="P214" i="2"/>
  <c r="H214" i="2"/>
  <c r="P213" i="2"/>
  <c r="H213" i="2"/>
  <c r="P212" i="2"/>
  <c r="H212" i="2"/>
  <c r="P211" i="2"/>
  <c r="H211" i="2"/>
  <c r="P210" i="2"/>
  <c r="H210" i="2"/>
  <c r="P209" i="2"/>
  <c r="H209" i="2"/>
  <c r="P208" i="2"/>
  <c r="H208" i="2"/>
  <c r="P207" i="2"/>
  <c r="H207" i="2"/>
  <c r="P206" i="2"/>
  <c r="H206" i="2"/>
  <c r="P205" i="2"/>
  <c r="H205" i="2"/>
  <c r="P204" i="2"/>
  <c r="H204" i="2"/>
  <c r="P203" i="2"/>
  <c r="H203" i="2"/>
  <c r="P202" i="2"/>
  <c r="H202" i="2"/>
  <c r="P201" i="2"/>
  <c r="H201" i="2"/>
  <c r="P200" i="2"/>
  <c r="H200" i="2"/>
  <c r="P199" i="2"/>
  <c r="H199" i="2"/>
  <c r="P198" i="2"/>
  <c r="H198" i="2"/>
  <c r="P197" i="2"/>
  <c r="H197" i="2"/>
  <c r="P196" i="2"/>
  <c r="H196" i="2"/>
  <c r="P195" i="2"/>
  <c r="H195" i="2"/>
  <c r="P194" i="2"/>
  <c r="H194" i="2"/>
  <c r="P193" i="2"/>
  <c r="H193" i="2"/>
  <c r="P192" i="2"/>
  <c r="H192" i="2"/>
  <c r="P191" i="2"/>
  <c r="H191" i="2"/>
  <c r="P190" i="2"/>
  <c r="H190" i="2"/>
  <c r="P189" i="2"/>
  <c r="H189" i="2"/>
  <c r="P188" i="2"/>
  <c r="H188" i="2"/>
  <c r="P187" i="2"/>
  <c r="H187" i="2"/>
  <c r="P186" i="2"/>
  <c r="H186" i="2"/>
  <c r="P185" i="2"/>
  <c r="H185" i="2"/>
  <c r="P184" i="2"/>
  <c r="H184" i="2"/>
  <c r="P183" i="2"/>
  <c r="H183" i="2"/>
  <c r="P182" i="2"/>
  <c r="H182" i="2"/>
  <c r="P181" i="2"/>
  <c r="H181" i="2"/>
  <c r="P180" i="2"/>
  <c r="H180" i="2"/>
  <c r="P179" i="2"/>
  <c r="H179" i="2"/>
  <c r="P178" i="2"/>
  <c r="H178" i="2"/>
  <c r="P177" i="2"/>
  <c r="H177" i="2"/>
  <c r="P176" i="2"/>
  <c r="H176" i="2"/>
  <c r="P175" i="2"/>
  <c r="H175" i="2"/>
  <c r="P174" i="2"/>
  <c r="H174" i="2"/>
  <c r="P173" i="2"/>
  <c r="H173" i="2"/>
  <c r="P172" i="2"/>
  <c r="H172" i="2"/>
  <c r="P171" i="2"/>
  <c r="H171" i="2"/>
  <c r="P170" i="2"/>
  <c r="H170" i="2"/>
  <c r="P169" i="2"/>
  <c r="H169" i="2"/>
  <c r="P168" i="2"/>
  <c r="H168" i="2"/>
  <c r="P167" i="2"/>
  <c r="H167" i="2"/>
  <c r="P166" i="2"/>
  <c r="H166" i="2"/>
  <c r="P165" i="2"/>
  <c r="H165" i="2"/>
  <c r="P164" i="2"/>
  <c r="H164" i="2"/>
  <c r="P163" i="2"/>
  <c r="H163" i="2"/>
  <c r="P162" i="2"/>
  <c r="H162" i="2"/>
  <c r="P161" i="2"/>
  <c r="H161" i="2"/>
  <c r="P160" i="2"/>
  <c r="H160" i="2"/>
  <c r="P159" i="2"/>
  <c r="H159" i="2"/>
  <c r="P158" i="2"/>
  <c r="H158" i="2"/>
  <c r="P157" i="2"/>
  <c r="H157" i="2"/>
  <c r="P156" i="2"/>
  <c r="H156" i="2"/>
  <c r="P155" i="2"/>
  <c r="H155" i="2"/>
  <c r="P154" i="2"/>
  <c r="H154" i="2"/>
  <c r="P153" i="2"/>
  <c r="H153" i="2"/>
  <c r="P152" i="2"/>
  <c r="H152" i="2"/>
  <c r="P151" i="2"/>
  <c r="H151" i="2"/>
  <c r="P150" i="2"/>
  <c r="H150" i="2"/>
  <c r="P149" i="2"/>
  <c r="H149" i="2"/>
  <c r="P148" i="2"/>
  <c r="H148" i="2"/>
  <c r="P147" i="2"/>
  <c r="H147" i="2"/>
  <c r="P146" i="2"/>
  <c r="H146" i="2"/>
  <c r="P145" i="2"/>
  <c r="H145" i="2"/>
  <c r="P144" i="2"/>
  <c r="H144" i="2"/>
  <c r="P143" i="2"/>
  <c r="H143" i="2"/>
  <c r="P142" i="2"/>
  <c r="H142" i="2"/>
  <c r="P141" i="2"/>
  <c r="H141" i="2"/>
  <c r="P140" i="2"/>
  <c r="H140" i="2"/>
  <c r="P139" i="2"/>
  <c r="H139" i="2"/>
  <c r="P138" i="2"/>
  <c r="H138" i="2"/>
  <c r="P137" i="2"/>
  <c r="H137" i="2"/>
  <c r="P136" i="2"/>
  <c r="H136" i="2"/>
  <c r="P135" i="2"/>
  <c r="H135" i="2"/>
  <c r="P134" i="2"/>
  <c r="H134" i="2"/>
  <c r="P133" i="2"/>
  <c r="H133" i="2"/>
  <c r="P132" i="2"/>
  <c r="H132" i="2"/>
  <c r="P131" i="2"/>
  <c r="H131" i="2"/>
  <c r="P130" i="2"/>
  <c r="H130" i="2"/>
  <c r="P129" i="2"/>
  <c r="H129" i="2"/>
  <c r="P128" i="2"/>
  <c r="H128" i="2"/>
  <c r="P127" i="2"/>
  <c r="H127" i="2"/>
  <c r="P126" i="2"/>
  <c r="H126" i="2"/>
  <c r="P125" i="2"/>
  <c r="H125" i="2"/>
  <c r="P124" i="2"/>
  <c r="H124" i="2"/>
  <c r="P123" i="2"/>
  <c r="H123" i="2"/>
  <c r="P122" i="2"/>
  <c r="H122" i="2"/>
  <c r="P121" i="2"/>
  <c r="H121" i="2"/>
  <c r="P120" i="2"/>
  <c r="H120" i="2"/>
  <c r="P119" i="2"/>
  <c r="H119" i="2"/>
  <c r="P118" i="2"/>
  <c r="H118" i="2"/>
  <c r="P117" i="2"/>
  <c r="H117" i="2"/>
  <c r="P116" i="2"/>
  <c r="H116" i="2"/>
  <c r="P115" i="2"/>
  <c r="H115" i="2"/>
  <c r="P114" i="2"/>
  <c r="H114" i="2"/>
  <c r="P113" i="2"/>
  <c r="H113" i="2"/>
  <c r="P112" i="2"/>
  <c r="H112" i="2"/>
  <c r="P111" i="2"/>
  <c r="H111" i="2"/>
  <c r="P110" i="2"/>
  <c r="H110" i="2"/>
  <c r="P109" i="2"/>
  <c r="H109" i="2"/>
  <c r="P108" i="2"/>
  <c r="H108" i="2"/>
  <c r="P107" i="2"/>
  <c r="H107" i="2"/>
  <c r="P106" i="2"/>
  <c r="H106" i="2"/>
  <c r="P105" i="2"/>
  <c r="H105" i="2"/>
  <c r="P104" i="2"/>
  <c r="H104" i="2"/>
  <c r="P103" i="2"/>
  <c r="H103" i="2"/>
  <c r="P102" i="2"/>
  <c r="H102" i="2"/>
  <c r="P101" i="2"/>
  <c r="H101" i="2"/>
  <c r="P100" i="2"/>
  <c r="H100" i="2"/>
  <c r="P99" i="2"/>
  <c r="H99" i="2"/>
  <c r="P98" i="2"/>
  <c r="H98" i="2"/>
  <c r="P97" i="2"/>
  <c r="H97" i="2"/>
  <c r="P96" i="2"/>
  <c r="H96" i="2"/>
  <c r="P95" i="2"/>
  <c r="H95" i="2"/>
  <c r="P94" i="2"/>
  <c r="H94" i="2"/>
  <c r="P93" i="2"/>
  <c r="H93" i="2"/>
  <c r="P92" i="2"/>
  <c r="H92" i="2"/>
  <c r="P91" i="2"/>
  <c r="H91" i="2"/>
  <c r="P90" i="2"/>
  <c r="H90" i="2"/>
  <c r="P89" i="2"/>
  <c r="H89" i="2"/>
  <c r="P88" i="2"/>
  <c r="H88" i="2"/>
  <c r="P87" i="2"/>
  <c r="H87" i="2"/>
  <c r="P86" i="2"/>
  <c r="H86" i="2"/>
  <c r="P85" i="2"/>
  <c r="H85" i="2"/>
  <c r="P84" i="2"/>
  <c r="H84" i="2"/>
  <c r="P83" i="2"/>
  <c r="H83" i="2"/>
  <c r="P82" i="2"/>
  <c r="H82" i="2"/>
  <c r="P81" i="2"/>
  <c r="H81" i="2"/>
  <c r="P80" i="2"/>
  <c r="H80" i="2"/>
  <c r="P79" i="2"/>
  <c r="H79" i="2"/>
  <c r="P78" i="2"/>
  <c r="H78" i="2"/>
  <c r="P77" i="2"/>
  <c r="H77" i="2"/>
  <c r="P76" i="2"/>
  <c r="H76" i="2"/>
  <c r="P75" i="2"/>
  <c r="H75" i="2"/>
  <c r="P74" i="2"/>
  <c r="H74" i="2"/>
  <c r="P73" i="2"/>
  <c r="H73" i="2"/>
  <c r="P72" i="2"/>
  <c r="H72" i="2"/>
  <c r="P71" i="2"/>
  <c r="H71" i="2"/>
  <c r="P70" i="2"/>
  <c r="H70" i="2"/>
  <c r="P69" i="2"/>
  <c r="H69" i="2"/>
  <c r="P68" i="2"/>
  <c r="H68" i="2"/>
  <c r="P67" i="2"/>
  <c r="H67" i="2"/>
  <c r="P66" i="2"/>
  <c r="H66" i="2"/>
  <c r="P65" i="2"/>
  <c r="H65" i="2"/>
  <c r="P64" i="2"/>
  <c r="H64" i="2"/>
  <c r="P63" i="2"/>
  <c r="H63" i="2"/>
  <c r="P62" i="2"/>
  <c r="H62" i="2"/>
  <c r="P61" i="2"/>
  <c r="H61" i="2"/>
  <c r="P60" i="2"/>
  <c r="H60" i="2"/>
  <c r="P59" i="2"/>
  <c r="H59" i="2"/>
  <c r="P58" i="2"/>
  <c r="H58" i="2"/>
  <c r="P57" i="2"/>
  <c r="H57" i="2"/>
  <c r="P56" i="2"/>
  <c r="H56" i="2"/>
  <c r="P55" i="2"/>
  <c r="H55" i="2"/>
  <c r="P54" i="2"/>
  <c r="H54" i="2"/>
  <c r="P53" i="2"/>
  <c r="H53" i="2"/>
  <c r="P52" i="2"/>
  <c r="H52" i="2"/>
  <c r="P51" i="2"/>
  <c r="H51" i="2"/>
  <c r="P50" i="2"/>
  <c r="H50" i="2"/>
  <c r="P49" i="2"/>
  <c r="H49" i="2"/>
  <c r="P48" i="2"/>
  <c r="H48" i="2"/>
  <c r="P47" i="2"/>
  <c r="H47" i="2"/>
  <c r="P46" i="2"/>
  <c r="H46" i="2"/>
  <c r="P45" i="2"/>
  <c r="H45" i="2"/>
  <c r="P44" i="2"/>
  <c r="H44" i="2"/>
  <c r="P43" i="2"/>
  <c r="H43" i="2"/>
  <c r="P42" i="2"/>
  <c r="H42" i="2"/>
  <c r="P41" i="2"/>
  <c r="H41" i="2"/>
  <c r="P40" i="2"/>
  <c r="H40" i="2"/>
  <c r="P39" i="2"/>
  <c r="H39" i="2"/>
  <c r="P38" i="2"/>
  <c r="H38" i="2"/>
  <c r="P37" i="2"/>
  <c r="H37" i="2"/>
  <c r="P36" i="2"/>
  <c r="H36" i="2"/>
  <c r="P35" i="2"/>
  <c r="H35" i="2"/>
  <c r="P34" i="2"/>
  <c r="H34" i="2"/>
  <c r="P33" i="2"/>
  <c r="H33" i="2"/>
  <c r="P32" i="2"/>
  <c r="H32" i="2"/>
  <c r="P31" i="2"/>
  <c r="H31" i="2"/>
  <c r="P30" i="2"/>
  <c r="H30" i="2"/>
  <c r="P29" i="2"/>
  <c r="H29" i="2"/>
  <c r="P28" i="2"/>
  <c r="H28" i="2"/>
  <c r="P27" i="2"/>
  <c r="H27" i="2"/>
  <c r="P26" i="2"/>
  <c r="H26" i="2"/>
  <c r="P25" i="2"/>
  <c r="H25" i="2"/>
  <c r="P24" i="2"/>
  <c r="H24" i="2"/>
  <c r="P23" i="2"/>
  <c r="H23" i="2"/>
  <c r="P22" i="2"/>
  <c r="H22" i="2"/>
  <c r="P21" i="2"/>
  <c r="H21" i="2"/>
  <c r="P20" i="2"/>
  <c r="H20" i="2"/>
  <c r="P19" i="2"/>
  <c r="H19" i="2"/>
  <c r="P18" i="2"/>
  <c r="H18" i="2"/>
  <c r="P17" i="2"/>
  <c r="H17" i="2"/>
  <c r="P16" i="2"/>
  <c r="H16" i="2"/>
  <c r="P15" i="2"/>
  <c r="H15" i="2"/>
  <c r="P14" i="2"/>
  <c r="H14" i="2"/>
  <c r="P13" i="2"/>
  <c r="H13" i="2"/>
  <c r="P12" i="2"/>
  <c r="H12" i="2"/>
  <c r="P11" i="2"/>
  <c r="H11" i="2"/>
  <c r="P10" i="2"/>
  <c r="H10" i="2"/>
  <c r="P9" i="2"/>
  <c r="H9" i="2"/>
  <c r="P8" i="2"/>
  <c r="H8" i="2"/>
  <c r="P7" i="2"/>
  <c r="H7" i="2"/>
  <c r="P6" i="2"/>
  <c r="H6" i="2"/>
  <c r="P5" i="2"/>
  <c r="H5" i="2"/>
  <c r="P4" i="2"/>
  <c r="H4" i="2"/>
  <c r="Q3" i="2" a="1"/>
  <c r="P3" i="2"/>
  <c r="M1040" i="2"/>
  <c r="M1037" i="2"/>
  <c r="M1036" i="2"/>
  <c r="M1034" i="2"/>
  <c r="M1033" i="2"/>
  <c r="M1027" i="2"/>
  <c r="M1024" i="2"/>
  <c r="M1022" i="2"/>
  <c r="M1019" i="2"/>
  <c r="M1018" i="2"/>
  <c r="M1009" i="2"/>
  <c r="M1006" i="2"/>
  <c r="M1004" i="2"/>
  <c r="M1001" i="2"/>
  <c r="M1000" i="2"/>
  <c r="M998" i="2"/>
  <c r="M988" i="2"/>
  <c r="M986" i="2"/>
  <c r="M983" i="2"/>
  <c r="M982" i="2"/>
  <c r="M979" i="2"/>
  <c r="M973" i="2"/>
  <c r="M962" i="2"/>
  <c r="M961" i="2"/>
  <c r="M959" i="2"/>
  <c r="M958" i="2"/>
  <c r="M956" i="2"/>
  <c r="M955" i="2"/>
  <c r="M952" i="2"/>
  <c r="M950" i="2"/>
  <c r="M947" i="2"/>
  <c r="M946" i="2"/>
  <c r="M934" i="2"/>
  <c r="M932" i="2"/>
  <c r="M929" i="2"/>
  <c r="M928" i="2"/>
  <c r="M926" i="2"/>
  <c r="M911" i="2"/>
  <c r="M910" i="2"/>
  <c r="M907" i="2"/>
  <c r="M905" i="2"/>
  <c r="M904" i="2"/>
  <c r="M902" i="2"/>
  <c r="M901" i="2"/>
  <c r="M898" i="2"/>
  <c r="M896" i="2"/>
  <c r="M893" i="2"/>
  <c r="M892" i="2"/>
  <c r="M883" i="2"/>
  <c r="M871" i="2"/>
  <c r="M869" i="2"/>
  <c r="M868" i="2"/>
  <c r="M866" i="2"/>
  <c r="M857" i="2"/>
  <c r="M856" i="2"/>
  <c r="M854" i="2"/>
  <c r="M853" i="2"/>
  <c r="M851" i="2"/>
  <c r="M850" i="2"/>
  <c r="M848" i="2"/>
  <c r="M847" i="2"/>
  <c r="M844" i="2"/>
  <c r="M842" i="2"/>
  <c r="M839" i="2"/>
  <c r="M820" i="2"/>
  <c r="M818" i="2"/>
  <c r="M817" i="2"/>
  <c r="M815" i="2"/>
  <c r="M814" i="2"/>
  <c r="M806" i="2"/>
  <c r="M803" i="2"/>
  <c r="M802" i="2"/>
  <c r="M799" i="2"/>
  <c r="M797" i="2"/>
  <c r="M796" i="2"/>
  <c r="M794" i="2"/>
  <c r="M793" i="2"/>
  <c r="M790" i="2"/>
  <c r="M782" i="2"/>
  <c r="M781" i="2"/>
  <c r="M770" i="2"/>
  <c r="M767" i="2"/>
  <c r="M766" i="2"/>
  <c r="M763" i="2"/>
  <c r="M761" i="2"/>
  <c r="M754" i="2"/>
  <c r="M752" i="2"/>
  <c r="M749" i="2"/>
  <c r="M748" i="2"/>
  <c r="M746" i="2"/>
  <c r="M745" i="2"/>
  <c r="M739" i="2"/>
  <c r="M736" i="2"/>
  <c r="M734" i="2"/>
  <c r="M731" i="2"/>
  <c r="M730" i="2"/>
  <c r="M718" i="2"/>
  <c r="M716" i="2"/>
  <c r="M713" i="2"/>
  <c r="M712" i="2"/>
  <c r="M710" i="2"/>
  <c r="M704" i="2"/>
  <c r="M703" i="2"/>
  <c r="M700" i="2"/>
  <c r="M691" i="2"/>
  <c r="M689" i="2"/>
  <c r="M688" i="2"/>
  <c r="M686" i="2"/>
  <c r="M685" i="2"/>
  <c r="M682" i="2"/>
  <c r="M680" i="2"/>
  <c r="M677" i="2"/>
  <c r="M668" i="2"/>
  <c r="M667" i="2"/>
  <c r="M664" i="2"/>
  <c r="M662" i="2"/>
  <c r="M659" i="2"/>
  <c r="M646" i="2"/>
  <c r="M644" i="2"/>
  <c r="M641" i="2"/>
  <c r="M640" i="2"/>
  <c r="M638" i="2"/>
  <c r="M637" i="2"/>
  <c r="M635" i="2"/>
  <c r="M634" i="2"/>
  <c r="M632" i="2"/>
  <c r="M631" i="2"/>
  <c r="M628" i="2"/>
  <c r="M616" i="2"/>
  <c r="M614" i="2"/>
  <c r="M613" i="2"/>
  <c r="M610" i="2"/>
  <c r="M608" i="2"/>
  <c r="M598" i="2"/>
  <c r="M596" i="2"/>
  <c r="M595" i="2"/>
  <c r="M592" i="2"/>
  <c r="M590" i="2"/>
  <c r="M587" i="2"/>
  <c r="M586" i="2"/>
  <c r="M583" i="2"/>
  <c r="M581" i="2"/>
  <c r="M580" i="2"/>
  <c r="M578" i="2"/>
  <c r="M568" i="2"/>
  <c r="M566" i="2"/>
  <c r="M560" i="2"/>
  <c r="M559" i="2"/>
  <c r="M556" i="2"/>
  <c r="M547" i="2"/>
  <c r="M545" i="2"/>
  <c r="M544" i="2"/>
  <c r="M542" i="2"/>
  <c r="M541" i="2"/>
  <c r="M538" i="2"/>
  <c r="M536" i="2"/>
  <c r="M535" i="2"/>
  <c r="M533" i="2"/>
  <c r="M532" i="2"/>
  <c r="M530" i="2"/>
  <c r="M514" i="2"/>
  <c r="M511" i="2"/>
  <c r="M509" i="2"/>
  <c r="M508" i="2"/>
  <c r="M506" i="2"/>
  <c r="M499" i="2"/>
  <c r="M497" i="2"/>
  <c r="M496" i="2"/>
  <c r="M494" i="2"/>
  <c r="M493" i="2"/>
  <c r="M491" i="2"/>
  <c r="M490" i="2"/>
  <c r="M488" i="2"/>
  <c r="M487" i="2"/>
  <c r="M484" i="2"/>
  <c r="M482" i="2"/>
  <c r="M464" i="2"/>
  <c r="M463" i="2"/>
  <c r="M461" i="2"/>
  <c r="M460" i="2"/>
  <c r="M458" i="2"/>
  <c r="M452" i="2"/>
  <c r="M451" i="2"/>
  <c r="M448" i="2"/>
  <c r="M446" i="2"/>
  <c r="M443" i="2"/>
  <c r="M442" i="2"/>
  <c r="M439" i="2"/>
  <c r="M437" i="2"/>
  <c r="M436" i="2"/>
  <c r="M428" i="2"/>
  <c r="M427" i="2"/>
  <c r="M418" i="2"/>
  <c r="M416" i="2"/>
  <c r="M415" i="2"/>
  <c r="M412" i="2"/>
  <c r="M410" i="2"/>
  <c r="M401" i="2"/>
  <c r="M400" i="2"/>
  <c r="M398" i="2"/>
  <c r="M397" i="2"/>
  <c r="M394" i="2"/>
  <c r="M392" i="2"/>
  <c r="M386" i="2"/>
  <c r="M385" i="2"/>
  <c r="M383" i="2"/>
  <c r="M382" i="2"/>
  <c r="M380" i="2"/>
  <c r="M367" i="2"/>
  <c r="M365" i="2"/>
  <c r="M364" i="2"/>
  <c r="M362" i="2"/>
  <c r="M361" i="2"/>
  <c r="M353" i="2"/>
  <c r="M352" i="2"/>
  <c r="M350" i="2"/>
  <c r="M346" i="2"/>
  <c r="M344" i="2"/>
  <c r="M343" i="2"/>
  <c r="M340" i="2"/>
  <c r="M338" i="2"/>
  <c r="M335" i="2"/>
  <c r="M334" i="2"/>
  <c r="M331" i="2"/>
  <c r="M320" i="2"/>
  <c r="M319" i="2"/>
  <c r="M317" i="2"/>
  <c r="M316" i="2"/>
  <c r="M314" i="2"/>
  <c r="M308" i="2"/>
  <c r="M302" i="2"/>
  <c r="M299" i="2"/>
  <c r="M298" i="2"/>
  <c r="M295" i="2"/>
  <c r="M293" i="2"/>
  <c r="M292" i="2"/>
  <c r="M290" i="2"/>
  <c r="M289" i="2"/>
  <c r="M286" i="2"/>
  <c r="M284" i="2"/>
  <c r="M275" i="2"/>
  <c r="M274" i="2"/>
  <c r="M272" i="2"/>
  <c r="M271" i="2"/>
  <c r="M268" i="2"/>
  <c r="M256" i="2"/>
  <c r="M254" i="2"/>
  <c r="M253" i="2"/>
  <c r="M250" i="2"/>
  <c r="M248" i="2"/>
  <c r="M247" i="2"/>
  <c r="M245" i="2"/>
  <c r="M244" i="2"/>
  <c r="M242" i="2"/>
  <c r="M241" i="2"/>
  <c r="M239" i="2"/>
  <c r="M227" i="2"/>
  <c r="M226" i="2"/>
  <c r="M223" i="2"/>
  <c r="M221" i="2"/>
  <c r="M220" i="2"/>
  <c r="M209" i="2"/>
  <c r="M208" i="2"/>
  <c r="M206" i="2"/>
  <c r="M205" i="2"/>
  <c r="M203" i="2"/>
  <c r="M202" i="2"/>
  <c r="M200" i="2"/>
  <c r="M199" i="2"/>
  <c r="M196" i="2"/>
  <c r="M194" i="2"/>
  <c r="M191" i="2"/>
  <c r="M181" i="2"/>
  <c r="M178" i="2"/>
  <c r="M176" i="2"/>
  <c r="M172" i="2"/>
  <c r="M170" i="2"/>
  <c r="M164" i="2"/>
  <c r="M163" i="2"/>
  <c r="M160" i="2"/>
  <c r="M158" i="2"/>
  <c r="M155" i="2"/>
  <c r="M154" i="2"/>
  <c r="M151" i="2"/>
  <c r="M149" i="2"/>
  <c r="M148" i="2"/>
  <c r="M146" i="2"/>
  <c r="M145" i="2"/>
  <c r="M134" i="2"/>
  <c r="M130" i="2"/>
  <c r="M128" i="2"/>
  <c r="M127" i="2"/>
  <c r="M124" i="2"/>
  <c r="M115" i="2"/>
  <c r="M113" i="2"/>
  <c r="M112" i="2"/>
  <c r="M110" i="2"/>
  <c r="M109" i="2"/>
  <c r="M106" i="2"/>
  <c r="M104" i="2"/>
  <c r="M103" i="2"/>
  <c r="M101" i="2"/>
  <c r="M100" i="2"/>
  <c r="M98" i="2"/>
  <c r="M83" i="2"/>
  <c r="M82" i="2"/>
  <c r="M79" i="2"/>
  <c r="M77" i="2"/>
  <c r="M76" i="2"/>
  <c r="M68" i="2"/>
  <c r="M67" i="2"/>
  <c r="M65" i="2"/>
  <c r="M64" i="2"/>
  <c r="M62" i="2"/>
  <c r="M61" i="2"/>
  <c r="M59" i="2"/>
  <c r="M58" i="2"/>
  <c r="M56" i="2"/>
  <c r="M55" i="2"/>
  <c r="M52" i="2"/>
  <c r="M42" i="2"/>
  <c r="M40" i="2"/>
  <c r="M38" i="2"/>
  <c r="M37" i="2"/>
  <c r="M36" i="2"/>
  <c r="M32" i="2"/>
  <c r="M31" i="2"/>
  <c r="M30" i="2"/>
  <c r="M29" i="2"/>
  <c r="M27" i="2"/>
  <c r="M26" i="2"/>
  <c r="M24" i="2"/>
  <c r="M23" i="2"/>
  <c r="M21" i="2"/>
  <c r="M20" i="2"/>
  <c r="M19" i="2"/>
  <c r="M10" i="2"/>
  <c r="M9" i="2"/>
  <c r="M8" i="2"/>
  <c r="M7" i="2"/>
  <c r="M6" i="2"/>
  <c r="M3" i="2" a="1"/>
  <c r="M1028" i="2" s="1"/>
  <c r="L1045" i="2"/>
  <c r="L1044" i="2"/>
  <c r="L1042" i="2"/>
  <c r="L1041" i="2"/>
  <c r="L1040" i="2"/>
  <c r="L1039" i="2"/>
  <c r="L1038" i="2"/>
  <c r="L1036" i="2"/>
  <c r="L1035" i="2"/>
  <c r="L1032" i="2"/>
  <c r="L1031" i="2"/>
  <c r="L1024" i="2"/>
  <c r="L1023" i="2"/>
  <c r="L1021" i="2"/>
  <c r="L1020" i="2"/>
  <c r="L1018" i="2"/>
  <c r="L1016" i="2"/>
  <c r="L1015" i="2"/>
  <c r="L1014" i="2"/>
  <c r="L1012" i="2"/>
  <c r="L1011" i="2"/>
  <c r="L1010" i="2"/>
  <c r="L1009" i="2"/>
  <c r="L1008" i="2"/>
  <c r="L1007" i="2"/>
  <c r="L1004" i="2"/>
  <c r="L1003" i="2"/>
  <c r="L1002" i="2"/>
  <c r="L1000" i="2"/>
  <c r="L992" i="2"/>
  <c r="L991" i="2"/>
  <c r="L990" i="2"/>
  <c r="L988" i="2"/>
  <c r="L987" i="2"/>
  <c r="L985" i="2"/>
  <c r="L984" i="2"/>
  <c r="L983" i="2"/>
  <c r="L982" i="2"/>
  <c r="L981" i="2"/>
  <c r="L980" i="2"/>
  <c r="L979" i="2"/>
  <c r="L975" i="2"/>
  <c r="L973" i="2"/>
  <c r="L972" i="2"/>
  <c r="L970" i="2"/>
  <c r="L969" i="2"/>
  <c r="L968" i="2"/>
  <c r="L961" i="2"/>
  <c r="L960" i="2"/>
  <c r="L959" i="2"/>
  <c r="L958" i="2"/>
  <c r="L957" i="2"/>
  <c r="L955" i="2"/>
  <c r="L954" i="2"/>
  <c r="L952" i="2"/>
  <c r="L951" i="2"/>
  <c r="L949" i="2"/>
  <c r="L945" i="2"/>
  <c r="L944" i="2"/>
  <c r="L943" i="2"/>
  <c r="L942" i="2"/>
  <c r="L940" i="2"/>
  <c r="L939" i="2"/>
  <c r="L938" i="2"/>
  <c r="L937" i="2"/>
  <c r="L931" i="2"/>
  <c r="L930" i="2"/>
  <c r="L928" i="2"/>
  <c r="L927" i="2"/>
  <c r="L925" i="2"/>
  <c r="L922" i="2"/>
  <c r="L921" i="2"/>
  <c r="L920" i="2"/>
  <c r="L916" i="2"/>
  <c r="L915" i="2"/>
  <c r="L914" i="2"/>
  <c r="L913" i="2"/>
  <c r="L912" i="2"/>
  <c r="L911" i="2"/>
  <c r="L910" i="2"/>
  <c r="L909" i="2"/>
  <c r="L908" i="2"/>
  <c r="L907" i="2"/>
  <c r="L898" i="2"/>
  <c r="L897" i="2"/>
  <c r="L896" i="2"/>
  <c r="L895" i="2"/>
  <c r="L894" i="2"/>
  <c r="L891" i="2"/>
  <c r="L888" i="2"/>
  <c r="L887" i="2"/>
  <c r="L886" i="2"/>
  <c r="L885" i="2"/>
  <c r="L884" i="2"/>
  <c r="L883" i="2"/>
  <c r="L882" i="2"/>
  <c r="L880" i="2"/>
  <c r="L879" i="2"/>
  <c r="L877" i="2"/>
  <c r="L876" i="2"/>
  <c r="L874" i="2"/>
  <c r="L867" i="2"/>
  <c r="L866" i="2"/>
  <c r="L865" i="2"/>
  <c r="L864" i="2"/>
  <c r="L863" i="2"/>
  <c r="L859" i="2"/>
  <c r="L858" i="2"/>
  <c r="L856" i="2"/>
  <c r="L855" i="2"/>
  <c r="L853" i="2"/>
  <c r="L852" i="2"/>
  <c r="L850" i="2"/>
  <c r="L849" i="2"/>
  <c r="L848" i="2"/>
  <c r="L847" i="2"/>
  <c r="L846" i="2"/>
  <c r="L844" i="2"/>
  <c r="L843" i="2"/>
  <c r="L837" i="2"/>
  <c r="L836" i="2"/>
  <c r="L835" i="2"/>
  <c r="L831" i="2"/>
  <c r="L830" i="2"/>
  <c r="L828" i="2"/>
  <c r="L826" i="2"/>
  <c r="L825" i="2"/>
  <c r="L824" i="2"/>
  <c r="L823" i="2"/>
  <c r="L822" i="2"/>
  <c r="L820" i="2"/>
  <c r="L819" i="2"/>
  <c r="L818" i="2"/>
  <c r="L817" i="2"/>
  <c r="L816" i="2"/>
  <c r="L815" i="2"/>
  <c r="L814" i="2"/>
  <c r="L807" i="2"/>
  <c r="L804" i="2"/>
  <c r="L802" i="2"/>
  <c r="L801" i="2"/>
  <c r="L800" i="2"/>
  <c r="L798" i="2"/>
  <c r="L796" i="2"/>
  <c r="L795" i="2"/>
  <c r="L794" i="2"/>
  <c r="L793" i="2"/>
  <c r="L792" i="2"/>
  <c r="L791" i="2"/>
  <c r="L790" i="2"/>
  <c r="L789" i="2"/>
  <c r="L788" i="2"/>
  <c r="L787" i="2"/>
  <c r="L786" i="2"/>
  <c r="L784" i="2"/>
  <c r="L775" i="2"/>
  <c r="L774" i="2"/>
  <c r="L772" i="2"/>
  <c r="L771" i="2"/>
  <c r="L770" i="2"/>
  <c r="L768" i="2"/>
  <c r="L767" i="2"/>
  <c r="L766" i="2"/>
  <c r="L765" i="2"/>
  <c r="L764" i="2"/>
  <c r="L763" i="2"/>
  <c r="L762" i="2"/>
  <c r="L760" i="2"/>
  <c r="L759" i="2"/>
  <c r="L758" i="2"/>
  <c r="L757" i="2"/>
  <c r="L756" i="2"/>
  <c r="L754" i="2"/>
  <c r="L745" i="2"/>
  <c r="L744" i="2"/>
  <c r="L743" i="2"/>
  <c r="L742" i="2"/>
  <c r="L741" i="2"/>
  <c r="L739" i="2"/>
  <c r="L738" i="2"/>
  <c r="L736" i="2"/>
  <c r="L735" i="2"/>
  <c r="L734" i="2"/>
  <c r="L733" i="2"/>
  <c r="L732" i="2"/>
  <c r="L730" i="2"/>
  <c r="L729" i="2"/>
  <c r="L728" i="2"/>
  <c r="L727" i="2"/>
  <c r="L726" i="2"/>
  <c r="L724" i="2"/>
  <c r="L716" i="2"/>
  <c r="L715" i="2"/>
  <c r="L714" i="2"/>
  <c r="L712" i="2"/>
  <c r="L711" i="2"/>
  <c r="L709" i="2"/>
  <c r="L708" i="2"/>
  <c r="L706" i="2"/>
  <c r="L705" i="2"/>
  <c r="L704" i="2"/>
  <c r="L703" i="2"/>
  <c r="L702" i="2"/>
  <c r="L700" i="2"/>
  <c r="L699" i="2"/>
  <c r="L698" i="2"/>
  <c r="L697" i="2"/>
  <c r="L694" i="2"/>
  <c r="L693" i="2"/>
  <c r="L686" i="2"/>
  <c r="L685" i="2"/>
  <c r="L684" i="2"/>
  <c r="L682" i="2"/>
  <c r="L681" i="2"/>
  <c r="L679" i="2"/>
  <c r="L678" i="2"/>
  <c r="L676" i="2"/>
  <c r="L675" i="2"/>
  <c r="L674" i="2"/>
  <c r="L673" i="2"/>
  <c r="L672" i="2"/>
  <c r="L671" i="2"/>
  <c r="L670" i="2"/>
  <c r="L667" i="2"/>
  <c r="L666" i="2"/>
  <c r="L664" i="2"/>
  <c r="L663" i="2"/>
  <c r="L656" i="2"/>
  <c r="L655" i="2"/>
  <c r="L654" i="2"/>
  <c r="L652" i="2"/>
  <c r="L651" i="2"/>
  <c r="L649" i="2"/>
  <c r="L648" i="2"/>
  <c r="L647" i="2"/>
  <c r="L646" i="2"/>
  <c r="L645" i="2"/>
  <c r="L644" i="2"/>
  <c r="L643" i="2"/>
  <c r="L639" i="2"/>
  <c r="L638" i="2"/>
  <c r="L637" i="2"/>
  <c r="L636" i="2"/>
  <c r="L634" i="2"/>
  <c r="L633" i="2"/>
  <c r="L626" i="2"/>
  <c r="L625" i="2"/>
  <c r="L624" i="2"/>
  <c r="L623" i="2"/>
  <c r="L622" i="2"/>
  <c r="L620" i="2"/>
  <c r="L619" i="2"/>
  <c r="L618" i="2"/>
  <c r="L616" i="2"/>
  <c r="L615" i="2"/>
  <c r="L612" i="2"/>
  <c r="L610" i="2"/>
  <c r="L609" i="2"/>
  <c r="L608" i="2"/>
  <c r="L607" i="2"/>
  <c r="L606" i="2"/>
  <c r="L604" i="2"/>
  <c r="L603" i="2"/>
  <c r="L597" i="2"/>
  <c r="L596" i="2"/>
  <c r="L595" i="2"/>
  <c r="L594" i="2"/>
  <c r="L592" i="2"/>
  <c r="L590" i="2"/>
  <c r="L589" i="2"/>
  <c r="L588" i="2"/>
  <c r="L584" i="2"/>
  <c r="L583" i="2"/>
  <c r="L582" i="2"/>
  <c r="L580" i="2"/>
  <c r="L579" i="2"/>
  <c r="L578" i="2"/>
  <c r="L577" i="2"/>
  <c r="L576" i="2"/>
  <c r="L575" i="2"/>
  <c r="L574" i="2"/>
  <c r="L567" i="2"/>
  <c r="L566" i="2"/>
  <c r="L565" i="2"/>
  <c r="L564" i="2"/>
  <c r="L562" i="2"/>
  <c r="L560" i="2"/>
  <c r="L556" i="2"/>
  <c r="L555" i="2"/>
  <c r="L554" i="2"/>
  <c r="L553" i="2"/>
  <c r="L552" i="2"/>
  <c r="L551" i="2"/>
  <c r="L550" i="2"/>
  <c r="L549" i="2"/>
  <c r="L548" i="2"/>
  <c r="L547" i="2"/>
  <c r="L546" i="2"/>
  <c r="L544" i="2"/>
  <c r="L537" i="2"/>
  <c r="L536" i="2"/>
  <c r="L535" i="2"/>
  <c r="L534" i="2"/>
  <c r="L532" i="2"/>
  <c r="L528" i="2"/>
  <c r="L527" i="2"/>
  <c r="L526" i="2"/>
  <c r="L525" i="2"/>
  <c r="L524" i="2"/>
  <c r="L523" i="2"/>
  <c r="L522" i="2"/>
  <c r="L520" i="2"/>
  <c r="L519" i="2"/>
  <c r="L518" i="2"/>
  <c r="L517" i="2"/>
  <c r="L516" i="2"/>
  <c r="L514" i="2"/>
  <c r="L507" i="2"/>
  <c r="L506" i="2"/>
  <c r="L505" i="2"/>
  <c r="L502" i="2"/>
  <c r="L501" i="2"/>
  <c r="L499" i="2"/>
  <c r="L498" i="2"/>
  <c r="L496" i="2"/>
  <c r="L495" i="2"/>
  <c r="L494" i="2"/>
  <c r="L493" i="2"/>
  <c r="L492" i="2"/>
  <c r="L490" i="2"/>
  <c r="L489" i="2"/>
  <c r="L488" i="2"/>
  <c r="L487" i="2"/>
  <c r="L486" i="2"/>
  <c r="L485" i="2"/>
  <c r="L479" i="2"/>
  <c r="L476" i="2"/>
  <c r="L475" i="2"/>
  <c r="L474" i="2"/>
  <c r="L473" i="2"/>
  <c r="L471" i="2"/>
  <c r="L470" i="2"/>
  <c r="L469" i="2"/>
  <c r="L468" i="2"/>
  <c r="L466" i="2"/>
  <c r="L465" i="2"/>
  <c r="L464" i="2"/>
  <c r="L463" i="2"/>
  <c r="L462" i="2"/>
  <c r="L461" i="2"/>
  <c r="L460" i="2"/>
  <c r="L459" i="2"/>
  <c r="L458" i="2"/>
  <c r="L450" i="2"/>
  <c r="L449" i="2"/>
  <c r="L448" i="2"/>
  <c r="L447" i="2"/>
  <c r="L446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24" i="2"/>
  <c r="L423" i="2"/>
  <c r="L422" i="2"/>
  <c r="L421" i="2"/>
  <c r="L420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398" i="2"/>
  <c r="L397" i="2"/>
  <c r="L396" i="2"/>
  <c r="L395" i="2"/>
  <c r="L394" i="2"/>
  <c r="L392" i="2"/>
  <c r="L391" i="2"/>
  <c r="L390" i="2"/>
  <c r="L389" i="2"/>
  <c r="L388" i="2"/>
  <c r="L387" i="2"/>
  <c r="L386" i="2"/>
  <c r="L385" i="2"/>
  <c r="L384" i="2"/>
  <c r="L383" i="2"/>
  <c r="L382" i="2"/>
  <c r="L379" i="2"/>
  <c r="L378" i="2"/>
  <c r="L372" i="2"/>
  <c r="L371" i="2"/>
  <c r="L370" i="2"/>
  <c r="L369" i="2"/>
  <c r="L368" i="2"/>
  <c r="L366" i="2"/>
  <c r="L365" i="2"/>
  <c r="L364" i="2"/>
  <c r="L363" i="2"/>
  <c r="L362" i="2"/>
  <c r="L361" i="2"/>
  <c r="L360" i="2"/>
  <c r="L359" i="2"/>
  <c r="L358" i="2"/>
  <c r="L355" i="2"/>
  <c r="L354" i="2"/>
  <c r="L353" i="2"/>
  <c r="L352" i="2"/>
  <c r="L346" i="2"/>
  <c r="L345" i="2"/>
  <c r="L344" i="2"/>
  <c r="L343" i="2"/>
  <c r="L342" i="2"/>
  <c r="L340" i="2"/>
  <c r="L339" i="2"/>
  <c r="L338" i="2"/>
  <c r="L337" i="2"/>
  <c r="L336" i="2"/>
  <c r="L335" i="2"/>
  <c r="L334" i="2"/>
  <c r="L331" i="2"/>
  <c r="L330" i="2"/>
  <c r="L329" i="2"/>
  <c r="L328" i="2"/>
  <c r="L327" i="2"/>
  <c r="L326" i="2"/>
  <c r="L320" i="2"/>
  <c r="L319" i="2"/>
  <c r="L318" i="2"/>
  <c r="L317" i="2"/>
  <c r="L316" i="2"/>
  <c r="L314" i="2"/>
  <c r="L313" i="2"/>
  <c r="L312" i="2"/>
  <c r="L311" i="2"/>
  <c r="L310" i="2"/>
  <c r="L308" i="2"/>
  <c r="L307" i="2"/>
  <c r="L306" i="2"/>
  <c r="L305" i="2"/>
  <c r="L304" i="2"/>
  <c r="L303" i="2"/>
  <c r="L302" i="2"/>
  <c r="L301" i="2"/>
  <c r="L295" i="2"/>
  <c r="L294" i="2"/>
  <c r="L293" i="2"/>
  <c r="L292" i="2"/>
  <c r="L291" i="2"/>
  <c r="L290" i="2"/>
  <c r="L289" i="2"/>
  <c r="L288" i="2"/>
  <c r="L287" i="2"/>
  <c r="L286" i="2"/>
  <c r="L284" i="2"/>
  <c r="L283" i="2"/>
  <c r="L282" i="2"/>
  <c r="L281" i="2"/>
  <c r="L280" i="2"/>
  <c r="L279" i="2"/>
  <c r="L278" i="2"/>
  <c r="L277" i="2"/>
  <c r="L276" i="2"/>
  <c r="L270" i="2"/>
  <c r="L269" i="2"/>
  <c r="L268" i="2"/>
  <c r="L267" i="2"/>
  <c r="L266" i="2"/>
  <c r="L265" i="2"/>
  <c r="L264" i="2"/>
  <c r="L263" i="2"/>
  <c r="L262" i="2"/>
  <c r="L260" i="2"/>
  <c r="L259" i="2"/>
  <c r="L258" i="2"/>
  <c r="L257" i="2"/>
  <c r="L256" i="2"/>
  <c r="L255" i="2"/>
  <c r="L254" i="2"/>
  <c r="L253" i="2"/>
  <c r="L252" i="2"/>
  <c r="L251" i="2"/>
  <c r="L245" i="2"/>
  <c r="L244" i="2"/>
  <c r="L243" i="2"/>
  <c r="L242" i="2"/>
  <c r="L241" i="2"/>
  <c r="L240" i="2"/>
  <c r="L239" i="2"/>
  <c r="L238" i="2"/>
  <c r="L236" i="2"/>
  <c r="L235" i="2"/>
  <c r="L234" i="2"/>
  <c r="L233" i="2"/>
  <c r="L232" i="2"/>
  <c r="L231" i="2"/>
  <c r="L230" i="2"/>
  <c r="L229" i="2"/>
  <c r="L228" i="2"/>
  <c r="L227" i="2"/>
  <c r="L226" i="2"/>
  <c r="L220" i="2"/>
  <c r="L219" i="2"/>
  <c r="L218" i="2"/>
  <c r="L217" i="2"/>
  <c r="L216" i="2"/>
  <c r="L215" i="2"/>
  <c r="L214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195" i="2"/>
  <c r="L194" i="2"/>
  <c r="L193" i="2"/>
  <c r="L192" i="2"/>
  <c r="L191" i="2"/>
  <c r="L190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0" i="2"/>
  <c r="L169" i="2"/>
  <c r="L168" i="2"/>
  <c r="L167" i="2"/>
  <c r="L166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3" i="2" a="1"/>
  <c r="L1026" i="2" s="1"/>
  <c r="J1022" i="2"/>
  <c r="J1019" i="2"/>
  <c r="J986" i="2"/>
  <c r="J980" i="2"/>
  <c r="J952" i="2"/>
  <c r="J947" i="2"/>
  <c r="J919" i="2"/>
  <c r="J915" i="2"/>
  <c r="J886" i="2"/>
  <c r="J883" i="2"/>
  <c r="J855" i="2"/>
  <c r="J850" i="2"/>
  <c r="J821" i="2"/>
  <c r="J818" i="2"/>
  <c r="J790" i="2"/>
  <c r="J786" i="2"/>
  <c r="J758" i="2"/>
  <c r="J754" i="2"/>
  <c r="J725" i="2"/>
  <c r="J718" i="2"/>
  <c r="J690" i="2"/>
  <c r="J686" i="2"/>
  <c r="J658" i="2"/>
  <c r="J655" i="2"/>
  <c r="J626" i="2"/>
  <c r="J623" i="2"/>
  <c r="J595" i="2"/>
  <c r="J590" i="2"/>
  <c r="J561" i="2"/>
  <c r="J557" i="2"/>
  <c r="J529" i="2"/>
  <c r="J525" i="2"/>
  <c r="J497" i="2"/>
  <c r="J492" i="2"/>
  <c r="J464" i="2"/>
  <c r="J457" i="2"/>
  <c r="J429" i="2"/>
  <c r="J426" i="2"/>
  <c r="J398" i="2"/>
  <c r="J395" i="2"/>
  <c r="J367" i="2"/>
  <c r="J363" i="2"/>
  <c r="J334" i="2"/>
  <c r="J329" i="2"/>
  <c r="J301" i="2"/>
  <c r="J297" i="2"/>
  <c r="J268" i="2"/>
  <c r="J263" i="2"/>
  <c r="J234" i="2"/>
  <c r="J231" i="2"/>
  <c r="J203" i="2"/>
  <c r="J197" i="2"/>
  <c r="J169" i="2"/>
  <c r="J166" i="2"/>
  <c r="J138" i="2"/>
  <c r="J134" i="2"/>
  <c r="J106" i="2"/>
  <c r="J103" i="2"/>
  <c r="J74" i="2"/>
  <c r="J68" i="2"/>
  <c r="J40" i="2"/>
  <c r="J34" i="2"/>
  <c r="J5" i="2"/>
  <c r="J3" i="2" a="1"/>
  <c r="J1018" i="2" s="1"/>
  <c r="J3" i="2"/>
  <c r="I1046" i="2"/>
  <c r="I1045" i="2"/>
  <c r="I1044" i="2"/>
  <c r="I1043" i="2"/>
  <c r="I1042" i="2"/>
  <c r="I1041" i="2"/>
  <c r="I1040" i="2"/>
  <c r="I1039" i="2"/>
  <c r="I1038" i="2"/>
  <c r="I1035" i="2"/>
  <c r="I1034" i="2"/>
  <c r="I1033" i="2"/>
  <c r="I1032" i="2"/>
  <c r="I1029" i="2"/>
  <c r="I1028" i="2"/>
  <c r="I1026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09" i="2"/>
  <c r="I1008" i="2"/>
  <c r="I1007" i="2"/>
  <c r="I1005" i="2"/>
  <c r="I1004" i="2"/>
  <c r="I1002" i="2"/>
  <c r="I1000" i="2"/>
  <c r="I999" i="2"/>
  <c r="I998" i="2"/>
  <c r="I995" i="2"/>
  <c r="I994" i="2"/>
  <c r="I993" i="2"/>
  <c r="I992" i="2"/>
  <c r="I991" i="2"/>
  <c r="I990" i="2"/>
  <c r="I989" i="2"/>
  <c r="I988" i="2"/>
  <c r="I987" i="2"/>
  <c r="I986" i="2"/>
  <c r="I983" i="2"/>
  <c r="I982" i="2"/>
  <c r="I980" i="2"/>
  <c r="I978" i="2"/>
  <c r="I977" i="2"/>
  <c r="I976" i="2"/>
  <c r="I975" i="2"/>
  <c r="I974" i="2"/>
  <c r="I972" i="2"/>
  <c r="I971" i="2"/>
  <c r="I970" i="2"/>
  <c r="I967" i="2"/>
  <c r="I966" i="2"/>
  <c r="I965" i="2"/>
  <c r="I964" i="2"/>
  <c r="I963" i="2"/>
  <c r="I962" i="2"/>
  <c r="I961" i="2"/>
  <c r="I960" i="2"/>
  <c r="I957" i="2"/>
  <c r="I954" i="2"/>
  <c r="I953" i="2"/>
  <c r="I952" i="2"/>
  <c r="I951" i="2"/>
  <c r="I950" i="2"/>
  <c r="I949" i="2"/>
  <c r="I948" i="2"/>
  <c r="I947" i="2"/>
  <c r="I946" i="2"/>
  <c r="I944" i="2"/>
  <c r="I943" i="2"/>
  <c r="I942" i="2"/>
  <c r="I939" i="2"/>
  <c r="I938" i="2"/>
  <c r="I937" i="2"/>
  <c r="I936" i="2"/>
  <c r="I935" i="2"/>
  <c r="I934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6" i="2"/>
  <c r="I915" i="2"/>
  <c r="I914" i="2"/>
  <c r="I911" i="2"/>
  <c r="I910" i="2"/>
  <c r="I909" i="2"/>
  <c r="I908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8" i="2"/>
  <c r="I887" i="2"/>
  <c r="I886" i="2"/>
  <c r="I882" i="2"/>
  <c r="I881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1" i="2"/>
  <c r="I860" i="2"/>
  <c r="I858" i="2"/>
  <c r="I854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3" i="2"/>
  <c r="I832" i="2"/>
  <c r="I831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0" i="2"/>
  <c r="I809" i="2"/>
  <c r="I808" i="2"/>
  <c r="I806" i="2"/>
  <c r="I804" i="2"/>
  <c r="I803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6" i="2"/>
  <c r="I785" i="2"/>
  <c r="I784" i="2"/>
  <c r="I783" i="2"/>
  <c r="I782" i="2"/>
  <c r="I781" i="2"/>
  <c r="I778" i="2"/>
  <c r="I777" i="2"/>
  <c r="I776" i="2"/>
  <c r="I772" i="2"/>
  <c r="I771" i="2"/>
  <c r="I770" i="2"/>
  <c r="I769" i="2"/>
  <c r="I768" i="2"/>
  <c r="I767" i="2"/>
  <c r="I766" i="2"/>
  <c r="I765" i="2"/>
  <c r="I764" i="2"/>
  <c r="I762" i="2"/>
  <c r="I761" i="2"/>
  <c r="I760" i="2"/>
  <c r="I759" i="2"/>
  <c r="I758" i="2"/>
  <c r="I757" i="2"/>
  <c r="I756" i="2"/>
  <c r="I754" i="2"/>
  <c r="I753" i="2"/>
  <c r="I751" i="2"/>
  <c r="I750" i="2"/>
  <c r="I748" i="2"/>
  <c r="I745" i="2"/>
  <c r="I744" i="2"/>
  <c r="I743" i="2"/>
  <c r="I742" i="2"/>
  <c r="I741" i="2"/>
  <c r="I740" i="2"/>
  <c r="I738" i="2"/>
  <c r="I737" i="2"/>
  <c r="I736" i="2"/>
  <c r="I735" i="2"/>
  <c r="I734" i="2"/>
  <c r="I733" i="2"/>
  <c r="I732" i="2"/>
  <c r="I731" i="2"/>
  <c r="I729" i="2"/>
  <c r="I728" i="2"/>
  <c r="I727" i="2"/>
  <c r="I726" i="2"/>
  <c r="I724" i="2"/>
  <c r="I722" i="2"/>
  <c r="I721" i="2"/>
  <c r="I718" i="2"/>
  <c r="I717" i="2"/>
  <c r="I716" i="2"/>
  <c r="I714" i="2"/>
  <c r="I713" i="2"/>
  <c r="I712" i="2"/>
  <c r="I711" i="2"/>
  <c r="I710" i="2"/>
  <c r="I709" i="2"/>
  <c r="I708" i="2"/>
  <c r="I707" i="2"/>
  <c r="I706" i="2"/>
  <c r="I704" i="2"/>
  <c r="I703" i="2"/>
  <c r="I702" i="2"/>
  <c r="I701" i="2"/>
  <c r="I700" i="2"/>
  <c r="I699" i="2"/>
  <c r="I696" i="2"/>
  <c r="I695" i="2"/>
  <c r="I694" i="2"/>
  <c r="I690" i="2"/>
  <c r="I689" i="2"/>
  <c r="I688" i="2"/>
  <c r="I687" i="2"/>
  <c r="I686" i="2"/>
  <c r="I685" i="2"/>
  <c r="I684" i="2"/>
  <c r="I683" i="2"/>
  <c r="I682" i="2"/>
  <c r="I681" i="2"/>
  <c r="I679" i="2"/>
  <c r="I678" i="2"/>
  <c r="I677" i="2"/>
  <c r="I676" i="2"/>
  <c r="I675" i="2"/>
  <c r="I674" i="2"/>
  <c r="I673" i="2"/>
  <c r="I672" i="2"/>
  <c r="I669" i="2"/>
  <c r="I668" i="2"/>
  <c r="I666" i="2"/>
  <c r="I663" i="2"/>
  <c r="I662" i="2"/>
  <c r="I661" i="2"/>
  <c r="I660" i="2"/>
  <c r="I659" i="2"/>
  <c r="I658" i="2"/>
  <c r="I657" i="2"/>
  <c r="I656" i="2"/>
  <c r="I654" i="2"/>
  <c r="I653" i="2"/>
  <c r="I652" i="2"/>
  <c r="I651" i="2"/>
  <c r="I650" i="2"/>
  <c r="I649" i="2"/>
  <c r="I648" i="2"/>
  <c r="I647" i="2"/>
  <c r="I646" i="2"/>
  <c r="I644" i="2"/>
  <c r="I641" i="2"/>
  <c r="I640" i="2"/>
  <c r="I639" i="2"/>
  <c r="I636" i="2"/>
  <c r="I635" i="2"/>
  <c r="I634" i="2"/>
  <c r="I633" i="2"/>
  <c r="I632" i="2"/>
  <c r="I631" i="2"/>
  <c r="I629" i="2"/>
  <c r="I628" i="2"/>
  <c r="I627" i="2"/>
  <c r="I626" i="2"/>
  <c r="I625" i="2"/>
  <c r="I624" i="2"/>
  <c r="I623" i="2"/>
  <c r="I622" i="2"/>
  <c r="I621" i="2"/>
  <c r="I620" i="2"/>
  <c r="I617" i="2"/>
  <c r="I616" i="2"/>
  <c r="I614" i="2"/>
  <c r="I613" i="2"/>
  <c r="I612" i="2"/>
  <c r="I609" i="2"/>
  <c r="I608" i="2"/>
  <c r="I607" i="2"/>
  <c r="I606" i="2"/>
  <c r="I604" i="2"/>
  <c r="I603" i="2"/>
  <c r="I602" i="2"/>
  <c r="I601" i="2"/>
  <c r="I600" i="2"/>
  <c r="I599" i="2"/>
  <c r="I598" i="2"/>
  <c r="I597" i="2"/>
  <c r="I596" i="2"/>
  <c r="I594" i="2"/>
  <c r="I593" i="2"/>
  <c r="I591" i="2"/>
  <c r="I590" i="2"/>
  <c r="I589" i="2"/>
  <c r="I587" i="2"/>
  <c r="I586" i="2"/>
  <c r="I585" i="2"/>
  <c r="I582" i="2"/>
  <c r="I581" i="2"/>
  <c r="I579" i="2"/>
  <c r="I578" i="2"/>
  <c r="I577" i="2"/>
  <c r="I576" i="2"/>
  <c r="I575" i="2"/>
  <c r="I574" i="2"/>
  <c r="I573" i="2"/>
  <c r="I572" i="2"/>
  <c r="I570" i="2"/>
  <c r="I569" i="2"/>
  <c r="I568" i="2"/>
  <c r="I567" i="2"/>
  <c r="I565" i="2"/>
  <c r="I564" i="2"/>
  <c r="I563" i="2"/>
  <c r="I562" i="2"/>
  <c r="I560" i="2"/>
  <c r="I559" i="2"/>
  <c r="I558" i="2"/>
  <c r="I554" i="2"/>
  <c r="I553" i="2"/>
  <c r="I552" i="2"/>
  <c r="I551" i="2"/>
  <c r="I550" i="2"/>
  <c r="I549" i="2"/>
  <c r="I548" i="2"/>
  <c r="I546" i="2"/>
  <c r="I545" i="2"/>
  <c r="I544" i="2"/>
  <c r="I543" i="2"/>
  <c r="I542" i="2"/>
  <c r="I541" i="2"/>
  <c r="I539" i="2"/>
  <c r="I538" i="2"/>
  <c r="I537" i="2"/>
  <c r="I536" i="2"/>
  <c r="I535" i="2"/>
  <c r="I533" i="2"/>
  <c r="I532" i="2"/>
  <c r="I531" i="2"/>
  <c r="I527" i="2"/>
  <c r="I526" i="2"/>
  <c r="I525" i="2"/>
  <c r="I524" i="2"/>
  <c r="I522" i="2"/>
  <c r="I521" i="2"/>
  <c r="I520" i="2"/>
  <c r="I519" i="2"/>
  <c r="I518" i="2"/>
  <c r="I517" i="2"/>
  <c r="I516" i="2"/>
  <c r="I515" i="2"/>
  <c r="I513" i="2"/>
  <c r="I512" i="2"/>
  <c r="I511" i="2"/>
  <c r="I510" i="2"/>
  <c r="I509" i="2"/>
  <c r="I508" i="2"/>
  <c r="I506" i="2"/>
  <c r="I504" i="2"/>
  <c r="I503" i="2"/>
  <c r="I500" i="2"/>
  <c r="I498" i="2"/>
  <c r="I497" i="2"/>
  <c r="I496" i="2"/>
  <c r="I495" i="2"/>
  <c r="I494" i="2"/>
  <c r="I493" i="2"/>
  <c r="I492" i="2"/>
  <c r="I491" i="2"/>
  <c r="I490" i="2"/>
  <c r="I489" i="2"/>
  <c r="I487" i="2"/>
  <c r="I486" i="2"/>
  <c r="I485" i="2"/>
  <c r="I484" i="2"/>
  <c r="I483" i="2"/>
  <c r="I482" i="2"/>
  <c r="I481" i="2"/>
  <c r="I478" i="2"/>
  <c r="I477" i="2"/>
  <c r="I476" i="2"/>
  <c r="I472" i="2"/>
  <c r="I471" i="2"/>
  <c r="I470" i="2"/>
  <c r="I469" i="2"/>
  <c r="I468" i="2"/>
  <c r="I467" i="2"/>
  <c r="I466" i="2"/>
  <c r="I465" i="2"/>
  <c r="I464" i="2"/>
  <c r="I463" i="2"/>
  <c r="I461" i="2"/>
  <c r="I460" i="2"/>
  <c r="I459" i="2"/>
  <c r="I458" i="2"/>
  <c r="I457" i="2"/>
  <c r="I456" i="2"/>
  <c r="I454" i="2"/>
  <c r="I453" i="2"/>
  <c r="I450" i="2"/>
  <c r="I449" i="2"/>
  <c r="I448" i="2"/>
  <c r="I445" i="2"/>
  <c r="I444" i="2"/>
  <c r="I443" i="2"/>
  <c r="I442" i="2"/>
  <c r="I441" i="2"/>
  <c r="I440" i="2"/>
  <c r="I439" i="2"/>
  <c r="I438" i="2"/>
  <c r="I437" i="2"/>
  <c r="I435" i="2"/>
  <c r="I434" i="2"/>
  <c r="I433" i="2"/>
  <c r="I432" i="2"/>
  <c r="I431" i="2"/>
  <c r="I429" i="2"/>
  <c r="I428" i="2"/>
  <c r="I426" i="2"/>
  <c r="I425" i="2"/>
  <c r="I423" i="2"/>
  <c r="I422" i="2"/>
  <c r="I421" i="2"/>
  <c r="I418" i="2"/>
  <c r="I417" i="2"/>
  <c r="I416" i="2"/>
  <c r="I415" i="2"/>
  <c r="I414" i="2"/>
  <c r="I413" i="2"/>
  <c r="I412" i="2"/>
  <c r="I411" i="2"/>
  <c r="I409" i="2"/>
  <c r="I408" i="2"/>
  <c r="I407" i="2"/>
  <c r="I406" i="2"/>
  <c r="I404" i="2"/>
  <c r="I402" i="2"/>
  <c r="I401" i="2"/>
  <c r="I400" i="2"/>
  <c r="I399" i="2"/>
  <c r="I398" i="2"/>
  <c r="I396" i="2"/>
  <c r="I395" i="2"/>
  <c r="I394" i="2"/>
  <c r="I391" i="2"/>
  <c r="I390" i="2"/>
  <c r="I389" i="2"/>
  <c r="I388" i="2"/>
  <c r="I387" i="2"/>
  <c r="I386" i="2"/>
  <c r="I385" i="2"/>
  <c r="I383" i="2"/>
  <c r="I382" i="2"/>
  <c r="I381" i="2"/>
  <c r="I378" i="2"/>
  <c r="I377" i="2"/>
  <c r="I376" i="2"/>
  <c r="I375" i="2"/>
  <c r="I374" i="2"/>
  <c r="I373" i="2"/>
  <c r="I372" i="2"/>
  <c r="I371" i="2"/>
  <c r="I369" i="2"/>
  <c r="I368" i="2"/>
  <c r="I367" i="2"/>
  <c r="I364" i="2"/>
  <c r="I363" i="2"/>
  <c r="I362" i="2"/>
  <c r="I361" i="2"/>
  <c r="I360" i="2"/>
  <c r="I359" i="2"/>
  <c r="I357" i="2"/>
  <c r="I356" i="2"/>
  <c r="I353" i="2"/>
  <c r="I352" i="2"/>
  <c r="I351" i="2"/>
  <c r="I350" i="2"/>
  <c r="I349" i="2"/>
  <c r="I348" i="2"/>
  <c r="I347" i="2"/>
  <c r="I346" i="2"/>
  <c r="I345" i="2"/>
  <c r="I344" i="2"/>
  <c r="I342" i="2"/>
  <c r="I341" i="2"/>
  <c r="I340" i="2"/>
  <c r="I337" i="2"/>
  <c r="I336" i="2"/>
  <c r="I335" i="2"/>
  <c r="I334" i="2"/>
  <c r="I333" i="2"/>
  <c r="I331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6" i="2"/>
  <c r="I315" i="2"/>
  <c r="I314" i="2"/>
  <c r="I311" i="2"/>
  <c r="I310" i="2"/>
  <c r="I309" i="2"/>
  <c r="I308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0" i="2"/>
  <c r="I289" i="2"/>
  <c r="I288" i="2"/>
  <c r="I285" i="2"/>
  <c r="I284" i="2"/>
  <c r="I283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4" i="2"/>
  <c r="I263" i="2"/>
  <c r="I262" i="2"/>
  <c r="I259" i="2"/>
  <c r="I257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8" i="2"/>
  <c r="I237" i="2"/>
  <c r="I236" i="2"/>
  <c r="I232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2" i="2"/>
  <c r="I211" i="2"/>
  <c r="I209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5" i="2"/>
  <c r="I184" i="2"/>
  <c r="I183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1" i="2"/>
  <c r="I159" i="2"/>
  <c r="I158" i="2"/>
  <c r="I157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7" i="2"/>
  <c r="I136" i="2"/>
  <c r="I135" i="2"/>
  <c r="I133" i="2"/>
  <c r="I132" i="2"/>
  <c r="I130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3" i="2"/>
  <c r="I112" i="2"/>
  <c r="I111" i="2"/>
  <c r="I110" i="2"/>
  <c r="I109" i="2"/>
  <c r="I107" i="2"/>
  <c r="I105" i="2"/>
  <c r="I104" i="2"/>
  <c r="I101" i="2"/>
  <c r="I100" i="2"/>
  <c r="I99" i="2"/>
  <c r="I98" i="2"/>
  <c r="I97" i="2"/>
  <c r="I96" i="2"/>
  <c r="I95" i="2"/>
  <c r="I94" i="2"/>
  <c r="I93" i="2"/>
  <c r="I92" i="2"/>
  <c r="I91" i="2"/>
  <c r="I89" i="2"/>
  <c r="I88" i="2"/>
  <c r="I87" i="2"/>
  <c r="I86" i="2"/>
  <c r="I85" i="2"/>
  <c r="I84" i="2"/>
  <c r="I83" i="2"/>
  <c r="I80" i="2"/>
  <c r="I79" i="2"/>
  <c r="I78" i="2"/>
  <c r="I75" i="2"/>
  <c r="I74" i="2"/>
  <c r="I73" i="2"/>
  <c r="I72" i="2"/>
  <c r="I71" i="2"/>
  <c r="I70" i="2"/>
  <c r="I69" i="2"/>
  <c r="I68" i="2"/>
  <c r="I67" i="2"/>
  <c r="I65" i="2"/>
  <c r="I64" i="2"/>
  <c r="I63" i="2"/>
  <c r="I62" i="2"/>
  <c r="I61" i="2"/>
  <c r="I60" i="2"/>
  <c r="I59" i="2"/>
  <c r="I58" i="2"/>
  <c r="I57" i="2"/>
  <c r="I54" i="2"/>
  <c r="I53" i="2"/>
  <c r="I52" i="2"/>
  <c r="I49" i="2"/>
  <c r="I48" i="2"/>
  <c r="I47" i="2"/>
  <c r="I46" i="2"/>
  <c r="I45" i="2"/>
  <c r="I44" i="2"/>
  <c r="I43" i="2"/>
  <c r="I41" i="2"/>
  <c r="I40" i="2"/>
  <c r="I39" i="2"/>
  <c r="I38" i="2"/>
  <c r="I37" i="2"/>
  <c r="I36" i="2"/>
  <c r="I35" i="2"/>
  <c r="I34" i="2"/>
  <c r="I33" i="2"/>
  <c r="I32" i="2"/>
  <c r="I30" i="2"/>
  <c r="I28" i="2"/>
  <c r="I27" i="2"/>
  <c r="I26" i="2"/>
  <c r="I23" i="2"/>
  <c r="I22" i="2"/>
  <c r="I21" i="2"/>
  <c r="I20" i="2"/>
  <c r="I19" i="2"/>
  <c r="I17" i="2"/>
  <c r="I16" i="2"/>
  <c r="I15" i="2"/>
  <c r="I14" i="2"/>
  <c r="I13" i="2"/>
  <c r="I12" i="2"/>
  <c r="I11" i="2"/>
  <c r="I10" i="2"/>
  <c r="I9" i="2"/>
  <c r="I8" i="2"/>
  <c r="I7" i="2"/>
  <c r="I5" i="2"/>
  <c r="I4" i="2"/>
  <c r="I3" i="2" a="1"/>
  <c r="I1025" i="2" s="1"/>
  <c r="I3" i="2"/>
  <c r="H3" i="2"/>
  <c r="F1044" i="2"/>
  <c r="F1043" i="2"/>
  <c r="F1042" i="2"/>
  <c r="F1040" i="2"/>
  <c r="F1038" i="2"/>
  <c r="F1037" i="2"/>
  <c r="F1036" i="2"/>
  <c r="F1033" i="2"/>
  <c r="F1032" i="2"/>
  <c r="F1031" i="2"/>
  <c r="F1030" i="2"/>
  <c r="F1029" i="2"/>
  <c r="F1027" i="2"/>
  <c r="F1026" i="2"/>
  <c r="F1025" i="2"/>
  <c r="F1024" i="2"/>
  <c r="F1023" i="2"/>
  <c r="F1022" i="2"/>
  <c r="F1021" i="2"/>
  <c r="F1018" i="2"/>
  <c r="F1017" i="2"/>
  <c r="F1016" i="2"/>
  <c r="F1015" i="2"/>
  <c r="F1014" i="2"/>
  <c r="F1013" i="2"/>
  <c r="F1011" i="2"/>
  <c r="F1010" i="2"/>
  <c r="F1009" i="2"/>
  <c r="F1006" i="2"/>
  <c r="F1005" i="2"/>
  <c r="F1003" i="2"/>
  <c r="G1003" i="2" s="1"/>
  <c r="F1002" i="2"/>
  <c r="G1002" i="2" s="1"/>
  <c r="F1001" i="2"/>
  <c r="G1001" i="2" s="1"/>
  <c r="F1000" i="2"/>
  <c r="G1000" i="2" s="1"/>
  <c r="F999" i="2"/>
  <c r="G999" i="2" s="1"/>
  <c r="F998" i="2"/>
  <c r="G998" i="2" s="1"/>
  <c r="F997" i="2"/>
  <c r="G997" i="2" s="1"/>
  <c r="F996" i="2"/>
  <c r="G996" i="2" s="1"/>
  <c r="F993" i="2"/>
  <c r="G993" i="2" s="1"/>
  <c r="F992" i="2"/>
  <c r="G992" i="2" s="1"/>
  <c r="F991" i="2"/>
  <c r="G991" i="2" s="1"/>
  <c r="F990" i="2"/>
  <c r="G990" i="2" s="1"/>
  <c r="F989" i="2"/>
  <c r="G989" i="2" s="1"/>
  <c r="F988" i="2"/>
  <c r="G988" i="2" s="1"/>
  <c r="F987" i="2"/>
  <c r="G987" i="2" s="1"/>
  <c r="F986" i="2"/>
  <c r="G986" i="2" s="1"/>
  <c r="F984" i="2"/>
  <c r="G984" i="2" s="1"/>
  <c r="F983" i="2"/>
  <c r="G983" i="2" s="1"/>
  <c r="F982" i="2"/>
  <c r="G982" i="2" s="1"/>
  <c r="F978" i="2"/>
  <c r="G978" i="2" s="1"/>
  <c r="F977" i="2"/>
  <c r="G977" i="2" s="1"/>
  <c r="F976" i="2"/>
  <c r="G976" i="2" s="1"/>
  <c r="F975" i="2"/>
  <c r="G975" i="2" s="1"/>
  <c r="F974" i="2"/>
  <c r="G974" i="2" s="1"/>
  <c r="F973" i="2"/>
  <c r="G973" i="2" s="1"/>
  <c r="F972" i="2"/>
  <c r="G972" i="2" s="1"/>
  <c r="F971" i="2"/>
  <c r="G971" i="2" s="1"/>
  <c r="F968" i="2"/>
  <c r="G968" i="2" s="1"/>
  <c r="F967" i="2"/>
  <c r="G967" i="2" s="1"/>
  <c r="F966" i="2"/>
  <c r="G966" i="2" s="1"/>
  <c r="F965" i="2"/>
  <c r="G965" i="2" s="1"/>
  <c r="F964" i="2"/>
  <c r="G964" i="2" s="1"/>
  <c r="F963" i="2"/>
  <c r="G963" i="2" s="1"/>
  <c r="F962" i="2"/>
  <c r="G962" i="2" s="1"/>
  <c r="F961" i="2"/>
  <c r="G961" i="2" s="1"/>
  <c r="F960" i="2"/>
  <c r="G960" i="2" s="1"/>
  <c r="F959" i="2"/>
  <c r="G959" i="2" s="1"/>
  <c r="F957" i="2"/>
  <c r="G957" i="2" s="1"/>
  <c r="F955" i="2"/>
  <c r="G955" i="2" s="1"/>
  <c r="F954" i="2"/>
  <c r="G954" i="2" s="1"/>
  <c r="F951" i="2"/>
  <c r="G951" i="2" s="1"/>
  <c r="F950" i="2"/>
  <c r="G950" i="2" s="1"/>
  <c r="F949" i="2"/>
  <c r="G949" i="2" s="1"/>
  <c r="F948" i="2"/>
  <c r="G948" i="2" s="1"/>
  <c r="F947" i="2"/>
  <c r="G947" i="2" s="1"/>
  <c r="F946" i="2"/>
  <c r="G946" i="2" s="1"/>
  <c r="F943" i="2"/>
  <c r="G943" i="2" s="1"/>
  <c r="F942" i="2"/>
  <c r="G942" i="2" s="1"/>
  <c r="F941" i="2"/>
  <c r="G941" i="2" s="1"/>
  <c r="F940" i="2"/>
  <c r="G940" i="2" s="1"/>
  <c r="F939" i="2"/>
  <c r="G939" i="2" s="1"/>
  <c r="F938" i="2"/>
  <c r="G938" i="2" s="1"/>
  <c r="F937" i="2"/>
  <c r="G937" i="2" s="1"/>
  <c r="F936" i="2"/>
  <c r="G936" i="2" s="1"/>
  <c r="F935" i="2"/>
  <c r="G935" i="2" s="1"/>
  <c r="F934" i="2"/>
  <c r="G934" i="2" s="1"/>
  <c r="F933" i="2"/>
  <c r="G933" i="2" s="1"/>
  <c r="F931" i="2"/>
  <c r="G931" i="2" s="1"/>
  <c r="F929" i="2"/>
  <c r="G929" i="2" s="1"/>
  <c r="F928" i="2"/>
  <c r="G928" i="2" s="1"/>
  <c r="F927" i="2"/>
  <c r="G927" i="2" s="1"/>
  <c r="F924" i="2"/>
  <c r="G924" i="2" s="1"/>
  <c r="F923" i="2"/>
  <c r="G923" i="2" s="1"/>
  <c r="F922" i="2"/>
  <c r="G922" i="2" s="1"/>
  <c r="F921" i="2"/>
  <c r="G921" i="2" s="1"/>
  <c r="F918" i="2"/>
  <c r="G918" i="2" s="1"/>
  <c r="F917" i="2"/>
  <c r="G917" i="2" s="1"/>
  <c r="F916" i="2"/>
  <c r="G916" i="2" s="1"/>
  <c r="F915" i="2"/>
  <c r="G915" i="2" s="1"/>
  <c r="F914" i="2"/>
  <c r="G914" i="2" s="1"/>
  <c r="F913" i="2"/>
  <c r="G913" i="2" s="1"/>
  <c r="F912" i="2"/>
  <c r="G912" i="2" s="1"/>
  <c r="F911" i="2"/>
  <c r="G911" i="2" s="1"/>
  <c r="F910" i="2"/>
  <c r="G910" i="2" s="1"/>
  <c r="F909" i="2"/>
  <c r="G909" i="2" s="1"/>
  <c r="F907" i="2"/>
  <c r="G907" i="2" s="1"/>
  <c r="F906" i="2"/>
  <c r="G906" i="2" s="1"/>
  <c r="F905" i="2"/>
  <c r="G905" i="2" s="1"/>
  <c r="F904" i="2"/>
  <c r="G904" i="2" s="1"/>
  <c r="F902" i="2"/>
  <c r="G902" i="2" s="1"/>
  <c r="F901" i="2"/>
  <c r="G901" i="2" s="1"/>
  <c r="F900" i="2"/>
  <c r="G900" i="2" s="1"/>
  <c r="F897" i="2"/>
  <c r="G897" i="2" s="1"/>
  <c r="F896" i="2"/>
  <c r="G896" i="2" s="1"/>
  <c r="F893" i="2"/>
  <c r="G893" i="2" s="1"/>
  <c r="F892" i="2"/>
  <c r="G892" i="2" s="1"/>
  <c r="F891" i="2"/>
  <c r="G891" i="2" s="1"/>
  <c r="F890" i="2"/>
  <c r="G890" i="2" s="1"/>
  <c r="F889" i="2"/>
  <c r="G889" i="2" s="1"/>
  <c r="F888" i="2"/>
  <c r="G888" i="2" s="1"/>
  <c r="F887" i="2"/>
  <c r="G887" i="2" s="1"/>
  <c r="F886" i="2"/>
  <c r="G886" i="2" s="1"/>
  <c r="F885" i="2"/>
  <c r="G885" i="2" s="1"/>
  <c r="F883" i="2"/>
  <c r="G883" i="2" s="1"/>
  <c r="F882" i="2"/>
  <c r="G882" i="2" s="1"/>
  <c r="F881" i="2"/>
  <c r="G881" i="2" s="1"/>
  <c r="F880" i="2"/>
  <c r="G880" i="2" s="1"/>
  <c r="F879" i="2"/>
  <c r="G879" i="2" s="1"/>
  <c r="F878" i="2"/>
  <c r="G878" i="2" s="1"/>
  <c r="F877" i="2"/>
  <c r="G877" i="2" s="1"/>
  <c r="F875" i="2"/>
  <c r="G875" i="2" s="1"/>
  <c r="F874" i="2"/>
  <c r="G874" i="2" s="1"/>
  <c r="F873" i="2"/>
  <c r="G873" i="2" s="1"/>
  <c r="F868" i="2"/>
  <c r="G868" i="2" s="1"/>
  <c r="F867" i="2"/>
  <c r="G867" i="2" s="1"/>
  <c r="F866" i="2"/>
  <c r="G866" i="2" s="1"/>
  <c r="F865" i="2"/>
  <c r="G865" i="2" s="1"/>
  <c r="F864" i="2"/>
  <c r="G864" i="2" s="1"/>
  <c r="F863" i="2"/>
  <c r="G863" i="2" s="1"/>
  <c r="F862" i="2"/>
  <c r="G862" i="2" s="1"/>
  <c r="F861" i="2"/>
  <c r="G861" i="2" s="1"/>
  <c r="F859" i="2"/>
  <c r="G859" i="2" s="1"/>
  <c r="F858" i="2"/>
  <c r="G858" i="2" s="1"/>
  <c r="F857" i="2"/>
  <c r="G857" i="2" s="1"/>
  <c r="F856" i="2"/>
  <c r="G856" i="2" s="1"/>
  <c r="F855" i="2"/>
  <c r="G855" i="2" s="1"/>
  <c r="F854" i="2"/>
  <c r="G854" i="2" s="1"/>
  <c r="F853" i="2"/>
  <c r="G853" i="2" s="1"/>
  <c r="F852" i="2"/>
  <c r="G852" i="2" s="1"/>
  <c r="F851" i="2"/>
  <c r="G851" i="2" s="1"/>
  <c r="F850" i="2"/>
  <c r="G850" i="2" s="1"/>
  <c r="F848" i="2"/>
  <c r="G848" i="2" s="1"/>
  <c r="F847" i="2"/>
  <c r="G847" i="2" s="1"/>
  <c r="F846" i="2"/>
  <c r="G846" i="2" s="1"/>
  <c r="F841" i="2"/>
  <c r="G841" i="2" s="1"/>
  <c r="F840" i="2"/>
  <c r="G840" i="2" s="1"/>
  <c r="F839" i="2"/>
  <c r="G839" i="2" s="1"/>
  <c r="F838" i="2"/>
  <c r="G838" i="2" s="1"/>
  <c r="F837" i="2"/>
  <c r="G837" i="2" s="1"/>
  <c r="F835" i="2"/>
  <c r="G835" i="2" s="1"/>
  <c r="F834" i="2"/>
  <c r="G834" i="2" s="1"/>
  <c r="F833" i="2"/>
  <c r="G833" i="2" s="1"/>
  <c r="F832" i="2"/>
  <c r="G832" i="2" s="1"/>
  <c r="F831" i="2"/>
  <c r="G831" i="2" s="1"/>
  <c r="F830" i="2"/>
  <c r="G830" i="2" s="1"/>
  <c r="F829" i="2"/>
  <c r="G829" i="2" s="1"/>
  <c r="F828" i="2"/>
  <c r="G828" i="2" s="1"/>
  <c r="F827" i="2"/>
  <c r="G827" i="2" s="1"/>
  <c r="F826" i="2"/>
  <c r="G826" i="2" s="1"/>
  <c r="F825" i="2"/>
  <c r="G825" i="2" s="1"/>
  <c r="F824" i="2"/>
  <c r="G824" i="2" s="1"/>
  <c r="F823" i="2"/>
  <c r="G823" i="2" s="1"/>
  <c r="F821" i="2"/>
  <c r="G821" i="2" s="1"/>
  <c r="F818" i="2"/>
  <c r="G818" i="2" s="1"/>
  <c r="F817" i="2"/>
  <c r="G817" i="2" s="1"/>
  <c r="F814" i="2"/>
  <c r="G814" i="2" s="1"/>
  <c r="F813" i="2"/>
  <c r="G813" i="2" s="1"/>
  <c r="F811" i="2"/>
  <c r="G811" i="2" s="1"/>
  <c r="F810" i="2"/>
  <c r="G810" i="2" s="1"/>
  <c r="F809" i="2"/>
  <c r="G809" i="2" s="1"/>
  <c r="F808" i="2"/>
  <c r="G808" i="2" s="1"/>
  <c r="F807" i="2"/>
  <c r="G807" i="2" s="1"/>
  <c r="F806" i="2"/>
  <c r="G806" i="2" s="1"/>
  <c r="F805" i="2"/>
  <c r="G805" i="2" s="1"/>
  <c r="F804" i="2"/>
  <c r="G804" i="2" s="1"/>
  <c r="F803" i="2"/>
  <c r="G803" i="2" s="1"/>
  <c r="F802" i="2"/>
  <c r="G802" i="2" s="1"/>
  <c r="F801" i="2"/>
  <c r="G801" i="2" s="1"/>
  <c r="F800" i="2"/>
  <c r="G800" i="2" s="1"/>
  <c r="F799" i="2"/>
  <c r="G799" i="2" s="1"/>
  <c r="F798" i="2"/>
  <c r="G798" i="2" s="1"/>
  <c r="F797" i="2"/>
  <c r="G797" i="2" s="1"/>
  <c r="F796" i="2"/>
  <c r="G796" i="2" s="1"/>
  <c r="F793" i="2"/>
  <c r="G793" i="2" s="1"/>
  <c r="F792" i="2"/>
  <c r="G792" i="2" s="1"/>
  <c r="F791" i="2"/>
  <c r="G791" i="2" s="1"/>
  <c r="F787" i="2"/>
  <c r="G787" i="2" s="1"/>
  <c r="F786" i="2"/>
  <c r="G786" i="2" s="1"/>
  <c r="F785" i="2"/>
  <c r="G785" i="2" s="1"/>
  <c r="F784" i="2"/>
  <c r="G784" i="2" s="1"/>
  <c r="F783" i="2"/>
  <c r="G783" i="2" s="1"/>
  <c r="F782" i="2"/>
  <c r="G782" i="2" s="1"/>
  <c r="F781" i="2"/>
  <c r="G781" i="2" s="1"/>
  <c r="F780" i="2"/>
  <c r="G780" i="2" s="1"/>
  <c r="F779" i="2"/>
  <c r="G779" i="2" s="1"/>
  <c r="F778" i="2"/>
  <c r="G778" i="2" s="1"/>
  <c r="F777" i="2"/>
  <c r="G777" i="2" s="1"/>
  <c r="F776" i="2"/>
  <c r="G776" i="2" s="1"/>
  <c r="F775" i="2"/>
  <c r="G775" i="2" s="1"/>
  <c r="F774" i="2"/>
  <c r="G774" i="2" s="1"/>
  <c r="F773" i="2"/>
  <c r="G773" i="2" s="1"/>
  <c r="F772" i="2"/>
  <c r="G772" i="2" s="1"/>
  <c r="F771" i="2"/>
  <c r="G771" i="2" s="1"/>
  <c r="F769" i="2"/>
  <c r="G769" i="2" s="1"/>
  <c r="F767" i="2"/>
  <c r="G767" i="2" s="1"/>
  <c r="F766" i="2"/>
  <c r="G766" i="2" s="1"/>
  <c r="F765" i="2"/>
  <c r="G765" i="2" s="1"/>
  <c r="F761" i="2"/>
  <c r="G761" i="2" s="1"/>
  <c r="F760" i="2"/>
  <c r="G760" i="2" s="1"/>
  <c r="F759" i="2"/>
  <c r="G759" i="2" s="1"/>
  <c r="F758" i="2"/>
  <c r="G758" i="2" s="1"/>
  <c r="F757" i="2"/>
  <c r="G757" i="2" s="1"/>
  <c r="F756" i="2"/>
  <c r="G756" i="2" s="1"/>
  <c r="F755" i="2"/>
  <c r="G755" i="2" s="1"/>
  <c r="F754" i="2"/>
  <c r="G754" i="2" s="1"/>
  <c r="F753" i="2"/>
  <c r="G753" i="2" s="1"/>
  <c r="F752" i="2"/>
  <c r="G752" i="2" s="1"/>
  <c r="F751" i="2"/>
  <c r="G751" i="2" s="1"/>
  <c r="F750" i="2"/>
  <c r="G750" i="2" s="1"/>
  <c r="F749" i="2"/>
  <c r="G749" i="2" s="1"/>
  <c r="F748" i="2"/>
  <c r="G748" i="2" s="1"/>
  <c r="F747" i="2"/>
  <c r="G747" i="2" s="1"/>
  <c r="F746" i="2"/>
  <c r="G746" i="2" s="1"/>
  <c r="F744" i="2"/>
  <c r="G744" i="2" s="1"/>
  <c r="F743" i="2"/>
  <c r="G743" i="2" s="1"/>
  <c r="F741" i="2"/>
  <c r="G741" i="2" s="1"/>
  <c r="F739" i="2"/>
  <c r="G739" i="2" s="1"/>
  <c r="F738" i="2"/>
  <c r="G738" i="2" s="1"/>
  <c r="F735" i="2"/>
  <c r="G735" i="2" s="1"/>
  <c r="F734" i="2"/>
  <c r="G734" i="2" s="1"/>
  <c r="F733" i="2"/>
  <c r="G733" i="2" s="1"/>
  <c r="F732" i="2"/>
  <c r="G732" i="2" s="1"/>
  <c r="F731" i="2"/>
  <c r="G731" i="2" s="1"/>
  <c r="F730" i="2"/>
  <c r="G730" i="2" s="1"/>
  <c r="F729" i="2"/>
  <c r="G729" i="2" s="1"/>
  <c r="F728" i="2"/>
  <c r="G728" i="2" s="1"/>
  <c r="F727" i="2"/>
  <c r="G727" i="2" s="1"/>
  <c r="F726" i="2"/>
  <c r="G726" i="2" s="1"/>
  <c r="F725" i="2"/>
  <c r="G725" i="2" s="1"/>
  <c r="F724" i="2"/>
  <c r="G724" i="2" s="1"/>
  <c r="F723" i="2"/>
  <c r="G723" i="2" s="1"/>
  <c r="F722" i="2"/>
  <c r="G722" i="2" s="1"/>
  <c r="F721" i="2"/>
  <c r="G721" i="2" s="1"/>
  <c r="F719" i="2"/>
  <c r="G719" i="2" s="1"/>
  <c r="F718" i="2"/>
  <c r="G718" i="2" s="1"/>
  <c r="F717" i="2"/>
  <c r="G717" i="2" s="1"/>
  <c r="F714" i="2"/>
  <c r="G714" i="2" s="1"/>
  <c r="F713" i="2"/>
  <c r="G713" i="2" s="1"/>
  <c r="F712" i="2"/>
  <c r="G712" i="2" s="1"/>
  <c r="F709" i="2"/>
  <c r="G709" i="2" s="1"/>
  <c r="F708" i="2"/>
  <c r="G708" i="2" s="1"/>
  <c r="F707" i="2"/>
  <c r="G707" i="2" s="1"/>
  <c r="F706" i="2"/>
  <c r="G706" i="2" s="1"/>
  <c r="F705" i="2"/>
  <c r="G705" i="2" s="1"/>
  <c r="F704" i="2"/>
  <c r="G704" i="2" s="1"/>
  <c r="F703" i="2"/>
  <c r="G703" i="2" s="1"/>
  <c r="F702" i="2"/>
  <c r="G702" i="2" s="1"/>
  <c r="F701" i="2"/>
  <c r="G701" i="2" s="1"/>
  <c r="F700" i="2"/>
  <c r="G700" i="2" s="1"/>
  <c r="F699" i="2"/>
  <c r="G699" i="2" s="1"/>
  <c r="F698" i="2"/>
  <c r="G698" i="2" s="1"/>
  <c r="F697" i="2"/>
  <c r="G697" i="2" s="1"/>
  <c r="F696" i="2"/>
  <c r="G696" i="2" s="1"/>
  <c r="F694" i="2"/>
  <c r="G694" i="2" s="1"/>
  <c r="F693" i="2"/>
  <c r="G693" i="2" s="1"/>
  <c r="F691" i="2"/>
  <c r="G691" i="2" s="1"/>
  <c r="F690" i="2"/>
  <c r="G690" i="2" s="1"/>
  <c r="F688" i="2"/>
  <c r="G688" i="2" s="1"/>
  <c r="F687" i="2"/>
  <c r="G687" i="2" s="1"/>
  <c r="F686" i="2"/>
  <c r="G686" i="2" s="1"/>
  <c r="F683" i="2"/>
  <c r="G683" i="2" s="1"/>
  <c r="F682" i="2"/>
  <c r="G682" i="2" s="1"/>
  <c r="F681" i="2"/>
  <c r="G681" i="2" s="1"/>
  <c r="F680" i="2"/>
  <c r="G680" i="2" s="1"/>
  <c r="F679" i="2"/>
  <c r="G679" i="2" s="1"/>
  <c r="F678" i="2"/>
  <c r="G678" i="2" s="1"/>
  <c r="F677" i="2"/>
  <c r="G677" i="2" s="1"/>
  <c r="F676" i="2"/>
  <c r="G676" i="2" s="1"/>
  <c r="F675" i="2"/>
  <c r="G675" i="2" s="1"/>
  <c r="F674" i="2"/>
  <c r="G674" i="2" s="1"/>
  <c r="F673" i="2"/>
  <c r="G673" i="2" s="1"/>
  <c r="F672" i="2"/>
  <c r="G672" i="2" s="1"/>
  <c r="F671" i="2"/>
  <c r="G671" i="2" s="1"/>
  <c r="F669" i="2"/>
  <c r="G669" i="2" s="1"/>
  <c r="F667" i="2"/>
  <c r="G667" i="2" s="1"/>
  <c r="F666" i="2"/>
  <c r="G666" i="2" s="1"/>
  <c r="F665" i="2"/>
  <c r="G665" i="2" s="1"/>
  <c r="F664" i="2"/>
  <c r="G664" i="2" s="1"/>
  <c r="F662" i="2"/>
  <c r="G662" i="2" s="1"/>
  <c r="F661" i="2"/>
  <c r="G661" i="2" s="1"/>
  <c r="F660" i="2"/>
  <c r="G660" i="2" s="1"/>
  <c r="F657" i="2"/>
  <c r="G657" i="2" s="1"/>
  <c r="F656" i="2"/>
  <c r="G656" i="2" s="1"/>
  <c r="F655" i="2"/>
  <c r="G655" i="2" s="1"/>
  <c r="F654" i="2"/>
  <c r="G654" i="2" s="1"/>
  <c r="F653" i="2"/>
  <c r="G653" i="2" s="1"/>
  <c r="F652" i="2"/>
  <c r="G652" i="2" s="1"/>
  <c r="F651" i="2"/>
  <c r="G651" i="2" s="1"/>
  <c r="F650" i="2"/>
  <c r="G650" i="2" s="1"/>
  <c r="F649" i="2"/>
  <c r="G649" i="2" s="1"/>
  <c r="F648" i="2"/>
  <c r="G648" i="2" s="1"/>
  <c r="F647" i="2"/>
  <c r="G647" i="2" s="1"/>
  <c r="F646" i="2"/>
  <c r="G646" i="2" s="1"/>
  <c r="F643" i="2"/>
  <c r="G643" i="2" s="1"/>
  <c r="F642" i="2"/>
  <c r="G642" i="2" s="1"/>
  <c r="F641" i="2"/>
  <c r="G641" i="2" s="1"/>
  <c r="F640" i="2"/>
  <c r="G640" i="2" s="1"/>
  <c r="F639" i="2"/>
  <c r="G639" i="2" s="1"/>
  <c r="F638" i="2"/>
  <c r="G638" i="2" s="1"/>
  <c r="F636" i="2"/>
  <c r="G636" i="2" s="1"/>
  <c r="F635" i="2"/>
  <c r="G635" i="2" s="1"/>
  <c r="F634" i="2"/>
  <c r="G634" i="2" s="1"/>
  <c r="F631" i="2"/>
  <c r="G631" i="2" s="1"/>
  <c r="F630" i="2"/>
  <c r="G630" i="2" s="1"/>
  <c r="F629" i="2"/>
  <c r="G629" i="2" s="1"/>
  <c r="F628" i="2"/>
  <c r="G628" i="2" s="1"/>
  <c r="F627" i="2"/>
  <c r="G627" i="2" s="1"/>
  <c r="F626" i="2"/>
  <c r="G626" i="2" s="1"/>
  <c r="F625" i="2"/>
  <c r="G625" i="2" s="1"/>
  <c r="F624" i="2"/>
  <c r="G624" i="2" s="1"/>
  <c r="F623" i="2"/>
  <c r="G623" i="2" s="1"/>
  <c r="F622" i="2"/>
  <c r="G622" i="2" s="1"/>
  <c r="F621" i="2"/>
  <c r="G621" i="2" s="1"/>
  <c r="F618" i="2"/>
  <c r="G618" i="2" s="1"/>
  <c r="F617" i="2"/>
  <c r="G617" i="2" s="1"/>
  <c r="F616" i="2"/>
  <c r="G616" i="2" s="1"/>
  <c r="F615" i="2"/>
  <c r="G615" i="2" s="1"/>
  <c r="F614" i="2"/>
  <c r="G614" i="2" s="1"/>
  <c r="F613" i="2"/>
  <c r="G613" i="2" s="1"/>
  <c r="F612" i="2"/>
  <c r="G612" i="2" s="1"/>
  <c r="F610" i="2"/>
  <c r="G610" i="2" s="1"/>
  <c r="F609" i="2"/>
  <c r="G609" i="2" s="1"/>
  <c r="F608" i="2"/>
  <c r="G608" i="2" s="1"/>
  <c r="F605" i="2"/>
  <c r="G605" i="2" s="1"/>
  <c r="F604" i="2"/>
  <c r="G604" i="2" s="1"/>
  <c r="F603" i="2"/>
  <c r="G603" i="2" s="1"/>
  <c r="F602" i="2"/>
  <c r="G602" i="2" s="1"/>
  <c r="F601" i="2"/>
  <c r="G601" i="2" s="1"/>
  <c r="F600" i="2"/>
  <c r="G600" i="2" s="1"/>
  <c r="F599" i="2"/>
  <c r="G599" i="2" s="1"/>
  <c r="F598" i="2"/>
  <c r="G598" i="2" s="1"/>
  <c r="F597" i="2"/>
  <c r="G597" i="2" s="1"/>
  <c r="F595" i="2"/>
  <c r="G595" i="2" s="1"/>
  <c r="F593" i="2"/>
  <c r="G593" i="2" s="1"/>
  <c r="F592" i="2"/>
  <c r="G592" i="2" s="1"/>
  <c r="F591" i="2"/>
  <c r="G591" i="2" s="1"/>
  <c r="F590" i="2"/>
  <c r="G590" i="2" s="1"/>
  <c r="F589" i="2"/>
  <c r="G589" i="2" s="1"/>
  <c r="F588" i="2"/>
  <c r="G588" i="2" s="1"/>
  <c r="F587" i="2"/>
  <c r="G587" i="2" s="1"/>
  <c r="F586" i="2"/>
  <c r="G586" i="2" s="1"/>
  <c r="F584" i="2"/>
  <c r="G584" i="2" s="1"/>
  <c r="F583" i="2"/>
  <c r="G583" i="2" s="1"/>
  <c r="F582" i="2"/>
  <c r="G582" i="2" s="1"/>
  <c r="F579" i="2"/>
  <c r="G579" i="2" s="1"/>
  <c r="F578" i="2"/>
  <c r="G578" i="2" s="1"/>
  <c r="F577" i="2"/>
  <c r="G577" i="2" s="1"/>
  <c r="F576" i="2"/>
  <c r="G576" i="2" s="1"/>
  <c r="F575" i="2"/>
  <c r="G575" i="2" s="1"/>
  <c r="F574" i="2"/>
  <c r="G574" i="2" s="1"/>
  <c r="F573" i="2"/>
  <c r="G573" i="2" s="1"/>
  <c r="F571" i="2"/>
  <c r="G571" i="2" s="1"/>
  <c r="F570" i="2"/>
  <c r="G570" i="2" s="1"/>
  <c r="F568" i="2"/>
  <c r="G568" i="2" s="1"/>
  <c r="F567" i="2"/>
  <c r="G567" i="2" s="1"/>
  <c r="F566" i="2"/>
  <c r="G566" i="2" s="1"/>
  <c r="F565" i="2"/>
  <c r="G565" i="2" s="1"/>
  <c r="F564" i="2"/>
  <c r="G564" i="2" s="1"/>
  <c r="F563" i="2"/>
  <c r="G563" i="2" s="1"/>
  <c r="F562" i="2"/>
  <c r="G562" i="2" s="1"/>
  <c r="F561" i="2"/>
  <c r="G561" i="2" s="1"/>
  <c r="F560" i="2"/>
  <c r="G560" i="2" s="1"/>
  <c r="F558" i="2"/>
  <c r="G558" i="2" s="1"/>
  <c r="F557" i="2"/>
  <c r="G557" i="2" s="1"/>
  <c r="F556" i="2"/>
  <c r="G556" i="2" s="1"/>
  <c r="F553" i="2"/>
  <c r="G553" i="2" s="1"/>
  <c r="F552" i="2"/>
  <c r="G552" i="2" s="1"/>
  <c r="F551" i="2"/>
  <c r="G551" i="2" s="1"/>
  <c r="F550" i="2"/>
  <c r="G550" i="2" s="1"/>
  <c r="F549" i="2"/>
  <c r="G549" i="2" s="1"/>
  <c r="F547" i="2"/>
  <c r="G547" i="2" s="1"/>
  <c r="F546" i="2"/>
  <c r="G546" i="2" s="1"/>
  <c r="F545" i="2"/>
  <c r="G545" i="2" s="1"/>
  <c r="F544" i="2"/>
  <c r="G544" i="2" s="1"/>
  <c r="F543" i="2"/>
  <c r="G543" i="2" s="1"/>
  <c r="F542" i="2"/>
  <c r="G542" i="2" s="1"/>
  <c r="F541" i="2"/>
  <c r="G541" i="2" s="1"/>
  <c r="F540" i="2"/>
  <c r="G540" i="2" s="1"/>
  <c r="F539" i="2"/>
  <c r="G539" i="2" s="1"/>
  <c r="F538" i="2"/>
  <c r="G538" i="2" s="1"/>
  <c r="F537" i="2"/>
  <c r="G537" i="2" s="1"/>
  <c r="F536" i="2"/>
  <c r="G536" i="2" s="1"/>
  <c r="F535" i="2"/>
  <c r="G535" i="2" s="1"/>
  <c r="F533" i="2"/>
  <c r="G533" i="2" s="1"/>
  <c r="F532" i="2"/>
  <c r="G532" i="2" s="1"/>
  <c r="F531" i="2"/>
  <c r="G531" i="2" s="1"/>
  <c r="F528" i="2"/>
  <c r="G528" i="2" s="1"/>
  <c r="F527" i="2"/>
  <c r="G527" i="2" s="1"/>
  <c r="F526" i="2"/>
  <c r="G526" i="2" s="1"/>
  <c r="F525" i="2"/>
  <c r="G525" i="2" s="1"/>
  <c r="F523" i="2"/>
  <c r="G523" i="2" s="1"/>
  <c r="F522" i="2"/>
  <c r="G522" i="2" s="1"/>
  <c r="F521" i="2"/>
  <c r="G521" i="2" s="1"/>
  <c r="F520" i="2"/>
  <c r="G520" i="2" s="1"/>
  <c r="F519" i="2"/>
  <c r="G519" i="2" s="1"/>
  <c r="F518" i="2"/>
  <c r="G518" i="2" s="1"/>
  <c r="F517" i="2"/>
  <c r="G517" i="2" s="1"/>
  <c r="F516" i="2"/>
  <c r="G516" i="2" s="1"/>
  <c r="F515" i="2"/>
  <c r="G515" i="2" s="1"/>
  <c r="F514" i="2"/>
  <c r="G514" i="2" s="1"/>
  <c r="F513" i="2"/>
  <c r="G513" i="2" s="1"/>
  <c r="F512" i="2"/>
  <c r="G512" i="2" s="1"/>
  <c r="F511" i="2"/>
  <c r="G511" i="2" s="1"/>
  <c r="F510" i="2"/>
  <c r="G510" i="2" s="1"/>
  <c r="F508" i="2"/>
  <c r="G508" i="2" s="1"/>
  <c r="F507" i="2"/>
  <c r="G507" i="2" s="1"/>
  <c r="F506" i="2"/>
  <c r="G506" i="2" s="1"/>
  <c r="F503" i="2"/>
  <c r="G503" i="2" s="1"/>
  <c r="F502" i="2"/>
  <c r="G502" i="2" s="1"/>
  <c r="F501" i="2"/>
  <c r="G501" i="2" s="1"/>
  <c r="F499" i="2"/>
  <c r="G499" i="2" s="1"/>
  <c r="F498" i="2"/>
  <c r="G498" i="2" s="1"/>
  <c r="F497" i="2"/>
  <c r="G497" i="2" s="1"/>
  <c r="F496" i="2"/>
  <c r="G496" i="2" s="1"/>
  <c r="F495" i="2"/>
  <c r="G495" i="2" s="1"/>
  <c r="F494" i="2"/>
  <c r="G494" i="2" s="1"/>
  <c r="F493" i="2"/>
  <c r="G493" i="2" s="1"/>
  <c r="F492" i="2"/>
  <c r="G492" i="2" s="1"/>
  <c r="F491" i="2"/>
  <c r="G491" i="2" s="1"/>
  <c r="F490" i="2"/>
  <c r="G490" i="2" s="1"/>
  <c r="F489" i="2"/>
  <c r="G489" i="2" s="1"/>
  <c r="F488" i="2"/>
  <c r="G488" i="2" s="1"/>
  <c r="F487" i="2"/>
  <c r="G487" i="2" s="1"/>
  <c r="F486" i="2"/>
  <c r="G486" i="2" s="1"/>
  <c r="F485" i="2"/>
  <c r="G485" i="2" s="1"/>
  <c r="F483" i="2"/>
  <c r="G483" i="2" s="1"/>
  <c r="F482" i="2"/>
  <c r="G482" i="2" s="1"/>
  <c r="F481" i="2"/>
  <c r="G481" i="2" s="1"/>
  <c r="F478" i="2"/>
  <c r="G478" i="2" s="1"/>
  <c r="F477" i="2"/>
  <c r="G477" i="2" s="1"/>
  <c r="F475" i="2"/>
  <c r="G475" i="2" s="1"/>
  <c r="F474" i="2"/>
  <c r="G474" i="2" s="1"/>
  <c r="F473" i="2"/>
  <c r="G473" i="2" s="1"/>
  <c r="F472" i="2"/>
  <c r="G472" i="2" s="1"/>
  <c r="F471" i="2"/>
  <c r="G471" i="2" s="1"/>
  <c r="F470" i="2"/>
  <c r="G470" i="2" s="1"/>
  <c r="F469" i="2"/>
  <c r="G469" i="2" s="1"/>
  <c r="F468" i="2"/>
  <c r="G468" i="2" s="1"/>
  <c r="F467" i="2"/>
  <c r="G467" i="2" s="1"/>
  <c r="F466" i="2"/>
  <c r="G466" i="2" s="1"/>
  <c r="F465" i="2"/>
  <c r="G465" i="2" s="1"/>
  <c r="F464" i="2"/>
  <c r="G464" i="2" s="1"/>
  <c r="F463" i="2"/>
  <c r="G463" i="2" s="1"/>
  <c r="F462" i="2"/>
  <c r="G462" i="2" s="1"/>
  <c r="F461" i="2"/>
  <c r="G461" i="2" s="1"/>
  <c r="F460" i="2"/>
  <c r="G460" i="2" s="1"/>
  <c r="F458" i="2"/>
  <c r="G458" i="2" s="1"/>
  <c r="F457" i="2"/>
  <c r="G457" i="2" s="1"/>
  <c r="F456" i="2"/>
  <c r="G456" i="2" s="1"/>
  <c r="F453" i="2"/>
  <c r="G453" i="2" s="1"/>
  <c r="F451" i="2"/>
  <c r="G451" i="2" s="1"/>
  <c r="F450" i="2"/>
  <c r="G450" i="2" s="1"/>
  <c r="F449" i="2"/>
  <c r="G449" i="2" s="1"/>
  <c r="F448" i="2"/>
  <c r="G448" i="2" s="1"/>
  <c r="F447" i="2"/>
  <c r="G447" i="2" s="1"/>
  <c r="F446" i="2"/>
  <c r="G446" i="2" s="1"/>
  <c r="F445" i="2"/>
  <c r="G445" i="2" s="1"/>
  <c r="F444" i="2"/>
  <c r="G444" i="2" s="1"/>
  <c r="F443" i="2"/>
  <c r="G443" i="2" s="1"/>
  <c r="F442" i="2"/>
  <c r="G442" i="2" s="1"/>
  <c r="F441" i="2"/>
  <c r="G441" i="2" s="1"/>
  <c r="F440" i="2"/>
  <c r="G440" i="2" s="1"/>
  <c r="F439" i="2"/>
  <c r="G439" i="2" s="1"/>
  <c r="F438" i="2"/>
  <c r="G438" i="2" s="1"/>
  <c r="F437" i="2"/>
  <c r="G437" i="2" s="1"/>
  <c r="F436" i="2"/>
  <c r="G436" i="2" s="1"/>
  <c r="F435" i="2"/>
  <c r="G435" i="2" s="1"/>
  <c r="F433" i="2"/>
  <c r="G433" i="2" s="1"/>
  <c r="F432" i="2"/>
  <c r="G432" i="2" s="1"/>
  <c r="F431" i="2"/>
  <c r="G431" i="2" s="1"/>
  <c r="F427" i="2"/>
  <c r="G427" i="2" s="1"/>
  <c r="F426" i="2"/>
  <c r="G426" i="2" s="1"/>
  <c r="F425" i="2"/>
  <c r="G425" i="2" s="1"/>
  <c r="F424" i="2"/>
  <c r="G424" i="2" s="1"/>
  <c r="F423" i="2"/>
  <c r="G423" i="2" s="1"/>
  <c r="F422" i="2"/>
  <c r="G422" i="2" s="1"/>
  <c r="F421" i="2"/>
  <c r="G421" i="2" s="1"/>
  <c r="F420" i="2"/>
  <c r="G420" i="2" s="1"/>
  <c r="F419" i="2"/>
  <c r="G419" i="2" s="1"/>
  <c r="F418" i="2"/>
  <c r="G418" i="2" s="1"/>
  <c r="F417" i="2"/>
  <c r="G417" i="2" s="1"/>
  <c r="F416" i="2"/>
  <c r="G416" i="2" s="1"/>
  <c r="F415" i="2"/>
  <c r="G415" i="2" s="1"/>
  <c r="F414" i="2"/>
  <c r="G414" i="2" s="1"/>
  <c r="F413" i="2"/>
  <c r="G413" i="2" s="1"/>
  <c r="F412" i="2"/>
  <c r="G412" i="2" s="1"/>
  <c r="F411" i="2"/>
  <c r="G411" i="2" s="1"/>
  <c r="F410" i="2"/>
  <c r="G410" i="2" s="1"/>
  <c r="F408" i="2"/>
  <c r="G408" i="2" s="1"/>
  <c r="F407" i="2"/>
  <c r="G407" i="2" s="1"/>
  <c r="F406" i="2"/>
  <c r="G406" i="2" s="1"/>
  <c r="F402" i="2"/>
  <c r="G402" i="2" s="1"/>
  <c r="F401" i="2"/>
  <c r="G401" i="2" s="1"/>
  <c r="F400" i="2"/>
  <c r="G400" i="2" s="1"/>
  <c r="F399" i="2"/>
  <c r="G399" i="2" s="1"/>
  <c r="F398" i="2"/>
  <c r="G398" i="2" s="1"/>
  <c r="F397" i="2"/>
  <c r="G397" i="2" s="1"/>
  <c r="F396" i="2"/>
  <c r="G396" i="2" s="1"/>
  <c r="F395" i="2"/>
  <c r="G395" i="2" s="1"/>
  <c r="F394" i="2"/>
  <c r="G394" i="2" s="1"/>
  <c r="F393" i="2"/>
  <c r="G393" i="2" s="1"/>
  <c r="F392" i="2"/>
  <c r="G392" i="2" s="1"/>
  <c r="F391" i="2"/>
  <c r="G391" i="2" s="1"/>
  <c r="F390" i="2"/>
  <c r="G390" i="2" s="1"/>
  <c r="F389" i="2"/>
  <c r="G389" i="2" s="1"/>
  <c r="F388" i="2"/>
  <c r="G388" i="2" s="1"/>
  <c r="F387" i="2"/>
  <c r="G387" i="2" s="1"/>
  <c r="F386" i="2"/>
  <c r="G386" i="2" s="1"/>
  <c r="F385" i="2"/>
  <c r="G385" i="2" s="1"/>
  <c r="F383" i="2"/>
  <c r="G383" i="2" s="1"/>
  <c r="F382" i="2"/>
  <c r="G382" i="2" s="1"/>
  <c r="F381" i="2"/>
  <c r="G381" i="2" s="1"/>
  <c r="F377" i="2"/>
  <c r="G377" i="2" s="1"/>
  <c r="F376" i="2"/>
  <c r="G376" i="2" s="1"/>
  <c r="F375" i="2"/>
  <c r="G375" i="2" s="1"/>
  <c r="F374" i="2"/>
  <c r="G374" i="2" s="1"/>
  <c r="F373" i="2"/>
  <c r="G373" i="2" s="1"/>
  <c r="F372" i="2"/>
  <c r="G372" i="2" s="1"/>
  <c r="F371" i="2"/>
  <c r="G371" i="2" s="1"/>
  <c r="F370" i="2"/>
  <c r="G370" i="2" s="1"/>
  <c r="F369" i="2"/>
  <c r="G369" i="2" s="1"/>
  <c r="F368" i="2"/>
  <c r="G368" i="2" s="1"/>
  <c r="F367" i="2"/>
  <c r="G367" i="2" s="1"/>
  <c r="F366" i="2"/>
  <c r="G366" i="2" s="1"/>
  <c r="F365" i="2"/>
  <c r="G365" i="2" s="1"/>
  <c r="F364" i="2"/>
  <c r="G364" i="2" s="1"/>
  <c r="F363" i="2"/>
  <c r="G363" i="2" s="1"/>
  <c r="F362" i="2"/>
  <c r="G362" i="2" s="1"/>
  <c r="F361" i="2"/>
  <c r="G361" i="2" s="1"/>
  <c r="F360" i="2"/>
  <c r="G360" i="2" s="1"/>
  <c r="F358" i="2"/>
  <c r="G358" i="2" s="1"/>
  <c r="F357" i="2"/>
  <c r="G357" i="2" s="1"/>
  <c r="F355" i="2"/>
  <c r="G355" i="2" s="1"/>
  <c r="F352" i="2"/>
  <c r="G352" i="2" s="1"/>
  <c r="F351" i="2"/>
  <c r="G351" i="2" s="1"/>
  <c r="F350" i="2"/>
  <c r="G350" i="2" s="1"/>
  <c r="F349" i="2"/>
  <c r="G349" i="2" s="1"/>
  <c r="F348" i="2"/>
  <c r="G348" i="2" s="1"/>
  <c r="F347" i="2"/>
  <c r="G347" i="2" s="1"/>
  <c r="F346" i="2"/>
  <c r="G346" i="2" s="1"/>
  <c r="F345" i="2"/>
  <c r="G345" i="2" s="1"/>
  <c r="F344" i="2"/>
  <c r="G344" i="2" s="1"/>
  <c r="F343" i="2"/>
  <c r="G343" i="2" s="1"/>
  <c r="F342" i="2"/>
  <c r="G342" i="2" s="1"/>
  <c r="F341" i="2"/>
  <c r="G341" i="2" s="1"/>
  <c r="F340" i="2"/>
  <c r="G340" i="2" s="1"/>
  <c r="F339" i="2"/>
  <c r="G339" i="2" s="1"/>
  <c r="F338" i="2"/>
  <c r="G338" i="2" s="1"/>
  <c r="F337" i="2"/>
  <c r="G337" i="2" s="1"/>
  <c r="F336" i="2"/>
  <c r="G336" i="2" s="1"/>
  <c r="F335" i="2"/>
  <c r="G335" i="2" s="1"/>
  <c r="F333" i="2"/>
  <c r="G333" i="2" s="1"/>
  <c r="F331" i="2"/>
  <c r="G331" i="2" s="1"/>
  <c r="F330" i="2"/>
  <c r="G330" i="2" s="1"/>
  <c r="F327" i="2"/>
  <c r="G327" i="2" s="1"/>
  <c r="F326" i="2"/>
  <c r="G326" i="2" s="1"/>
  <c r="F325" i="2"/>
  <c r="G325" i="2" s="1"/>
  <c r="F324" i="2"/>
  <c r="G324" i="2" s="1"/>
  <c r="F323" i="2"/>
  <c r="G323" i="2" s="1"/>
  <c r="F322" i="2"/>
  <c r="G322" i="2" s="1"/>
  <c r="F321" i="2"/>
  <c r="G321" i="2" s="1"/>
  <c r="F320" i="2"/>
  <c r="G320" i="2" s="1"/>
  <c r="F319" i="2"/>
  <c r="G319" i="2" s="1"/>
  <c r="F318" i="2"/>
  <c r="G318" i="2" s="1"/>
  <c r="F317" i="2"/>
  <c r="G317" i="2" s="1"/>
  <c r="F316" i="2"/>
  <c r="G316" i="2" s="1"/>
  <c r="F315" i="2"/>
  <c r="G315" i="2" s="1"/>
  <c r="F314" i="2"/>
  <c r="G314" i="2" s="1"/>
  <c r="F313" i="2"/>
  <c r="G313" i="2" s="1"/>
  <c r="F312" i="2"/>
  <c r="G312" i="2" s="1"/>
  <c r="F311" i="2"/>
  <c r="G311" i="2" s="1"/>
  <c r="F310" i="2"/>
  <c r="G310" i="2" s="1"/>
  <c r="F307" i="2"/>
  <c r="G307" i="2" s="1"/>
  <c r="F306" i="2"/>
  <c r="G306" i="2" s="1"/>
  <c r="F305" i="2"/>
  <c r="G305" i="2" s="1"/>
  <c r="F302" i="2"/>
  <c r="G302" i="2" s="1"/>
  <c r="F301" i="2"/>
  <c r="G301" i="2" s="1"/>
  <c r="F300" i="2"/>
  <c r="G300" i="2" s="1"/>
  <c r="F299" i="2"/>
  <c r="G299" i="2" s="1"/>
  <c r="F298" i="2"/>
  <c r="G298" i="2" s="1"/>
  <c r="F297" i="2"/>
  <c r="G297" i="2" s="1"/>
  <c r="F296" i="2"/>
  <c r="G296" i="2" s="1"/>
  <c r="F295" i="2"/>
  <c r="G295" i="2" s="1"/>
  <c r="F294" i="2"/>
  <c r="G294" i="2" s="1"/>
  <c r="F293" i="2"/>
  <c r="G293" i="2" s="1"/>
  <c r="F292" i="2"/>
  <c r="G292" i="2" s="1"/>
  <c r="F291" i="2"/>
  <c r="G291" i="2" s="1"/>
  <c r="F290" i="2"/>
  <c r="G290" i="2" s="1"/>
  <c r="F289" i="2"/>
  <c r="G289" i="2" s="1"/>
  <c r="F288" i="2"/>
  <c r="G288" i="2" s="1"/>
  <c r="F287" i="2"/>
  <c r="G287" i="2" s="1"/>
  <c r="F286" i="2"/>
  <c r="G286" i="2" s="1"/>
  <c r="F285" i="2"/>
  <c r="G285" i="2" s="1"/>
  <c r="F282" i="2"/>
  <c r="G282" i="2" s="1"/>
  <c r="F281" i="2"/>
  <c r="G281" i="2" s="1"/>
  <c r="F280" i="2"/>
  <c r="G280" i="2" s="1"/>
  <c r="F277" i="2"/>
  <c r="G277" i="2" s="1"/>
  <c r="F276" i="2"/>
  <c r="G276" i="2" s="1"/>
  <c r="F275" i="2"/>
  <c r="G275" i="2" s="1"/>
  <c r="F274" i="2"/>
  <c r="G274" i="2" s="1"/>
  <c r="F273" i="2"/>
  <c r="G273" i="2" s="1"/>
  <c r="F272" i="2"/>
  <c r="G272" i="2" s="1"/>
  <c r="F271" i="2"/>
  <c r="G271" i="2" s="1"/>
  <c r="F270" i="2"/>
  <c r="G270" i="2" s="1"/>
  <c r="F269" i="2"/>
  <c r="G269" i="2" s="1"/>
  <c r="F268" i="2"/>
  <c r="G268" i="2" s="1"/>
  <c r="F267" i="2"/>
  <c r="G267" i="2" s="1"/>
  <c r="F266" i="2"/>
  <c r="G266" i="2" s="1"/>
  <c r="F265" i="2"/>
  <c r="G265" i="2" s="1"/>
  <c r="F264" i="2"/>
  <c r="G264" i="2" s="1"/>
  <c r="F263" i="2"/>
  <c r="G263" i="2" s="1"/>
  <c r="F262" i="2"/>
  <c r="G262" i="2" s="1"/>
  <c r="F261" i="2"/>
  <c r="G261" i="2" s="1"/>
  <c r="F259" i="2"/>
  <c r="G259" i="2" s="1"/>
  <c r="F257" i="2"/>
  <c r="G257" i="2" s="1"/>
  <c r="F256" i="2"/>
  <c r="G256" i="2" s="1"/>
  <c r="F255" i="2"/>
  <c r="G255" i="2" s="1"/>
  <c r="F252" i="2"/>
  <c r="G252" i="2" s="1"/>
  <c r="F251" i="2"/>
  <c r="G251" i="2" s="1"/>
  <c r="F250" i="2"/>
  <c r="G250" i="2" s="1"/>
  <c r="F249" i="2"/>
  <c r="G249" i="2" s="1"/>
  <c r="F248" i="2"/>
  <c r="G248" i="2" s="1"/>
  <c r="F247" i="2"/>
  <c r="G247" i="2" s="1"/>
  <c r="F246" i="2"/>
  <c r="G246" i="2" s="1"/>
  <c r="F245" i="2"/>
  <c r="G245" i="2" s="1"/>
  <c r="F244" i="2"/>
  <c r="G244" i="2" s="1"/>
  <c r="F243" i="2"/>
  <c r="G243" i="2" s="1"/>
  <c r="F242" i="2"/>
  <c r="G242" i="2" s="1"/>
  <c r="F241" i="2"/>
  <c r="G241" i="2" s="1"/>
  <c r="F240" i="2"/>
  <c r="G240" i="2" s="1"/>
  <c r="F239" i="2"/>
  <c r="G239" i="2" s="1"/>
  <c r="F238" i="2"/>
  <c r="G238" i="2" s="1"/>
  <c r="F237" i="2"/>
  <c r="G237" i="2" s="1"/>
  <c r="F235" i="2"/>
  <c r="G235" i="2" s="1"/>
  <c r="F234" i="2"/>
  <c r="G234" i="2" s="1"/>
  <c r="F232" i="2"/>
  <c r="G232" i="2" s="1"/>
  <c r="F231" i="2"/>
  <c r="G231" i="2" s="1"/>
  <c r="F230" i="2"/>
  <c r="G230" i="2" s="1"/>
  <c r="F227" i="2"/>
  <c r="G227" i="2" s="1"/>
  <c r="F226" i="2"/>
  <c r="G226" i="2" s="1"/>
  <c r="F225" i="2"/>
  <c r="G225" i="2" s="1"/>
  <c r="F224" i="2"/>
  <c r="G224" i="2" s="1"/>
  <c r="F223" i="2"/>
  <c r="G223" i="2" s="1"/>
  <c r="F222" i="2"/>
  <c r="G222" i="2" s="1"/>
  <c r="F221" i="2"/>
  <c r="G221" i="2" s="1"/>
  <c r="F220" i="2"/>
  <c r="G220" i="2" s="1"/>
  <c r="F219" i="2"/>
  <c r="G219" i="2" s="1"/>
  <c r="F218" i="2"/>
  <c r="G218" i="2" s="1"/>
  <c r="F217" i="2"/>
  <c r="G217" i="2" s="1"/>
  <c r="F216" i="2"/>
  <c r="G216" i="2" s="1"/>
  <c r="F215" i="2"/>
  <c r="G215" i="2" s="1"/>
  <c r="F214" i="2"/>
  <c r="G214" i="2" s="1"/>
  <c r="F213" i="2"/>
  <c r="G213" i="2" s="1"/>
  <c r="F211" i="2"/>
  <c r="G211" i="2" s="1"/>
  <c r="F210" i="2"/>
  <c r="G210" i="2" s="1"/>
  <c r="F209" i="2"/>
  <c r="G209" i="2" s="1"/>
  <c r="F207" i="2"/>
  <c r="G207" i="2" s="1"/>
  <c r="F206" i="2"/>
  <c r="G206" i="2" s="1"/>
  <c r="F205" i="2"/>
  <c r="G205" i="2" s="1"/>
  <c r="F202" i="2"/>
  <c r="G202" i="2" s="1"/>
  <c r="F201" i="2"/>
  <c r="G201" i="2" s="1"/>
  <c r="F200" i="2"/>
  <c r="G200" i="2" s="1"/>
  <c r="F199" i="2"/>
  <c r="G199" i="2" s="1"/>
  <c r="F198" i="2"/>
  <c r="G198" i="2" s="1"/>
  <c r="F197" i="2"/>
  <c r="G197" i="2" s="1"/>
  <c r="F196" i="2"/>
  <c r="G196" i="2" s="1"/>
  <c r="F195" i="2"/>
  <c r="G195" i="2" s="1"/>
  <c r="F194" i="2"/>
  <c r="G194" i="2" s="1"/>
  <c r="F193" i="2"/>
  <c r="G193" i="2" s="1"/>
  <c r="F192" i="2"/>
  <c r="G192" i="2" s="1"/>
  <c r="F191" i="2"/>
  <c r="G191" i="2" s="1"/>
  <c r="F190" i="2"/>
  <c r="G190" i="2" s="1"/>
  <c r="F189" i="2"/>
  <c r="G189" i="2" s="1"/>
  <c r="F187" i="2"/>
  <c r="G187" i="2" s="1"/>
  <c r="F186" i="2"/>
  <c r="G186" i="2" s="1"/>
  <c r="F185" i="2"/>
  <c r="G185" i="2" s="1"/>
  <c r="F184" i="2"/>
  <c r="G184" i="2" s="1"/>
  <c r="F182" i="2"/>
  <c r="G182" i="2" s="1"/>
  <c r="F181" i="2"/>
  <c r="G181" i="2" s="1"/>
  <c r="F180" i="2"/>
  <c r="G180" i="2" s="1"/>
  <c r="F177" i="2"/>
  <c r="G177" i="2" s="1"/>
  <c r="F176" i="2"/>
  <c r="G176" i="2" s="1"/>
  <c r="F175" i="2"/>
  <c r="G175" i="2" s="1"/>
  <c r="F174" i="2"/>
  <c r="G174" i="2" s="1"/>
  <c r="F173" i="2"/>
  <c r="G173" i="2" s="1"/>
  <c r="F172" i="2"/>
  <c r="G172" i="2" s="1"/>
  <c r="F171" i="2"/>
  <c r="G171" i="2" s="1"/>
  <c r="F170" i="2"/>
  <c r="G170" i="2" s="1"/>
  <c r="F169" i="2"/>
  <c r="G169" i="2" s="1"/>
  <c r="F168" i="2"/>
  <c r="G168" i="2" s="1"/>
  <c r="F167" i="2"/>
  <c r="G167" i="2" s="1"/>
  <c r="F166" i="2"/>
  <c r="G166" i="2" s="1"/>
  <c r="F165" i="2"/>
  <c r="G165" i="2" s="1"/>
  <c r="F163" i="2"/>
  <c r="G163" i="2" s="1"/>
  <c r="F162" i="2"/>
  <c r="G162" i="2" s="1"/>
  <c r="F161" i="2"/>
  <c r="G161" i="2" s="1"/>
  <c r="F160" i="2"/>
  <c r="G160" i="2" s="1"/>
  <c r="F159" i="2"/>
  <c r="G159" i="2" s="1"/>
  <c r="F157" i="2"/>
  <c r="G157" i="2" s="1"/>
  <c r="F156" i="2"/>
  <c r="G156" i="2" s="1"/>
  <c r="F155" i="2"/>
  <c r="G155" i="2" s="1"/>
  <c r="F152" i="2"/>
  <c r="G152" i="2" s="1"/>
  <c r="F151" i="2"/>
  <c r="G151" i="2" s="1"/>
  <c r="F150" i="2"/>
  <c r="G150" i="2" s="1"/>
  <c r="F149" i="2"/>
  <c r="G149" i="2" s="1"/>
  <c r="F148" i="2"/>
  <c r="G148" i="2" s="1"/>
  <c r="F147" i="2"/>
  <c r="G147" i="2" s="1"/>
  <c r="F146" i="2"/>
  <c r="G146" i="2" s="1"/>
  <c r="F145" i="2"/>
  <c r="G145" i="2" s="1"/>
  <c r="F144" i="2"/>
  <c r="G144" i="2" s="1"/>
  <c r="F143" i="2"/>
  <c r="G143" i="2" s="1"/>
  <c r="F142" i="2"/>
  <c r="G142" i="2" s="1"/>
  <c r="F141" i="2"/>
  <c r="G141" i="2" s="1"/>
  <c r="F139" i="2"/>
  <c r="G139" i="2" s="1"/>
  <c r="F138" i="2"/>
  <c r="G138" i="2" s="1"/>
  <c r="F137" i="2"/>
  <c r="G137" i="2" s="1"/>
  <c r="F136" i="2"/>
  <c r="G136" i="2" s="1"/>
  <c r="F135" i="2"/>
  <c r="G135" i="2" s="1"/>
  <c r="F134" i="2"/>
  <c r="G134" i="2" s="1"/>
  <c r="F133" i="2"/>
  <c r="G133" i="2" s="1"/>
  <c r="F132" i="2"/>
  <c r="G132" i="2" s="1"/>
  <c r="F131" i="2"/>
  <c r="G131" i="2" s="1"/>
  <c r="F130" i="2"/>
  <c r="G130" i="2" s="1"/>
  <c r="F127" i="2"/>
  <c r="G127" i="2" s="1"/>
  <c r="F126" i="2"/>
  <c r="G126" i="2" s="1"/>
  <c r="F125" i="2"/>
  <c r="G125" i="2" s="1"/>
  <c r="F124" i="2"/>
  <c r="G124" i="2" s="1"/>
  <c r="F123" i="2"/>
  <c r="G123" i="2" s="1"/>
  <c r="F122" i="2"/>
  <c r="G122" i="2" s="1"/>
  <c r="F121" i="2"/>
  <c r="G121" i="2" s="1"/>
  <c r="F120" i="2"/>
  <c r="G120" i="2" s="1"/>
  <c r="F119" i="2"/>
  <c r="G119" i="2" s="1"/>
  <c r="F118" i="2"/>
  <c r="G118" i="2" s="1"/>
  <c r="F117" i="2"/>
  <c r="G117" i="2" s="1"/>
  <c r="F115" i="2"/>
  <c r="G115" i="2" s="1"/>
  <c r="F114" i="2"/>
  <c r="G114" i="2" s="1"/>
  <c r="F113" i="2"/>
  <c r="G113" i="2" s="1"/>
  <c r="F112" i="2"/>
  <c r="G112" i="2" s="1"/>
  <c r="F111" i="2"/>
  <c r="G111" i="2" s="1"/>
  <c r="F110" i="2"/>
  <c r="G110" i="2" s="1"/>
  <c r="F109" i="2"/>
  <c r="G109" i="2" s="1"/>
  <c r="F108" i="2"/>
  <c r="G108" i="2" s="1"/>
  <c r="F107" i="2"/>
  <c r="G107" i="2" s="1"/>
  <c r="F106" i="2"/>
  <c r="G106" i="2" s="1"/>
  <c r="F105" i="2"/>
  <c r="G105" i="2" s="1"/>
  <c r="F102" i="2"/>
  <c r="G102" i="2" s="1"/>
  <c r="F101" i="2"/>
  <c r="G101" i="2" s="1"/>
  <c r="F100" i="2"/>
  <c r="G100" i="2" s="1"/>
  <c r="F99" i="2"/>
  <c r="G99" i="2" s="1"/>
  <c r="F98" i="2"/>
  <c r="G98" i="2" s="1"/>
  <c r="F97" i="2"/>
  <c r="G97" i="2" s="1"/>
  <c r="F96" i="2"/>
  <c r="G96" i="2" s="1"/>
  <c r="F95" i="2"/>
  <c r="G95" i="2" s="1"/>
  <c r="F94" i="2"/>
  <c r="G94" i="2" s="1"/>
  <c r="F93" i="2"/>
  <c r="G93" i="2" s="1"/>
  <c r="F91" i="2"/>
  <c r="G91" i="2" s="1"/>
  <c r="F90" i="2"/>
  <c r="G90" i="2" s="1"/>
  <c r="F89" i="2"/>
  <c r="G89" i="2" s="1"/>
  <c r="F88" i="2"/>
  <c r="G88" i="2" s="1"/>
  <c r="F87" i="2"/>
  <c r="G87" i="2" s="1"/>
  <c r="F86" i="2"/>
  <c r="G86" i="2" s="1"/>
  <c r="F85" i="2"/>
  <c r="G85" i="2" s="1"/>
  <c r="F84" i="2"/>
  <c r="G84" i="2" s="1"/>
  <c r="F83" i="2"/>
  <c r="G83" i="2" s="1"/>
  <c r="F82" i="2"/>
  <c r="G82" i="2" s="1"/>
  <c r="F81" i="2"/>
  <c r="G81" i="2" s="1"/>
  <c r="F80" i="2"/>
  <c r="G80" i="2" s="1"/>
  <c r="F77" i="2"/>
  <c r="G77" i="2" s="1"/>
  <c r="F76" i="2"/>
  <c r="G76" i="2" s="1"/>
  <c r="F75" i="2"/>
  <c r="G75" i="2" s="1"/>
  <c r="F74" i="2"/>
  <c r="G74" i="2" s="1"/>
  <c r="F73" i="2"/>
  <c r="G73" i="2" s="1"/>
  <c r="F72" i="2"/>
  <c r="G72" i="2" s="1"/>
  <c r="F71" i="2"/>
  <c r="G71" i="2" s="1"/>
  <c r="F70" i="2"/>
  <c r="G70" i="2" s="1"/>
  <c r="F69" i="2"/>
  <c r="G69" i="2" s="1"/>
  <c r="F67" i="2"/>
  <c r="G67" i="2" s="1"/>
  <c r="F66" i="2"/>
  <c r="G66" i="2" s="1"/>
  <c r="F65" i="2"/>
  <c r="G65" i="2" s="1"/>
  <c r="F64" i="2"/>
  <c r="G64" i="2" s="1"/>
  <c r="F63" i="2"/>
  <c r="G63" i="2" s="1"/>
  <c r="F62" i="2"/>
  <c r="G62" i="2" s="1"/>
  <c r="F61" i="2"/>
  <c r="G61" i="2" s="1"/>
  <c r="F60" i="2"/>
  <c r="G60" i="2" s="1"/>
  <c r="F59" i="2"/>
  <c r="G59" i="2" s="1"/>
  <c r="F58" i="2"/>
  <c r="G58" i="2" s="1"/>
  <c r="F57" i="2"/>
  <c r="G57" i="2" s="1"/>
  <c r="F56" i="2"/>
  <c r="G56" i="2" s="1"/>
  <c r="F55" i="2"/>
  <c r="G55" i="2" s="1"/>
  <c r="F52" i="2"/>
  <c r="G52" i="2" s="1"/>
  <c r="F51" i="2"/>
  <c r="G51" i="2" s="1"/>
  <c r="F50" i="2"/>
  <c r="G50" i="2" s="1"/>
  <c r="F49" i="2"/>
  <c r="G49" i="2" s="1"/>
  <c r="F48" i="2"/>
  <c r="G48" i="2" s="1"/>
  <c r="F47" i="2"/>
  <c r="G47" i="2" s="1"/>
  <c r="F46" i="2"/>
  <c r="G46" i="2" s="1"/>
  <c r="F45" i="2"/>
  <c r="G45" i="2" s="1"/>
  <c r="F43" i="2"/>
  <c r="G43" i="2" s="1"/>
  <c r="F42" i="2"/>
  <c r="G42" i="2" s="1"/>
  <c r="F41" i="2"/>
  <c r="G41" i="2" s="1"/>
  <c r="F40" i="2"/>
  <c r="G40" i="2" s="1"/>
  <c r="F39" i="2"/>
  <c r="G39" i="2" s="1"/>
  <c r="F38" i="2"/>
  <c r="G38" i="2" s="1"/>
  <c r="F37" i="2"/>
  <c r="G37" i="2" s="1"/>
  <c r="F36" i="2"/>
  <c r="G36" i="2" s="1"/>
  <c r="F35" i="2"/>
  <c r="G35" i="2" s="1"/>
  <c r="F34" i="2"/>
  <c r="G34" i="2" s="1"/>
  <c r="F33" i="2"/>
  <c r="G33" i="2" s="1"/>
  <c r="F32" i="2"/>
  <c r="G32" i="2" s="1"/>
  <c r="F31" i="2"/>
  <c r="G31" i="2" s="1"/>
  <c r="F30" i="2"/>
  <c r="G30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5" i="2"/>
  <c r="G5" i="2" s="1"/>
  <c r="F3" i="2" a="1"/>
  <c r="F3" i="2"/>
  <c r="G3" i="2" s="1"/>
  <c r="Q989" i="2" l="1"/>
  <c r="J33" i="2"/>
  <c r="J67" i="2"/>
  <c r="J101" i="2"/>
  <c r="J133" i="2"/>
  <c r="J165" i="2"/>
  <c r="J196" i="2"/>
  <c r="J230" i="2"/>
  <c r="J262" i="2"/>
  <c r="J296" i="2"/>
  <c r="J328" i="2"/>
  <c r="J362" i="2"/>
  <c r="J394" i="2"/>
  <c r="J425" i="2"/>
  <c r="J456" i="2"/>
  <c r="J491" i="2"/>
  <c r="J524" i="2"/>
  <c r="J556" i="2"/>
  <c r="J589" i="2"/>
  <c r="J622" i="2"/>
  <c r="J653" i="2"/>
  <c r="J685" i="2"/>
  <c r="J717" i="2"/>
  <c r="J753" i="2"/>
  <c r="J785" i="2"/>
  <c r="J817" i="2"/>
  <c r="J849" i="2"/>
  <c r="J882" i="2"/>
  <c r="J914" i="2"/>
  <c r="J946" i="2"/>
  <c r="J979" i="2"/>
  <c r="J1027" i="2"/>
  <c r="J1003" i="2"/>
  <c r="J1026" i="2"/>
  <c r="J1002" i="2"/>
  <c r="J1025" i="2"/>
  <c r="J1001" i="2"/>
  <c r="J1023" i="2"/>
  <c r="J1045" i="2"/>
  <c r="J1017" i="2"/>
  <c r="J990" i="2"/>
  <c r="J966" i="2"/>
  <c r="J942" i="2"/>
  <c r="J918" i="2"/>
  <c r="J894" i="2"/>
  <c r="J870" i="2"/>
  <c r="J846" i="2"/>
  <c r="J822" i="2"/>
  <c r="J798" i="2"/>
  <c r="J774" i="2"/>
  <c r="J750" i="2"/>
  <c r="J726" i="2"/>
  <c r="J702" i="2"/>
  <c r="J678" i="2"/>
  <c r="J654" i="2"/>
  <c r="J630" i="2"/>
  <c r="J606" i="2"/>
  <c r="J582" i="2"/>
  <c r="J558" i="2"/>
  <c r="J534" i="2"/>
  <c r="J510" i="2"/>
  <c r="J486" i="2"/>
  <c r="J462" i="2"/>
  <c r="J438" i="2"/>
  <c r="J414" i="2"/>
  <c r="J390" i="2"/>
  <c r="J366" i="2"/>
  <c r="J342" i="2"/>
  <c r="J318" i="2"/>
  <c r="J294" i="2"/>
  <c r="J270" i="2"/>
  <c r="J246" i="2"/>
  <c r="J222" i="2"/>
  <c r="J198" i="2"/>
  <c r="J174" i="2"/>
  <c r="J150" i="2"/>
  <c r="J126" i="2"/>
  <c r="J102" i="2"/>
  <c r="J78" i="2"/>
  <c r="J54" i="2"/>
  <c r="J30" i="2"/>
  <c r="J6" i="2"/>
  <c r="J1044" i="2"/>
  <c r="J1015" i="2"/>
  <c r="J987" i="2"/>
  <c r="J962" i="2"/>
  <c r="J937" i="2"/>
  <c r="J912" i="2"/>
  <c r="J887" i="2"/>
  <c r="J862" i="2"/>
  <c r="J837" i="2"/>
  <c r="J812" i="2"/>
  <c r="J787" i="2"/>
  <c r="J762" i="2"/>
  <c r="J737" i="2"/>
  <c r="J712" i="2"/>
  <c r="J687" i="2"/>
  <c r="J662" i="2"/>
  <c r="J637" i="2"/>
  <c r="J612" i="2"/>
  <c r="J587" i="2"/>
  <c r="J562" i="2"/>
  <c r="J537" i="2"/>
  <c r="J512" i="2"/>
  <c r="J487" i="2"/>
  <c r="J461" i="2"/>
  <c r="J436" i="2"/>
  <c r="J411" i="2"/>
  <c r="J386" i="2"/>
  <c r="J361" i="2"/>
  <c r="J336" i="2"/>
  <c r="J311" i="2"/>
  <c r="J286" i="2"/>
  <c r="J261" i="2"/>
  <c r="J236" i="2"/>
  <c r="J211" i="2"/>
  <c r="J186" i="2"/>
  <c r="J161" i="2"/>
  <c r="J136" i="2"/>
  <c r="J111" i="2"/>
  <c r="J86" i="2"/>
  <c r="J61" i="2"/>
  <c r="J36" i="2"/>
  <c r="J11" i="2"/>
  <c r="J1043" i="2"/>
  <c r="J1013" i="2"/>
  <c r="J984" i="2"/>
  <c r="J958" i="2"/>
  <c r="J932" i="2"/>
  <c r="J906" i="2"/>
  <c r="J880" i="2"/>
  <c r="J854" i="2"/>
  <c r="J828" i="2"/>
  <c r="J802" i="2"/>
  <c r="J776" i="2"/>
  <c r="J749" i="2"/>
  <c r="J723" i="2"/>
  <c r="J697" i="2"/>
  <c r="J671" i="2"/>
  <c r="J645" i="2"/>
  <c r="J619" i="2"/>
  <c r="J593" i="2"/>
  <c r="J567" i="2"/>
  <c r="J541" i="2"/>
  <c r="J515" i="2"/>
  <c r="J489" i="2"/>
  <c r="J463" i="2"/>
  <c r="J435" i="2"/>
  <c r="J409" i="2"/>
  <c r="J383" i="2"/>
  <c r="J357" i="2"/>
  <c r="J331" i="2"/>
  <c r="J305" i="2"/>
  <c r="J279" i="2"/>
  <c r="J253" i="2"/>
  <c r="J227" i="2"/>
  <c r="J201" i="2"/>
  <c r="J175" i="2"/>
  <c r="J148" i="2"/>
  <c r="J122" i="2"/>
  <c r="J96" i="2"/>
  <c r="J70" i="2"/>
  <c r="J44" i="2"/>
  <c r="J18" i="2"/>
  <c r="J1042" i="2"/>
  <c r="J1012" i="2"/>
  <c r="J983" i="2"/>
  <c r="J957" i="2"/>
  <c r="J931" i="2"/>
  <c r="J905" i="2"/>
  <c r="J879" i="2"/>
  <c r="J853" i="2"/>
  <c r="J827" i="2"/>
  <c r="J801" i="2"/>
  <c r="J775" i="2"/>
  <c r="J748" i="2"/>
  <c r="J722" i="2"/>
  <c r="J696" i="2"/>
  <c r="J670" i="2"/>
  <c r="J644" i="2"/>
  <c r="J618" i="2"/>
  <c r="J592" i="2"/>
  <c r="J566" i="2"/>
  <c r="J540" i="2"/>
  <c r="J514" i="2"/>
  <c r="J488" i="2"/>
  <c r="J460" i="2"/>
  <c r="J434" i="2"/>
  <c r="J408" i="2"/>
  <c r="J382" i="2"/>
  <c r="J356" i="2"/>
  <c r="J330" i="2"/>
  <c r="J304" i="2"/>
  <c r="J278" i="2"/>
  <c r="J252" i="2"/>
  <c r="J226" i="2"/>
  <c r="J200" i="2"/>
  <c r="J173" i="2"/>
  <c r="J147" i="2"/>
  <c r="J121" i="2"/>
  <c r="J95" i="2"/>
  <c r="J69" i="2"/>
  <c r="J43" i="2"/>
  <c r="J17" i="2"/>
  <c r="J1016" i="2"/>
  <c r="J982" i="2"/>
  <c r="J954" i="2"/>
  <c r="J926" i="2"/>
  <c r="J898" i="2"/>
  <c r="J869" i="2"/>
  <c r="J841" i="2"/>
  <c r="J813" i="2"/>
  <c r="J784" i="2"/>
  <c r="J756" i="2"/>
  <c r="J728" i="2"/>
  <c r="J699" i="2"/>
  <c r="J669" i="2"/>
  <c r="J641" i="2"/>
  <c r="J613" i="2"/>
  <c r="J584" i="2"/>
  <c r="J555" i="2"/>
  <c r="J527" i="2"/>
  <c r="J499" i="2"/>
  <c r="J471" i="2"/>
  <c r="J443" i="2"/>
  <c r="J415" i="2"/>
  <c r="J385" i="2"/>
  <c r="J355" i="2"/>
  <c r="J327" i="2"/>
  <c r="J299" i="2"/>
  <c r="J271" i="2"/>
  <c r="J242" i="2"/>
  <c r="J214" i="2"/>
  <c r="J185" i="2"/>
  <c r="J157" i="2"/>
  <c r="J129" i="2"/>
  <c r="J100" i="2"/>
  <c r="J72" i="2"/>
  <c r="J42" i="2"/>
  <c r="J14" i="2"/>
  <c r="J1041" i="2"/>
  <c r="J1009" i="2"/>
  <c r="J978" i="2"/>
  <c r="J950" i="2"/>
  <c r="J922" i="2"/>
  <c r="J893" i="2"/>
  <c r="J865" i="2"/>
  <c r="J836" i="2"/>
  <c r="J808" i="2"/>
  <c r="J780" i="2"/>
  <c r="J752" i="2"/>
  <c r="J721" i="2"/>
  <c r="J693" i="2"/>
  <c r="J665" i="2"/>
  <c r="J636" i="2"/>
  <c r="J608" i="2"/>
  <c r="J579" i="2"/>
  <c r="J551" i="2"/>
  <c r="J523" i="2"/>
  <c r="J495" i="2"/>
  <c r="J467" i="2"/>
  <c r="J439" i="2"/>
  <c r="J407" i="2"/>
  <c r="J379" i="2"/>
  <c r="J351" i="2"/>
  <c r="J323" i="2"/>
  <c r="J295" i="2"/>
  <c r="J266" i="2"/>
  <c r="J238" i="2"/>
  <c r="J209" i="2"/>
  <c r="J181" i="2"/>
  <c r="J153" i="2"/>
  <c r="J124" i="2"/>
  <c r="J94" i="2"/>
  <c r="J66" i="2"/>
  <c r="J38" i="2"/>
  <c r="J9" i="2"/>
  <c r="J1040" i="2"/>
  <c r="J1008" i="2"/>
  <c r="J977" i="2"/>
  <c r="J949" i="2"/>
  <c r="J921" i="2"/>
  <c r="J892" i="2"/>
  <c r="J864" i="2"/>
  <c r="J835" i="2"/>
  <c r="J807" i="2"/>
  <c r="J779" i="2"/>
  <c r="J751" i="2"/>
  <c r="J720" i="2"/>
  <c r="J692" i="2"/>
  <c r="J664" i="2"/>
  <c r="J635" i="2"/>
  <c r="J607" i="2"/>
  <c r="J578" i="2"/>
  <c r="J550" i="2"/>
  <c r="J522" i="2"/>
  <c r="J494" i="2"/>
  <c r="J466" i="2"/>
  <c r="J437" i="2"/>
  <c r="J406" i="2"/>
  <c r="J378" i="2"/>
  <c r="J350" i="2"/>
  <c r="J322" i="2"/>
  <c r="J293" i="2"/>
  <c r="J265" i="2"/>
  <c r="J237" i="2"/>
  <c r="J208" i="2"/>
  <c r="J180" i="2"/>
  <c r="J152" i="2"/>
  <c r="J123" i="2"/>
  <c r="J93" i="2"/>
  <c r="J65" i="2"/>
  <c r="J37" i="2"/>
  <c r="J8" i="2"/>
  <c r="J35" i="2"/>
  <c r="J71" i="2"/>
  <c r="J104" i="2"/>
  <c r="J135" i="2"/>
  <c r="J167" i="2"/>
  <c r="J199" i="2"/>
  <c r="J232" i="2"/>
  <c r="J264" i="2"/>
  <c r="J298" i="2"/>
  <c r="J332" i="2"/>
  <c r="J364" i="2"/>
  <c r="J396" i="2"/>
  <c r="J427" i="2"/>
  <c r="J458" i="2"/>
  <c r="J493" i="2"/>
  <c r="J526" i="2"/>
  <c r="J559" i="2"/>
  <c r="J591" i="2"/>
  <c r="J624" i="2"/>
  <c r="J656" i="2"/>
  <c r="J688" i="2"/>
  <c r="J719" i="2"/>
  <c r="J755" i="2"/>
  <c r="J788" i="2"/>
  <c r="J819" i="2"/>
  <c r="J851" i="2"/>
  <c r="J884" i="2"/>
  <c r="J916" i="2"/>
  <c r="J948" i="2"/>
  <c r="J981" i="2"/>
  <c r="J1020" i="2"/>
  <c r="J4" i="2"/>
  <c r="J39" i="2"/>
  <c r="J73" i="2"/>
  <c r="J105" i="2"/>
  <c r="J137" i="2"/>
  <c r="J168" i="2"/>
  <c r="J202" i="2"/>
  <c r="J233" i="2"/>
  <c r="J267" i="2"/>
  <c r="J300" i="2"/>
  <c r="J333" i="2"/>
  <c r="J365" i="2"/>
  <c r="J397" i="2"/>
  <c r="J428" i="2"/>
  <c r="J459" i="2"/>
  <c r="J496" i="2"/>
  <c r="J528" i="2"/>
  <c r="J560" i="2"/>
  <c r="J594" i="2"/>
  <c r="J625" i="2"/>
  <c r="J657" i="2"/>
  <c r="J689" i="2"/>
  <c r="J724" i="2"/>
  <c r="J757" i="2"/>
  <c r="J789" i="2"/>
  <c r="J820" i="2"/>
  <c r="J852" i="2"/>
  <c r="J885" i="2"/>
  <c r="J917" i="2"/>
  <c r="J951" i="2"/>
  <c r="J985" i="2"/>
  <c r="J1021" i="2"/>
  <c r="J7" i="2"/>
  <c r="J41" i="2"/>
  <c r="J75" i="2"/>
  <c r="J107" i="2"/>
  <c r="J139" i="2"/>
  <c r="J170" i="2"/>
  <c r="J204" i="2"/>
  <c r="J235" i="2"/>
  <c r="J269" i="2"/>
  <c r="J302" i="2"/>
  <c r="J335" i="2"/>
  <c r="J368" i="2"/>
  <c r="J399" i="2"/>
  <c r="J430" i="2"/>
  <c r="J465" i="2"/>
  <c r="J498" i="2"/>
  <c r="J530" i="2"/>
  <c r="J563" i="2"/>
  <c r="J596" i="2"/>
  <c r="J627" i="2"/>
  <c r="J659" i="2"/>
  <c r="J691" i="2"/>
  <c r="J727" i="2"/>
  <c r="J759" i="2"/>
  <c r="J791" i="2"/>
  <c r="J823" i="2"/>
  <c r="J856" i="2"/>
  <c r="J888" i="2"/>
  <c r="J920" i="2"/>
  <c r="J953" i="2"/>
  <c r="J988" i="2"/>
  <c r="J1024" i="2"/>
  <c r="J10" i="2"/>
  <c r="J45" i="2"/>
  <c r="J76" i="2"/>
  <c r="J108" i="2"/>
  <c r="J140" i="2"/>
  <c r="J171" i="2"/>
  <c r="J205" i="2"/>
  <c r="J239" i="2"/>
  <c r="J272" i="2"/>
  <c r="J303" i="2"/>
  <c r="J337" i="2"/>
  <c r="J369" i="2"/>
  <c r="J400" i="2"/>
  <c r="J431" i="2"/>
  <c r="J468" i="2"/>
  <c r="J500" i="2"/>
  <c r="J531" i="2"/>
  <c r="J564" i="2"/>
  <c r="J597" i="2"/>
  <c r="J628" i="2"/>
  <c r="J660" i="2"/>
  <c r="J694" i="2"/>
  <c r="J729" i="2"/>
  <c r="J760" i="2"/>
  <c r="J792" i="2"/>
  <c r="J824" i="2"/>
  <c r="J857" i="2"/>
  <c r="J889" i="2"/>
  <c r="J923" i="2"/>
  <c r="J955" i="2"/>
  <c r="J989" i="2"/>
  <c r="J1028" i="2"/>
  <c r="J12" i="2"/>
  <c r="J46" i="2"/>
  <c r="J77" i="2"/>
  <c r="J109" i="2"/>
  <c r="J141" i="2"/>
  <c r="J172" i="2"/>
  <c r="J206" i="2"/>
  <c r="J240" i="2"/>
  <c r="J273" i="2"/>
  <c r="J306" i="2"/>
  <c r="J338" i="2"/>
  <c r="J370" i="2"/>
  <c r="J401" i="2"/>
  <c r="J432" i="2"/>
  <c r="J469" i="2"/>
  <c r="J501" i="2"/>
  <c r="J532" i="2"/>
  <c r="J565" i="2"/>
  <c r="J598" i="2"/>
  <c r="J629" i="2"/>
  <c r="J661" i="2"/>
  <c r="J695" i="2"/>
  <c r="J730" i="2"/>
  <c r="J761" i="2"/>
  <c r="J793" i="2"/>
  <c r="J825" i="2"/>
  <c r="J858" i="2"/>
  <c r="J890" i="2"/>
  <c r="J924" i="2"/>
  <c r="J956" i="2"/>
  <c r="J991" i="2"/>
  <c r="J1029" i="2"/>
  <c r="J13" i="2"/>
  <c r="J47" i="2"/>
  <c r="J79" i="2"/>
  <c r="J110" i="2"/>
  <c r="J142" i="2"/>
  <c r="J176" i="2"/>
  <c r="J207" i="2"/>
  <c r="J241" i="2"/>
  <c r="J274" i="2"/>
  <c r="J307" i="2"/>
  <c r="J339" i="2"/>
  <c r="J371" i="2"/>
  <c r="J402" i="2"/>
  <c r="J433" i="2"/>
  <c r="J470" i="2"/>
  <c r="J502" i="2"/>
  <c r="J533" i="2"/>
  <c r="J568" i="2"/>
  <c r="J599" i="2"/>
  <c r="J631" i="2"/>
  <c r="J663" i="2"/>
  <c r="J698" i="2"/>
  <c r="J731" i="2"/>
  <c r="J763" i="2"/>
  <c r="J794" i="2"/>
  <c r="J826" i="2"/>
  <c r="J859" i="2"/>
  <c r="J891" i="2"/>
  <c r="J925" i="2"/>
  <c r="J959" i="2"/>
  <c r="J992" i="2"/>
  <c r="J1030" i="2"/>
  <c r="J15" i="2"/>
  <c r="J48" i="2"/>
  <c r="J80" i="2"/>
  <c r="J112" i="2"/>
  <c r="J143" i="2"/>
  <c r="J177" i="2"/>
  <c r="J210" i="2"/>
  <c r="J243" i="2"/>
  <c r="J275" i="2"/>
  <c r="J308" i="2"/>
  <c r="J340" i="2"/>
  <c r="J372" i="2"/>
  <c r="J403" i="2"/>
  <c r="J440" i="2"/>
  <c r="J472" i="2"/>
  <c r="J503" i="2"/>
  <c r="J535" i="2"/>
  <c r="J569" i="2"/>
  <c r="J600" i="2"/>
  <c r="J632" i="2"/>
  <c r="J666" i="2"/>
  <c r="J700" i="2"/>
  <c r="J732" i="2"/>
  <c r="J764" i="2"/>
  <c r="J795" i="2"/>
  <c r="J829" i="2"/>
  <c r="J860" i="2"/>
  <c r="J895" i="2"/>
  <c r="J927" i="2"/>
  <c r="J960" i="2"/>
  <c r="J993" i="2"/>
  <c r="J1031" i="2"/>
  <c r="J16" i="2"/>
  <c r="J49" i="2"/>
  <c r="J81" i="2"/>
  <c r="J113" i="2"/>
  <c r="J144" i="2"/>
  <c r="J178" i="2"/>
  <c r="J212" i="2"/>
  <c r="J244" i="2"/>
  <c r="J276" i="2"/>
  <c r="J309" i="2"/>
  <c r="J341" i="2"/>
  <c r="J373" i="2"/>
  <c r="J404" i="2"/>
  <c r="J441" i="2"/>
  <c r="J473" i="2"/>
  <c r="J504" i="2"/>
  <c r="J536" i="2"/>
  <c r="J570" i="2"/>
  <c r="J601" i="2"/>
  <c r="J633" i="2"/>
  <c r="J667" i="2"/>
  <c r="J701" i="2"/>
  <c r="J733" i="2"/>
  <c r="J765" i="2"/>
  <c r="J796" i="2"/>
  <c r="J830" i="2"/>
  <c r="J861" i="2"/>
  <c r="J896" i="2"/>
  <c r="J928" i="2"/>
  <c r="J961" i="2"/>
  <c r="J994" i="2"/>
  <c r="J1032" i="2"/>
  <c r="J19" i="2"/>
  <c r="J50" i="2"/>
  <c r="J82" i="2"/>
  <c r="J114" i="2"/>
  <c r="J145" i="2"/>
  <c r="J179" i="2"/>
  <c r="J213" i="2"/>
  <c r="J245" i="2"/>
  <c r="J277" i="2"/>
  <c r="J310" i="2"/>
  <c r="J343" i="2"/>
  <c r="J374" i="2"/>
  <c r="J405" i="2"/>
  <c r="J442" i="2"/>
  <c r="J474" i="2"/>
  <c r="J505" i="2"/>
  <c r="J538" i="2"/>
  <c r="J571" i="2"/>
  <c r="J602" i="2"/>
  <c r="J634" i="2"/>
  <c r="J668" i="2"/>
  <c r="J703" i="2"/>
  <c r="J734" i="2"/>
  <c r="J766" i="2"/>
  <c r="J797" i="2"/>
  <c r="J831" i="2"/>
  <c r="J863" i="2"/>
  <c r="J897" i="2"/>
  <c r="J929" i="2"/>
  <c r="J963" i="2"/>
  <c r="J995" i="2"/>
  <c r="J1033" i="2"/>
  <c r="J20" i="2"/>
  <c r="J51" i="2"/>
  <c r="J83" i="2"/>
  <c r="J115" i="2"/>
  <c r="J146" i="2"/>
  <c r="J182" i="2"/>
  <c r="J215" i="2"/>
  <c r="J247" i="2"/>
  <c r="J280" i="2"/>
  <c r="J312" i="2"/>
  <c r="J344" i="2"/>
  <c r="J375" i="2"/>
  <c r="J410" i="2"/>
  <c r="J444" i="2"/>
  <c r="J475" i="2"/>
  <c r="J506" i="2"/>
  <c r="J539" i="2"/>
  <c r="J572" i="2"/>
  <c r="J603" i="2"/>
  <c r="J638" i="2"/>
  <c r="J672" i="2"/>
  <c r="J704" i="2"/>
  <c r="J735" i="2"/>
  <c r="J767" i="2"/>
  <c r="J799" i="2"/>
  <c r="J832" i="2"/>
  <c r="J866" i="2"/>
  <c r="J899" i="2"/>
  <c r="J930" i="2"/>
  <c r="J964" i="2"/>
  <c r="J996" i="2"/>
  <c r="J1034" i="2"/>
  <c r="J21" i="2"/>
  <c r="J52" i="2"/>
  <c r="J84" i="2"/>
  <c r="J116" i="2"/>
  <c r="J149" i="2"/>
  <c r="J183" i="2"/>
  <c r="J216" i="2"/>
  <c r="J248" i="2"/>
  <c r="J281" i="2"/>
  <c r="J313" i="2"/>
  <c r="J345" i="2"/>
  <c r="J376" i="2"/>
  <c r="J412" i="2"/>
  <c r="J445" i="2"/>
  <c r="J476" i="2"/>
  <c r="J507" i="2"/>
  <c r="J542" i="2"/>
  <c r="J573" i="2"/>
  <c r="J604" i="2"/>
  <c r="J639" i="2"/>
  <c r="J673" i="2"/>
  <c r="J705" i="2"/>
  <c r="J736" i="2"/>
  <c r="J768" i="2"/>
  <c r="J800" i="2"/>
  <c r="J833" i="2"/>
  <c r="J867" i="2"/>
  <c r="J900" i="2"/>
  <c r="J933" i="2"/>
  <c r="J965" i="2"/>
  <c r="J997" i="2"/>
  <c r="J1035" i="2"/>
  <c r="J22" i="2"/>
  <c r="J53" i="2"/>
  <c r="J85" i="2"/>
  <c r="J117" i="2"/>
  <c r="J151" i="2"/>
  <c r="J184" i="2"/>
  <c r="J217" i="2"/>
  <c r="J249" i="2"/>
  <c r="J282" i="2"/>
  <c r="J314" i="2"/>
  <c r="J346" i="2"/>
  <c r="J377" i="2"/>
  <c r="J413" i="2"/>
  <c r="J446" i="2"/>
  <c r="J477" i="2"/>
  <c r="J508" i="2"/>
  <c r="J543" i="2"/>
  <c r="J574" i="2"/>
  <c r="J605" i="2"/>
  <c r="J640" i="2"/>
  <c r="J674" i="2"/>
  <c r="J706" i="2"/>
  <c r="J738" i="2"/>
  <c r="J769" i="2"/>
  <c r="J803" i="2"/>
  <c r="J834" i="2"/>
  <c r="J868" i="2"/>
  <c r="J901" i="2"/>
  <c r="J934" i="2"/>
  <c r="J967" i="2"/>
  <c r="J998" i="2"/>
  <c r="J1036" i="2"/>
  <c r="F1041" i="2"/>
  <c r="F1028" i="2"/>
  <c r="F1004" i="2"/>
  <c r="F980" i="2"/>
  <c r="G980" i="2" s="1"/>
  <c r="F956" i="2"/>
  <c r="G956" i="2" s="1"/>
  <c r="F932" i="2"/>
  <c r="G932" i="2" s="1"/>
  <c r="F908" i="2"/>
  <c r="G908" i="2" s="1"/>
  <c r="F884" i="2"/>
  <c r="G884" i="2" s="1"/>
  <c r="F860" i="2"/>
  <c r="G860" i="2" s="1"/>
  <c r="F836" i="2"/>
  <c r="G836" i="2" s="1"/>
  <c r="F812" i="2"/>
  <c r="G812" i="2" s="1"/>
  <c r="F788" i="2"/>
  <c r="G788" i="2" s="1"/>
  <c r="F764" i="2"/>
  <c r="G764" i="2" s="1"/>
  <c r="F740" i="2"/>
  <c r="G740" i="2" s="1"/>
  <c r="F716" i="2"/>
  <c r="G716" i="2" s="1"/>
  <c r="F692" i="2"/>
  <c r="G692" i="2" s="1"/>
  <c r="F668" i="2"/>
  <c r="G668" i="2" s="1"/>
  <c r="F644" i="2"/>
  <c r="G644" i="2" s="1"/>
  <c r="F620" i="2"/>
  <c r="G620" i="2" s="1"/>
  <c r="F596" i="2"/>
  <c r="G596" i="2" s="1"/>
  <c r="F572" i="2"/>
  <c r="G572" i="2" s="1"/>
  <c r="F548" i="2"/>
  <c r="G548" i="2" s="1"/>
  <c r="F524" i="2"/>
  <c r="G524" i="2" s="1"/>
  <c r="F500" i="2"/>
  <c r="G500" i="2" s="1"/>
  <c r="F476" i="2"/>
  <c r="G476" i="2" s="1"/>
  <c r="F452" i="2"/>
  <c r="G452" i="2" s="1"/>
  <c r="F428" i="2"/>
  <c r="G428" i="2" s="1"/>
  <c r="F404" i="2"/>
  <c r="G404" i="2" s="1"/>
  <c r="F380" i="2"/>
  <c r="G380" i="2" s="1"/>
  <c r="F356" i="2"/>
  <c r="G356" i="2" s="1"/>
  <c r="F332" i="2"/>
  <c r="G332" i="2" s="1"/>
  <c r="F308" i="2"/>
  <c r="G308" i="2" s="1"/>
  <c r="F284" i="2"/>
  <c r="G284" i="2" s="1"/>
  <c r="F260" i="2"/>
  <c r="G260" i="2" s="1"/>
  <c r="F236" i="2"/>
  <c r="G236" i="2" s="1"/>
  <c r="F212" i="2"/>
  <c r="G212" i="2" s="1"/>
  <c r="F188" i="2"/>
  <c r="G188" i="2" s="1"/>
  <c r="F164" i="2"/>
  <c r="G164" i="2" s="1"/>
  <c r="F140" i="2"/>
  <c r="G140" i="2" s="1"/>
  <c r="F116" i="2"/>
  <c r="G116" i="2" s="1"/>
  <c r="F92" i="2"/>
  <c r="G92" i="2" s="1"/>
  <c r="F68" i="2"/>
  <c r="G68" i="2" s="1"/>
  <c r="F44" i="2"/>
  <c r="G44" i="2" s="1"/>
  <c r="F20" i="2"/>
  <c r="G20" i="2" s="1"/>
  <c r="F1046" i="2"/>
  <c r="F1020" i="2"/>
  <c r="F995" i="2"/>
  <c r="G995" i="2" s="1"/>
  <c r="F970" i="2"/>
  <c r="G970" i="2" s="1"/>
  <c r="F945" i="2"/>
  <c r="G945" i="2" s="1"/>
  <c r="F920" i="2"/>
  <c r="G920" i="2" s="1"/>
  <c r="F895" i="2"/>
  <c r="G895" i="2" s="1"/>
  <c r="F870" i="2"/>
  <c r="G870" i="2" s="1"/>
  <c r="F845" i="2"/>
  <c r="G845" i="2" s="1"/>
  <c r="F820" i="2"/>
  <c r="G820" i="2" s="1"/>
  <c r="F795" i="2"/>
  <c r="G795" i="2" s="1"/>
  <c r="F770" i="2"/>
  <c r="G770" i="2" s="1"/>
  <c r="F745" i="2"/>
  <c r="G745" i="2" s="1"/>
  <c r="F720" i="2"/>
  <c r="G720" i="2" s="1"/>
  <c r="F695" i="2"/>
  <c r="G695" i="2" s="1"/>
  <c r="F670" i="2"/>
  <c r="G670" i="2" s="1"/>
  <c r="F645" i="2"/>
  <c r="G645" i="2" s="1"/>
  <c r="F619" i="2"/>
  <c r="G619" i="2" s="1"/>
  <c r="F594" i="2"/>
  <c r="G594" i="2" s="1"/>
  <c r="F569" i="2"/>
  <c r="G569" i="2" s="1"/>
  <c r="F1045" i="2"/>
  <c r="F1019" i="2"/>
  <c r="F994" i="2"/>
  <c r="G994" i="2" s="1"/>
  <c r="F969" i="2"/>
  <c r="G969" i="2" s="1"/>
  <c r="F944" i="2"/>
  <c r="G944" i="2" s="1"/>
  <c r="F919" i="2"/>
  <c r="G919" i="2" s="1"/>
  <c r="F894" i="2"/>
  <c r="G894" i="2" s="1"/>
  <c r="F869" i="2"/>
  <c r="G869" i="2" s="1"/>
  <c r="F844" i="2"/>
  <c r="G844" i="2" s="1"/>
  <c r="F819" i="2"/>
  <c r="G819" i="2" s="1"/>
  <c r="F28" i="2"/>
  <c r="G28" i="2" s="1"/>
  <c r="F53" i="2"/>
  <c r="G53" i="2" s="1"/>
  <c r="F78" i="2"/>
  <c r="G78" i="2" s="1"/>
  <c r="F103" i="2"/>
  <c r="G103" i="2" s="1"/>
  <c r="F128" i="2"/>
  <c r="G128" i="2" s="1"/>
  <c r="F153" i="2"/>
  <c r="G153" i="2" s="1"/>
  <c r="F178" i="2"/>
  <c r="G178" i="2" s="1"/>
  <c r="F203" i="2"/>
  <c r="G203" i="2" s="1"/>
  <c r="F228" i="2"/>
  <c r="G228" i="2" s="1"/>
  <c r="F253" i="2"/>
  <c r="G253" i="2" s="1"/>
  <c r="F278" i="2"/>
  <c r="G278" i="2" s="1"/>
  <c r="F303" i="2"/>
  <c r="G303" i="2" s="1"/>
  <c r="F328" i="2"/>
  <c r="G328" i="2" s="1"/>
  <c r="F353" i="2"/>
  <c r="G353" i="2" s="1"/>
  <c r="F378" i="2"/>
  <c r="G378" i="2" s="1"/>
  <c r="F403" i="2"/>
  <c r="G403" i="2" s="1"/>
  <c r="F429" i="2"/>
  <c r="G429" i="2" s="1"/>
  <c r="F454" i="2"/>
  <c r="G454" i="2" s="1"/>
  <c r="F479" i="2"/>
  <c r="G479" i="2" s="1"/>
  <c r="F504" i="2"/>
  <c r="G504" i="2" s="1"/>
  <c r="F529" i="2"/>
  <c r="G529" i="2" s="1"/>
  <c r="F554" i="2"/>
  <c r="G554" i="2" s="1"/>
  <c r="F580" i="2"/>
  <c r="G580" i="2" s="1"/>
  <c r="F606" i="2"/>
  <c r="G606" i="2" s="1"/>
  <c r="F632" i="2"/>
  <c r="G632" i="2" s="1"/>
  <c r="F658" i="2"/>
  <c r="G658" i="2" s="1"/>
  <c r="F684" i="2"/>
  <c r="G684" i="2" s="1"/>
  <c r="F710" i="2"/>
  <c r="G710" i="2" s="1"/>
  <c r="F736" i="2"/>
  <c r="G736" i="2" s="1"/>
  <c r="F762" i="2"/>
  <c r="G762" i="2" s="1"/>
  <c r="F789" i="2"/>
  <c r="G789" i="2" s="1"/>
  <c r="F815" i="2"/>
  <c r="G815" i="2" s="1"/>
  <c r="F842" i="2"/>
  <c r="G842" i="2" s="1"/>
  <c r="F871" i="2"/>
  <c r="G871" i="2" s="1"/>
  <c r="F898" i="2"/>
  <c r="G898" i="2" s="1"/>
  <c r="F925" i="2"/>
  <c r="G925" i="2" s="1"/>
  <c r="F952" i="2"/>
  <c r="G952" i="2" s="1"/>
  <c r="F979" i="2"/>
  <c r="G979" i="2" s="1"/>
  <c r="F1007" i="2"/>
  <c r="F1034" i="2"/>
  <c r="J24" i="2"/>
  <c r="J56" i="2"/>
  <c r="J88" i="2"/>
  <c r="J119" i="2"/>
  <c r="J155" i="2"/>
  <c r="J188" i="2"/>
  <c r="J219" i="2"/>
  <c r="J251" i="2"/>
  <c r="J284" i="2"/>
  <c r="J316" i="2"/>
  <c r="J348" i="2"/>
  <c r="J381" i="2"/>
  <c r="J417" i="2"/>
  <c r="J448" i="2"/>
  <c r="J479" i="2"/>
  <c r="J511" i="2"/>
  <c r="J545" i="2"/>
  <c r="J576" i="2"/>
  <c r="J610" i="2"/>
  <c r="J643" i="2"/>
  <c r="J676" i="2"/>
  <c r="J708" i="2"/>
  <c r="J740" i="2"/>
  <c r="J771" i="2"/>
  <c r="J805" i="2"/>
  <c r="J839" i="2"/>
  <c r="J872" i="2"/>
  <c r="J903" i="2"/>
  <c r="J936" i="2"/>
  <c r="J969" i="2"/>
  <c r="J1000" i="2"/>
  <c r="J1038" i="2"/>
  <c r="J23" i="2"/>
  <c r="J55" i="2"/>
  <c r="J87" i="2"/>
  <c r="J118" i="2"/>
  <c r="J154" i="2"/>
  <c r="J187" i="2"/>
  <c r="J218" i="2"/>
  <c r="J250" i="2"/>
  <c r="J283" i="2"/>
  <c r="J315" i="2"/>
  <c r="J347" i="2"/>
  <c r="J380" i="2"/>
  <c r="J416" i="2"/>
  <c r="J447" i="2"/>
  <c r="J478" i="2"/>
  <c r="J509" i="2"/>
  <c r="J544" i="2"/>
  <c r="J575" i="2"/>
  <c r="J609" i="2"/>
  <c r="J642" i="2"/>
  <c r="J675" i="2"/>
  <c r="J707" i="2"/>
  <c r="J739" i="2"/>
  <c r="J770" i="2"/>
  <c r="J804" i="2"/>
  <c r="J838" i="2"/>
  <c r="J871" i="2"/>
  <c r="J902" i="2"/>
  <c r="J935" i="2"/>
  <c r="J968" i="2"/>
  <c r="J999" i="2"/>
  <c r="J1037" i="2"/>
  <c r="F4" i="2"/>
  <c r="G4" i="2" s="1"/>
  <c r="F29" i="2"/>
  <c r="G29" i="2" s="1"/>
  <c r="F54" i="2"/>
  <c r="G54" i="2" s="1"/>
  <c r="F79" i="2"/>
  <c r="G79" i="2" s="1"/>
  <c r="F104" i="2"/>
  <c r="G104" i="2" s="1"/>
  <c r="F129" i="2"/>
  <c r="G129" i="2" s="1"/>
  <c r="F154" i="2"/>
  <c r="G154" i="2" s="1"/>
  <c r="F179" i="2"/>
  <c r="G179" i="2" s="1"/>
  <c r="F204" i="2"/>
  <c r="G204" i="2" s="1"/>
  <c r="F229" i="2"/>
  <c r="G229" i="2" s="1"/>
  <c r="F254" i="2"/>
  <c r="G254" i="2" s="1"/>
  <c r="F279" i="2"/>
  <c r="G279" i="2" s="1"/>
  <c r="F304" i="2"/>
  <c r="G304" i="2" s="1"/>
  <c r="F329" i="2"/>
  <c r="G329" i="2" s="1"/>
  <c r="F354" i="2"/>
  <c r="G354" i="2" s="1"/>
  <c r="F379" i="2"/>
  <c r="G379" i="2" s="1"/>
  <c r="F405" i="2"/>
  <c r="G405" i="2" s="1"/>
  <c r="F430" i="2"/>
  <c r="G430" i="2" s="1"/>
  <c r="F455" i="2"/>
  <c r="G455" i="2" s="1"/>
  <c r="F480" i="2"/>
  <c r="G480" i="2" s="1"/>
  <c r="F505" i="2"/>
  <c r="G505" i="2" s="1"/>
  <c r="F530" i="2"/>
  <c r="G530" i="2" s="1"/>
  <c r="F555" i="2"/>
  <c r="G555" i="2" s="1"/>
  <c r="F581" i="2"/>
  <c r="G581" i="2" s="1"/>
  <c r="F607" i="2"/>
  <c r="G607" i="2" s="1"/>
  <c r="F633" i="2"/>
  <c r="G633" i="2" s="1"/>
  <c r="F659" i="2"/>
  <c r="G659" i="2" s="1"/>
  <c r="F685" i="2"/>
  <c r="G685" i="2" s="1"/>
  <c r="F711" i="2"/>
  <c r="G711" i="2" s="1"/>
  <c r="F737" i="2"/>
  <c r="G737" i="2" s="1"/>
  <c r="F763" i="2"/>
  <c r="G763" i="2" s="1"/>
  <c r="F790" i="2"/>
  <c r="G790" i="2" s="1"/>
  <c r="F816" i="2"/>
  <c r="G816" i="2" s="1"/>
  <c r="F843" i="2"/>
  <c r="G843" i="2" s="1"/>
  <c r="F872" i="2"/>
  <c r="G872" i="2" s="1"/>
  <c r="F899" i="2"/>
  <c r="G899" i="2" s="1"/>
  <c r="F926" i="2"/>
  <c r="G926" i="2" s="1"/>
  <c r="F953" i="2"/>
  <c r="G953" i="2" s="1"/>
  <c r="F981" i="2"/>
  <c r="G981" i="2" s="1"/>
  <c r="F1008" i="2"/>
  <c r="F1035" i="2"/>
  <c r="J25" i="2"/>
  <c r="J57" i="2"/>
  <c r="J89" i="2"/>
  <c r="J120" i="2"/>
  <c r="J156" i="2"/>
  <c r="J189" i="2"/>
  <c r="J220" i="2"/>
  <c r="J254" i="2"/>
  <c r="J285" i="2"/>
  <c r="J317" i="2"/>
  <c r="J349" i="2"/>
  <c r="J384" i="2"/>
  <c r="J418" i="2"/>
  <c r="J449" i="2"/>
  <c r="J480" i="2"/>
  <c r="J513" i="2"/>
  <c r="J546" i="2"/>
  <c r="J577" i="2"/>
  <c r="J611" i="2"/>
  <c r="J646" i="2"/>
  <c r="J677" i="2"/>
  <c r="J709" i="2"/>
  <c r="J741" i="2"/>
  <c r="J772" i="2"/>
  <c r="J806" i="2"/>
  <c r="J840" i="2"/>
  <c r="J873" i="2"/>
  <c r="J904" i="2"/>
  <c r="J938" i="2"/>
  <c r="J970" i="2"/>
  <c r="J1004" i="2"/>
  <c r="J1039" i="2"/>
  <c r="J26" i="2"/>
  <c r="J58" i="2"/>
  <c r="J90" i="2"/>
  <c r="J125" i="2"/>
  <c r="J158" i="2"/>
  <c r="J190" i="2"/>
  <c r="J221" i="2"/>
  <c r="J255" i="2"/>
  <c r="J287" i="2"/>
  <c r="J319" i="2"/>
  <c r="J352" i="2"/>
  <c r="J387" i="2"/>
  <c r="J419" i="2"/>
  <c r="J450" i="2"/>
  <c r="J481" i="2"/>
  <c r="J516" i="2"/>
  <c r="J547" i="2"/>
  <c r="J580" i="2"/>
  <c r="J614" i="2"/>
  <c r="J647" i="2"/>
  <c r="J679" i="2"/>
  <c r="J710" i="2"/>
  <c r="J742" i="2"/>
  <c r="J773" i="2"/>
  <c r="J809" i="2"/>
  <c r="J842" i="2"/>
  <c r="J874" i="2"/>
  <c r="J907" i="2"/>
  <c r="J939" i="2"/>
  <c r="J971" i="2"/>
  <c r="J1005" i="2"/>
  <c r="J1046" i="2"/>
  <c r="J27" i="2"/>
  <c r="J59" i="2"/>
  <c r="J91" i="2"/>
  <c r="J127" i="2"/>
  <c r="J159" i="2"/>
  <c r="J191" i="2"/>
  <c r="J223" i="2"/>
  <c r="J256" i="2"/>
  <c r="J288" i="2"/>
  <c r="J320" i="2"/>
  <c r="J353" i="2"/>
  <c r="J388" i="2"/>
  <c r="J420" i="2"/>
  <c r="J451" i="2"/>
  <c r="J482" i="2"/>
  <c r="J517" i="2"/>
  <c r="J548" i="2"/>
  <c r="J581" i="2"/>
  <c r="J615" i="2"/>
  <c r="J648" i="2"/>
  <c r="J680" i="2"/>
  <c r="J711" i="2"/>
  <c r="J743" i="2"/>
  <c r="J777" i="2"/>
  <c r="J810" i="2"/>
  <c r="J843" i="2"/>
  <c r="J875" i="2"/>
  <c r="J908" i="2"/>
  <c r="J940" i="2"/>
  <c r="J972" i="2"/>
  <c r="J1006" i="2"/>
  <c r="J28" i="2"/>
  <c r="J60" i="2"/>
  <c r="J92" i="2"/>
  <c r="J128" i="2"/>
  <c r="J160" i="2"/>
  <c r="J192" i="2"/>
  <c r="J224" i="2"/>
  <c r="J257" i="2"/>
  <c r="J289" i="2"/>
  <c r="J321" i="2"/>
  <c r="J354" i="2"/>
  <c r="J389" i="2"/>
  <c r="J421" i="2"/>
  <c r="J452" i="2"/>
  <c r="J483" i="2"/>
  <c r="J518" i="2"/>
  <c r="J549" i="2"/>
  <c r="J583" i="2"/>
  <c r="J616" i="2"/>
  <c r="J649" i="2"/>
  <c r="J681" i="2"/>
  <c r="J713" i="2"/>
  <c r="J744" i="2"/>
  <c r="J778" i="2"/>
  <c r="J811" i="2"/>
  <c r="J844" i="2"/>
  <c r="J876" i="2"/>
  <c r="J909" i="2"/>
  <c r="J941" i="2"/>
  <c r="J973" i="2"/>
  <c r="J1007" i="2"/>
  <c r="F158" i="2"/>
  <c r="G158" i="2" s="1"/>
  <c r="F183" i="2"/>
  <c r="G183" i="2" s="1"/>
  <c r="F208" i="2"/>
  <c r="G208" i="2" s="1"/>
  <c r="F233" i="2"/>
  <c r="G233" i="2" s="1"/>
  <c r="F258" i="2"/>
  <c r="G258" i="2" s="1"/>
  <c r="F283" i="2"/>
  <c r="G283" i="2" s="1"/>
  <c r="F309" i="2"/>
  <c r="G309" i="2" s="1"/>
  <c r="F334" i="2"/>
  <c r="G334" i="2" s="1"/>
  <c r="F359" i="2"/>
  <c r="G359" i="2" s="1"/>
  <c r="F384" i="2"/>
  <c r="G384" i="2" s="1"/>
  <c r="F409" i="2"/>
  <c r="G409" i="2" s="1"/>
  <c r="F434" i="2"/>
  <c r="G434" i="2" s="1"/>
  <c r="F459" i="2"/>
  <c r="G459" i="2" s="1"/>
  <c r="F484" i="2"/>
  <c r="G484" i="2" s="1"/>
  <c r="F509" i="2"/>
  <c r="G509" i="2" s="1"/>
  <c r="F534" i="2"/>
  <c r="G534" i="2" s="1"/>
  <c r="F559" i="2"/>
  <c r="G559" i="2" s="1"/>
  <c r="F585" i="2"/>
  <c r="G585" i="2" s="1"/>
  <c r="F611" i="2"/>
  <c r="G611" i="2" s="1"/>
  <c r="F637" i="2"/>
  <c r="G637" i="2" s="1"/>
  <c r="F663" i="2"/>
  <c r="G663" i="2" s="1"/>
  <c r="F689" i="2"/>
  <c r="G689" i="2" s="1"/>
  <c r="F715" i="2"/>
  <c r="G715" i="2" s="1"/>
  <c r="F742" i="2"/>
  <c r="G742" i="2" s="1"/>
  <c r="F768" i="2"/>
  <c r="G768" i="2" s="1"/>
  <c r="F794" i="2"/>
  <c r="G794" i="2" s="1"/>
  <c r="F822" i="2"/>
  <c r="G822" i="2" s="1"/>
  <c r="F849" i="2"/>
  <c r="G849" i="2" s="1"/>
  <c r="F876" i="2"/>
  <c r="G876" i="2" s="1"/>
  <c r="F903" i="2"/>
  <c r="G903" i="2" s="1"/>
  <c r="F930" i="2"/>
  <c r="G930" i="2" s="1"/>
  <c r="F958" i="2"/>
  <c r="G958" i="2" s="1"/>
  <c r="F985" i="2"/>
  <c r="G985" i="2" s="1"/>
  <c r="F1012" i="2"/>
  <c r="F1039" i="2"/>
  <c r="J29" i="2"/>
  <c r="J62" i="2"/>
  <c r="J97" i="2"/>
  <c r="J130" i="2"/>
  <c r="J162" i="2"/>
  <c r="J193" i="2"/>
  <c r="J225" i="2"/>
  <c r="J258" i="2"/>
  <c r="J290" i="2"/>
  <c r="J324" i="2"/>
  <c r="J358" i="2"/>
  <c r="J391" i="2"/>
  <c r="J422" i="2"/>
  <c r="J453" i="2"/>
  <c r="J484" i="2"/>
  <c r="J519" i="2"/>
  <c r="J552" i="2"/>
  <c r="J585" i="2"/>
  <c r="J617" i="2"/>
  <c r="J650" i="2"/>
  <c r="J682" i="2"/>
  <c r="J714" i="2"/>
  <c r="J745" i="2"/>
  <c r="J781" i="2"/>
  <c r="J814" i="2"/>
  <c r="J845" i="2"/>
  <c r="J877" i="2"/>
  <c r="J910" i="2"/>
  <c r="J943" i="2"/>
  <c r="J974" i="2"/>
  <c r="J1010" i="2"/>
  <c r="J31" i="2"/>
  <c r="J63" i="2"/>
  <c r="J98" i="2"/>
  <c r="J131" i="2"/>
  <c r="J163" i="2"/>
  <c r="J194" i="2"/>
  <c r="J228" i="2"/>
  <c r="J259" i="2"/>
  <c r="J291" i="2"/>
  <c r="J325" i="2"/>
  <c r="J359" i="2"/>
  <c r="J392" i="2"/>
  <c r="J423" i="2"/>
  <c r="J454" i="2"/>
  <c r="J485" i="2"/>
  <c r="J520" i="2"/>
  <c r="J553" i="2"/>
  <c r="J586" i="2"/>
  <c r="J620" i="2"/>
  <c r="J651" i="2"/>
  <c r="J683" i="2"/>
  <c r="J715" i="2"/>
  <c r="J746" i="2"/>
  <c r="J782" i="2"/>
  <c r="J815" i="2"/>
  <c r="J847" i="2"/>
  <c r="J878" i="2"/>
  <c r="J911" i="2"/>
  <c r="J944" i="2"/>
  <c r="J975" i="2"/>
  <c r="J1011" i="2"/>
  <c r="J32" i="2"/>
  <c r="J64" i="2"/>
  <c r="J99" i="2"/>
  <c r="J132" i="2"/>
  <c r="J164" i="2"/>
  <c r="J195" i="2"/>
  <c r="J229" i="2"/>
  <c r="J260" i="2"/>
  <c r="J292" i="2"/>
  <c r="J326" i="2"/>
  <c r="J360" i="2"/>
  <c r="J393" i="2"/>
  <c r="J424" i="2"/>
  <c r="J455" i="2"/>
  <c r="J490" i="2"/>
  <c r="J521" i="2"/>
  <c r="J554" i="2"/>
  <c r="J588" i="2"/>
  <c r="J621" i="2"/>
  <c r="J652" i="2"/>
  <c r="J684" i="2"/>
  <c r="J716" i="2"/>
  <c r="J747" i="2"/>
  <c r="J783" i="2"/>
  <c r="J816" i="2"/>
  <c r="J848" i="2"/>
  <c r="J881" i="2"/>
  <c r="J913" i="2"/>
  <c r="J945" i="2"/>
  <c r="J976" i="2"/>
  <c r="J1014" i="2"/>
  <c r="I24" i="2"/>
  <c r="I50" i="2"/>
  <c r="I76" i="2"/>
  <c r="I102" i="2"/>
  <c r="I128" i="2"/>
  <c r="I154" i="2"/>
  <c r="I180" i="2"/>
  <c r="I207" i="2"/>
  <c r="I233" i="2"/>
  <c r="I260" i="2"/>
  <c r="I286" i="2"/>
  <c r="I312" i="2"/>
  <c r="I338" i="2"/>
  <c r="I365" i="2"/>
  <c r="I392" i="2"/>
  <c r="I419" i="2"/>
  <c r="I446" i="2"/>
  <c r="I473" i="2"/>
  <c r="I501" i="2"/>
  <c r="I528" i="2"/>
  <c r="I556" i="2"/>
  <c r="I583" i="2"/>
  <c r="I610" i="2"/>
  <c r="I637" i="2"/>
  <c r="I664" i="2"/>
  <c r="I692" i="2"/>
  <c r="I719" i="2"/>
  <c r="I746" i="2"/>
  <c r="I773" i="2"/>
  <c r="I800" i="2"/>
  <c r="I828" i="2"/>
  <c r="I856" i="2"/>
  <c r="I884" i="2"/>
  <c r="I912" i="2"/>
  <c r="I940" i="2"/>
  <c r="I968" i="2"/>
  <c r="I996" i="2"/>
  <c r="I1024" i="2"/>
  <c r="I25" i="2"/>
  <c r="I51" i="2"/>
  <c r="I77" i="2"/>
  <c r="I103" i="2"/>
  <c r="I129" i="2"/>
  <c r="I155" i="2"/>
  <c r="I182" i="2"/>
  <c r="I208" i="2"/>
  <c r="I235" i="2"/>
  <c r="I261" i="2"/>
  <c r="I287" i="2"/>
  <c r="I313" i="2"/>
  <c r="I339" i="2"/>
  <c r="I366" i="2"/>
  <c r="I393" i="2"/>
  <c r="I420" i="2"/>
  <c r="I447" i="2"/>
  <c r="I474" i="2"/>
  <c r="I502" i="2"/>
  <c r="I529" i="2"/>
  <c r="I557" i="2"/>
  <c r="I584" i="2"/>
  <c r="I611" i="2"/>
  <c r="I638" i="2"/>
  <c r="I665" i="2"/>
  <c r="I693" i="2"/>
  <c r="I720" i="2"/>
  <c r="I747" i="2"/>
  <c r="I774" i="2"/>
  <c r="I802" i="2"/>
  <c r="I829" i="2"/>
  <c r="I857" i="2"/>
  <c r="I885" i="2"/>
  <c r="I913" i="2"/>
  <c r="I941" i="2"/>
  <c r="I969" i="2"/>
  <c r="I997" i="2"/>
  <c r="I1027" i="2"/>
  <c r="I1003" i="2"/>
  <c r="I979" i="2"/>
  <c r="I955" i="2"/>
  <c r="I931" i="2"/>
  <c r="I907" i="2"/>
  <c r="I883" i="2"/>
  <c r="I859" i="2"/>
  <c r="I835" i="2"/>
  <c r="I811" i="2"/>
  <c r="I787" i="2"/>
  <c r="I763" i="2"/>
  <c r="I739" i="2"/>
  <c r="I715" i="2"/>
  <c r="I691" i="2"/>
  <c r="I667" i="2"/>
  <c r="I643" i="2"/>
  <c r="I619" i="2"/>
  <c r="I595" i="2"/>
  <c r="I571" i="2"/>
  <c r="I547" i="2"/>
  <c r="I523" i="2"/>
  <c r="I499" i="2"/>
  <c r="I475" i="2"/>
  <c r="I451" i="2"/>
  <c r="I427" i="2"/>
  <c r="I403" i="2"/>
  <c r="I379" i="2"/>
  <c r="I355" i="2"/>
  <c r="I1031" i="2"/>
  <c r="I1006" i="2"/>
  <c r="I981" i="2"/>
  <c r="I956" i="2"/>
  <c r="I930" i="2"/>
  <c r="I905" i="2"/>
  <c r="I880" i="2"/>
  <c r="I855" i="2"/>
  <c r="I830" i="2"/>
  <c r="I805" i="2"/>
  <c r="I780" i="2"/>
  <c r="I755" i="2"/>
  <c r="I730" i="2"/>
  <c r="I705" i="2"/>
  <c r="I680" i="2"/>
  <c r="I655" i="2"/>
  <c r="I630" i="2"/>
  <c r="I605" i="2"/>
  <c r="I580" i="2"/>
  <c r="I555" i="2"/>
  <c r="I530" i="2"/>
  <c r="I505" i="2"/>
  <c r="I480" i="2"/>
  <c r="I455" i="2"/>
  <c r="I430" i="2"/>
  <c r="I405" i="2"/>
  <c r="I380" i="2"/>
  <c r="I354" i="2"/>
  <c r="I330" i="2"/>
  <c r="I306" i="2"/>
  <c r="I282" i="2"/>
  <c r="I258" i="2"/>
  <c r="I234" i="2"/>
  <c r="I210" i="2"/>
  <c r="I186" i="2"/>
  <c r="I162" i="2"/>
  <c r="I138" i="2"/>
  <c r="I114" i="2"/>
  <c r="I90" i="2"/>
  <c r="I66" i="2"/>
  <c r="I42" i="2"/>
  <c r="I18" i="2"/>
  <c r="I1037" i="2"/>
  <c r="I1011" i="2"/>
  <c r="I985" i="2"/>
  <c r="I959" i="2"/>
  <c r="I933" i="2"/>
  <c r="I906" i="2"/>
  <c r="I879" i="2"/>
  <c r="I853" i="2"/>
  <c r="I827" i="2"/>
  <c r="I801" i="2"/>
  <c r="I775" i="2"/>
  <c r="I749" i="2"/>
  <c r="I723" i="2"/>
  <c r="I697" i="2"/>
  <c r="I671" i="2"/>
  <c r="I645" i="2"/>
  <c r="I618" i="2"/>
  <c r="I592" i="2"/>
  <c r="I566" i="2"/>
  <c r="I540" i="2"/>
  <c r="I514" i="2"/>
  <c r="I488" i="2"/>
  <c r="I462" i="2"/>
  <c r="I436" i="2"/>
  <c r="I410" i="2"/>
  <c r="I384" i="2"/>
  <c r="I358" i="2"/>
  <c r="I332" i="2"/>
  <c r="I307" i="2"/>
  <c r="I281" i="2"/>
  <c r="I256" i="2"/>
  <c r="I231" i="2"/>
  <c r="I206" i="2"/>
  <c r="I181" i="2"/>
  <c r="I156" i="2"/>
  <c r="I131" i="2"/>
  <c r="I106" i="2"/>
  <c r="I81" i="2"/>
  <c r="I56" i="2"/>
  <c r="I31" i="2"/>
  <c r="I6" i="2"/>
  <c r="I1036" i="2"/>
  <c r="I1010" i="2"/>
  <c r="I984" i="2"/>
  <c r="I958" i="2"/>
  <c r="I932" i="2"/>
  <c r="I904" i="2"/>
  <c r="I29" i="2"/>
  <c r="I55" i="2"/>
  <c r="I82" i="2"/>
  <c r="I108" i="2"/>
  <c r="I134" i="2"/>
  <c r="I160" i="2"/>
  <c r="I187" i="2"/>
  <c r="I213" i="2"/>
  <c r="I239" i="2"/>
  <c r="I265" i="2"/>
  <c r="I291" i="2"/>
  <c r="I317" i="2"/>
  <c r="I343" i="2"/>
  <c r="I370" i="2"/>
  <c r="I397" i="2"/>
  <c r="I424" i="2"/>
  <c r="I452" i="2"/>
  <c r="I479" i="2"/>
  <c r="I507" i="2"/>
  <c r="I534" i="2"/>
  <c r="I561" i="2"/>
  <c r="I588" i="2"/>
  <c r="I615" i="2"/>
  <c r="I642" i="2"/>
  <c r="I670" i="2"/>
  <c r="I698" i="2"/>
  <c r="I725" i="2"/>
  <c r="I752" i="2"/>
  <c r="I779" i="2"/>
  <c r="I807" i="2"/>
  <c r="I834" i="2"/>
  <c r="I862" i="2"/>
  <c r="I889" i="2"/>
  <c r="I917" i="2"/>
  <c r="I945" i="2"/>
  <c r="I973" i="2"/>
  <c r="I1001" i="2"/>
  <c r="I1030" i="2"/>
  <c r="Q6" i="2"/>
  <c r="Q83" i="2"/>
  <c r="Q177" i="2"/>
  <c r="Q267" i="2"/>
  <c r="Q362" i="2"/>
  <c r="Q470" i="2"/>
  <c r="Q582" i="2"/>
  <c r="Q677" i="2"/>
  <c r="Q779" i="2"/>
  <c r="Q897" i="2"/>
  <c r="Q992" i="2"/>
  <c r="Q17" i="2"/>
  <c r="Q84" i="2"/>
  <c r="Q179" i="2"/>
  <c r="Q278" i="2"/>
  <c r="Q363" i="2"/>
  <c r="Q474" i="2"/>
  <c r="Q593" i="2"/>
  <c r="Q678" i="2"/>
  <c r="Q780" i="2"/>
  <c r="Q900" i="2"/>
  <c r="Q1019" i="2"/>
  <c r="Q18" i="2"/>
  <c r="Q92" i="2"/>
  <c r="Q180" i="2"/>
  <c r="Q281" i="2"/>
  <c r="Q375" i="2"/>
  <c r="Q476" i="2"/>
  <c r="Q594" i="2"/>
  <c r="Q681" i="2"/>
  <c r="Q782" i="2"/>
  <c r="Q902" i="2"/>
  <c r="Q1023" i="2"/>
  <c r="Q20" i="2"/>
  <c r="Q93" i="2"/>
  <c r="Q182" i="2"/>
  <c r="Q291" i="2"/>
  <c r="Q377" i="2"/>
  <c r="Q479" i="2"/>
  <c r="Q596" i="2"/>
  <c r="Q705" i="2"/>
  <c r="Q794" i="2"/>
  <c r="Q906" i="2"/>
  <c r="Q1025" i="2"/>
  <c r="Q21" i="2"/>
  <c r="Q95" i="2"/>
  <c r="Q183" i="2"/>
  <c r="Q294" i="2"/>
  <c r="Q378" i="2"/>
  <c r="Q480" i="2"/>
  <c r="Q597" i="2"/>
  <c r="Q707" i="2"/>
  <c r="Q807" i="2"/>
  <c r="Q908" i="2"/>
  <c r="Q1026" i="2"/>
  <c r="Q23" i="2"/>
  <c r="Q96" i="2"/>
  <c r="Q186" i="2"/>
  <c r="Q296" i="2"/>
  <c r="Q402" i="2"/>
  <c r="Q489" i="2"/>
  <c r="Q599" i="2"/>
  <c r="Q708" i="2"/>
  <c r="Q809" i="2"/>
  <c r="Q911" i="2"/>
  <c r="Q1028" i="2"/>
  <c r="Q24" i="2"/>
  <c r="Q107" i="2"/>
  <c r="Q188" i="2"/>
  <c r="Q299" i="2"/>
  <c r="Q404" i="2"/>
  <c r="Q498" i="2"/>
  <c r="Q600" i="2"/>
  <c r="Q710" i="2"/>
  <c r="Q810" i="2"/>
  <c r="Q912" i="2"/>
  <c r="Q1029" i="2"/>
  <c r="Q26" i="2"/>
  <c r="Q119" i="2"/>
  <c r="Q198" i="2"/>
  <c r="Q300" i="2"/>
  <c r="Q407" i="2"/>
  <c r="Q501" i="2"/>
  <c r="Q602" i="2"/>
  <c r="Q713" i="2"/>
  <c r="Q822" i="2"/>
  <c r="Q915" i="2"/>
  <c r="Q1031" i="2"/>
  <c r="Q29" i="2"/>
  <c r="Q120" i="2"/>
  <c r="Q206" i="2"/>
  <c r="Q303" i="2"/>
  <c r="Q408" i="2"/>
  <c r="Q504" i="2"/>
  <c r="Q605" i="2"/>
  <c r="Q714" i="2"/>
  <c r="Q825" i="2"/>
  <c r="Q923" i="2"/>
  <c r="Q1032" i="2"/>
  <c r="Q30" i="2"/>
  <c r="Q123" i="2"/>
  <c r="Q209" i="2"/>
  <c r="Q305" i="2"/>
  <c r="Q411" i="2"/>
  <c r="Q521" i="2"/>
  <c r="Q606" i="2"/>
  <c r="Q717" i="2"/>
  <c r="Q828" i="2"/>
  <c r="Q924" i="2"/>
  <c r="Q1034" i="2"/>
  <c r="Q38" i="2"/>
  <c r="Q125" i="2"/>
  <c r="Q210" i="2"/>
  <c r="Q306" i="2"/>
  <c r="Q413" i="2"/>
  <c r="Q522" i="2"/>
  <c r="Q620" i="2"/>
  <c r="Q720" i="2"/>
  <c r="Q830" i="2"/>
  <c r="Q926" i="2"/>
  <c r="Q1037" i="2"/>
  <c r="Q39" i="2"/>
  <c r="Q126" i="2"/>
  <c r="Q224" i="2"/>
  <c r="Q308" i="2"/>
  <c r="Q414" i="2"/>
  <c r="Q524" i="2"/>
  <c r="Q623" i="2"/>
  <c r="Q722" i="2"/>
  <c r="Q834" i="2"/>
  <c r="Q953" i="2"/>
  <c r="Q1038" i="2"/>
  <c r="Q42" i="2"/>
  <c r="Q128" i="2"/>
  <c r="Q227" i="2"/>
  <c r="Q317" i="2"/>
  <c r="Q416" i="2"/>
  <c r="Q525" i="2"/>
  <c r="Q624" i="2"/>
  <c r="Q726" i="2"/>
  <c r="Q836" i="2"/>
  <c r="Q954" i="2"/>
  <c r="Q44" i="2"/>
  <c r="Q129" i="2"/>
  <c r="Q228" i="2"/>
  <c r="Q318" i="2"/>
  <c r="Q417" i="2"/>
  <c r="Q527" i="2"/>
  <c r="Q645" i="2"/>
  <c r="Q728" i="2"/>
  <c r="Q846" i="2"/>
  <c r="Q956" i="2"/>
  <c r="Q47" i="2"/>
  <c r="Q131" i="2"/>
  <c r="Q231" i="2"/>
  <c r="Q321" i="2"/>
  <c r="Q419" i="2"/>
  <c r="Q528" i="2"/>
  <c r="Q648" i="2"/>
  <c r="Q744" i="2"/>
  <c r="Q848" i="2"/>
  <c r="Q957" i="2"/>
  <c r="Q65" i="2"/>
  <c r="Q132" i="2"/>
  <c r="Q233" i="2"/>
  <c r="Q344" i="2"/>
  <c r="Q420" i="2"/>
  <c r="Q540" i="2"/>
  <c r="Q650" i="2"/>
  <c r="Q746" i="2"/>
  <c r="Q849" i="2"/>
  <c r="Q959" i="2"/>
  <c r="Q66" i="2"/>
  <c r="Q134" i="2"/>
  <c r="Q234" i="2"/>
  <c r="Q345" i="2"/>
  <c r="Q443" i="2"/>
  <c r="Q542" i="2"/>
  <c r="Q654" i="2"/>
  <c r="Q749" i="2"/>
  <c r="Q851" i="2"/>
  <c r="Q960" i="2"/>
  <c r="Q69" i="2"/>
  <c r="Q137" i="2"/>
  <c r="Q242" i="2"/>
  <c r="Q347" i="2"/>
  <c r="Q444" i="2"/>
  <c r="Q546" i="2"/>
  <c r="Q656" i="2"/>
  <c r="Q767" i="2"/>
  <c r="Q852" i="2"/>
  <c r="Q962" i="2"/>
  <c r="Q71" i="2"/>
  <c r="Q155" i="2"/>
  <c r="Q245" i="2"/>
  <c r="Q348" i="2"/>
  <c r="Q447" i="2"/>
  <c r="Q548" i="2"/>
  <c r="Q659" i="2"/>
  <c r="Q768" i="2"/>
  <c r="Q864" i="2"/>
  <c r="Q965" i="2"/>
  <c r="Q72" i="2"/>
  <c r="Q156" i="2"/>
  <c r="Q246" i="2"/>
  <c r="Q350" i="2"/>
  <c r="Q458" i="2"/>
  <c r="Q551" i="2"/>
  <c r="Q660" i="2"/>
  <c r="Q771" i="2"/>
  <c r="Q866" i="2"/>
  <c r="Q966" i="2"/>
  <c r="Q74" i="2"/>
  <c r="Q159" i="2"/>
  <c r="Q249" i="2"/>
  <c r="Q353" i="2"/>
  <c r="Q461" i="2"/>
  <c r="Q560" i="2"/>
  <c r="Q663" i="2"/>
  <c r="Q773" i="2"/>
  <c r="Q870" i="2"/>
  <c r="Q969" i="2"/>
  <c r="Q75" i="2"/>
  <c r="Q170" i="2"/>
  <c r="Q252" i="2"/>
  <c r="Q354" i="2"/>
  <c r="Q462" i="2"/>
  <c r="Q561" i="2"/>
  <c r="Q665" i="2"/>
  <c r="Q774" i="2"/>
  <c r="Q884" i="2"/>
  <c r="Q972" i="2"/>
  <c r="Q78" i="2"/>
  <c r="Q173" i="2"/>
  <c r="Q263" i="2"/>
  <c r="Q357" i="2"/>
  <c r="Q465" i="2"/>
  <c r="Q563" i="2"/>
  <c r="Q666" i="2"/>
  <c r="Q776" i="2"/>
  <c r="Q885" i="2"/>
  <c r="Q1039" i="2"/>
  <c r="Q1015" i="2"/>
  <c r="Q991" i="2"/>
  <c r="Q967" i="2"/>
  <c r="Q943" i="2"/>
  <c r="Q919" i="2"/>
  <c r="Q895" i="2"/>
  <c r="Q871" i="2"/>
  <c r="Q847" i="2"/>
  <c r="Q823" i="2"/>
  <c r="Q799" i="2"/>
  <c r="Q775" i="2"/>
  <c r="Q751" i="2"/>
  <c r="Q727" i="2"/>
  <c r="Q703" i="2"/>
  <c r="Q679" i="2"/>
  <c r="Q655" i="2"/>
  <c r="Q631" i="2"/>
  <c r="Q607" i="2"/>
  <c r="Q583" i="2"/>
  <c r="Q559" i="2"/>
  <c r="Q535" i="2"/>
  <c r="Q511" i="2"/>
  <c r="Q487" i="2"/>
  <c r="Q463" i="2"/>
  <c r="Q439" i="2"/>
  <c r="Q415" i="2"/>
  <c r="Q391" i="2"/>
  <c r="Q367" i="2"/>
  <c r="Q343" i="2"/>
  <c r="Q319" i="2"/>
  <c r="Q295" i="2"/>
  <c r="Q271" i="2"/>
  <c r="Q247" i="2"/>
  <c r="Q223" i="2"/>
  <c r="Q199" i="2"/>
  <c r="Q175" i="2"/>
  <c r="Q151" i="2"/>
  <c r="Q127" i="2"/>
  <c r="Q103" i="2"/>
  <c r="Q79" i="2"/>
  <c r="Q55" i="2"/>
  <c r="Q31" i="2"/>
  <c r="Q7" i="2"/>
  <c r="Q1036" i="2"/>
  <c r="Q1012" i="2"/>
  <c r="Q988" i="2"/>
  <c r="Q964" i="2"/>
  <c r="Q940" i="2"/>
  <c r="Q916" i="2"/>
  <c r="Q892" i="2"/>
  <c r="Q868" i="2"/>
  <c r="Q844" i="2"/>
  <c r="Q820" i="2"/>
  <c r="Q796" i="2"/>
  <c r="Q772" i="2"/>
  <c r="Q748" i="2"/>
  <c r="Q724" i="2"/>
  <c r="Q700" i="2"/>
  <c r="Q676" i="2"/>
  <c r="Q652" i="2"/>
  <c r="Q628" i="2"/>
  <c r="Q604" i="2"/>
  <c r="Q580" i="2"/>
  <c r="Q556" i="2"/>
  <c r="Q532" i="2"/>
  <c r="Q508" i="2"/>
  <c r="Q484" i="2"/>
  <c r="Q460" i="2"/>
  <c r="Q436" i="2"/>
  <c r="Q412" i="2"/>
  <c r="Q388" i="2"/>
  <c r="Q364" i="2"/>
  <c r="Q340" i="2"/>
  <c r="Q316" i="2"/>
  <c r="Q292" i="2"/>
  <c r="Q268" i="2"/>
  <c r="Q244" i="2"/>
  <c r="Q220" i="2"/>
  <c r="Q196" i="2"/>
  <c r="Q172" i="2"/>
  <c r="Q148" i="2"/>
  <c r="Q124" i="2"/>
  <c r="Q100" i="2"/>
  <c r="Q76" i="2"/>
  <c r="Q52" i="2"/>
  <c r="Q28" i="2"/>
  <c r="Q4" i="2"/>
  <c r="Q1033" i="2"/>
  <c r="Q1009" i="2"/>
  <c r="Q985" i="2"/>
  <c r="Q961" i="2"/>
  <c r="Q937" i="2"/>
  <c r="Q913" i="2"/>
  <c r="Q889" i="2"/>
  <c r="Q865" i="2"/>
  <c r="Q841" i="2"/>
  <c r="Q817" i="2"/>
  <c r="Q793" i="2"/>
  <c r="Q769" i="2"/>
  <c r="Q745" i="2"/>
  <c r="Q721" i="2"/>
  <c r="Q697" i="2"/>
  <c r="Q673" i="2"/>
  <c r="Q649" i="2"/>
  <c r="Q625" i="2"/>
  <c r="Q601" i="2"/>
  <c r="Q577" i="2"/>
  <c r="Q553" i="2"/>
  <c r="Q529" i="2"/>
  <c r="Q505" i="2"/>
  <c r="Q481" i="2"/>
  <c r="Q457" i="2"/>
  <c r="Q433" i="2"/>
  <c r="Q409" i="2"/>
  <c r="Q385" i="2"/>
  <c r="Q361" i="2"/>
  <c r="Q337" i="2"/>
  <c r="Q313" i="2"/>
  <c r="Q289" i="2"/>
  <c r="Q265" i="2"/>
  <c r="Q241" i="2"/>
  <c r="Q217" i="2"/>
  <c r="Q193" i="2"/>
  <c r="Q169" i="2"/>
  <c r="Q145" i="2"/>
  <c r="Q121" i="2"/>
  <c r="Q97" i="2"/>
  <c r="Q73" i="2"/>
  <c r="Q49" i="2"/>
  <c r="Q25" i="2"/>
  <c r="Q1030" i="2"/>
  <c r="Q1006" i="2"/>
  <c r="Q982" i="2"/>
  <c r="Q958" i="2"/>
  <c r="Q934" i="2"/>
  <c r="Q910" i="2"/>
  <c r="Q886" i="2"/>
  <c r="Q862" i="2"/>
  <c r="Q838" i="2"/>
  <c r="Q814" i="2"/>
  <c r="Q790" i="2"/>
  <c r="Q766" i="2"/>
  <c r="Q742" i="2"/>
  <c r="Q718" i="2"/>
  <c r="Q694" i="2"/>
  <c r="Q670" i="2"/>
  <c r="Q646" i="2"/>
  <c r="Q622" i="2"/>
  <c r="Q598" i="2"/>
  <c r="Q574" i="2"/>
  <c r="Q550" i="2"/>
  <c r="Q526" i="2"/>
  <c r="Q502" i="2"/>
  <c r="Q478" i="2"/>
  <c r="Q454" i="2"/>
  <c r="Q430" i="2"/>
  <c r="Q406" i="2"/>
  <c r="Q382" i="2"/>
  <c r="Q358" i="2"/>
  <c r="Q334" i="2"/>
  <c r="Q310" i="2"/>
  <c r="Q286" i="2"/>
  <c r="Q262" i="2"/>
  <c r="Q238" i="2"/>
  <c r="Q214" i="2"/>
  <c r="Q190" i="2"/>
  <c r="Q166" i="2"/>
  <c r="Q142" i="2"/>
  <c r="Q118" i="2"/>
  <c r="Q94" i="2"/>
  <c r="Q70" i="2"/>
  <c r="Q46" i="2"/>
  <c r="Q22" i="2"/>
  <c r="Q1027" i="2"/>
  <c r="Q1003" i="2"/>
  <c r="Q979" i="2"/>
  <c r="Q955" i="2"/>
  <c r="Q931" i="2"/>
  <c r="Q907" i="2"/>
  <c r="Q883" i="2"/>
  <c r="Q859" i="2"/>
  <c r="Q835" i="2"/>
  <c r="Q811" i="2"/>
  <c r="Q787" i="2"/>
  <c r="Q763" i="2"/>
  <c r="Q739" i="2"/>
  <c r="Q715" i="2"/>
  <c r="Q691" i="2"/>
  <c r="Q667" i="2"/>
  <c r="Q643" i="2"/>
  <c r="Q619" i="2"/>
  <c r="Q595" i="2"/>
  <c r="Q571" i="2"/>
  <c r="Q547" i="2"/>
  <c r="Q523" i="2"/>
  <c r="Q499" i="2"/>
  <c r="Q475" i="2"/>
  <c r="Q451" i="2"/>
  <c r="Q427" i="2"/>
  <c r="Q403" i="2"/>
  <c r="Q379" i="2"/>
  <c r="Q355" i="2"/>
  <c r="Q331" i="2"/>
  <c r="Q307" i="2"/>
  <c r="Q283" i="2"/>
  <c r="Q259" i="2"/>
  <c r="Q235" i="2"/>
  <c r="Q211" i="2"/>
  <c r="Q187" i="2"/>
  <c r="Q163" i="2"/>
  <c r="Q139" i="2"/>
  <c r="Q115" i="2"/>
  <c r="Q91" i="2"/>
  <c r="Q67" i="2"/>
  <c r="Q43" i="2"/>
  <c r="Q19" i="2"/>
  <c r="Q1024" i="2"/>
  <c r="Q1000" i="2"/>
  <c r="Q976" i="2"/>
  <c r="Q952" i="2"/>
  <c r="Q928" i="2"/>
  <c r="Q904" i="2"/>
  <c r="Q880" i="2"/>
  <c r="Q856" i="2"/>
  <c r="Q832" i="2"/>
  <c r="Q808" i="2"/>
  <c r="Q784" i="2"/>
  <c r="Q760" i="2"/>
  <c r="Q736" i="2"/>
  <c r="Q712" i="2"/>
  <c r="Q688" i="2"/>
  <c r="Q664" i="2"/>
  <c r="Q640" i="2"/>
  <c r="Q616" i="2"/>
  <c r="Q592" i="2"/>
  <c r="Q568" i="2"/>
  <c r="Q544" i="2"/>
  <c r="Q520" i="2"/>
  <c r="Q496" i="2"/>
  <c r="Q472" i="2"/>
  <c r="Q448" i="2"/>
  <c r="Q424" i="2"/>
  <c r="Q400" i="2"/>
  <c r="Q376" i="2"/>
  <c r="Q352" i="2"/>
  <c r="Q328" i="2"/>
  <c r="Q304" i="2"/>
  <c r="Q280" i="2"/>
  <c r="Q256" i="2"/>
  <c r="Q232" i="2"/>
  <c r="Q208" i="2"/>
  <c r="Q184" i="2"/>
  <c r="Q160" i="2"/>
  <c r="Q136" i="2"/>
  <c r="Q112" i="2"/>
  <c r="Q88" i="2"/>
  <c r="Q64" i="2"/>
  <c r="Q40" i="2"/>
  <c r="Q16" i="2"/>
  <c r="Q1045" i="2"/>
  <c r="Q1021" i="2"/>
  <c r="Q997" i="2"/>
  <c r="Q973" i="2"/>
  <c r="Q949" i="2"/>
  <c r="Q925" i="2"/>
  <c r="Q901" i="2"/>
  <c r="Q877" i="2"/>
  <c r="Q853" i="2"/>
  <c r="Q829" i="2"/>
  <c r="Q805" i="2"/>
  <c r="Q781" i="2"/>
  <c r="Q757" i="2"/>
  <c r="Q733" i="2"/>
  <c r="Q709" i="2"/>
  <c r="Q685" i="2"/>
  <c r="Q661" i="2"/>
  <c r="Q637" i="2"/>
  <c r="Q613" i="2"/>
  <c r="Q589" i="2"/>
  <c r="Q565" i="2"/>
  <c r="Q541" i="2"/>
  <c r="Q517" i="2"/>
  <c r="Q493" i="2"/>
  <c r="Q469" i="2"/>
  <c r="Q445" i="2"/>
  <c r="Q421" i="2"/>
  <c r="Q397" i="2"/>
  <c r="Q373" i="2"/>
  <c r="Q349" i="2"/>
  <c r="Q325" i="2"/>
  <c r="Q301" i="2"/>
  <c r="Q277" i="2"/>
  <c r="Q253" i="2"/>
  <c r="Q229" i="2"/>
  <c r="Q205" i="2"/>
  <c r="Q181" i="2"/>
  <c r="Q157" i="2"/>
  <c r="Q133" i="2"/>
  <c r="Q109" i="2"/>
  <c r="Q85" i="2"/>
  <c r="Q61" i="2"/>
  <c r="Q37" i="2"/>
  <c r="Q13" i="2"/>
  <c r="Q1042" i="2"/>
  <c r="Q1018" i="2"/>
  <c r="Q994" i="2"/>
  <c r="Q970" i="2"/>
  <c r="Q946" i="2"/>
  <c r="Q922" i="2"/>
  <c r="Q898" i="2"/>
  <c r="Q874" i="2"/>
  <c r="Q850" i="2"/>
  <c r="Q826" i="2"/>
  <c r="Q802" i="2"/>
  <c r="Q778" i="2"/>
  <c r="Q754" i="2"/>
  <c r="Q730" i="2"/>
  <c r="Q706" i="2"/>
  <c r="Q682" i="2"/>
  <c r="Q658" i="2"/>
  <c r="Q634" i="2"/>
  <c r="Q610" i="2"/>
  <c r="Q586" i="2"/>
  <c r="Q562" i="2"/>
  <c r="Q538" i="2"/>
  <c r="Q514" i="2"/>
  <c r="Q490" i="2"/>
  <c r="Q466" i="2"/>
  <c r="Q442" i="2"/>
  <c r="Q418" i="2"/>
  <c r="Q394" i="2"/>
  <c r="Q370" i="2"/>
  <c r="Q346" i="2"/>
  <c r="Q322" i="2"/>
  <c r="Q298" i="2"/>
  <c r="Q274" i="2"/>
  <c r="Q250" i="2"/>
  <c r="Q226" i="2"/>
  <c r="Q202" i="2"/>
  <c r="Q178" i="2"/>
  <c r="Q154" i="2"/>
  <c r="Q130" i="2"/>
  <c r="Q106" i="2"/>
  <c r="Q82" i="2"/>
  <c r="Q58" i="2"/>
  <c r="Q34" i="2"/>
  <c r="Q10" i="2"/>
  <c r="Q1022" i="2"/>
  <c r="Q986" i="2"/>
  <c r="Q950" i="2"/>
  <c r="Q914" i="2"/>
  <c r="Q878" i="2"/>
  <c r="Q842" i="2"/>
  <c r="Q806" i="2"/>
  <c r="Q770" i="2"/>
  <c r="Q734" i="2"/>
  <c r="Q698" i="2"/>
  <c r="Q662" i="2"/>
  <c r="Q626" i="2"/>
  <c r="Q590" i="2"/>
  <c r="Q554" i="2"/>
  <c r="Q518" i="2"/>
  <c r="Q482" i="2"/>
  <c r="Q446" i="2"/>
  <c r="Q410" i="2"/>
  <c r="Q374" i="2"/>
  <c r="Q338" i="2"/>
  <c r="Q302" i="2"/>
  <c r="Q266" i="2"/>
  <c r="Q230" i="2"/>
  <c r="Q194" i="2"/>
  <c r="Q158" i="2"/>
  <c r="Q122" i="2"/>
  <c r="Q86" i="2"/>
  <c r="Q50" i="2"/>
  <c r="Q14" i="2"/>
  <c r="Q1020" i="2"/>
  <c r="Q984" i="2"/>
  <c r="Q1017" i="2"/>
  <c r="Q981" i="2"/>
  <c r="Q945" i="2"/>
  <c r="Q909" i="2"/>
  <c r="Q873" i="2"/>
  <c r="Q837" i="2"/>
  <c r="Q801" i="2"/>
  <c r="Q765" i="2"/>
  <c r="Q729" i="2"/>
  <c r="Q693" i="2"/>
  <c r="Q657" i="2"/>
  <c r="Q621" i="2"/>
  <c r="Q585" i="2"/>
  <c r="Q549" i="2"/>
  <c r="Q513" i="2"/>
  <c r="Q477" i="2"/>
  <c r="Q441" i="2"/>
  <c r="Q405" i="2"/>
  <c r="Q369" i="2"/>
  <c r="Q333" i="2"/>
  <c r="Q297" i="2"/>
  <c r="Q261" i="2"/>
  <c r="Q225" i="2"/>
  <c r="Q189" i="2"/>
  <c r="Q153" i="2"/>
  <c r="Q117" i="2"/>
  <c r="Q81" i="2"/>
  <c r="Q45" i="2"/>
  <c r="Q9" i="2"/>
  <c r="Q1016" i="2"/>
  <c r="Q980" i="2"/>
  <c r="Q1013" i="2"/>
  <c r="Q977" i="2"/>
  <c r="Q941" i="2"/>
  <c r="Q905" i="2"/>
  <c r="Q869" i="2"/>
  <c r="Q833" i="2"/>
  <c r="Q797" i="2"/>
  <c r="Q761" i="2"/>
  <c r="Q725" i="2"/>
  <c r="Q689" i="2"/>
  <c r="Q653" i="2"/>
  <c r="Q617" i="2"/>
  <c r="Q581" i="2"/>
  <c r="Q545" i="2"/>
  <c r="Q509" i="2"/>
  <c r="Q473" i="2"/>
  <c r="Q437" i="2"/>
  <c r="Q401" i="2"/>
  <c r="Q365" i="2"/>
  <c r="Q329" i="2"/>
  <c r="Q293" i="2"/>
  <c r="Q257" i="2"/>
  <c r="Q221" i="2"/>
  <c r="Q185" i="2"/>
  <c r="Q149" i="2"/>
  <c r="Q113" i="2"/>
  <c r="Q77" i="2"/>
  <c r="Q41" i="2"/>
  <c r="Q5" i="2"/>
  <c r="Q1011" i="2"/>
  <c r="Q975" i="2"/>
  <c r="Q939" i="2"/>
  <c r="Q903" i="2"/>
  <c r="Q867" i="2"/>
  <c r="Q831" i="2"/>
  <c r="Q795" i="2"/>
  <c r="Q759" i="2"/>
  <c r="Q723" i="2"/>
  <c r="Q687" i="2"/>
  <c r="Q651" i="2"/>
  <c r="Q615" i="2"/>
  <c r="Q579" i="2"/>
  <c r="Q543" i="2"/>
  <c r="Q507" i="2"/>
  <c r="Q471" i="2"/>
  <c r="Q435" i="2"/>
  <c r="Q399" i="2"/>
  <c r="Q1043" i="2"/>
  <c r="Q1007" i="2"/>
  <c r="Q971" i="2"/>
  <c r="Q935" i="2"/>
  <c r="Q899" i="2"/>
  <c r="Q863" i="2"/>
  <c r="Q827" i="2"/>
  <c r="Q791" i="2"/>
  <c r="Q755" i="2"/>
  <c r="Q719" i="2"/>
  <c r="Q683" i="2"/>
  <c r="Q647" i="2"/>
  <c r="Q611" i="2"/>
  <c r="Q575" i="2"/>
  <c r="Q539" i="2"/>
  <c r="Q503" i="2"/>
  <c r="Q467" i="2"/>
  <c r="Q431" i="2"/>
  <c r="Q395" i="2"/>
  <c r="Q359" i="2"/>
  <c r="Q323" i="2"/>
  <c r="Q287" i="2"/>
  <c r="Q251" i="2"/>
  <c r="Q1040" i="2"/>
  <c r="Q1004" i="2"/>
  <c r="Q968" i="2"/>
  <c r="Q932" i="2"/>
  <c r="Q896" i="2"/>
  <c r="Q860" i="2"/>
  <c r="Q824" i="2"/>
  <c r="Q788" i="2"/>
  <c r="Q752" i="2"/>
  <c r="Q716" i="2"/>
  <c r="Q680" i="2"/>
  <c r="Q644" i="2"/>
  <c r="Q608" i="2"/>
  <c r="Q572" i="2"/>
  <c r="Q536" i="2"/>
  <c r="Q500" i="2"/>
  <c r="Q464" i="2"/>
  <c r="Q428" i="2"/>
  <c r="Q392" i="2"/>
  <c r="Q356" i="2"/>
  <c r="Q320" i="2"/>
  <c r="Q284" i="2"/>
  <c r="Q248" i="2"/>
  <c r="Q212" i="2"/>
  <c r="Q176" i="2"/>
  <c r="Q140" i="2"/>
  <c r="Q104" i="2"/>
  <c r="Q68" i="2"/>
  <c r="Q32" i="2"/>
  <c r="Q1035" i="2"/>
  <c r="Q999" i="2"/>
  <c r="Q963" i="2"/>
  <c r="Q927" i="2"/>
  <c r="Q891" i="2"/>
  <c r="Q855" i="2"/>
  <c r="Q819" i="2"/>
  <c r="Q783" i="2"/>
  <c r="Q747" i="2"/>
  <c r="Q711" i="2"/>
  <c r="Q675" i="2"/>
  <c r="Q639" i="2"/>
  <c r="Q603" i="2"/>
  <c r="Q567" i="2"/>
  <c r="Q531" i="2"/>
  <c r="Q495" i="2"/>
  <c r="Q459" i="2"/>
  <c r="Q423" i="2"/>
  <c r="Q387" i="2"/>
  <c r="Q351" i="2"/>
  <c r="Q315" i="2"/>
  <c r="Q279" i="2"/>
  <c r="Q243" i="2"/>
  <c r="Q207" i="2"/>
  <c r="Q171" i="2"/>
  <c r="Q135" i="2"/>
  <c r="Q99" i="2"/>
  <c r="Q63" i="2"/>
  <c r="Q27" i="2"/>
  <c r="Q998" i="2"/>
  <c r="Q947" i="2"/>
  <c r="Q893" i="2"/>
  <c r="Q845" i="2"/>
  <c r="Q792" i="2"/>
  <c r="Q741" i="2"/>
  <c r="Q692" i="2"/>
  <c r="Q638" i="2"/>
  <c r="Q591" i="2"/>
  <c r="Q537" i="2"/>
  <c r="Q488" i="2"/>
  <c r="Q438" i="2"/>
  <c r="Q384" i="2"/>
  <c r="Q339" i="2"/>
  <c r="Q290" i="2"/>
  <c r="Q240" i="2"/>
  <c r="Q197" i="2"/>
  <c r="Q150" i="2"/>
  <c r="Q105" i="2"/>
  <c r="Q59" i="2"/>
  <c r="Q15" i="2"/>
  <c r="Q996" i="2"/>
  <c r="Q944" i="2"/>
  <c r="Q890" i="2"/>
  <c r="Q843" i="2"/>
  <c r="Q789" i="2"/>
  <c r="Q740" i="2"/>
  <c r="Q690" i="2"/>
  <c r="Q636" i="2"/>
  <c r="Q588" i="2"/>
  <c r="Q534" i="2"/>
  <c r="Q486" i="2"/>
  <c r="Q434" i="2"/>
  <c r="Q383" i="2"/>
  <c r="Q336" i="2"/>
  <c r="Q288" i="2"/>
  <c r="Q239" i="2"/>
  <c r="Q195" i="2"/>
  <c r="Q147" i="2"/>
  <c r="Q102" i="2"/>
  <c r="Q57" i="2"/>
  <c r="Q12" i="2"/>
  <c r="Q995" i="2"/>
  <c r="Q942" i="2"/>
  <c r="Q888" i="2"/>
  <c r="Q840" i="2"/>
  <c r="Q786" i="2"/>
  <c r="Q738" i="2"/>
  <c r="Q686" i="2"/>
  <c r="Q635" i="2"/>
  <c r="Q587" i="2"/>
  <c r="Q533" i="2"/>
  <c r="Q485" i="2"/>
  <c r="Q432" i="2"/>
  <c r="Q381" i="2"/>
  <c r="Q335" i="2"/>
  <c r="Q285" i="2"/>
  <c r="Q237" i="2"/>
  <c r="Q192" i="2"/>
  <c r="Q146" i="2"/>
  <c r="Q101" i="2"/>
  <c r="Q56" i="2"/>
  <c r="Q11" i="2"/>
  <c r="Q993" i="2"/>
  <c r="Q938" i="2"/>
  <c r="Q887" i="2"/>
  <c r="Q839" i="2"/>
  <c r="Q785" i="2"/>
  <c r="Q737" i="2"/>
  <c r="Q684" i="2"/>
  <c r="Q633" i="2"/>
  <c r="Q584" i="2"/>
  <c r="Q530" i="2"/>
  <c r="Q483" i="2"/>
  <c r="Q429" i="2"/>
  <c r="Q380" i="2"/>
  <c r="Q332" i="2"/>
  <c r="Q282" i="2"/>
  <c r="Q236" i="2"/>
  <c r="Q191" i="2"/>
  <c r="Q144" i="2"/>
  <c r="Q98" i="2"/>
  <c r="Q54" i="2"/>
  <c r="Q8" i="2"/>
  <c r="Q1041" i="2"/>
  <c r="Q1014" i="2"/>
  <c r="Q951" i="2"/>
  <c r="Q882" i="2"/>
  <c r="Q821" i="2"/>
  <c r="Q764" i="2"/>
  <c r="Q704" i="2"/>
  <c r="Q642" i="2"/>
  <c r="Q576" i="2"/>
  <c r="Q519" i="2"/>
  <c r="Q456" i="2"/>
  <c r="Q398" i="2"/>
  <c r="Q342" i="2"/>
  <c r="Q276" i="2"/>
  <c r="Q222" i="2"/>
  <c r="Q168" i="2"/>
  <c r="Q116" i="2"/>
  <c r="Q62" i="2"/>
  <c r="Q3" i="2"/>
  <c r="Q1010" i="2"/>
  <c r="Q948" i="2"/>
  <c r="Q881" i="2"/>
  <c r="Q818" i="2"/>
  <c r="Q762" i="2"/>
  <c r="Q702" i="2"/>
  <c r="Q641" i="2"/>
  <c r="Q573" i="2"/>
  <c r="Q516" i="2"/>
  <c r="Q455" i="2"/>
  <c r="Q396" i="2"/>
  <c r="Q341" i="2"/>
  <c r="Q275" i="2"/>
  <c r="Q219" i="2"/>
  <c r="Q167" i="2"/>
  <c r="Q114" i="2"/>
  <c r="Q60" i="2"/>
  <c r="Q1008" i="2"/>
  <c r="Q936" i="2"/>
  <c r="Q879" i="2"/>
  <c r="Q816" i="2"/>
  <c r="Q758" i="2"/>
  <c r="Q701" i="2"/>
  <c r="Q632" i="2"/>
  <c r="Q570" i="2"/>
  <c r="Q515" i="2"/>
  <c r="Q453" i="2"/>
  <c r="Q393" i="2"/>
  <c r="Q330" i="2"/>
  <c r="Q273" i="2"/>
  <c r="Q218" i="2"/>
  <c r="Q165" i="2"/>
  <c r="Q111" i="2"/>
  <c r="Q53" i="2"/>
  <c r="Q1005" i="2"/>
  <c r="Q933" i="2"/>
  <c r="Q876" i="2"/>
  <c r="Q815" i="2"/>
  <c r="Q756" i="2"/>
  <c r="Q699" i="2"/>
  <c r="Q630" i="2"/>
  <c r="Q569" i="2"/>
  <c r="Q512" i="2"/>
  <c r="Q452" i="2"/>
  <c r="Q390" i="2"/>
  <c r="Q327" i="2"/>
  <c r="Q272" i="2"/>
  <c r="Q216" i="2"/>
  <c r="Q164" i="2"/>
  <c r="Q110" i="2"/>
  <c r="Q51" i="2"/>
  <c r="Q1002" i="2"/>
  <c r="Q930" i="2"/>
  <c r="Q875" i="2"/>
  <c r="Q813" i="2"/>
  <c r="Q753" i="2"/>
  <c r="Q696" i="2"/>
  <c r="Q629" i="2"/>
  <c r="Q566" i="2"/>
  <c r="Q510" i="2"/>
  <c r="Q450" i="2"/>
  <c r="Q389" i="2"/>
  <c r="Q326" i="2"/>
  <c r="Q270" i="2"/>
  <c r="Q215" i="2"/>
  <c r="Q162" i="2"/>
  <c r="Q108" i="2"/>
  <c r="Q48" i="2"/>
  <c r="Q1001" i="2"/>
  <c r="Q929" i="2"/>
  <c r="Q872" i="2"/>
  <c r="Q812" i="2"/>
  <c r="Q750" i="2"/>
  <c r="Q695" i="2"/>
  <c r="Q627" i="2"/>
  <c r="Q564" i="2"/>
  <c r="Q506" i="2"/>
  <c r="Q449" i="2"/>
  <c r="Q386" i="2"/>
  <c r="Q324" i="2"/>
  <c r="Q269" i="2"/>
  <c r="Q213" i="2"/>
  <c r="Q161" i="2"/>
  <c r="Q987" i="2"/>
  <c r="Q921" i="2"/>
  <c r="Q861" i="2"/>
  <c r="Q804" i="2"/>
  <c r="Q743" i="2"/>
  <c r="Q674" i="2"/>
  <c r="Q618" i="2"/>
  <c r="Q558" i="2"/>
  <c r="Q497" i="2"/>
  <c r="Q440" i="2"/>
  <c r="Q372" i="2"/>
  <c r="Q314" i="2"/>
  <c r="Q260" i="2"/>
  <c r="Q204" i="2"/>
  <c r="Q152" i="2"/>
  <c r="Q983" i="2"/>
  <c r="Q920" i="2"/>
  <c r="Q858" i="2"/>
  <c r="Q803" i="2"/>
  <c r="Q735" i="2"/>
  <c r="Q672" i="2"/>
  <c r="Q614" i="2"/>
  <c r="Q557" i="2"/>
  <c r="Q494" i="2"/>
  <c r="Q426" i="2"/>
  <c r="Q371" i="2"/>
  <c r="Q312" i="2"/>
  <c r="Q258" i="2"/>
  <c r="Q203" i="2"/>
  <c r="Q143" i="2"/>
  <c r="Q90" i="2"/>
  <c r="Q36" i="2"/>
  <c r="Q1046" i="2"/>
  <c r="Q978" i="2"/>
  <c r="Q918" i="2"/>
  <c r="Q857" i="2"/>
  <c r="Q800" i="2"/>
  <c r="Q732" i="2"/>
  <c r="Q671" i="2"/>
  <c r="Q612" i="2"/>
  <c r="Q555" i="2"/>
  <c r="Q492" i="2"/>
  <c r="Q425" i="2"/>
  <c r="Q368" i="2"/>
  <c r="Q311" i="2"/>
  <c r="Q255" i="2"/>
  <c r="Q201" i="2"/>
  <c r="Q141" i="2"/>
  <c r="Q89" i="2"/>
  <c r="Q35" i="2"/>
  <c r="Q1044" i="2"/>
  <c r="Q974" i="2"/>
  <c r="Q917" i="2"/>
  <c r="Q854" i="2"/>
  <c r="Q798" i="2"/>
  <c r="Q731" i="2"/>
  <c r="Q669" i="2"/>
  <c r="Q609" i="2"/>
  <c r="Q552" i="2"/>
  <c r="Q491" i="2"/>
  <c r="Q422" i="2"/>
  <c r="Q366" i="2"/>
  <c r="Q309" i="2"/>
  <c r="Q254" i="2"/>
  <c r="Q200" i="2"/>
  <c r="Q138" i="2"/>
  <c r="Q87" i="2"/>
  <c r="Q33" i="2"/>
  <c r="Q80" i="2"/>
  <c r="Q174" i="2"/>
  <c r="Q264" i="2"/>
  <c r="Q360" i="2"/>
  <c r="Q468" i="2"/>
  <c r="Q578" i="2"/>
  <c r="Q668" i="2"/>
  <c r="Q777" i="2"/>
  <c r="Q894" i="2"/>
  <c r="Q990" i="2"/>
  <c r="M3" i="2"/>
  <c r="M33" i="2"/>
  <c r="M70" i="2"/>
  <c r="M118" i="2"/>
  <c r="M166" i="2"/>
  <c r="M211" i="2"/>
  <c r="M257" i="2"/>
  <c r="M310" i="2"/>
  <c r="M355" i="2"/>
  <c r="M403" i="2"/>
  <c r="M454" i="2"/>
  <c r="M500" i="2"/>
  <c r="M550" i="2"/>
  <c r="M599" i="2"/>
  <c r="M653" i="2"/>
  <c r="M706" i="2"/>
  <c r="M757" i="2"/>
  <c r="M808" i="2"/>
  <c r="M860" i="2"/>
  <c r="M914" i="2"/>
  <c r="M974" i="2"/>
  <c r="M1029" i="2"/>
  <c r="M1005" i="2"/>
  <c r="M981" i="2"/>
  <c r="M957" i="2"/>
  <c r="M933" i="2"/>
  <c r="M909" i="2"/>
  <c r="M885" i="2"/>
  <c r="M861" i="2"/>
  <c r="M837" i="2"/>
  <c r="M813" i="2"/>
  <c r="M789" i="2"/>
  <c r="M765" i="2"/>
  <c r="M741" i="2"/>
  <c r="M717" i="2"/>
  <c r="M693" i="2"/>
  <c r="M669" i="2"/>
  <c r="M645" i="2"/>
  <c r="M621" i="2"/>
  <c r="M597" i="2"/>
  <c r="M573" i="2"/>
  <c r="M549" i="2"/>
  <c r="M525" i="2"/>
  <c r="M501" i="2"/>
  <c r="M477" i="2"/>
  <c r="M453" i="2"/>
  <c r="M429" i="2"/>
  <c r="M405" i="2"/>
  <c r="M381" i="2"/>
  <c r="M357" i="2"/>
  <c r="M333" i="2"/>
  <c r="M309" i="2"/>
  <c r="M285" i="2"/>
  <c r="M261" i="2"/>
  <c r="M237" i="2"/>
  <c r="M213" i="2"/>
  <c r="M189" i="2"/>
  <c r="M165" i="2"/>
  <c r="M141" i="2"/>
  <c r="M117" i="2"/>
  <c r="M93" i="2"/>
  <c r="M69" i="2"/>
  <c r="M1026" i="2"/>
  <c r="M1002" i="2"/>
  <c r="M978" i="2"/>
  <c r="M954" i="2"/>
  <c r="M930" i="2"/>
  <c r="M906" i="2"/>
  <c r="M882" i="2"/>
  <c r="M858" i="2"/>
  <c r="M834" i="2"/>
  <c r="M810" i="2"/>
  <c r="M786" i="2"/>
  <c r="M762" i="2"/>
  <c r="M738" i="2"/>
  <c r="M714" i="2"/>
  <c r="M690" i="2"/>
  <c r="M666" i="2"/>
  <c r="M642" i="2"/>
  <c r="M618" i="2"/>
  <c r="M594" i="2"/>
  <c r="M570" i="2"/>
  <c r="M546" i="2"/>
  <c r="M522" i="2"/>
  <c r="M498" i="2"/>
  <c r="M474" i="2"/>
  <c r="M450" i="2"/>
  <c r="M426" i="2"/>
  <c r="M402" i="2"/>
  <c r="M378" i="2"/>
  <c r="M354" i="2"/>
  <c r="M330" i="2"/>
  <c r="M306" i="2"/>
  <c r="M282" i="2"/>
  <c r="M258" i="2"/>
  <c r="M234" i="2"/>
  <c r="M210" i="2"/>
  <c r="M186" i="2"/>
  <c r="M162" i="2"/>
  <c r="M138" i="2"/>
  <c r="M114" i="2"/>
  <c r="M90" i="2"/>
  <c r="M66" i="2"/>
  <c r="M1023" i="2"/>
  <c r="M999" i="2"/>
  <c r="M975" i="2"/>
  <c r="M951" i="2"/>
  <c r="M927" i="2"/>
  <c r="M903" i="2"/>
  <c r="M879" i="2"/>
  <c r="M855" i="2"/>
  <c r="M831" i="2"/>
  <c r="M807" i="2"/>
  <c r="M783" i="2"/>
  <c r="M759" i="2"/>
  <c r="M735" i="2"/>
  <c r="M711" i="2"/>
  <c r="M687" i="2"/>
  <c r="M663" i="2"/>
  <c r="M639" i="2"/>
  <c r="M615" i="2"/>
  <c r="M591" i="2"/>
  <c r="M567" i="2"/>
  <c r="M543" i="2"/>
  <c r="M519" i="2"/>
  <c r="M495" i="2"/>
  <c r="M471" i="2"/>
  <c r="M447" i="2"/>
  <c r="M423" i="2"/>
  <c r="M399" i="2"/>
  <c r="M375" i="2"/>
  <c r="M351" i="2"/>
  <c r="M327" i="2"/>
  <c r="M303" i="2"/>
  <c r="M279" i="2"/>
  <c r="M255" i="2"/>
  <c r="M231" i="2"/>
  <c r="M207" i="2"/>
  <c r="M183" i="2"/>
  <c r="M159" i="2"/>
  <c r="M135" i="2"/>
  <c r="M111" i="2"/>
  <c r="M87" i="2"/>
  <c r="M63" i="2"/>
  <c r="M39" i="2"/>
  <c r="M1044" i="2"/>
  <c r="M1020" i="2"/>
  <c r="M996" i="2"/>
  <c r="M972" i="2"/>
  <c r="M948" i="2"/>
  <c r="M924" i="2"/>
  <c r="M900" i="2"/>
  <c r="M876" i="2"/>
  <c r="M852" i="2"/>
  <c r="M828" i="2"/>
  <c r="M804" i="2"/>
  <c r="M780" i="2"/>
  <c r="M756" i="2"/>
  <c r="M732" i="2"/>
  <c r="M708" i="2"/>
  <c r="M684" i="2"/>
  <c r="M660" i="2"/>
  <c r="M636" i="2"/>
  <c r="M612" i="2"/>
  <c r="M588" i="2"/>
  <c r="M564" i="2"/>
  <c r="M540" i="2"/>
  <c r="M516" i="2"/>
  <c r="M492" i="2"/>
  <c r="M468" i="2"/>
  <c r="M444" i="2"/>
  <c r="M420" i="2"/>
  <c r="M396" i="2"/>
  <c r="M372" i="2"/>
  <c r="M348" i="2"/>
  <c r="M324" i="2"/>
  <c r="M300" i="2"/>
  <c r="M276" i="2"/>
  <c r="M252" i="2"/>
  <c r="M228" i="2"/>
  <c r="M204" i="2"/>
  <c r="M180" i="2"/>
  <c r="M156" i="2"/>
  <c r="M132" i="2"/>
  <c r="M108" i="2"/>
  <c r="M84" i="2"/>
  <c r="M60" i="2"/>
  <c r="M1041" i="2"/>
  <c r="M1017" i="2"/>
  <c r="M993" i="2"/>
  <c r="M969" i="2"/>
  <c r="M945" i="2"/>
  <c r="M921" i="2"/>
  <c r="M897" i="2"/>
  <c r="M873" i="2"/>
  <c r="M849" i="2"/>
  <c r="M825" i="2"/>
  <c r="M801" i="2"/>
  <c r="M777" i="2"/>
  <c r="M753" i="2"/>
  <c r="M729" i="2"/>
  <c r="M705" i="2"/>
  <c r="M681" i="2"/>
  <c r="M657" i="2"/>
  <c r="M633" i="2"/>
  <c r="M609" i="2"/>
  <c r="M585" i="2"/>
  <c r="M561" i="2"/>
  <c r="M537" i="2"/>
  <c r="M513" i="2"/>
  <c r="M489" i="2"/>
  <c r="M465" i="2"/>
  <c r="M441" i="2"/>
  <c r="M417" i="2"/>
  <c r="M393" i="2"/>
  <c r="M369" i="2"/>
  <c r="M345" i="2"/>
  <c r="M321" i="2"/>
  <c r="M297" i="2"/>
  <c r="M273" i="2"/>
  <c r="M249" i="2"/>
  <c r="M225" i="2"/>
  <c r="M201" i="2"/>
  <c r="M177" i="2"/>
  <c r="M153" i="2"/>
  <c r="M129" i="2"/>
  <c r="M105" i="2"/>
  <c r="M81" i="2"/>
  <c r="M57" i="2"/>
  <c r="M1038" i="2"/>
  <c r="M1014" i="2"/>
  <c r="M990" i="2"/>
  <c r="M966" i="2"/>
  <c r="M942" i="2"/>
  <c r="M918" i="2"/>
  <c r="M894" i="2"/>
  <c r="M870" i="2"/>
  <c r="M846" i="2"/>
  <c r="M822" i="2"/>
  <c r="M798" i="2"/>
  <c r="M774" i="2"/>
  <c r="M750" i="2"/>
  <c r="M726" i="2"/>
  <c r="M702" i="2"/>
  <c r="M678" i="2"/>
  <c r="M654" i="2"/>
  <c r="M630" i="2"/>
  <c r="M606" i="2"/>
  <c r="M582" i="2"/>
  <c r="M558" i="2"/>
  <c r="M534" i="2"/>
  <c r="M510" i="2"/>
  <c r="M486" i="2"/>
  <c r="M462" i="2"/>
  <c r="M438" i="2"/>
  <c r="M414" i="2"/>
  <c r="M390" i="2"/>
  <c r="M366" i="2"/>
  <c r="M342" i="2"/>
  <c r="M318" i="2"/>
  <c r="M294" i="2"/>
  <c r="M270" i="2"/>
  <c r="M246" i="2"/>
  <c r="M222" i="2"/>
  <c r="M198" i="2"/>
  <c r="M174" i="2"/>
  <c r="M150" i="2"/>
  <c r="M126" i="2"/>
  <c r="M102" i="2"/>
  <c r="M78" i="2"/>
  <c r="M54" i="2"/>
  <c r="M1035" i="2"/>
  <c r="M1011" i="2"/>
  <c r="M987" i="2"/>
  <c r="M963" i="2"/>
  <c r="M939" i="2"/>
  <c r="M915" i="2"/>
  <c r="M891" i="2"/>
  <c r="M867" i="2"/>
  <c r="M843" i="2"/>
  <c r="M819" i="2"/>
  <c r="M795" i="2"/>
  <c r="M771" i="2"/>
  <c r="M747" i="2"/>
  <c r="M723" i="2"/>
  <c r="M699" i="2"/>
  <c r="M675" i="2"/>
  <c r="M651" i="2"/>
  <c r="M627" i="2"/>
  <c r="M603" i="2"/>
  <c r="M579" i="2"/>
  <c r="M555" i="2"/>
  <c r="M531" i="2"/>
  <c r="M507" i="2"/>
  <c r="M483" i="2"/>
  <c r="M459" i="2"/>
  <c r="M435" i="2"/>
  <c r="M411" i="2"/>
  <c r="M387" i="2"/>
  <c r="M363" i="2"/>
  <c r="M339" i="2"/>
  <c r="M315" i="2"/>
  <c r="M291" i="2"/>
  <c r="M267" i="2"/>
  <c r="M243" i="2"/>
  <c r="M219" i="2"/>
  <c r="M195" i="2"/>
  <c r="M171" i="2"/>
  <c r="M147" i="2"/>
  <c r="M123" i="2"/>
  <c r="M99" i="2"/>
  <c r="M75" i="2"/>
  <c r="M1032" i="2"/>
  <c r="M1008" i="2"/>
  <c r="M984" i="2"/>
  <c r="M960" i="2"/>
  <c r="M936" i="2"/>
  <c r="M912" i="2"/>
  <c r="M888" i="2"/>
  <c r="M864" i="2"/>
  <c r="M840" i="2"/>
  <c r="M816" i="2"/>
  <c r="M792" i="2"/>
  <c r="M768" i="2"/>
  <c r="M744" i="2"/>
  <c r="M720" i="2"/>
  <c r="M696" i="2"/>
  <c r="M672" i="2"/>
  <c r="M648" i="2"/>
  <c r="M624" i="2"/>
  <c r="M600" i="2"/>
  <c r="M576" i="2"/>
  <c r="M552" i="2"/>
  <c r="M528" i="2"/>
  <c r="M504" i="2"/>
  <c r="M480" i="2"/>
  <c r="M456" i="2"/>
  <c r="M432" i="2"/>
  <c r="M408" i="2"/>
  <c r="M384" i="2"/>
  <c r="M360" i="2"/>
  <c r="M336" i="2"/>
  <c r="M312" i="2"/>
  <c r="M288" i="2"/>
  <c r="M264" i="2"/>
  <c r="M240" i="2"/>
  <c r="M216" i="2"/>
  <c r="M192" i="2"/>
  <c r="M168" i="2"/>
  <c r="M144" i="2"/>
  <c r="M120" i="2"/>
  <c r="M96" i="2"/>
  <c r="M72" i="2"/>
  <c r="M1025" i="2"/>
  <c r="M989" i="2"/>
  <c r="M953" i="2"/>
  <c r="M917" i="2"/>
  <c r="M881" i="2"/>
  <c r="M845" i="2"/>
  <c r="M809" i="2"/>
  <c r="M773" i="2"/>
  <c r="M737" i="2"/>
  <c r="M701" i="2"/>
  <c r="M665" i="2"/>
  <c r="M629" i="2"/>
  <c r="M593" i="2"/>
  <c r="M557" i="2"/>
  <c r="M521" i="2"/>
  <c r="M485" i="2"/>
  <c r="M449" i="2"/>
  <c r="M413" i="2"/>
  <c r="M377" i="2"/>
  <c r="M341" i="2"/>
  <c r="M305" i="2"/>
  <c r="M269" i="2"/>
  <c r="M233" i="2"/>
  <c r="M197" i="2"/>
  <c r="M161" i="2"/>
  <c r="M125" i="2"/>
  <c r="M89" i="2"/>
  <c r="M53" i="2"/>
  <c r="M28" i="2"/>
  <c r="M4" i="2"/>
  <c r="M1021" i="2"/>
  <c r="M985" i="2"/>
  <c r="M949" i="2"/>
  <c r="M913" i="2"/>
  <c r="M877" i="2"/>
  <c r="M841" i="2"/>
  <c r="M805" i="2"/>
  <c r="M769" i="2"/>
  <c r="M733" i="2"/>
  <c r="M697" i="2"/>
  <c r="M661" i="2"/>
  <c r="M625" i="2"/>
  <c r="M589" i="2"/>
  <c r="M553" i="2"/>
  <c r="M517" i="2"/>
  <c r="M481" i="2"/>
  <c r="M445" i="2"/>
  <c r="M409" i="2"/>
  <c r="M373" i="2"/>
  <c r="M337" i="2"/>
  <c r="M301" i="2"/>
  <c r="M265" i="2"/>
  <c r="M229" i="2"/>
  <c r="M193" i="2"/>
  <c r="M157" i="2"/>
  <c r="M121" i="2"/>
  <c r="M85" i="2"/>
  <c r="M50" i="2"/>
  <c r="M25" i="2"/>
  <c r="M1016" i="2"/>
  <c r="M980" i="2"/>
  <c r="M944" i="2"/>
  <c r="M908" i="2"/>
  <c r="M872" i="2"/>
  <c r="M836" i="2"/>
  <c r="M800" i="2"/>
  <c r="M764" i="2"/>
  <c r="M728" i="2"/>
  <c r="M692" i="2"/>
  <c r="M656" i="2"/>
  <c r="M620" i="2"/>
  <c r="M584" i="2"/>
  <c r="M548" i="2"/>
  <c r="M512" i="2"/>
  <c r="M476" i="2"/>
  <c r="M440" i="2"/>
  <c r="M404" i="2"/>
  <c r="M368" i="2"/>
  <c r="M332" i="2"/>
  <c r="M296" i="2"/>
  <c r="M260" i="2"/>
  <c r="M224" i="2"/>
  <c r="M188" i="2"/>
  <c r="M152" i="2"/>
  <c r="M116" i="2"/>
  <c r="M80" i="2"/>
  <c r="M47" i="2"/>
  <c r="M22" i="2"/>
  <c r="M1043" i="2"/>
  <c r="M1007" i="2"/>
  <c r="M971" i="2"/>
  <c r="M935" i="2"/>
  <c r="M899" i="2"/>
  <c r="M863" i="2"/>
  <c r="M827" i="2"/>
  <c r="M791" i="2"/>
  <c r="M755" i="2"/>
  <c r="M719" i="2"/>
  <c r="M683" i="2"/>
  <c r="M647" i="2"/>
  <c r="M611" i="2"/>
  <c r="M575" i="2"/>
  <c r="M539" i="2"/>
  <c r="M503" i="2"/>
  <c r="M467" i="2"/>
  <c r="M431" i="2"/>
  <c r="M395" i="2"/>
  <c r="M359" i="2"/>
  <c r="M323" i="2"/>
  <c r="M287" i="2"/>
  <c r="M251" i="2"/>
  <c r="M215" i="2"/>
  <c r="M179" i="2"/>
  <c r="M143" i="2"/>
  <c r="M107" i="2"/>
  <c r="M71" i="2"/>
  <c r="M41" i="2"/>
  <c r="M16" i="2"/>
  <c r="M1039" i="2"/>
  <c r="M1003" i="2"/>
  <c r="M967" i="2"/>
  <c r="M931" i="2"/>
  <c r="M895" i="2"/>
  <c r="M859" i="2"/>
  <c r="M823" i="2"/>
  <c r="M787" i="2"/>
  <c r="M751" i="2"/>
  <c r="M715" i="2"/>
  <c r="M679" i="2"/>
  <c r="M643" i="2"/>
  <c r="M1015" i="2"/>
  <c r="M970" i="2"/>
  <c r="M925" i="2"/>
  <c r="M880" i="2"/>
  <c r="M833" i="2"/>
  <c r="M788" i="2"/>
  <c r="M743" i="2"/>
  <c r="M698" i="2"/>
  <c r="M652" i="2"/>
  <c r="M607" i="2"/>
  <c r="M565" i="2"/>
  <c r="M523" i="2"/>
  <c r="M478" i="2"/>
  <c r="M434" i="2"/>
  <c r="M391" i="2"/>
  <c r="M349" i="2"/>
  <c r="M307" i="2"/>
  <c r="M262" i="2"/>
  <c r="M218" i="2"/>
  <c r="M175" i="2"/>
  <c r="M133" i="2"/>
  <c r="M91" i="2"/>
  <c r="M48" i="2"/>
  <c r="M18" i="2"/>
  <c r="M1013" i="2"/>
  <c r="M968" i="2"/>
  <c r="M923" i="2"/>
  <c r="M878" i="2"/>
  <c r="M832" i="2"/>
  <c r="M785" i="2"/>
  <c r="M742" i="2"/>
  <c r="M695" i="2"/>
  <c r="M650" i="2"/>
  <c r="M605" i="2"/>
  <c r="M563" i="2"/>
  <c r="M520" i="2"/>
  <c r="M475" i="2"/>
  <c r="M433" i="2"/>
  <c r="M389" i="2"/>
  <c r="M347" i="2"/>
  <c r="M304" i="2"/>
  <c r="M259" i="2"/>
  <c r="M217" i="2"/>
  <c r="M173" i="2"/>
  <c r="M131" i="2"/>
  <c r="M88" i="2"/>
  <c r="M46" i="2"/>
  <c r="M17" i="2"/>
  <c r="M1012" i="2"/>
  <c r="M965" i="2"/>
  <c r="M922" i="2"/>
  <c r="M875" i="2"/>
  <c r="M830" i="2"/>
  <c r="M784" i="2"/>
  <c r="M740" i="2"/>
  <c r="M694" i="2"/>
  <c r="M649" i="2"/>
  <c r="M604" i="2"/>
  <c r="M562" i="2"/>
  <c r="M518" i="2"/>
  <c r="M473" i="2"/>
  <c r="M430" i="2"/>
  <c r="M388" i="2"/>
  <c r="M1010" i="2"/>
  <c r="M964" i="2"/>
  <c r="M920" i="2"/>
  <c r="M874" i="2"/>
  <c r="M829" i="2"/>
  <c r="M34" i="2"/>
  <c r="M73" i="2"/>
  <c r="M119" i="2"/>
  <c r="M167" i="2"/>
  <c r="M212" i="2"/>
  <c r="M263" i="2"/>
  <c r="M311" i="2"/>
  <c r="M356" i="2"/>
  <c r="M406" i="2"/>
  <c r="M455" i="2"/>
  <c r="M502" i="2"/>
  <c r="M551" i="2"/>
  <c r="M601" i="2"/>
  <c r="M655" i="2"/>
  <c r="M707" i="2"/>
  <c r="M758" i="2"/>
  <c r="M811" i="2"/>
  <c r="M862" i="2"/>
  <c r="M916" i="2"/>
  <c r="M976" i="2"/>
  <c r="M1030" i="2"/>
  <c r="L315" i="2"/>
  <c r="L341" i="2"/>
  <c r="L367" i="2"/>
  <c r="L393" i="2"/>
  <c r="L419" i="2"/>
  <c r="L445" i="2"/>
  <c r="L472" i="2"/>
  <c r="L500" i="2"/>
  <c r="L529" i="2"/>
  <c r="L561" i="2"/>
  <c r="L591" i="2"/>
  <c r="L621" i="2"/>
  <c r="L650" i="2"/>
  <c r="L680" i="2"/>
  <c r="L710" i="2"/>
  <c r="L740" i="2"/>
  <c r="L769" i="2"/>
  <c r="L799" i="2"/>
  <c r="L829" i="2"/>
  <c r="L860" i="2"/>
  <c r="L892" i="2"/>
  <c r="L924" i="2"/>
  <c r="L956" i="2"/>
  <c r="L986" i="2"/>
  <c r="L1017" i="2"/>
  <c r="M5" i="2"/>
  <c r="M35" i="2"/>
  <c r="M74" i="2"/>
  <c r="M122" i="2"/>
  <c r="M169" i="2"/>
  <c r="M214" i="2"/>
  <c r="M266" i="2"/>
  <c r="M313" i="2"/>
  <c r="M358" i="2"/>
  <c r="M407" i="2"/>
  <c r="M457" i="2"/>
  <c r="M505" i="2"/>
  <c r="M554" i="2"/>
  <c r="M602" i="2"/>
  <c r="M658" i="2"/>
  <c r="M709" i="2"/>
  <c r="M760" i="2"/>
  <c r="M812" i="2"/>
  <c r="M865" i="2"/>
  <c r="M919" i="2"/>
  <c r="M977" i="2"/>
  <c r="M1031" i="2"/>
  <c r="L3" i="2"/>
  <c r="L26" i="2"/>
  <c r="L50" i="2"/>
  <c r="L74" i="2"/>
  <c r="L98" i="2"/>
  <c r="L122" i="2"/>
  <c r="L146" i="2"/>
  <c r="L171" i="2"/>
  <c r="L196" i="2"/>
  <c r="L221" i="2"/>
  <c r="L246" i="2"/>
  <c r="L271" i="2"/>
  <c r="L296" i="2"/>
  <c r="L321" i="2"/>
  <c r="L347" i="2"/>
  <c r="L373" i="2"/>
  <c r="L399" i="2"/>
  <c r="L425" i="2"/>
  <c r="L451" i="2"/>
  <c r="L480" i="2"/>
  <c r="L508" i="2"/>
  <c r="L538" i="2"/>
  <c r="L568" i="2"/>
  <c r="L598" i="2"/>
  <c r="L627" i="2"/>
  <c r="L657" i="2"/>
  <c r="L687" i="2"/>
  <c r="L717" i="2"/>
  <c r="L746" i="2"/>
  <c r="L776" i="2"/>
  <c r="L808" i="2"/>
  <c r="L838" i="2"/>
  <c r="L868" i="2"/>
  <c r="L900" i="2"/>
  <c r="L932" i="2"/>
  <c r="L962" i="2"/>
  <c r="L993" i="2"/>
  <c r="M11" i="2"/>
  <c r="M43" i="2"/>
  <c r="M86" i="2"/>
  <c r="M136" i="2"/>
  <c r="M182" i="2"/>
  <c r="M230" i="2"/>
  <c r="M277" i="2"/>
  <c r="M322" i="2"/>
  <c r="M370" i="2"/>
  <c r="M419" i="2"/>
  <c r="M466" i="2"/>
  <c r="M515" i="2"/>
  <c r="M569" i="2"/>
  <c r="M617" i="2"/>
  <c r="M670" i="2"/>
  <c r="M721" i="2"/>
  <c r="M772" i="2"/>
  <c r="M821" i="2"/>
  <c r="M884" i="2"/>
  <c r="M937" i="2"/>
  <c r="M991" i="2"/>
  <c r="M1042" i="2"/>
  <c r="L1025" i="2"/>
  <c r="L1001" i="2"/>
  <c r="L977" i="2"/>
  <c r="L953" i="2"/>
  <c r="L929" i="2"/>
  <c r="L905" i="2"/>
  <c r="L881" i="2"/>
  <c r="L857" i="2"/>
  <c r="L833" i="2"/>
  <c r="L809" i="2"/>
  <c r="L785" i="2"/>
  <c r="L761" i="2"/>
  <c r="L737" i="2"/>
  <c r="L713" i="2"/>
  <c r="L689" i="2"/>
  <c r="L665" i="2"/>
  <c r="L641" i="2"/>
  <c r="L617" i="2"/>
  <c r="L593" i="2"/>
  <c r="L569" i="2"/>
  <c r="L545" i="2"/>
  <c r="L521" i="2"/>
  <c r="L497" i="2"/>
  <c r="L1046" i="2"/>
  <c r="L1022" i="2"/>
  <c r="L998" i="2"/>
  <c r="L974" i="2"/>
  <c r="L950" i="2"/>
  <c r="L926" i="2"/>
  <c r="L902" i="2"/>
  <c r="L878" i="2"/>
  <c r="L854" i="2"/>
  <c r="L1043" i="2"/>
  <c r="L1019" i="2"/>
  <c r="L995" i="2"/>
  <c r="L971" i="2"/>
  <c r="L947" i="2"/>
  <c r="L923" i="2"/>
  <c r="L899" i="2"/>
  <c r="L875" i="2"/>
  <c r="L851" i="2"/>
  <c r="L827" i="2"/>
  <c r="L803" i="2"/>
  <c r="L779" i="2"/>
  <c r="L755" i="2"/>
  <c r="L731" i="2"/>
  <c r="L707" i="2"/>
  <c r="L683" i="2"/>
  <c r="L659" i="2"/>
  <c r="L635" i="2"/>
  <c r="L611" i="2"/>
  <c r="L587" i="2"/>
  <c r="L563" i="2"/>
  <c r="L539" i="2"/>
  <c r="L515" i="2"/>
  <c r="L491" i="2"/>
  <c r="L467" i="2"/>
  <c r="L1037" i="2"/>
  <c r="L1013" i="2"/>
  <c r="L989" i="2"/>
  <c r="L965" i="2"/>
  <c r="L941" i="2"/>
  <c r="L917" i="2"/>
  <c r="L893" i="2"/>
  <c r="L869" i="2"/>
  <c r="L845" i="2"/>
  <c r="L821" i="2"/>
  <c r="L797" i="2"/>
  <c r="L773" i="2"/>
  <c r="L749" i="2"/>
  <c r="L725" i="2"/>
  <c r="L701" i="2"/>
  <c r="L677" i="2"/>
  <c r="L653" i="2"/>
  <c r="L629" i="2"/>
  <c r="L605" i="2"/>
  <c r="L581" i="2"/>
  <c r="L557" i="2"/>
  <c r="L533" i="2"/>
  <c r="L509" i="2"/>
  <c r="L1034" i="2"/>
  <c r="L1006" i="2"/>
  <c r="L978" i="2"/>
  <c r="L948" i="2"/>
  <c r="L919" i="2"/>
  <c r="L890" i="2"/>
  <c r="L862" i="2"/>
  <c r="L834" i="2"/>
  <c r="L806" i="2"/>
  <c r="L778" i="2"/>
  <c r="L751" i="2"/>
  <c r="L723" i="2"/>
  <c r="L696" i="2"/>
  <c r="L669" i="2"/>
  <c r="L642" i="2"/>
  <c r="L614" i="2"/>
  <c r="L586" i="2"/>
  <c r="L559" i="2"/>
  <c r="L531" i="2"/>
  <c r="L504" i="2"/>
  <c r="L478" i="2"/>
  <c r="L453" i="2"/>
  <c r="L429" i="2"/>
  <c r="L405" i="2"/>
  <c r="L381" i="2"/>
  <c r="L357" i="2"/>
  <c r="L333" i="2"/>
  <c r="L309" i="2"/>
  <c r="L285" i="2"/>
  <c r="L261" i="2"/>
  <c r="L237" i="2"/>
  <c r="L213" i="2"/>
  <c r="L189" i="2"/>
  <c r="L165" i="2"/>
  <c r="L1033" i="2"/>
  <c r="L1005" i="2"/>
  <c r="L976" i="2"/>
  <c r="L946" i="2"/>
  <c r="L918" i="2"/>
  <c r="L889" i="2"/>
  <c r="L861" i="2"/>
  <c r="L832" i="2"/>
  <c r="L805" i="2"/>
  <c r="L777" i="2"/>
  <c r="L750" i="2"/>
  <c r="L722" i="2"/>
  <c r="L695" i="2"/>
  <c r="L668" i="2"/>
  <c r="L640" i="2"/>
  <c r="L613" i="2"/>
  <c r="L585" i="2"/>
  <c r="L558" i="2"/>
  <c r="L530" i="2"/>
  <c r="L503" i="2"/>
  <c r="L477" i="2"/>
  <c r="L452" i="2"/>
  <c r="L428" i="2"/>
  <c r="L404" i="2"/>
  <c r="L380" i="2"/>
  <c r="L356" i="2"/>
  <c r="L332" i="2"/>
  <c r="L27" i="2"/>
  <c r="L51" i="2"/>
  <c r="L75" i="2"/>
  <c r="L99" i="2"/>
  <c r="L123" i="2"/>
  <c r="L147" i="2"/>
  <c r="L172" i="2"/>
  <c r="L197" i="2"/>
  <c r="L222" i="2"/>
  <c r="L247" i="2"/>
  <c r="L272" i="2"/>
  <c r="L297" i="2"/>
  <c r="L322" i="2"/>
  <c r="L348" i="2"/>
  <c r="L374" i="2"/>
  <c r="L400" i="2"/>
  <c r="L426" i="2"/>
  <c r="L454" i="2"/>
  <c r="L481" i="2"/>
  <c r="L510" i="2"/>
  <c r="L540" i="2"/>
  <c r="L570" i="2"/>
  <c r="L599" i="2"/>
  <c r="L628" i="2"/>
  <c r="L658" i="2"/>
  <c r="L688" i="2"/>
  <c r="L718" i="2"/>
  <c r="L747" i="2"/>
  <c r="L780" i="2"/>
  <c r="L810" i="2"/>
  <c r="L839" i="2"/>
  <c r="L870" i="2"/>
  <c r="L901" i="2"/>
  <c r="L933" i="2"/>
  <c r="L963" i="2"/>
  <c r="L994" i="2"/>
  <c r="L1027" i="2"/>
  <c r="M12" i="2"/>
  <c r="M44" i="2"/>
  <c r="M92" i="2"/>
  <c r="M137" i="2"/>
  <c r="M184" i="2"/>
  <c r="M232" i="2"/>
  <c r="M278" i="2"/>
  <c r="M325" i="2"/>
  <c r="M371" i="2"/>
  <c r="M421" i="2"/>
  <c r="M469" i="2"/>
  <c r="M524" i="2"/>
  <c r="M571" i="2"/>
  <c r="M619" i="2"/>
  <c r="M671" i="2"/>
  <c r="M722" i="2"/>
  <c r="M775" i="2"/>
  <c r="M824" i="2"/>
  <c r="M886" i="2"/>
  <c r="M938" i="2"/>
  <c r="M992" i="2"/>
  <c r="M1045" i="2"/>
  <c r="L4" i="2"/>
  <c r="L28" i="2"/>
  <c r="L52" i="2"/>
  <c r="L76" i="2"/>
  <c r="L100" i="2"/>
  <c r="L124" i="2"/>
  <c r="L148" i="2"/>
  <c r="L173" i="2"/>
  <c r="L198" i="2"/>
  <c r="L223" i="2"/>
  <c r="L248" i="2"/>
  <c r="L273" i="2"/>
  <c r="L298" i="2"/>
  <c r="L323" i="2"/>
  <c r="L349" i="2"/>
  <c r="L375" i="2"/>
  <c r="L401" i="2"/>
  <c r="L427" i="2"/>
  <c r="L455" i="2"/>
  <c r="L482" i="2"/>
  <c r="L511" i="2"/>
  <c r="L541" i="2"/>
  <c r="L571" i="2"/>
  <c r="L600" i="2"/>
  <c r="L630" i="2"/>
  <c r="L660" i="2"/>
  <c r="L690" i="2"/>
  <c r="L719" i="2"/>
  <c r="L748" i="2"/>
  <c r="L781" i="2"/>
  <c r="L811" i="2"/>
  <c r="L840" i="2"/>
  <c r="L871" i="2"/>
  <c r="L903" i="2"/>
  <c r="L934" i="2"/>
  <c r="L964" i="2"/>
  <c r="L996" i="2"/>
  <c r="L1028" i="2"/>
  <c r="M13" i="2"/>
  <c r="M45" i="2"/>
  <c r="M94" i="2"/>
  <c r="M139" i="2"/>
  <c r="M185" i="2"/>
  <c r="M235" i="2"/>
  <c r="M280" i="2"/>
  <c r="M326" i="2"/>
  <c r="M374" i="2"/>
  <c r="M422" i="2"/>
  <c r="M470" i="2"/>
  <c r="M526" i="2"/>
  <c r="M572" i="2"/>
  <c r="M622" i="2"/>
  <c r="M673" i="2"/>
  <c r="M724" i="2"/>
  <c r="M776" i="2"/>
  <c r="M826" i="2"/>
  <c r="M887" i="2"/>
  <c r="M940" i="2"/>
  <c r="M994" i="2"/>
  <c r="M1046" i="2"/>
  <c r="L5" i="2"/>
  <c r="L29" i="2"/>
  <c r="L53" i="2"/>
  <c r="L77" i="2"/>
  <c r="L101" i="2"/>
  <c r="L125" i="2"/>
  <c r="L149" i="2"/>
  <c r="L174" i="2"/>
  <c r="L199" i="2"/>
  <c r="L224" i="2"/>
  <c r="L249" i="2"/>
  <c r="L274" i="2"/>
  <c r="L299" i="2"/>
  <c r="L324" i="2"/>
  <c r="L350" i="2"/>
  <c r="L376" i="2"/>
  <c r="L402" i="2"/>
  <c r="L430" i="2"/>
  <c r="L456" i="2"/>
  <c r="L483" i="2"/>
  <c r="L512" i="2"/>
  <c r="L542" i="2"/>
  <c r="L572" i="2"/>
  <c r="L601" i="2"/>
  <c r="L631" i="2"/>
  <c r="L661" i="2"/>
  <c r="L691" i="2"/>
  <c r="L720" i="2"/>
  <c r="L752" i="2"/>
  <c r="L782" i="2"/>
  <c r="L812" i="2"/>
  <c r="L841" i="2"/>
  <c r="L872" i="2"/>
  <c r="L904" i="2"/>
  <c r="L935" i="2"/>
  <c r="L966" i="2"/>
  <c r="L997" i="2"/>
  <c r="L1029" i="2"/>
  <c r="M14" i="2"/>
  <c r="M49" i="2"/>
  <c r="M95" i="2"/>
  <c r="M140" i="2"/>
  <c r="M187" i="2"/>
  <c r="M236" i="2"/>
  <c r="M281" i="2"/>
  <c r="M328" i="2"/>
  <c r="M376" i="2"/>
  <c r="M424" i="2"/>
  <c r="M472" i="2"/>
  <c r="M527" i="2"/>
  <c r="M574" i="2"/>
  <c r="M623" i="2"/>
  <c r="M674" i="2"/>
  <c r="M725" i="2"/>
  <c r="M778" i="2"/>
  <c r="M835" i="2"/>
  <c r="M889" i="2"/>
  <c r="M941" i="2"/>
  <c r="M995" i="2"/>
  <c r="L6" i="2"/>
  <c r="L30" i="2"/>
  <c r="L54" i="2"/>
  <c r="L78" i="2"/>
  <c r="L102" i="2"/>
  <c r="L126" i="2"/>
  <c r="L150" i="2"/>
  <c r="L175" i="2"/>
  <c r="L200" i="2"/>
  <c r="L225" i="2"/>
  <c r="L250" i="2"/>
  <c r="L275" i="2"/>
  <c r="L300" i="2"/>
  <c r="L325" i="2"/>
  <c r="L351" i="2"/>
  <c r="L377" i="2"/>
  <c r="L403" i="2"/>
  <c r="L431" i="2"/>
  <c r="L457" i="2"/>
  <c r="L484" i="2"/>
  <c r="L513" i="2"/>
  <c r="L543" i="2"/>
  <c r="L573" i="2"/>
  <c r="L602" i="2"/>
  <c r="L632" i="2"/>
  <c r="L662" i="2"/>
  <c r="L692" i="2"/>
  <c r="L721" i="2"/>
  <c r="L753" i="2"/>
  <c r="L783" i="2"/>
  <c r="L813" i="2"/>
  <c r="L842" i="2"/>
  <c r="L873" i="2"/>
  <c r="L906" i="2"/>
  <c r="L936" i="2"/>
  <c r="L967" i="2"/>
  <c r="L999" i="2"/>
  <c r="L1030" i="2"/>
  <c r="M15" i="2"/>
  <c r="M51" i="2"/>
  <c r="M97" i="2"/>
  <c r="M142" i="2"/>
  <c r="M190" i="2"/>
  <c r="M238" i="2"/>
  <c r="M283" i="2"/>
  <c r="M329" i="2"/>
  <c r="M379" i="2"/>
  <c r="M425" i="2"/>
  <c r="M479" i="2"/>
  <c r="M529" i="2"/>
  <c r="M577" i="2"/>
  <c r="M626" i="2"/>
  <c r="M676" i="2"/>
  <c r="M727" i="2"/>
  <c r="M779" i="2"/>
  <c r="M838" i="2"/>
  <c r="M890" i="2"/>
  <c r="M943" i="2"/>
  <c r="M99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1" authorId="0" shapeId="0" xr:uid="{24D1DD95-CE1C-4F79-9F23-F0C7566DB1B0}">
      <text>
        <r>
          <rPr>
            <b/>
            <sz val="9"/>
            <color indexed="81"/>
            <rFont val="宋体"/>
            <charset val="1"/>
          </rPr>
          <t>Admin:</t>
        </r>
        <r>
          <rPr>
            <sz val="9"/>
            <color indexed="81"/>
            <rFont val="宋体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<sst xmlns="http://schemas.openxmlformats.org/spreadsheetml/2006/main" count="22815" uniqueCount="1608">
  <si>
    <t>Timestamp</t>
  </si>
  <si>
    <t>Email Address</t>
  </si>
  <si>
    <t>LINK TO MEAL PLAN</t>
  </si>
  <si>
    <t>Brandy</t>
  </si>
  <si>
    <t>Lightly active (light exercise/sports 1-3 days/week)</t>
  </si>
  <si>
    <t>No</t>
  </si>
  <si>
    <t>Negative (Low concentration)</t>
  </si>
  <si>
    <t>Vegetarian</t>
  </si>
  <si>
    <t>12:00 PM - 1:00 PM</t>
  </si>
  <si>
    <t>Nasi lemak, Tea</t>
  </si>
  <si>
    <t>8:00 PM - 9:00 PM</t>
  </si>
  <si>
    <t>Sandwich, Soup</t>
  </si>
  <si>
    <t>7:00 AM - 8:00 AM</t>
  </si>
  <si>
    <t>Pasta, Salad</t>
  </si>
  <si>
    <t>4 meals</t>
  </si>
  <si>
    <t>Never</t>
  </si>
  <si>
    <t>Improve fertility</t>
  </si>
  <si>
    <t>Willie</t>
  </si>
  <si>
    <t>Very active (hard exercise/sports 6-7 days a week)</t>
  </si>
  <si>
    <t>Low-carb</t>
  </si>
  <si>
    <t>7:00 PM - 8:00 PM</t>
  </si>
  <si>
    <t>Smoothie, Banana</t>
  </si>
  <si>
    <t>Rice, Chicken, Vegetables</t>
  </si>
  <si>
    <t>Nasi goreng</t>
  </si>
  <si>
    <t>Daily</t>
  </si>
  <si>
    <t>Weekly</t>
  </si>
  <si>
    <t>Improve blood sugar regulation</t>
  </si>
  <si>
    <t>Justin</t>
  </si>
  <si>
    <t>Sedentary (little or no exercise)</t>
  </si>
  <si>
    <t>Yes</t>
  </si>
  <si>
    <t>Gluten-free</t>
  </si>
  <si>
    <t>8:00 AM - 9:00 AM</t>
  </si>
  <si>
    <t>Grilled chicken, Rice, Broccoli</t>
  </si>
  <si>
    <t>2 meals</t>
  </si>
  <si>
    <t>Lose weight</t>
  </si>
  <si>
    <t>Madison</t>
  </si>
  <si>
    <t>Positive (Normal concentration)</t>
  </si>
  <si>
    <t>No restrictions</t>
  </si>
  <si>
    <t>Cereal, Milk</t>
  </si>
  <si>
    <t>Build muscle</t>
  </si>
  <si>
    <t>1:00 PM - 2:00 PM</t>
  </si>
  <si>
    <t>Jennifer</t>
  </si>
  <si>
    <t>Moderately active (moderate exercise/sports 3-5 days/week)</t>
  </si>
  <si>
    <t>Amanda</t>
  </si>
  <si>
    <t>Salad, Tuna</t>
  </si>
  <si>
    <t>Sandra</t>
  </si>
  <si>
    <t>Noodles, Tofu</t>
  </si>
  <si>
    <t>Monthly</t>
  </si>
  <si>
    <t>Joseph</t>
  </si>
  <si>
    <t>Keith</t>
  </si>
  <si>
    <t>3 meals</t>
  </si>
  <si>
    <t>Charles</t>
  </si>
  <si>
    <t>Oats, Eggs, Toast</t>
  </si>
  <si>
    <t>Sean</t>
  </si>
  <si>
    <t>Aaron</t>
  </si>
  <si>
    <t>Soup, Bread</t>
  </si>
  <si>
    <t>Amy</t>
  </si>
  <si>
    <t>Michael</t>
  </si>
  <si>
    <t>Tiffany</t>
  </si>
  <si>
    <t>Robert</t>
  </si>
  <si>
    <t>Keto</t>
  </si>
  <si>
    <t>Roberta</t>
  </si>
  <si>
    <t>Corey</t>
  </si>
  <si>
    <t>Vegan</t>
  </si>
  <si>
    <t>Adam</t>
  </si>
  <si>
    <t>Robin</t>
  </si>
  <si>
    <t>Mitchell</t>
  </si>
  <si>
    <t>William</t>
  </si>
  <si>
    <t>Laura</t>
  </si>
  <si>
    <t>Brooke</t>
  </si>
  <si>
    <t>Lisa</t>
  </si>
  <si>
    <t>Austin</t>
  </si>
  <si>
    <t>Chad</t>
  </si>
  <si>
    <t>Marc</t>
  </si>
  <si>
    <t>Melissa</t>
  </si>
  <si>
    <t>Claudia</t>
  </si>
  <si>
    <t>Derrick</t>
  </si>
  <si>
    <t>Lee</t>
  </si>
  <si>
    <t>Brandon</t>
  </si>
  <si>
    <t>Timothy</t>
  </si>
  <si>
    <t>April</t>
  </si>
  <si>
    <t>Joy</t>
  </si>
  <si>
    <t>Nathaniel</t>
  </si>
  <si>
    <t>Karen</t>
  </si>
  <si>
    <t>Susan</t>
  </si>
  <si>
    <t>Jessica</t>
  </si>
  <si>
    <t>Gary</t>
  </si>
  <si>
    <t>Jeffrey</t>
  </si>
  <si>
    <t>Taylor</t>
  </si>
  <si>
    <t>Cole</t>
  </si>
  <si>
    <t>Rose</t>
  </si>
  <si>
    <t>Joe</t>
  </si>
  <si>
    <t>Anthony</t>
  </si>
  <si>
    <t>Kevin</t>
  </si>
  <si>
    <t>Calvin</t>
  </si>
  <si>
    <t>Kimberly</t>
  </si>
  <si>
    <t>Scott</t>
  </si>
  <si>
    <t>60 Scott</t>
  </si>
  <si>
    <t>Kristin</t>
  </si>
  <si>
    <t>Mark</t>
  </si>
  <si>
    <t>Christine</t>
  </si>
  <si>
    <t>Meghan</t>
  </si>
  <si>
    <t>John</t>
  </si>
  <si>
    <t>Alexis</t>
  </si>
  <si>
    <t>Valerie</t>
  </si>
  <si>
    <t>Ashley</t>
  </si>
  <si>
    <t>Thomas</t>
  </si>
  <si>
    <t>Alyssa</t>
  </si>
  <si>
    <t>Steven</t>
  </si>
  <si>
    <t>Vanessa</t>
  </si>
  <si>
    <t>Matthew</t>
  </si>
  <si>
    <t>Mary</t>
  </si>
  <si>
    <t>Maria</t>
  </si>
  <si>
    <t>Sharon</t>
  </si>
  <si>
    <t>Jimmy</t>
  </si>
  <si>
    <t>Elizabeth</t>
  </si>
  <si>
    <t>Richard</t>
  </si>
  <si>
    <t>Cassidy</t>
  </si>
  <si>
    <t>Wanda</t>
  </si>
  <si>
    <t>Eric</t>
  </si>
  <si>
    <t>Kristina</t>
  </si>
  <si>
    <t>87 Robert</t>
  </si>
  <si>
    <t>Barry</t>
  </si>
  <si>
    <t>Shane</t>
  </si>
  <si>
    <t>Gabriel</t>
  </si>
  <si>
    <t>Caroline</t>
  </si>
  <si>
    <t>Rebecca</t>
  </si>
  <si>
    <t>Erica</t>
  </si>
  <si>
    <t>Vicki</t>
  </si>
  <si>
    <t>Randy</t>
  </si>
  <si>
    <t>Jay</t>
  </si>
  <si>
    <t>Annette</t>
  </si>
  <si>
    <t>Victor</t>
  </si>
  <si>
    <t>Whitney</t>
  </si>
  <si>
    <t>Leslie</t>
  </si>
  <si>
    <t>Billy</t>
  </si>
  <si>
    <t>Heidi</t>
  </si>
  <si>
    <t>Shawn</t>
  </si>
  <si>
    <t>Melanie</t>
  </si>
  <si>
    <t>Curtis</t>
  </si>
  <si>
    <t>Chelsey</t>
  </si>
  <si>
    <t>Kenneth</t>
  </si>
  <si>
    <t>Dana</t>
  </si>
  <si>
    <t>Alvin</t>
  </si>
  <si>
    <t>Caitlin</t>
  </si>
  <si>
    <t>Angela</t>
  </si>
  <si>
    <t>Amber</t>
  </si>
  <si>
    <t>Isaac</t>
  </si>
  <si>
    <t>Erin</t>
  </si>
  <si>
    <t>Suzanne</t>
  </si>
  <si>
    <t>Brenda</t>
  </si>
  <si>
    <t>Marie</t>
  </si>
  <si>
    <t>Carlos</t>
  </si>
  <si>
    <t>Danielle</t>
  </si>
  <si>
    <t>James</t>
  </si>
  <si>
    <t>Cheryl</t>
  </si>
  <si>
    <t>Rodney</t>
  </si>
  <si>
    <t>Betty</t>
  </si>
  <si>
    <t>Becky</t>
  </si>
  <si>
    <t>Jason</t>
  </si>
  <si>
    <t>Ricky</t>
  </si>
  <si>
    <t>Crystal</t>
  </si>
  <si>
    <t>Nicole</t>
  </si>
  <si>
    <t>Daniel</t>
  </si>
  <si>
    <t>Heather</t>
  </si>
  <si>
    <t>Douglas</t>
  </si>
  <si>
    <t>Jorge</t>
  </si>
  <si>
    <t>Jacqueline</t>
  </si>
  <si>
    <t>Julia</t>
  </si>
  <si>
    <t>Dennis</t>
  </si>
  <si>
    <t>Megan</t>
  </si>
  <si>
    <t>Julie</t>
  </si>
  <si>
    <t>Nancy</t>
  </si>
  <si>
    <t>Renee</t>
  </si>
  <si>
    <t>Antonio</t>
  </si>
  <si>
    <t>Norma</t>
  </si>
  <si>
    <t>Linda</t>
  </si>
  <si>
    <t>Sherri</t>
  </si>
  <si>
    <t>Sarah</t>
  </si>
  <si>
    <t>Nathan</t>
  </si>
  <si>
    <t>David</t>
  </si>
  <si>
    <t>Jody</t>
  </si>
  <si>
    <t>Erik</t>
  </si>
  <si>
    <t>Brady</t>
  </si>
  <si>
    <t>Donald</t>
  </si>
  <si>
    <t>Lucas</t>
  </si>
  <si>
    <t>Debra</t>
  </si>
  <si>
    <t>Patricia</t>
  </si>
  <si>
    <t>Jake</t>
  </si>
  <si>
    <t>Katherine</t>
  </si>
  <si>
    <t>Lacey</t>
  </si>
  <si>
    <t>Kristy</t>
  </si>
  <si>
    <t>Alexa</t>
  </si>
  <si>
    <t>Ryan</t>
  </si>
  <si>
    <t>Darren</t>
  </si>
  <si>
    <t>Emily</t>
  </si>
  <si>
    <t>Christopher</t>
  </si>
  <si>
    <t>Tyler</t>
  </si>
  <si>
    <t>Todd</t>
  </si>
  <si>
    <t>Jodi</t>
  </si>
  <si>
    <t>Chelsea</t>
  </si>
  <si>
    <t>Jared</t>
  </si>
  <si>
    <t>Jose</t>
  </si>
  <si>
    <t>Stephen</t>
  </si>
  <si>
    <t>Courtney</t>
  </si>
  <si>
    <t>Kathleen</t>
  </si>
  <si>
    <t>Paula</t>
  </si>
  <si>
    <t>Carolyn</t>
  </si>
  <si>
    <t>Terri</t>
  </si>
  <si>
    <t>Daryl</t>
  </si>
  <si>
    <t>Lance</t>
  </si>
  <si>
    <t>Craig</t>
  </si>
  <si>
    <t>Rachel</t>
  </si>
  <si>
    <t>Jillian</t>
  </si>
  <si>
    <t>Brittany</t>
  </si>
  <si>
    <t>Mikayla</t>
  </si>
  <si>
    <t>Marcus</t>
  </si>
  <si>
    <t>Deanna</t>
  </si>
  <si>
    <t>Felicia</t>
  </si>
  <si>
    <t>Anna</t>
  </si>
  <si>
    <t>Paul</t>
  </si>
  <si>
    <t>Edward</t>
  </si>
  <si>
    <t>Cody</t>
  </si>
  <si>
    <t>Margaret</t>
  </si>
  <si>
    <t>Stacey</t>
  </si>
  <si>
    <t>Kelly</t>
  </si>
  <si>
    <t>Lori</t>
  </si>
  <si>
    <t>Henry</t>
  </si>
  <si>
    <t>Francisco</t>
  </si>
  <si>
    <t>Jenny</t>
  </si>
  <si>
    <t>Leonard</t>
  </si>
  <si>
    <t>Jill</t>
  </si>
  <si>
    <t>Natalie</t>
  </si>
  <si>
    <t>Benjamin</t>
  </si>
  <si>
    <t>Ann</t>
  </si>
  <si>
    <t>Jesus</t>
  </si>
  <si>
    <t>Walter</t>
  </si>
  <si>
    <t>Frederick</t>
  </si>
  <si>
    <t>Cassandra</t>
  </si>
  <si>
    <t>Michelle</t>
  </si>
  <si>
    <t>Krista</t>
  </si>
  <si>
    <t>Hunter</t>
  </si>
  <si>
    <t>Ian</t>
  </si>
  <si>
    <t>Beth</t>
  </si>
  <si>
    <t>Darlene</t>
  </si>
  <si>
    <t>Catherine</t>
  </si>
  <si>
    <t>Ruben</t>
  </si>
  <si>
    <t>Alexander</t>
  </si>
  <si>
    <t>Lorraine</t>
  </si>
  <si>
    <t>Nicholas</t>
  </si>
  <si>
    <t>Dustin</t>
  </si>
  <si>
    <t>Cory</t>
  </si>
  <si>
    <t>Stephanie</t>
  </si>
  <si>
    <t>Jeffery</t>
  </si>
  <si>
    <t>Travis</t>
  </si>
  <si>
    <t>Cathy</t>
  </si>
  <si>
    <t>Cameron</t>
  </si>
  <si>
    <t>Peter</t>
  </si>
  <si>
    <t>Andrew</t>
  </si>
  <si>
    <t>Bruce</t>
  </si>
  <si>
    <t>Gerald</t>
  </si>
  <si>
    <t>Dean</t>
  </si>
  <si>
    <t>Brianna</t>
  </si>
  <si>
    <t>Tamara</t>
  </si>
  <si>
    <t>Clinton</t>
  </si>
  <si>
    <t>Wendy</t>
  </si>
  <si>
    <t>Victoria</t>
  </si>
  <si>
    <t>Philip</t>
  </si>
  <si>
    <t>Tara</t>
  </si>
  <si>
    <t>Brad</t>
  </si>
  <si>
    <t>Jesse</t>
  </si>
  <si>
    <t>Dylan</t>
  </si>
  <si>
    <t>Cesar</t>
  </si>
  <si>
    <t>Ronald</t>
  </si>
  <si>
    <t>Kara</t>
  </si>
  <si>
    <t>Jean</t>
  </si>
  <si>
    <t>Jamie</t>
  </si>
  <si>
    <t>Cynthia</t>
  </si>
  <si>
    <t>Samuel</t>
  </si>
  <si>
    <t>Katie</t>
  </si>
  <si>
    <t>Jonathan</t>
  </si>
  <si>
    <t>Yvonne</t>
  </si>
  <si>
    <t>Russell</t>
  </si>
  <si>
    <t>Kim</t>
  </si>
  <si>
    <t>Roger</t>
  </si>
  <si>
    <t>Jon</t>
  </si>
  <si>
    <t>Carla</t>
  </si>
  <si>
    <t>Ashlee</t>
  </si>
  <si>
    <t>Lynn</t>
  </si>
  <si>
    <t>Bradley</t>
  </si>
  <si>
    <t>Sara</t>
  </si>
  <si>
    <t>Brian</t>
  </si>
  <si>
    <t>Jeremy</t>
  </si>
  <si>
    <t>Patrick</t>
  </si>
  <si>
    <t>Zachary</t>
  </si>
  <si>
    <t>Holly</t>
  </si>
  <si>
    <t>Eddie</t>
  </si>
  <si>
    <t>Gabriella</t>
  </si>
  <si>
    <t>Johnny</t>
  </si>
  <si>
    <t>Max</t>
  </si>
  <si>
    <t>Andrea</t>
  </si>
  <si>
    <t>Gregory</t>
  </si>
  <si>
    <t>Dawn</t>
  </si>
  <si>
    <t>Andre</t>
  </si>
  <si>
    <t>Jaime</t>
  </si>
  <si>
    <t>Dorothy</t>
  </si>
  <si>
    <t>Blake</t>
  </si>
  <si>
    <t>Brittney</t>
  </si>
  <si>
    <t>Lauren</t>
  </si>
  <si>
    <t>Jacob</t>
  </si>
  <si>
    <t>Donna</t>
  </si>
  <si>
    <t>Kendra</t>
  </si>
  <si>
    <t>Sherry</t>
  </si>
  <si>
    <t>Colin</t>
  </si>
  <si>
    <t>Marcia</t>
  </si>
  <si>
    <t>Omar</t>
  </si>
  <si>
    <t>Tracy</t>
  </si>
  <si>
    <t>Miguel</t>
  </si>
  <si>
    <t>Sheila</t>
  </si>
  <si>
    <t>Darrell</t>
  </si>
  <si>
    <t>Glenn</t>
  </si>
  <si>
    <t>Evelyn</t>
  </si>
  <si>
    <t>Sue</t>
  </si>
  <si>
    <t>Adrian</t>
  </si>
  <si>
    <t>Monica</t>
  </si>
  <si>
    <t>Monique</t>
  </si>
  <si>
    <t>Raymond</t>
  </si>
  <si>
    <t>Samantha</t>
  </si>
  <si>
    <t>Christy</t>
  </si>
  <si>
    <t>Jerry</t>
  </si>
  <si>
    <t>Sonya</t>
  </si>
  <si>
    <t>Karla</t>
  </si>
  <si>
    <t>Christina</t>
  </si>
  <si>
    <t>Jeremiah</t>
  </si>
  <si>
    <t>Rhonda</t>
  </si>
  <si>
    <t>Johnathan</t>
  </si>
  <si>
    <t>Roy</t>
  </si>
  <si>
    <t>Albert</t>
  </si>
  <si>
    <t>Pamela</t>
  </si>
  <si>
    <t>Jack</t>
  </si>
  <si>
    <t>Alicia</t>
  </si>
  <si>
    <t>Denise</t>
  </si>
  <si>
    <t>Reginald</t>
  </si>
  <si>
    <t>Norman</t>
  </si>
  <si>
    <t>Luke</t>
  </si>
  <si>
    <t>Theresa</t>
  </si>
  <si>
    <t>Jim</t>
  </si>
  <si>
    <t>Larry</t>
  </si>
  <si>
    <t>Joel</t>
  </si>
  <si>
    <t>Kelli</t>
  </si>
  <si>
    <t>Carol</t>
  </si>
  <si>
    <t>Allison</t>
  </si>
  <si>
    <t>Shaun</t>
  </si>
  <si>
    <t>Sabrina</t>
  </si>
  <si>
    <t>Phillip</t>
  </si>
  <si>
    <t>Alexandra</t>
  </si>
  <si>
    <t>Wesley</t>
  </si>
  <si>
    <t>Morgan</t>
  </si>
  <si>
    <t>Jenna</t>
  </si>
  <si>
    <t>Sydney</t>
  </si>
  <si>
    <t>Casey</t>
  </si>
  <si>
    <t>Angelica</t>
  </si>
  <si>
    <t>Bryan</t>
  </si>
  <si>
    <t>Joyce</t>
  </si>
  <si>
    <t>Veronica</t>
  </si>
  <si>
    <t>Diane</t>
  </si>
  <si>
    <t>Bill</t>
  </si>
  <si>
    <t>Joshua</t>
  </si>
  <si>
    <t>Frank</t>
  </si>
  <si>
    <t>Savannah</t>
  </si>
  <si>
    <t>Marilyn</t>
  </si>
  <si>
    <t>Ronnie</t>
  </si>
  <si>
    <t>Tracey</t>
  </si>
  <si>
    <t>Lindsey</t>
  </si>
  <si>
    <t>Cindy</t>
  </si>
  <si>
    <t>Stefanie</t>
  </si>
  <si>
    <t>Ariana</t>
  </si>
  <si>
    <t>Ralph</t>
  </si>
  <si>
    <t>George</t>
  </si>
  <si>
    <t>Martin</t>
  </si>
  <si>
    <t>Tina</t>
  </si>
  <si>
    <t>Karina</t>
  </si>
  <si>
    <t>Shelly</t>
  </si>
  <si>
    <t>Jonathon</t>
  </si>
  <si>
    <t>Laurie</t>
  </si>
  <si>
    <t>Seth</t>
  </si>
  <si>
    <t>Maureen</t>
  </si>
  <si>
    <t>Harold</t>
  </si>
  <si>
    <t>Hannah</t>
  </si>
  <si>
    <t>Bonnie</t>
  </si>
  <si>
    <t>Bethany</t>
  </si>
  <si>
    <t>Chase</t>
  </si>
  <si>
    <t>Deborah</t>
  </si>
  <si>
    <t>Kristen</t>
  </si>
  <si>
    <t>Mason</t>
  </si>
  <si>
    <t>Hector</t>
  </si>
  <si>
    <t>Briana</t>
  </si>
  <si>
    <t>Chris</t>
  </si>
  <si>
    <t>Tim</t>
  </si>
  <si>
    <t>Kathryn</t>
  </si>
  <si>
    <t>Elaine</t>
  </si>
  <si>
    <t>Kathy</t>
  </si>
  <si>
    <t>Breanna</t>
  </si>
  <si>
    <t>Katelyn</t>
  </si>
  <si>
    <t>Audrey</t>
  </si>
  <si>
    <t>Haley</t>
  </si>
  <si>
    <t>Alex</t>
  </si>
  <si>
    <t>Dominique</t>
  </si>
  <si>
    <t>Trevor</t>
  </si>
  <si>
    <t>Teresa</t>
  </si>
  <si>
    <t>Gwendolyn</t>
  </si>
  <si>
    <t>Shannon</t>
  </si>
  <si>
    <t>Lawrence</t>
  </si>
  <si>
    <t>NAME</t>
  </si>
  <si>
    <t>GENDER</t>
  </si>
  <si>
    <t>AGE</t>
  </si>
  <si>
    <t>HEIGHT (CM)</t>
  </si>
  <si>
    <t>WEIGHT (KG)</t>
  </si>
  <si>
    <t>BMI</t>
  </si>
  <si>
    <t>BMI Category</t>
  </si>
  <si>
    <t>BMI Numeric</t>
  </si>
  <si>
    <t>Ideal BMI</t>
  </si>
  <si>
    <t>Ideal Weight</t>
  </si>
  <si>
    <t>ACTIVITY LEVEL</t>
  </si>
  <si>
    <t>BMR</t>
  </si>
  <si>
    <t>Ideal Water intake (L)</t>
  </si>
  <si>
    <t>Health Goals</t>
  </si>
  <si>
    <t>Dietary Preference</t>
  </si>
  <si>
    <t>TDEE</t>
  </si>
  <si>
    <t>TDEE based on Health Goal</t>
  </si>
  <si>
    <t>Ahmad</t>
  </si>
  <si>
    <t>Male</t>
  </si>
  <si>
    <t>Suzy</t>
  </si>
  <si>
    <t>Nick</t>
  </si>
  <si>
    <t>{Javascript} To generate each meal plan in docs based on client data and meal plan sheets</t>
  </si>
  <si>
    <t xml:space="preserve">function generateMealPlansFromExcel_fixed() {
  const ss = SpreadsheetApp.getActiveSpreadsheet();
  const clientSheet = ss.getSheetByName("Client Data");
  const mealPlanSheet = ss.getSheetByName("Meal Plans");
  const clients = clientSheet.getDataRange().getValues();
  const mealPlans = mealPlanSheet.getDataRange().getValues();
  // Skip first row (true headers) and second row (duplicate headers in data)
  for (let i = 2; i &lt; clients.length; i++) {
    const name = clients[i][0];
    const bmiCategory = clients[i][6]?.toString().trim().toLowerCase();
    const goal = clients[i][13]?.toString().trim().toLowerCase();
    if (!name || !bmiCategory || !goal || bmiCategory === "bmi category") continue;
    // Skip first row (header) in meal plans
    const match = mealPlans.find((plan, idx) =&gt; {
      if (idx === 0 || plan[0]?.toString().toLowerCase().includes("health goals")) return false;
      const planGoal = plan[0]?.toString().trim().toLowerCase();
      const planBMI = plan[1]?.toString().trim().toLowerCase();
      return planGoal === goal &amp;&amp; planBMI === bmiCategory;
    });
    if (!match) {
      Logger.log(`No match for ${name} — Goal: ${goal}, BMI: ${bmiCategory}`);
      continue;
    }
    const doc = DocumentApp.create(`Meal Plan - ${name}`);
    const body = doc.getBody();
    body.appendParagraph(`Meal Plan for ${name}`).setHeading(DocumentApp.ParagraphHeading.HEADING1);
    body.appendParagraph(`BMI Category: ${clients[i][6]}`);
    body.appendParagraph(`Health Goal: ${clients[i][13]}`);
    body.appendParagraph("");
    const labels = ["Breakfast", "Lunch", "Dinner"];
    let labelIndex = 0;
    for (let j = 2; j &lt; match.length; j += 6) {
      const mealLabel = labels[labelIndex++] || `Meal ${labelIndex}`;
      body.appendParagraph(mealLabel).setHeading(DocumentApp.ParagraphHeading.HEADING2);
      body.appendListItem(`Meal: ${match[j]}`);
      body.appendListItem(`KCAL: ${match[j + 1]}`);
      body.appendListItem(`Carbs: ${match[j + 2]}`);
      body.appendListItem(`Protein: ${match[j + 3]}`);
      body.appendListItem(`Fat: ${match[j + 4]}`);
      body.appendParagraph("");
    }
    doc.saveAndClose();
    Logger.log(`Created for ${name}: ${doc.getUrl()}`);
  }
}
</t>
  </si>
  <si>
    <t>Health goal</t>
  </si>
  <si>
    <t>Breakfast</t>
  </si>
  <si>
    <t>KCAL</t>
  </si>
  <si>
    <t>CARB</t>
  </si>
  <si>
    <t>PROTEIN</t>
  </si>
  <si>
    <t>FAT</t>
  </si>
  <si>
    <t xml:space="preserve">Lunch </t>
  </si>
  <si>
    <t>Dinner</t>
  </si>
  <si>
    <t>Underweight</t>
  </si>
  <si>
    <t>2 biji telur rebus, 2 keping roti wholemeal, 1 pisang</t>
  </si>
  <si>
    <t>420 kcal</t>
  </si>
  <si>
    <t>35g</t>
  </si>
  <si>
    <t>20g</t>
  </si>
  <si>
    <t>Nasi putih (2 senduk), ikan kembung bakar, kangkung tumis air, guava</t>
  </si>
  <si>
    <t>620 kcal</t>
  </si>
  <si>
    <t>50g</t>
  </si>
  <si>
    <t>25g</t>
  </si>
  <si>
    <t>Nasi putih (1 senduk), dada ayam bakar, brokoli kukus, tembikai</t>
  </si>
  <si>
    <t>610 kcal</t>
  </si>
  <si>
    <t>45g</t>
  </si>
  <si>
    <t>40g</t>
  </si>
  <si>
    <t>Normal</t>
  </si>
  <si>
    <t>2 biji telur rebus, 1 keping roti wholemeal, 1 pisang, 1 cawan susu soya</t>
  </si>
  <si>
    <t>21 g</t>
  </si>
  <si>
    <t>18g</t>
  </si>
  <si>
    <t>Nasi putih (2 senduk), ikan kembung bakar, bayam tumis air</t>
  </si>
  <si>
    <t>670 kcal</t>
  </si>
  <si>
    <t>60g</t>
  </si>
  <si>
    <t>26g</t>
  </si>
  <si>
    <t>Nasi putih (1 senduk), ayam masak halia, sayur campur (carrot, celery, broccoli), tembikai</t>
  </si>
  <si>
    <t xml:space="preserve">600 kcal </t>
  </si>
  <si>
    <t>30g</t>
  </si>
  <si>
    <t>22g</t>
  </si>
  <si>
    <t>Overweight</t>
  </si>
  <si>
    <t>2 biji telur rebus, 1 keping roti wholemeal, 1 biji oren</t>
  </si>
  <si>
    <t>310 kcal</t>
  </si>
  <si>
    <t>14g</t>
  </si>
  <si>
    <t>13g</t>
  </si>
  <si>
    <t>Nasi putih (1 senduk), ikan kembung bakar/airfry, bayam tumis air, 1 biji epal</t>
  </si>
  <si>
    <t>550kcal</t>
  </si>
  <si>
    <t>32g</t>
  </si>
  <si>
    <t>Nasi putih (1 senduk), ayam masak kunyit, kacang panjang tumis bawang putih</t>
  </si>
  <si>
    <t>500 kcal</t>
  </si>
  <si>
    <t>28g</t>
  </si>
  <si>
    <t>Obese</t>
  </si>
  <si>
    <t>1 biji telur rebus, 1 keping roti wholemeal, 1 biji oren</t>
  </si>
  <si>
    <t>250 kcal</t>
  </si>
  <si>
    <t>10g</t>
  </si>
  <si>
    <t>Brown rice (3/4 cawan), ikan selar stim, bayam tumis bawang putih, papaya</t>
  </si>
  <si>
    <t>450 kcal</t>
  </si>
  <si>
    <t>35 g</t>
  </si>
  <si>
    <t>15g</t>
  </si>
  <si>
    <t>Brown rice (3/4 cawan), dada ayam bakar, kacang pajang tumis air, papaya</t>
  </si>
  <si>
    <t>Oatmeal dan susu full cream, 1 biji telur rebus</t>
  </si>
  <si>
    <t>White rice (1.5 cawan), grilled chicken breast, stir-fried sawi</t>
  </si>
  <si>
    <t>600 kcal</t>
  </si>
  <si>
    <t>Brown rice (1.5 cawan), ikan bakar, lobak merah dan bayam kukus</t>
  </si>
  <si>
    <t>590 kcal</t>
  </si>
  <si>
    <t>38g</t>
  </si>
  <si>
    <t>3 biji telur rebus, 2 keping roti wholemeal, 1 cawan susu full cream</t>
  </si>
  <si>
    <t>540 kcal</t>
  </si>
  <si>
    <t xml:space="preserve">Nasi putih (2 senduk), ayam paprik, sawi tumis bawang putih, mangga </t>
  </si>
  <si>
    <t>760 kcal</t>
  </si>
  <si>
    <t>75g</t>
  </si>
  <si>
    <t>Nasi putih (1.5 cawan), tofu bakar, sayur lemak labu, papaya</t>
  </si>
  <si>
    <t>640 kcal</t>
  </si>
  <si>
    <t>65g</t>
  </si>
  <si>
    <t>2 biji telur rebus, 1 keping roti wholemeal, 1 cawan susu rendah lemak</t>
  </si>
  <si>
    <t>350 kcal</t>
  </si>
  <si>
    <t>Nasi putih (1 senduk), dada ayam bakar, sawi tumis air, 3 keping timun</t>
  </si>
  <si>
    <t>16g</t>
  </si>
  <si>
    <t xml:space="preserve">Nasi putih (1 senduk), ikan kembung bakar, sayur bayam tumis air, 1 biji oren </t>
  </si>
  <si>
    <t>2 biji telur rebus, 1 keping roti wholemeal</t>
  </si>
  <si>
    <t>12g</t>
  </si>
  <si>
    <t>Brown rice (1 senduk), dada ayam bakar, sawi tumis air</t>
  </si>
  <si>
    <t>500kcal</t>
  </si>
  <si>
    <t>Brown rice (3/4 cawan), bayam tumis air</t>
  </si>
  <si>
    <t>400 kcal</t>
  </si>
  <si>
    <t>1 biji telur rebus, 1 keping roti wholemeal, 1 epal</t>
  </si>
  <si>
    <t>230 kcal</t>
  </si>
  <si>
    <t>20 g</t>
  </si>
  <si>
    <t>7g</t>
  </si>
  <si>
    <t>Nasi putih (1 senduk), ayam dada bakar, kacang pajang tumis dengan bawang putih</t>
  </si>
  <si>
    <t>520 kcal</t>
  </si>
  <si>
    <t xml:space="preserve">Nasi putih (1 senduk), tofu stim, 1 batang timun, papaya </t>
  </si>
  <si>
    <t>530 kcal</t>
  </si>
  <si>
    <t>1 biji telur rebus, 1 keping roti wholemeal, 1 pisang</t>
  </si>
  <si>
    <t>8g</t>
  </si>
  <si>
    <t>Nasi putih (1 senduk), tofu stim, kangkung tumis bawang putih, papaya</t>
  </si>
  <si>
    <t>460 kcal</t>
  </si>
  <si>
    <t>Nasi putih (1 senduk), dada ayam bakar, salad timun</t>
  </si>
  <si>
    <t>1 biji telur rebus, 1 keping roti wholemeal, teh kosong</t>
  </si>
  <si>
    <t>200 kcal</t>
  </si>
  <si>
    <t>6g</t>
  </si>
  <si>
    <t>Brown rice (3/4 cawan), stim tofu, kangkung tumis bawang putih</t>
  </si>
  <si>
    <t>Brown rice (3/4 cawan), ayam bakar (dada), salad (timun dan lobak merah)</t>
  </si>
  <si>
    <t>480 kcal</t>
  </si>
  <si>
    <t xml:space="preserve">Improve blood sugar regulation </t>
  </si>
  <si>
    <t>240 kcal</t>
  </si>
  <si>
    <t>11g</t>
  </si>
  <si>
    <t>Brown rice (1 senduk), ikan kembung bakar, kangkung tumis air</t>
  </si>
  <si>
    <t>Brown rice (1 cawan), ayam bakar tanpa kulit, kangkung tumis air</t>
  </si>
  <si>
    <t>1 biji telur rebus, 1 keping roti wholemeal, 1 cawan teh tanpa gula</t>
  </si>
  <si>
    <t>Nasi putih (1 senduk), kailan tumis bawang putih, 3 keping timun</t>
  </si>
  <si>
    <t>Nasi putih (1 senduk), ikan bakar, bayam tumis air, papaya</t>
  </si>
  <si>
    <t>560 kcal</t>
  </si>
  <si>
    <t>1 biji telur rebus, 1 keping roti wholemeal, 1 biji oren, teh kosong</t>
  </si>
  <si>
    <t>Nasi putih (1 senduk), bayam tumis air, ikan kembung bakar/airfry</t>
  </si>
  <si>
    <t>Nasi putih (1 senduk), ikan selar bakar, sawi tumis bawang putih</t>
  </si>
  <si>
    <t>Brown rice (3/4 cawan), bayam tumis air, ikan kembung bakar</t>
  </si>
  <si>
    <t>Brown rice (3/4 cawan), ayam bakar, sawi tumis bawang putih</t>
  </si>
  <si>
    <t>2 boiled eggs, 2 slices wholemeal bread, 1 banana</t>
  </si>
  <si>
    <t>White rice (2 cups), grilled mackerel (ikan kembung), stir-fried spinach, guava</t>
  </si>
  <si>
    <t>White rice (1.5 cups), grilled chicken breast, steamed broccoli, watermelon</t>
  </si>
  <si>
    <t>2 boiled eggs, 1 slice of wholemeal bread, 1 banana, 1 cup of soy milk</t>
  </si>
  <si>
    <t>White rice (2 cups), grilled mackerel, spinach soup stir-fry</t>
  </si>
  <si>
    <t>White rice (1 cup), ginger chicken, mixed vegetables (carrot, celery, broccoli), watermelon</t>
  </si>
  <si>
    <t>2 boiled eggs, 1 slice of wholemeal bread, 1 orange</t>
  </si>
  <si>
    <t>White rice (1 cup), grilled/air-fried mackerel, spinach soup stir-fry, 1 apple</t>
  </si>
  <si>
    <t xml:space="preserve">White rice (1 cup), turmeric chicken, long beans stir-fried with garlic
</t>
  </si>
  <si>
    <t>1 boiled egg, 1 slice of wholemeal bread, 1 orange</t>
  </si>
  <si>
    <t>Brown rice (¾ cup), steamed yellowtail scad (ikan selar), spinach stir-fried with garlic, papaya</t>
  </si>
  <si>
    <t xml:space="preserve">Brown rice (¾ cup), grilled chicken breast, long beans soup stir-fry, papaya
</t>
  </si>
  <si>
    <t>Oatmeal with full cream milk, 1 boiled egg</t>
  </si>
  <si>
    <t>White rice (1.5 cups), grilled chicken breast, stir-fried mustard greens (sawi)</t>
  </si>
  <si>
    <t>Brown rice (1.5 cups), grilled fish, steamed carrots and spinach</t>
  </si>
  <si>
    <t>3 boiled eggs, 2 slices of wholemeal bread, 1 cup of full cream milk</t>
  </si>
  <si>
    <t>White rice (2 cups), paprik chicken, mustard greens stir-fried with garlic, mango</t>
  </si>
  <si>
    <t>White rice (1.5 cups), grilled tofu, pumpkin in coconut gravy (sayur lemak labu), papaya</t>
  </si>
  <si>
    <t xml:space="preserve">2 boiled eggs, 1 slice of wholemeal bread, 1 cup of low-fat milk
</t>
  </si>
  <si>
    <t>White rice (1 cup), grilled chicken breast, mustard greens soup stir-fry, 3 slices of cucumber</t>
  </si>
  <si>
    <t>White rice (1 cup), grilled mackerel, spinach soup stir-fry, 1 orange</t>
  </si>
  <si>
    <t>2 boiled eggs, 1 slice of wholemeal bread</t>
  </si>
  <si>
    <t>Brown rice (1 cup), grilled chicken breast, mustard greens soup stir-fry</t>
  </si>
  <si>
    <t xml:space="preserve">Brown rice (¾ cup), spinach soup stir-fry
</t>
  </si>
  <si>
    <t>1 boiled egg, 1 slice of wholemeal bread, 1 apple</t>
  </si>
  <si>
    <t>White rice (1 cup), grilled chicken breast, long beans stir-fried with garlic</t>
  </si>
  <si>
    <t>White rice (1 cup), steamed tofu, 1 cucumber stick, papaya</t>
  </si>
  <si>
    <t>1 boiled egg, 1 slice of wholemeal bread, 1 banana</t>
  </si>
  <si>
    <t>White rice (1 cup), steamed tofu, water spinach (kangkung) stir-fried with garlic, papaya</t>
  </si>
  <si>
    <t>White rice (1 cup), grilled chicken breast, cucumber salad</t>
  </si>
  <si>
    <t>1 boiled egg, 1 slice of wholemeal bread, plain tea</t>
  </si>
  <si>
    <t>Brown rice (¾ cup), steamed tofu, water spinach stir-fried with garlic</t>
  </si>
  <si>
    <t>Brown rice (¾ cup), grilled chicken breast, salad (cucumber and carrot)</t>
  </si>
  <si>
    <t>Brown rice (1 cup), grilled fish, stir-fried water spinach</t>
  </si>
  <si>
    <t>Brown rice (1 cup), skinless grilled chicken, stir-fried spinach</t>
  </si>
  <si>
    <t>1 boiled egg, 1 slice of wholemeal bread, 1 cup of unsweetened tea</t>
  </si>
  <si>
    <t>White rice (1 cup), Chinese kale (kailan) stir-fried with garlic, 3 slices of cucumber</t>
  </si>
  <si>
    <t>White rice (1 cup), grilled fish, spinach soup stir-fry, papaya</t>
  </si>
  <si>
    <t>1 boiled egg, 1 slice of wholemeal bread, 1 orange, plain tea</t>
  </si>
  <si>
    <t>White rice (1 cup), spinach soup stir-fry, grilled/air-fried mackerel</t>
  </si>
  <si>
    <t>White rice (1 cup), grilled yellowtail scad, mustard greens stir-fried with garlic</t>
  </si>
  <si>
    <t>Brown rice (¾ cup), spinach soup stir-fry, grilled mackerel</t>
  </si>
  <si>
    <t>Brown rice (¾ cup), grilled chicken, mustard greens stir-fried with garlic</t>
  </si>
  <si>
    <t>Lightly active (light exercise, sports 1-3 days, week)</t>
  </si>
  <si>
    <t>Very active (hard exercise, sports 6-7 days a week)</t>
  </si>
  <si>
    <t>Moderately active (moderate exercise, sports 3-5 days, week)</t>
  </si>
  <si>
    <t>How many Liters of water your drink per day?</t>
  </si>
  <si>
    <t>Full Name</t>
  </si>
  <si>
    <t>Age</t>
  </si>
  <si>
    <t>Lifestyle</t>
  </si>
  <si>
    <t>Have you completed a sperm concentration Test Kit?</t>
  </si>
  <si>
    <t>If yes, what was the result of your sperm concentration test?</t>
  </si>
  <si>
    <t>Do you have any specific dietary preferences or restrictions?</t>
  </si>
  <si>
    <t>What time do you typically have breakfast?</t>
  </si>
  <si>
    <t>What do you usually eat for breakfast?</t>
  </si>
  <si>
    <t>What time do you typically have lunch?</t>
  </si>
  <si>
    <t>What time do you typically have dinner?</t>
  </si>
  <si>
    <t>What do you usually eat for dinner?</t>
  </si>
  <si>
    <t>How many meals do you typically eat per day?</t>
  </si>
  <si>
    <t>How often do you consume alcohol?</t>
  </si>
  <si>
    <t>Do you have any difficulty falling asleep or staying asleep?</t>
  </si>
  <si>
    <t xml:space="preserve">What are your primary health goals? </t>
  </si>
  <si>
    <t>https://docs.google.com/document/d/1SSNhJb_hrgjI7jI09_EE9S_BDg2l37vEsXI6fMdET9o/edit?usp=sharing</t>
  </si>
  <si>
    <t>https://docs.google.com/document/d/1JlP2bkxYRLVExDbAL0iBwGzdJFHCRg4KVb2llSBYpn8/edit?usp=sharing</t>
  </si>
  <si>
    <t>https://docs.google.com/document/d/19cFD-fnPLrKzzw0B-t8PmBH1wRXgWEsuclE3K3zjdBA/edit?usp=sharing</t>
  </si>
  <si>
    <t>https://docs.google.com/document/d/1UulswAgMOwfObSAVvf_uvyBzlLuwtn9mq6i-FNaCNe4/edit?usp=sharing</t>
  </si>
  <si>
    <t>https://docs.google.com/document/d/1QZCjOX0OKXuY2SMm6_zxt01pG87zUTIQwjRa9Q2SSIg/edit?usp=sharing</t>
  </si>
  <si>
    <t>https://docs.google.com/document/d/1p4yE6dgXK8jXmz5W-1vAm12EXqO6pBGVAqqYWkbvUw8/edit?usp=sharing</t>
  </si>
  <si>
    <t>https://docs.google.com/document/d/1q7qww9--b7VoriHvcRyyznbRYU06Wdk2281APDKURKU/edit?usp=sharing</t>
  </si>
  <si>
    <t>https://docs.google.com/document/d/12bQzrXzD5xMyFPRkGi2oe4b-uSj9wh97vAOM16aBbJg/edit?usp=sharing</t>
  </si>
  <si>
    <t>https://docs.google.com/document/d/1CeOai1_MhG3JO9oItkbuH_2-EiPmXDMkjqE0SzQklJM/edit?usp=sharing</t>
  </si>
  <si>
    <t>https://docs.google.com/document/d/1xLvxH1A6_heKGTOi-r7xkMTFvZfFEKscdSka782fnwA/edit?usp=sharing</t>
  </si>
  <si>
    <t>https://docs.google.com/document/d/17wSyq2xlNksijDvkQhFccO7rQhvtt7sCuJmycXeSHI8/edit?usp=sharing</t>
  </si>
  <si>
    <t>https://docs.google.com/document/d/19yZW5imDmXrlgCEN4jLrSF4rEMrLouiNbaP_Hzat30Q/edit?usp=sharing</t>
  </si>
  <si>
    <t>https://docs.google.com/document/d/1xkmryv4jvkY9YdV9MOw6O94O5gsDqQCu-1EpC0YIM0g/edit?usp=sharing</t>
  </si>
  <si>
    <t>https://docs.google.com/document/d/1ijGn_lRL7e5VRbPR5spJoDpQcgPLbkC7rs1TbUVjW0g/edit?usp=sharing</t>
  </si>
  <si>
    <t>https://docs.google.com/document/d/1s2MG7o5zBY_AwNenX-SCb7ZC5CUcKvf19-CKCQZB9O8/edit?usp=sharing</t>
  </si>
  <si>
    <t>https://docs.google.com/document/d/1UK-1gSqEhWnfXdortUBKsrBKTpswATwtzN4frVpCs9M/edit?usp=sharing</t>
  </si>
  <si>
    <t>https://docs.google.com/document/d/1ewZQKMHuYl7I3oFKhHMMQd5AuSKvRunnPvEmMdzxZOs/edit?usp=sharing</t>
  </si>
  <si>
    <t>https://docs.google.com/document/d/1UdcspZXg3Sjqr6NgiyTLz12taJSUF4g2D-15WuSb_T8/edit?usp=sharing</t>
  </si>
  <si>
    <t>https://docs.google.com/document/d/1oCQH_EmCfiU9RKjHUkyeTwOudgroERAtPklxY-F0qwE/edit?usp=sharing</t>
  </si>
  <si>
    <t>https://docs.google.com/document/d/1MEIX5lQqZ_Thq2NptCwhVkpfdTcWNxVhYnBPNMVcmXM/edit?usp=sharing</t>
  </si>
  <si>
    <t>https://docs.google.com/document/d/1yDxYFg2O0LM6oE0ORKE59vBSHrurdf4UR4yjb0K6pM4/edit?usp=sharing</t>
  </si>
  <si>
    <t>https://docs.google.com/document/d/1JzYc7cUowMJC4sQ53jXGZI3h8OxGy4Fs0MTo2Nv9T8c/edit?usp=sharing</t>
  </si>
  <si>
    <t>https://docs.google.com/document/d/1EbXb9GKg4HiZVn4wcGOmTU5wuNwCgituvuNNCjMtBSk/edit?usp=sharing</t>
  </si>
  <si>
    <t>https://docs.google.com/document/d/1r3sb_r03kEYDACFXYtbHriImkCGZaLnMcWhmfJFGX-c/edit?usp=sharing</t>
  </si>
  <si>
    <t>https://docs.google.com/document/d/1O5Y1igYnQmCTXPEzqQamAU6tEsYRh0FS_de9cXyqp3s/edit?usp=sharing</t>
  </si>
  <si>
    <t>https://docs.google.com/document/d/1nONOaESnsuLcSad94QB8YFoVcAbraCIRqkmWqCAna34/edit?usp=sharing</t>
  </si>
  <si>
    <t>https://docs.google.com/document/d/1_KE10hs-XczdVxdvfSPzdF0l41SsJRYopfPmCZk3D20/edit?usp=sharing</t>
  </si>
  <si>
    <t>https://docs.google.com/document/d/1c4KwyCYWS0-Uvc9-8dJBb01hYTre8QvKhWTsumspThc/edit?usp=sharing</t>
  </si>
  <si>
    <t>https://docs.google.com/document/d/1wrl9I_jRcRzNyUKn5I8kTStDILfwFpZo-QonTmdsFuA/edit?usp=sharing</t>
  </si>
  <si>
    <t>https://docs.google.com/document/d/1op0u4Ro5_Mo96i5aiKBhU1E1nR78N5BdaLk4QM9olEo/edit?usp=sharing</t>
  </si>
  <si>
    <t>https://docs.google.com/document/d/1eUcgcSqj_bgbQkMBpdrIZ65OJokTHy3Pr0whkvxa9AU/edit?usp=sharing</t>
  </si>
  <si>
    <t>https://docs.google.com/document/d/1KaMW5EmoaT3BnwLxyOUIbcnweMZX1ZNR69RbzepZ3xQ/edit?usp=sharing</t>
  </si>
  <si>
    <t>https://docs.google.com/document/d/1Y_DoQwxDQTcTnp7tJMpPMDpMPUAx3wIIWeznXPdBShQ/edit?usp=sharing</t>
  </si>
  <si>
    <t>https://docs.google.com/document/d/1bMG7W5WSuH8svtM_ndkKQ9c3MmiUPvwdVEVk0jQ4aPg/edit?usp=sharing</t>
  </si>
  <si>
    <t>https://docs.google.com/document/d/1PSf73Eq-XY-N66mQ_z6k75f--sz0yu9A4S1llGThTgE/edit?usp=sharing</t>
  </si>
  <si>
    <t>https://docs.google.com/document/d/1V-W6j4Nql89icURDCE2KJq4HgYBnl4rA2tr2acQCcSA/edit?usp=sharing</t>
  </si>
  <si>
    <t>https://docs.google.com/document/d/1fyWJXGgGSNpj_NsuyjKqxsdXr7f2BG_b7kdckX4V694/edit?usp=sharing</t>
  </si>
  <si>
    <t>https://docs.google.com/document/d/1WUhfz0oj9oZYbr0xhnLt8ybhC1-BhZnrKzup7MebGXk/edit?usp=sharing</t>
  </si>
  <si>
    <t>https://docs.google.com/document/d/1GMKJkY7F6AUhnx3Caf0rEb4TGvmMlwPlLqEZTKswawI/edit?usp=sharing</t>
  </si>
  <si>
    <t>https://docs.google.com/document/d/1Ogvw8GNOjB-2BMWf8118BAVoxYnA2BtCCm0oCVwvkVY/edit?usp=sharing</t>
  </si>
  <si>
    <t>https://docs.google.com/document/d/1ABllifnF4HTnHbM5iN_0OZ6uKLFtZjUlFSVfTeHvmSk/edit?usp=sharing</t>
  </si>
  <si>
    <t>https://docs.google.com/document/d/1zWxqVKbGLXG-TqlV4h5_X0aKVwTIG8NSHEZfcTpjmL4/edit?usp=sharing</t>
  </si>
  <si>
    <t>https://docs.google.com/document/d/1yeebIVL5rg4kvSNgabsOkPPMDOGfewsDQUMfSN4hwQs/edit?usp=sharing</t>
  </si>
  <si>
    <t>https://docs.google.com/document/d/1cFnKjBEOTNBcXVrrdK_lqgMRFBaljmwmFYJj1N3iTL0/edit?usp=sharing</t>
  </si>
  <si>
    <t>https://docs.google.com/document/d/1Nm2Ff9SJEl1jiHxQpoCXKHCyp7XNUQ-TYK8yVgbEZCM/edit?usp=sharing</t>
  </si>
  <si>
    <t>https://docs.google.com/document/d/1vXqd0qwfd8VH5RVpDdh9WcgDwlC1OQoghG-DXTITpWg/edit?usp=sharing</t>
  </si>
  <si>
    <t>https://docs.google.com/document/d/1dh_Tf0PK8bB24YOuje-Je_SoqlkIvR2nLNzun9CREYc/edit?usp=sharing</t>
  </si>
  <si>
    <t>https://docs.google.com/document/d/1yXhZvMiDo8BVgkeoJoxLDveyQrhioz72f2Q8I2EDQ1w/edit?usp=sharing</t>
  </si>
  <si>
    <t>https://docs.google.com/document/d/1LsRlFqXMSLehO2LYfMErvGj0brULPbxQyTj7INzdHAI/edit?usp=sharing</t>
  </si>
  <si>
    <t>https://docs.google.com/document/d/1oQ73WqTAcKpMTmTFQeI6hlKOl6IyuK7egpf6pZcJj_k/edit?usp=sharing</t>
  </si>
  <si>
    <t>https://docs.google.com/document/d/1WzjK5y7wlzVvGvAZqzRhhqWMf0E3b_KG4zNiQ94AODk/edit?usp=sharing</t>
  </si>
  <si>
    <t>https://docs.google.com/document/d/1mAnC_DkbxlDUnazRmgSh74hCBcwh1s1oMEcGwfCN2u8/edit?usp=sharing</t>
  </si>
  <si>
    <t>https://docs.google.com/document/d/15Y8GcwPcsBYVyEracDtVuGvj1l83TKQB5xPqxkktPVU/edit?usp=sharing</t>
  </si>
  <si>
    <t>https://docs.google.com/document/d/143Jz76hy4AmXM3Neo3XdN39UgYxGTvg2y8GLhAe4Z4s/edit?usp=sharing</t>
  </si>
  <si>
    <t>https://docs.google.com/document/d/1rLKoXWiy_Rb0IwHNWgu-OSVarVULsw2QPz5T5gHGXJE/edit?usp=sharing</t>
  </si>
  <si>
    <t>https://docs.google.com/document/d/1t4mI5oBo_x30v0ASKqV4kjsovtdH7XRDn9qRW81zklQ/edit?usp=sharing</t>
  </si>
  <si>
    <t>https://docs.google.com/document/d/1gF083WYmMew2HmaN-Yc21zPkkEX5V6qgUjYKd4xKkdg/edit?usp=sharing</t>
  </si>
  <si>
    <t>https://docs.google.com/document/d/18zaJC8VaEjHVVmn2UtfxMfIAsPPTwUnblWysML-aRM8/edit?usp=sharing</t>
  </si>
  <si>
    <t>https://docs.google.com/document/d/1U9a7ygHmSk3TY0pOBTpZ-2iBOPR-CZcdoweurw_c0f4/edit?usp=sharing</t>
  </si>
  <si>
    <t>https://docs.google.com/document/d/10Lr2JOQrVeTTuIWwytnJ3-gsPFmoR2ZxTVoshntnypo/edit?usp=sharing</t>
  </si>
  <si>
    <t>https://docs.google.com/document/d/1f_IEM0fwG31nMdr13lFtLTKLy6OzBnja1qzzpk_EryM/edit?usp=sharing</t>
  </si>
  <si>
    <t>https://docs.google.com/document/d/1SKdnVyu18UHOS4olDKMrsPT7qcTD4b7J84bjfK1MOFQ/edit?usp=sharing</t>
  </si>
  <si>
    <t>https://docs.google.com/document/d/1TTMwe-TyyS7lAy5J3CIbcdMlsNGFeyNaz6tuQgsiEFE/edit?usp=sharing</t>
  </si>
  <si>
    <t>https://docs.google.com/document/d/1iQd71yI0N9trjs-IgDS_n_Cl2OMCheYg1JP5-ud35DU/edit?usp=sharing</t>
  </si>
  <si>
    <t>https://docs.google.com/document/d/19WV5WxGDWuJKphdpKprLKHXM3P0i3lRO4TWtoyqp8ts/edit?usp=sharing</t>
  </si>
  <si>
    <t>https://docs.google.com/document/d/1nqFT63rj_vZOf06iEHwZvVC2O39zFanJuJdEMlA3rQA/edit?usp=sharing</t>
  </si>
  <si>
    <t>https://docs.google.com/document/d/1UQmFmqbmthpyARVlDFiq4Y6NBfzgVDFunZCwQ53izuM/edit?usp=sharing</t>
  </si>
  <si>
    <t>https://docs.google.com/document/d/1ZgNRydgalKxoJx7ucpJ8v2WXHe1i_DPT0WxQhLP2AOs/edit?usp=sharing</t>
  </si>
  <si>
    <t>https://docs.google.com/document/d/1CxJeGEK6janje0MYlzn5eTYYQoYr5-JPAeDAkwkFjUY/edit?usp=sharing</t>
  </si>
  <si>
    <t>https://docs.google.com/document/d/1Qi42tkv9HhZPTv8oNjk9BALzSPHGKM2tWKhZBimfPnU/edit?usp=sharing</t>
  </si>
  <si>
    <t>https://docs.google.com/document/d/1zNN7338bPVWFVAykk3XNkeQ3xKt5q_9utp4OtOPseRs/edit?usp=sharing</t>
  </si>
  <si>
    <t>https://docs.google.com/document/d/11erhlx32ppgKmWBax6_BYDYzJrvkBP5I73sd1xBOrtA/edit?usp=sharing</t>
  </si>
  <si>
    <t>https://docs.google.com/document/d/1Mrb84O2lUqMhL4qsaGybbF4pYR8w8p_Xyt1qwI15WPA/edit?usp=sharing</t>
  </si>
  <si>
    <t>https://docs.google.com/document/d/1fNxoBbxoyDQkLZG5ACfJ1yA9oq31gwTxWrv6PHP47WQ/edit?usp=sharing</t>
  </si>
  <si>
    <t>https://docs.google.com/document/d/1ltkJ292eKsmMRzUq_Qfwk6huE9EnK6dLcrCvWpfBZVU/edit?usp=sharing</t>
  </si>
  <si>
    <t>https://docs.google.com/document/d/18vWW225FybvGJWUqguwPCCoz1XImX1kzGbSU7O06LOk/edit?usp=sharing</t>
  </si>
  <si>
    <t>https://docs.google.com/document/d/1di_48LVyUs-McBULnOvLogsvJAxO-lxpjHyQGA_VBbg/edit?usp=sharing</t>
  </si>
  <si>
    <t>https://docs.google.com/document/d/1OKMJ3XbWdH1prAKUQ00fSbjTtDSJF1Ug8fKG_-bGqM8/edit?usp=sharing</t>
  </si>
  <si>
    <t>https://docs.google.com/document/d/1_Aq1kO_CMCYIGaYEQPZextDzD2WdmdlHY3coAZzA_-4/edit?usp=sharing</t>
  </si>
  <si>
    <t>https://docs.google.com/document/d/1Hrtr-hiFYR66jns57ik0ZfXtl6gx1eMY7nvJna_0W_Q/edit?usp=sharing</t>
  </si>
  <si>
    <t>https://docs.google.com/document/d/1reMtC7ifRGjt493PisNduz573QJJ13zQAuoq1uJtHQg/edit?usp=sharing</t>
  </si>
  <si>
    <t>https://docs.google.com/document/d/1zQJf44DXXJ8dt-IcQc8RONngFlZsCoXjERPXTTeLRpE/edit?usp=sharing</t>
  </si>
  <si>
    <t>https://docs.google.com/document/d/1vLtUCBGP5GShbI5wE1squVEvG8VcrnY8w4ALRf7cvsY/edit?usp=sharing</t>
  </si>
  <si>
    <t>https://docs.google.com/document/d/1Dt5uwT_sZCGMa840sNTelFE4skhZVJto-eNnlN_ToXk/edit?usp=sharing</t>
  </si>
  <si>
    <t>https://docs.google.com/document/d/1IyPP7ClrbANg7oMR2r1C0koPcLeRDPCB5Z_Z0w9NB3o/edit?usp=sharing</t>
  </si>
  <si>
    <t>https://docs.google.com/document/d/1ZJ9Dnd8Yyko0HzE8ybRFGyfYVNvwdh1FvLp7--MTPSQ/edit?usp=sharing</t>
  </si>
  <si>
    <t>https://docs.google.com/document/d/1ZhjR0E0L4XSrXKQEYiCvwdK5VQcl7o9pIFQRYHToj2Y/edit?usp=sharing</t>
  </si>
  <si>
    <t>https://docs.google.com/document/d/1h13U_dQov3ZW29Zr4diuTY3xyBpcTExEmR5CXVh51JE/edit?usp=sharing</t>
  </si>
  <si>
    <t>https://docs.google.com/document/d/1lw8y4V1syeQB9SiYYKRGPR9GgCDCCS0RZwW5-TQTRfk/edit?usp=sharing</t>
  </si>
  <si>
    <t>https://docs.google.com/document/d/1JxV6t7seCEdZJsNoT7jVIZRWRb5bHz109hP_B4S01Mo/edit?usp=sharing</t>
  </si>
  <si>
    <t>https://docs.google.com/document/d/1I0ljvX75P_5YthfzW3bV-cJKjK0IxbYSSAAMKZdCpl4/edit?usp=sharing</t>
  </si>
  <si>
    <t>https://docs.google.com/document/d/1ybty64gwhxiy4ObOLIroWTWS8KBWNiYacShjS-tcWhE/edit?usp=sharing</t>
  </si>
  <si>
    <t>https://docs.google.com/document/d/1akAFLm07_0RzZgYAAw0nzL_PGKaAw4tPD3z9-ElaKXs/edit?usp=sharing</t>
  </si>
  <si>
    <t>https://docs.google.com/document/d/1SzKuSx03wyV-N0uEnCtv__TKf0AiHnMxpyAIurukDl0/edit?usp=sharing</t>
  </si>
  <si>
    <t>https://docs.google.com/document/d/1N7o2Pf2T-fSfecJsCFltjS9Tdb461goUhHpQKPtMuH0/edit?usp=sharing</t>
  </si>
  <si>
    <t>https://docs.google.com/document/d/1-CglCU-ofC5BMgWrdtpcAqwRpIYfEcn4B-tJXFKNh1A/edit?usp=sharing</t>
  </si>
  <si>
    <t>https://docs.google.com/document/d/1XZGszYGgd9wuqdD7crycwQ4aaaVfTq7BQv6HG2Ave7M/edit?usp=sharing</t>
  </si>
  <si>
    <t>https://docs.google.com/document/d/1vgHviv0qQ2s-pO6z_9pdio5Ygpi1cfAUEdwNzn7e1Og/edit?usp=sharing</t>
  </si>
  <si>
    <t>https://docs.google.com/document/d/1cUhqCcxvYd3cZkajblA4XLkCUnJNzJPo50JGW020aME/edit?usp=sharing</t>
  </si>
  <si>
    <t>https://docs.google.com/document/d/11fPrzz4B0ojqNt5wz6A0ZaWC14a_Uj60CJ9_0t3IuXk/edit?usp=sharing</t>
  </si>
  <si>
    <t>https://docs.google.com/document/d/1wufzL5XSwrTb7A7gX0J1wckr_YkzpvF4A0XK9zutDKk/edit?usp=sharing</t>
  </si>
  <si>
    <t>https://docs.google.com/document/d/1xTNxxr9aW6WumQCE8YzEI600wsyJhNJa9cdycHUVYJ0/edit?usp=sharing</t>
  </si>
  <si>
    <t>https://docs.google.com/document/d/1EnpGW0XHYwetEGqTQ-62wKZfwtgKwd_IZ_tHjoD0vDU/edit?usp=sharing</t>
  </si>
  <si>
    <t>https://docs.google.com/document/d/1LI2_ozyT4MwG7a9CwQLA4io6KEA_qiOep0IVhXlp8VQ/edit?usp=sharing</t>
  </si>
  <si>
    <t>https://docs.google.com/document/d/1EYmAEhod4KTSWxWKNni3FTl7fVCb7jJN0yJ0kW7DVFw/edit?usp=sharing</t>
  </si>
  <si>
    <t>https://docs.google.com/document/d/1JE4JoMt1ayASnW-bcDkyzKBmf2Orw-Q0UyOuKLiprFs/edit?usp=sharing</t>
  </si>
  <si>
    <t>https://docs.google.com/document/d/1Nq3yyYy9t5Ssa8EIUUNiNixQmCxl7OwbgHwcKC6O-mI/edit?usp=sharing</t>
  </si>
  <si>
    <t>https://docs.google.com/document/d/1_F35pzOfzRb1WJjkefTIYF0ANTKlbNEPstqlL3T5zcc/edit?usp=sharing</t>
  </si>
  <si>
    <t>https://docs.google.com/document/d/1f1w_Q0M7Md8R28g-39-Tmj4au3vNuNVHR7bhSnu0KVc/edit?usp=sharing</t>
  </si>
  <si>
    <t>https://docs.google.com/document/d/1mAiE7iGRidPhx7-Bk2W14Kmu-zy3d_3LP2tgGvu5ADc/edit?usp=sharing</t>
  </si>
  <si>
    <t>https://docs.google.com/document/d/1VU0B3D7DsI5A6PUzHEfeNLwfrbw9qtvBJ9SmtiBqyzM/edit?usp=sharing</t>
  </si>
  <si>
    <t>https://docs.google.com/document/d/1Uk_ihigDV_qcosUKqMwBypp-oka6mj0Fg2Am7NKPgIc/edit?usp=sharing</t>
  </si>
  <si>
    <t>https://docs.google.com/document/d/1-nXLv5mlGPPi8z3E5Gnqa1UXMUz9eRjxqOtXWcxY3ro/edit?usp=sharing</t>
  </si>
  <si>
    <t>https://docs.google.com/document/d/1hGUnD32lzgHAGS9fwveHEgUDKbYrLDXTedYbkmIKvAg/edit?usp=sharing</t>
  </si>
  <si>
    <t>https://docs.google.com/document/d/1zkz9Qpqm7HkHvN3LclkHQwhL2gNTj1nqsgi5q_X3hCo/edit?usp=sharing</t>
  </si>
  <si>
    <t>https://docs.google.com/document/d/13Lclq8zWfp5Sv_5vt4cY7EsBcLOWrddawk6lpsqAm8U/edit?usp=sharing</t>
  </si>
  <si>
    <t>https://docs.google.com/document/d/1oTb4mKAl-4TBBswGPmnljwKWLreZC_2TzrIbvmOIrnI/edit?usp=sharing</t>
  </si>
  <si>
    <t>https://docs.google.com/document/d/1C_eTtgbhyvisIYCAkoqCcpplW21nbRmQuxE15VyJDLo/edit?usp=sharing</t>
  </si>
  <si>
    <t>https://docs.google.com/document/d/1IUsfPva5LfPd8kUj0zTMN4ije0FVXFhG02oVvPMEDYc/edit?usp=sharing</t>
  </si>
  <si>
    <t>https://docs.google.com/document/d/1u9BWzJERDuw0dlo3jsllG4sDtqwuULLzywQ07a2Eu0c/edit?usp=sharing</t>
  </si>
  <si>
    <t>https://docs.google.com/document/d/1ZYmYb1oe2hiOAO022EQ8kSR071BaT3sQTCMHUgO6QHQ/edit?usp=sharing</t>
  </si>
  <si>
    <t>https://docs.google.com/document/d/1cwk-DySHteCY5rjMBgai2FslLTtwfb8EOciHUxFCZIw/edit?usp=sharing</t>
  </si>
  <si>
    <t>https://docs.google.com/document/d/109wC4hUZ_HHDw9CrDfsFMz29c0h6xQS3Wt3UVjscof0/edit?usp=sharing</t>
  </si>
  <si>
    <t>https://docs.google.com/document/d/1vC6w8M9dbFDPcYXlYBk3yP4uJk0gcBebhTrxErkepps/edit?usp=sharing</t>
  </si>
  <si>
    <t>https://docs.google.com/document/d/1AfbzTiMH0mtKsSHTrJU9pv5k0Bo8PVuzb_0WSGJaWCs/edit?usp=sharing</t>
  </si>
  <si>
    <t>https://docs.google.com/document/d/1kIlAUkQZkkZbyar7L9NZ75VxqLTQfJqWSx2a7JgwTNc/edit?usp=sharing</t>
  </si>
  <si>
    <t>https://docs.google.com/document/d/1FtJKyK0WwD8QFAkcjdGnLAte-s0hso2Ua3GLwZ9w6hA/edit?usp=sharing</t>
  </si>
  <si>
    <t>https://docs.google.com/document/d/1lUH6xaw8qxBEOId-XelFs9UIoIl3DcnB7l2sAo5z_kY/edit?usp=sharing</t>
  </si>
  <si>
    <t>https://docs.google.com/document/d/1TvzRDgHppV3rFoL4UVh_8wAX8VJ41iUWHNVpBhGJIWE/edit?usp=sharing</t>
  </si>
  <si>
    <t>https://docs.google.com/document/d/1zTqPfF6ftKGjdevfWLLX19TzK2fy_ZjlUphdlseYTA8/edit?usp=sharing</t>
  </si>
  <si>
    <t>https://docs.google.com/document/d/1t2IREjYNKcotwixXSftIEJ1YNYBU4uTF1eVeCyJ_NH8/edit?usp=sharing</t>
  </si>
  <si>
    <t>https://docs.google.com/document/d/1-8YxjeqQtU6ncdynIGw4-pQT76M3j5RsOgnBB0yGF7g/edit?usp=sharing</t>
  </si>
  <si>
    <t>https://docs.google.com/document/d/14magOjbIq7jaIzx78GRzqiOBcbLTlYbt44gOBfohwT0/edit?usp=sharing</t>
  </si>
  <si>
    <t>https://docs.google.com/document/d/19neom7Q-ox12thfV2olmAE7WZeXCJPoT6SMGnrt3z04/edit?usp=sharing</t>
  </si>
  <si>
    <t>https://docs.google.com/document/d/1-u74EJEWeMNFd437VqEdUYPnBe_lv7cZJyAchZoqnXU/edit?usp=sharing</t>
  </si>
  <si>
    <t>https://docs.google.com/document/d/1EexM5PHmyD434vl3E2NF8FDf2DGQu6_JNlosFUM3tos/edit?usp=sharing</t>
  </si>
  <si>
    <t>https://docs.google.com/document/d/1Lnmj9ZyBJl3NgmlUrxIOzFlC13Hm0K2NXhl6ZMqO2fM/edit?usp=sharing</t>
  </si>
  <si>
    <t>https://docs.google.com/document/d/1b1KTjOinBMHi-TGhduOJZbIx51kbf0MGmUVAOpoa5Ew/edit?usp=sharing</t>
  </si>
  <si>
    <t>https://docs.google.com/document/d/17ReYgwJf2u4gV8JR02PhRUjCkRGfFiD6XlOJ3EEC61I/edit?usp=sharing</t>
  </si>
  <si>
    <t>https://docs.google.com/document/d/1npL58UqbFleKBs1htcKMkMEIUeBWuaOOUEoWquqm-14/edit?usp=sharing</t>
  </si>
  <si>
    <t>https://docs.google.com/document/d/1ne6Z0o88-EfcY2ERd6odbZUqAptx1GTTxv688mbn0Ww/edit?usp=sharing</t>
  </si>
  <si>
    <t>https://docs.google.com/document/d/1ZNGyanK9HcQZFVCdzpceY_w_LEspojsqoXfSWwbex3Y/edit?usp=sharing</t>
  </si>
  <si>
    <t>https://docs.google.com/document/d/16ixE6QdjT7RYgEssbjQ2pe_UvQY3JS8lPIlzUOm02BE/edit?usp=sharing</t>
  </si>
  <si>
    <t>https://docs.google.com/document/d/1I94k35MMEDvXUXrgicJ12Sfj4pn7rSi-A5fERqkX-5o/edit?usp=sharing</t>
  </si>
  <si>
    <t>https://docs.google.com/document/d/10LF56yeckz8hj009xufjbVhu82ks6u9dXqpTx4rokqY/edit?usp=sharing</t>
  </si>
  <si>
    <t>https://docs.google.com/document/d/1BYjEBnIIr9qwlYYDZ6ye_x3yRlh9oV0GTfj8nk-1O0k/edit?usp=sharing</t>
  </si>
  <si>
    <t>https://docs.google.com/document/d/1Yci8Mzxb3Kt0lF3rYqq1yQBUsO-6yzlcfLHSyY_oJbM/edit?usp=sharing</t>
  </si>
  <si>
    <t>https://docs.google.com/document/d/1uuYrobs0Xkf_xIzDbovk9TOMVABGjf4gziQ0dvohsvs/edit?usp=sharing</t>
  </si>
  <si>
    <t>https://docs.google.com/document/d/1otJ1PmaMVtHeDwpP_TQXIUPP6vO6KsRo1fryGTh08zs/edit?usp=sharing</t>
  </si>
  <si>
    <t>https://docs.google.com/document/d/1EBGAgF4RPvsNfAe2rYSafc3kxQKentHIMYHtREmCB3g/edit?usp=sharing</t>
  </si>
  <si>
    <t>https://docs.google.com/document/d/1IkXnkMucedrcykibksRUYXCUHFVhwH5vVpMp9_0QZYI/edit?usp=sharing</t>
  </si>
  <si>
    <t>https://docs.google.com/document/d/1ZA9HbJlo5l5qPunwmn0Tk6Idi_yHPkdr5q-X_pte_qU/edit?usp=sharing</t>
  </si>
  <si>
    <t>https://docs.google.com/document/d/1jlDSPmjcq-JfMZvGg84zN2NQd4ZWf5-BxX7iyMmpz9Y/edit?usp=sharing</t>
  </si>
  <si>
    <t>https://docs.google.com/document/d/1AMFpdP8VuL0SMZfBn67oWa3n1FXTSFAeAFpSegeHx_A/edit?usp=sharing</t>
  </si>
  <si>
    <t>https://docs.google.com/document/d/10vFiV5DXp8WbyENbbdsRDvxK82pqeTdnXFCwnpbIG9c/edit?usp=sharing</t>
  </si>
  <si>
    <t>https://docs.google.com/document/d/1ieQowkvrOibx9dS6ZJnSp-KTJ0QZ5xGfZjRoe8eC0rc/edit?usp=sharing</t>
  </si>
  <si>
    <t>https://docs.google.com/document/d/1AjSoUlxtvJQguosX345P89gsXISUTpFP401w6uBhtnA/edit?usp=sharing</t>
  </si>
  <si>
    <t>https://docs.google.com/document/d/1lbEw9H9Xo9nRQnv2ho0NoLT2XVXfuX8VTyD1K5b3_oQ/edit?usp=sharing</t>
  </si>
  <si>
    <t>https://docs.google.com/document/d/1KpFqAgVhxHoY3HtSwqPcIGoUaV_NOs_CH6gsQS-0mzI/edit?usp=sharing</t>
  </si>
  <si>
    <t>https://docs.google.com/document/d/1_SvFzfXJMsTt3yuUT4fDFJCDvR4waBPTg-Qi705ebGM/edit?usp=sharing</t>
  </si>
  <si>
    <t>https://docs.google.com/document/d/1KiW_pCs_hNgRUasiefl8K0b4auXbaOyIjb41_-tjFJI/edit?usp=sharing</t>
  </si>
  <si>
    <t>https://docs.google.com/document/d/1thmrV1Fi8Jtyqv0V5DDFSVGwfR67pdEpGASvYzsaJfY/edit?usp=sharing</t>
  </si>
  <si>
    <t>https://docs.google.com/document/d/1eVXG9aT51CB3RNXdEcZ_h_n1QEUO336Rdy8qOT7j7BQ/edit?usp=sharing</t>
  </si>
  <si>
    <t>https://docs.google.com/document/d/1QQEMYtGSY8po36qNhlhdjlCu7xfV0MyeTs3KMmY8HXU/edit?usp=sharing</t>
  </si>
  <si>
    <t>https://docs.google.com/document/d/1nRMQBjTY2GMDySoyTZn0FIhfHYPsH6H8QZjnjxOY52s/edit?usp=sharing</t>
  </si>
  <si>
    <t>https://docs.google.com/document/d/1aonMJOYwPKosLLM1wZbllFWz1MrnA8ZhGRbubijaTFI/edit?usp=sharing</t>
  </si>
  <si>
    <t>https://docs.google.com/document/d/1LAFipZap3TVd3xWlA7umiEcRcX9dh4umiLjOVM--ZqQ/edit?usp=sharing</t>
  </si>
  <si>
    <t>https://docs.google.com/document/d/1jrJQytbD-qg3IWpjopJyyRsmpVI-27LXLqLLxf6BU-g/edit?usp=sharing</t>
  </si>
  <si>
    <t>https://docs.google.com/document/d/10VBJW15obRse4tRl5NbGfN0C7fWHSS7v7NEWZ0o28mI/edit?usp=sharing</t>
  </si>
  <si>
    <t>https://docs.google.com/document/d/1q-Gvut-BhdBicHaXYlsl5hbCmaHYR19JxCCNSOx7mV0/edit?usp=sharing</t>
  </si>
  <si>
    <t>https://docs.google.com/document/d/16d4fYJk2TScNEB-nErs4JQmZf7utlo4kM-wGxoLLFTs/edit?usp=sharing</t>
  </si>
  <si>
    <t>https://docs.google.com/document/d/1asXK9I93QTMH4XE45oHcImo7WPH8pzp_gpRGxeIkFkI/edit?usp=sharing</t>
  </si>
  <si>
    <t>https://docs.google.com/document/d/1LBp7t4dPe4jS5hn8VFVzTaHq4dj3e2dQs1qDoqZm5k8/edit?usp=sharing</t>
  </si>
  <si>
    <t>https://docs.google.com/document/d/1LIHYYQRBdRQz2QcjiasBVGdCdVbfiAKmlpeY5KHDwg0/edit?usp=sharing</t>
  </si>
  <si>
    <t>https://docs.google.com/document/d/1HIm9iU20FAYuGPnEEb-v94_q074uvlYxAnXU9USM1_E/edit?usp=sharing</t>
  </si>
  <si>
    <t>https://docs.google.com/document/d/1IUrYS525eg-ciGcJzQfhOwFpo7f188VxwTmD_zhzEvQ/edit?usp=sharing</t>
  </si>
  <si>
    <t>https://docs.google.com/document/d/1zZFAo23-wdRevshFRW2G0Y-RCVhqAtEthAT4-D_BS40/edit?usp=sharing</t>
  </si>
  <si>
    <t>https://docs.google.com/document/d/1wSdgbZjrIl_PrUtiEsRDjSLaYEzAE7iE8OMPWLc7cvU/edit?usp=sharing</t>
  </si>
  <si>
    <t>https://docs.google.com/document/d/1M4uAubYpS0jUTA9TlcO2CC2sehcSxhwD-tiDNQeh93E/edit?usp=sharing</t>
  </si>
  <si>
    <t>https://docs.google.com/document/d/1zTVqNGLqZ4LGA67tCUyF6JyERoNv_HLCZv7N6nHmPxY/edit?usp=sharing</t>
  </si>
  <si>
    <t>https://docs.google.com/document/d/1XAuQUHIxj5d3Mgu4ZU0jDjXWWVwWoJ-HYLEK1HksRQQ/edit?usp=sharing</t>
  </si>
  <si>
    <t>https://docs.google.com/document/d/1vZr1tNIyvCjBu7qyp2IYSx5BEcNOZejqa32VSMRr14k/edit?usp=sharing</t>
  </si>
  <si>
    <t>https://docs.google.com/document/d/16nUkJZsr6xt5L6Bz6xbxL3cwNBWEKGFSDPu9Rh5KdT8/edit?usp=sharing</t>
  </si>
  <si>
    <t>https://docs.google.com/document/d/1M9eIZ-f71M3vVVXBrW0YSZRSHYKTL52Xbj5nv8trVtE/edit?usp=sharing</t>
  </si>
  <si>
    <t>https://docs.google.com/document/d/1Cu2JYfwuJE2LQSOR_7dVn__X0GhIowzUlI0DEW-xfhg/edit?usp=sharing</t>
  </si>
  <si>
    <t>https://docs.google.com/document/d/1Ayoe5oryGNOTegXIkR0s6C9YkZcLdHevYU_QdjfQHnI/edit?usp=sharing</t>
  </si>
  <si>
    <t>https://docs.google.com/document/d/1nkJb-UnnRGGV4Oqf-kOw_ut6DW2LSrqnpnv8nmThW4A/edit?usp=sharing</t>
  </si>
  <si>
    <t>https://docs.google.com/document/d/1xUYZiJt8YFqc2JIHDoCpjuaLGUPVXnIRU6ubkWP3Z10/edit?usp=sharing</t>
  </si>
  <si>
    <t>https://docs.google.com/document/d/1oghrq0n6N8S0_xOkzr5CbOa5T4cP2atxNnh8ZQS37g4/edit?usp=sharing</t>
  </si>
  <si>
    <t>https://docs.google.com/document/d/1OiaS1h8_QprwLwLk64ZtlGoQS08yAfKJBbCpMYN33ZI/edit?usp=sharing</t>
  </si>
  <si>
    <t>https://docs.google.com/document/d/15A5TckH7qQSsakoOBwnJF8SzXhEwHkp9K920KC0snZc/edit?usp=sharing</t>
  </si>
  <si>
    <t>https://docs.google.com/document/d/1WOSlpnhu9Vx8OKDLERVnj5rmOmk1zrRfNKtYh5bwAb4/edit?usp=sharing</t>
  </si>
  <si>
    <t>https://docs.google.com/document/d/1BFNBcdSzeNljaGw3Qe7v-bjtS6KpAGjb_kr3e4f1lVg/edit?usp=sharing</t>
  </si>
  <si>
    <t>https://docs.google.com/document/d/1haMMBcB6vPBcQLMILZWDOgaHYWR7AmqZfPEWSCZ6b0s/edit?usp=sharing</t>
  </si>
  <si>
    <t>https://docs.google.com/document/d/1lDVGfAleczHeN9OLqGyF2xCO9wbVe5Ek7EPveNukQwY/edit?usp=sharing</t>
  </si>
  <si>
    <t>https://docs.google.com/document/d/1hcZPtKOjxxPO2paCZ8V5YowbgMcTJAetmf5XzAppBIo/edit?usp=sharing</t>
  </si>
  <si>
    <t>https://docs.google.com/document/d/1wPeXLWXk9N_FKgBstXCxhuuUUEnRazubCCu6dxmRz34/edit?usp=sharing</t>
  </si>
  <si>
    <t>https://docs.google.com/document/d/10Pf8P1lqq7_9t1PDXa5TBR8jOosqyzBpP3dBf1uwUBM/edit?usp=sharing</t>
  </si>
  <si>
    <t>https://docs.google.com/document/d/1ickdSOB6655vXO-JZNoUWsI5O1f69nyfv4ULG8V08Vw/edit?usp=sharing</t>
  </si>
  <si>
    <t>https://docs.google.com/document/d/10xCrJ6htmI8hnr4tVnjNSEMQ5-QVSHc2aTDNuB0PDag/edit?usp=sharing</t>
  </si>
  <si>
    <t>https://docs.google.com/document/d/1fP-mrxq2fxnYK0S3C63lRPWwlGcFN6cWiEZCLlw48Vk/edit?usp=sharing</t>
  </si>
  <si>
    <t>https://docs.google.com/document/d/1LB7_LHskqCkvn-JvnkBsAHYnNDKczsF_P85m_qVBbRE/edit?usp=sharing</t>
  </si>
  <si>
    <t>https://docs.google.com/document/d/1BGjfVo4SCNsbXd8VraC1Nzi-xAjhywLq3cOrbOcWdgw/edit?usp=sharing</t>
  </si>
  <si>
    <t>https://docs.google.com/document/d/1P2EWyAwSteTkHcs-QIlswtbbHKldnfvIyjQ54-Syo88/edit?usp=sharing</t>
  </si>
  <si>
    <t>https://docs.google.com/document/d/1eJlxRyzOh9ACF3vRJ4Ol7PLv1PRmcFT9HvEoBJcpyiQ/edit?usp=sharing</t>
  </si>
  <si>
    <t>https://docs.google.com/document/d/1v3zUR1XWQx0L-4jCRKX_j8HlbNMu68qSlRU8p0RUtdc/edit?usp=sharing</t>
  </si>
  <si>
    <t>https://docs.google.com/document/d/1BrnDyyFHSgPcfJywC219RoXx7UTYxFCaC0OFfSJmweE/edit?usp=sharing</t>
  </si>
  <si>
    <t>https://docs.google.com/document/d/1IFdTbK8TLavFXEuLRG4_biXNdRPxiZuS97FBfrIpdNY/edit?usp=sharing</t>
  </si>
  <si>
    <t>https://docs.google.com/document/d/10V-8tv-_s47cwjWxaQWsueUNw1T7fH8kG8vhzYQX80w/edit?usp=sharing</t>
  </si>
  <si>
    <t>https://docs.google.com/document/d/1_38eFIVeDFvtVCbrJ8Ptfw6XvaKfjsJkTVKnSTwOtwY/edit?usp=sharing</t>
  </si>
  <si>
    <t>https://docs.google.com/document/d/1LhhXV7nYlnDV2-g8ACJOU-Qzsz9Z-ZtM5l1_SoRvMvw/edit?usp=sharing</t>
  </si>
  <si>
    <t>https://docs.google.com/document/d/1_nnFXZHpchGlMbEKUh35ErQ9SoKjeJgNYhWa-5emu6w/edit?usp=sharing</t>
  </si>
  <si>
    <t>https://docs.google.com/document/d/1WgZ8kf1qYxSPQxhKsqJtv1ICjIqktRUthT3CzdT8GiI/edit?usp=sharing</t>
  </si>
  <si>
    <t>https://docs.google.com/document/d/1JiOLaqPvxJh5XW0dXlYqxKkkuyrYdBhUnID_YZEgGD8/edit?usp=sharing</t>
  </si>
  <si>
    <t>https://docs.google.com/document/d/1Fb-QZy4iTu5Sga_MmqGJM2TugR3h1gLgzcnVRf1gwiE/edit?usp=sharing</t>
  </si>
  <si>
    <t>https://docs.google.com/document/d/1YFMCDva4SwcDlbxDciwRKr0-do60Bcb0dR4BbWmjaYw/edit?usp=sharing</t>
  </si>
  <si>
    <t>https://docs.google.com/document/d/1uR423IMQCjNwO5DW-s74Pb2cPcInxL9WdF5OERy6fec/edit?usp=sharing</t>
  </si>
  <si>
    <t>https://docs.google.com/document/d/15ewteHvw8PjKCmvlTv1cdSjSq3Ar5b_tz_OUFT0hYoo/edit?usp=sharing</t>
  </si>
  <si>
    <t>https://docs.google.com/document/d/1rUq_Jk4DERUSsAa-ORgYGSOk_R5OHpP2kB4s_iTvsd0/edit?usp=sharing</t>
  </si>
  <si>
    <t>https://docs.google.com/document/d/1_Ri8jywHmoFaXphyA6iEVpRfN4XPhv1FByow3CKf80M/edit?usp=sharing</t>
  </si>
  <si>
    <t>https://docs.google.com/document/d/1vHDo-oxCrzdJYT0zE0YBarAD4v9fSfxPZT92kGwF0Mc/edit?usp=sharing</t>
  </si>
  <si>
    <t>https://docs.google.com/document/d/1RIoZtZtzwp04NayFqK2xmb2D4d0ApZsvLOOZmKy9PXI/edit?usp=sharing</t>
  </si>
  <si>
    <t>https://docs.google.com/document/d/14l-pExDru5kXR6Vzkp_onnCpeiNx1TSa8-hWUKCncbk/edit?usp=sharing</t>
  </si>
  <si>
    <t>https://docs.google.com/document/d/1_pstsieP1iY3oY2fLuZt6IwyIOL4Xf_jpmqFyO7cCAc/edit?usp=sharing</t>
  </si>
  <si>
    <t>https://docs.google.com/document/d/1J_ksiD0i-ods-KCXDomFdCLT6vzHWz9lHvMuyHOlHuM/edit?usp=sharing</t>
  </si>
  <si>
    <t>https://docs.google.com/document/d/1gOtNg0qVewM5STNRhpFKTnzwMQu2HNkX2KvmPwb5vQU/edit?usp=sharing</t>
  </si>
  <si>
    <t>https://docs.google.com/document/d/1BNJa8iv_RgF3yuPEmle5J39_EbIsqKJHvbzaDj-7toY/edit?usp=sharing</t>
  </si>
  <si>
    <t>https://docs.google.com/document/d/1ena0Wuq_G69nS0LbBGv-002c2KJrBEjkNKbwUN2986k/edit?usp=sharing</t>
  </si>
  <si>
    <t>https://docs.google.com/document/d/1fjeL18Mnlyavf-tbLkPVDWnfOsHUCt7Tuvjn9sBtSvk/edit?usp=sharing</t>
  </si>
  <si>
    <t>https://docs.google.com/document/d/1ApcirW_ocTXwl71jkiFSUMdUTj5LnmGmD4-6b97WvGM/edit?usp=sharing</t>
  </si>
  <si>
    <t>https://docs.google.com/document/d/1YN0r2gEzapEHFPb2hn8MPGqadOpra_juNOmBhyVZ6f8/edit?usp=sharing</t>
  </si>
  <si>
    <t>https://docs.google.com/document/d/1ZVaJQYx1U8oWeB_WGXISDZrxsfeE7QlTbRTvpglBElY/edit?usp=sharing</t>
  </si>
  <si>
    <t>https://docs.google.com/document/d/15TUkw5GIjG7MKKDCWku1jQVr--LDc9MllWZ2BnVN4Co/edit?usp=sharing</t>
  </si>
  <si>
    <t>https://docs.google.com/document/d/1Y7vU1q7X8K3BGeBb706eiLwnvIxsM_qo6taT-UHxojI/edit?usp=sharing</t>
  </si>
  <si>
    <t>https://docs.google.com/document/d/16NrMaUCEGhtbeqyD94kN3tTg4gjvdByuD0V0VRAudms/edit?usp=sharing</t>
  </si>
  <si>
    <t>https://docs.google.com/document/d/1kuz6Jm112sDobgDkKxz1Wgz3WkdM3xIdEIhULUQ6bfQ/edit?usp=sharing</t>
  </si>
  <si>
    <t>https://docs.google.com/document/d/1musDDA1XGm677v8wvDh0teGe1PpHsy4NGTZIkdMMRFk/edit?usp=sharing</t>
  </si>
  <si>
    <t>https://docs.google.com/document/d/1jGoFLOwgzHMGJEpfP8UJugqvTNbeafrQFoQJgmUDkcI/edit?usp=sharing</t>
  </si>
  <si>
    <t>https://docs.google.com/document/d/1iKcc88L2o8Pyd5JqvujPOur_at4nrHHC3SUZfg4IW4w/edit?usp=sharing</t>
  </si>
  <si>
    <t>https://docs.google.com/document/d/1cWjFaeoq84BZWBcz2SHeBlmIUzhn4-w5KI75bVH0DCQ/edit?usp=sharing</t>
  </si>
  <si>
    <t>https://docs.google.com/document/d/1cCzeZ7l2B2q6jZbCMN_MrukjTCk-4tLiQErMyVaWVeA/edit?usp=sharing</t>
  </si>
  <si>
    <t>https://docs.google.com/document/d/1-0wzvcLUqkal9SzL72vzz_XtoImVPV-VoZ9kUYUdicg/edit?usp=sharing</t>
  </si>
  <si>
    <t>https://docs.google.com/document/d/10SL57OQtlRHQNjvuz3mEwMsIAWBobcbjAinR_vxfQAw/edit?usp=sharing</t>
  </si>
  <si>
    <t>https://docs.google.com/document/d/1EX4HkQQ2Zl132B_1cVs_HSJ8d6btqwgOpNAD1og_RJU/edit?usp=sharing</t>
  </si>
  <si>
    <t>https://docs.google.com/document/d/1OMYNvB29eo6xPWOV9iV1A2OZz2j-xHzW0DBGWus8fV8/edit?usp=sharing</t>
  </si>
  <si>
    <t>https://docs.google.com/document/d/1fO1HVQjfxlWXhaSVpuwUE7IhsuvF1lhMxBmTowhyN4Y/edit?usp=sharing</t>
  </si>
  <si>
    <t>https://docs.google.com/document/d/1w4hekBdfHB9My0rGV0DAVvBnPHilT-mNZlf8fJRPd-E/edit?usp=sharing</t>
  </si>
  <si>
    <t>https://docs.google.com/document/d/1UuiKXrZmi7N0753YmXaSdWchHKvGqwDAhycA5YgblzA/edit?usp=sharing</t>
  </si>
  <si>
    <t>https://docs.google.com/document/d/1jp9c6ySb3EJ8YQE6s0FueMl5ldQ8hswxf5MP-TbnD60/edit?usp=sharing</t>
  </si>
  <si>
    <t>https://docs.google.com/document/d/18lL1bnc-IIZmAqSDkRv3RVyb_2QGo33hx1JMeyhEPdk/edit?usp=sharing</t>
  </si>
  <si>
    <t>https://docs.google.com/document/d/1Olclnnr6ozRGerOoLpSS9VoQDVzrOxTGAyIhkVLRkJ0/edit?usp=sharing</t>
  </si>
  <si>
    <t>https://docs.google.com/document/d/1-YbkwEclX8ITW1pthRcDKeYsQgTUBK4hh2ecE1MnvXM/edit?usp=sharing</t>
  </si>
  <si>
    <t>https://docs.google.com/document/d/1tPMmwDqlD6YQMyNpM6PDJ__cZA5pGNwIkjXjmhP9j6c/edit?usp=sharing</t>
  </si>
  <si>
    <t>https://docs.google.com/document/d/1Pn485A-3mbI5JR2PvQgI1H46VCxDDWWEonUzdpop2S8/edit?usp=sharing</t>
  </si>
  <si>
    <t>https://docs.google.com/document/d/1W4BmNRnBlEzrA4ab34KHYXCykp-Ceh2XwIv4c_6X_DE/edit?usp=sharing</t>
  </si>
  <si>
    <t>https://docs.google.com/document/d/1zRBRXQxSS162V3l3pfPDEOu8LC84Fcm15ZS3sM5X9Po/edit?usp=sharing</t>
  </si>
  <si>
    <t>https://docs.google.com/document/d/1X9qnIbJYbHhj_izLDJh-7NjiV8_igyoKucGBpXpco_s/edit?usp=sharing</t>
  </si>
  <si>
    <t>https://docs.google.com/document/d/1IqLQZKADeIuQqOMUE6yKNOrUR0qdNLQ2WXwB3V67VmA/edit?usp=sharing</t>
  </si>
  <si>
    <t>https://docs.google.com/document/d/1FWQzrUD2LV6EZZam3TXGGeoKInpvg5BF56ss6x5PUM8/edit?usp=sharing</t>
  </si>
  <si>
    <t>https://docs.google.com/document/d/10qOhrnoueshECG2lKS4McnLroZ167PhZvpa5_KMzr58/edit?usp=sharing</t>
  </si>
  <si>
    <t>https://docs.google.com/document/d/1RKo2rl_DyI-djDouTZIv65bKk6_QdG-IVG66EnoAAkI/edit?usp=sharing</t>
  </si>
  <si>
    <t>https://docs.google.com/document/d/1QYO5u9is5ABH2CmXri6zKbuM8K8u-51phNxLVt2Z4rU/edit?usp=sharing</t>
  </si>
  <si>
    <t>https://docs.google.com/document/d/136o22EL8IEHDesvpv-iPAzpP_EK9b4PoXinVf2uBNX4/edit?usp=sharing</t>
  </si>
  <si>
    <t>https://docs.google.com/document/d/1m5AIjcPwBcYxo1McO57CLUts9P0y-EkRFlevG8hCHm8/edit?usp=sharing</t>
  </si>
  <si>
    <t>https://docs.google.com/document/d/1MPfI0jPZhjd_gZ6i96geuV_JLKTETz1vvfii0a5fekE/edit?usp=sharing</t>
  </si>
  <si>
    <t>https://docs.google.com/document/d/1hv0mtnS_12QOJZgKJXE2kRKfRSscEDL9ohxEpOgZ_OM/edit?usp=sharing</t>
  </si>
  <si>
    <t>https://docs.google.com/document/d/1LFsqsP0Z7_UDZ_20EVR3ceDHSp7Zs0lP7bROO0bIWng/edit?usp=sharing</t>
  </si>
  <si>
    <t>https://docs.google.com/document/d/1hOU91MEPo9thIoxuM0rK7HnGlcakNT4tJqQP5Nq7bTo/edit?usp=sharing</t>
  </si>
  <si>
    <t>https://docs.google.com/document/d/1qddI1-_D9p0_iPLuVio0hjja41C6qsIBNAi66tz2YnE/edit?usp=sharing</t>
  </si>
  <si>
    <t>https://docs.google.com/document/d/1bZ9qANzJWqem3HlD5dO1UoELLjPd4zluuJFbQ7m27xs/edit?usp=sharing</t>
  </si>
  <si>
    <t>https://docs.google.com/document/d/1jIntwLJaoXjM5mQTNcMebDWgtk7DinzmGPN5k2Q-ShA/edit?usp=sharing</t>
  </si>
  <si>
    <t>https://docs.google.com/document/d/1ykMcNjH80L6IwLHovsClfvtQx-_95S3_B5SMII5OIu4/edit?usp=sharing</t>
  </si>
  <si>
    <t>https://docs.google.com/document/d/11zoJ7vUDhcVKbwQdKSprOpsBtqea7g4qSYWXxoT7YcA/edit?usp=sharing</t>
  </si>
  <si>
    <t>https://docs.google.com/document/d/1CYiCRHpD4XonnayNv548MjRjrhPGLaC-wSUlaZy5bA0/edit?usp=sharing</t>
  </si>
  <si>
    <t>https://docs.google.com/document/d/1PUdNKLHK_Jk50qJOR6pjXuXH1wmmrCMhuecIG2rt0Kg/edit?usp=sharing</t>
  </si>
  <si>
    <t>https://docs.google.com/document/d/1fgg6xJh7DiXLpzPON2uM9WCUU_eQzetTfy4i4MmbAyM/edit?usp=sharing</t>
  </si>
  <si>
    <t>https://docs.google.com/document/d/1zQLzol3_PWqER5v8ro4k0av-1ieVpUVXh0_U-bg--nQ/edit?usp=sharing</t>
  </si>
  <si>
    <t>https://docs.google.com/document/d/1-sZJB2szHLCDo41Dfo4YX3h-Vi-kgLyjAej_TeyXL4A/edit?usp=sharing</t>
  </si>
  <si>
    <t>https://docs.google.com/document/d/15AB5pNgjto1gT8kO-_e4aGwVonx95ZDyJdMyDtoGBUk/edit?usp=sharing</t>
  </si>
  <si>
    <t>https://docs.google.com/document/d/1Jwwcpvq5M01m4gn6in72hgkSfmknRp0kkV1NLlEA0iM/edit?usp=sharing</t>
  </si>
  <si>
    <t>https://docs.google.com/document/d/1hyitKDyZccb977TZsu9mM0RZaIOl3vJfX37gJ1QzwGU/edit?usp=sharing</t>
  </si>
  <si>
    <t>https://docs.google.com/document/d/1GPxo8l2zkOVdidenNHEmVMncqGvskppPsZWbpQy3LNA/edit?usp=sharing</t>
  </si>
  <si>
    <t>https://docs.google.com/document/d/1ACekhcoP0Sj921vuUaLZfnyk4ZGbA-gQIbk3utYCs_c/edit?usp=sharing</t>
  </si>
  <si>
    <t>https://docs.google.com/document/d/19Yb9gtis-Dj38WAz2pq0KOZLvByzqgXx_Gy7xxfFruY/edit?usp=sharing</t>
  </si>
  <si>
    <t>https://docs.google.com/document/d/1NjlD0VFj2SDiISVvN6uUFMo-cd7J_49GPGJV_Q8Q95I/edit?usp=sharing</t>
  </si>
  <si>
    <t>https://docs.google.com/document/d/1A2ElRp-pNcE9s9NwJkCBEdN9UFivQ690TfdyAto2IzY/edit?usp=sharing</t>
  </si>
  <si>
    <t>https://docs.google.com/document/d/1C3L6VY_N6wa1q8V1fLQ9W5fjoAczq2Ym6P8d0JsujIA/edit?usp=sharing</t>
  </si>
  <si>
    <t>https://docs.google.com/document/d/1BHqp32zNYdXWFh0SHf2wiNLFc7b8H7h_q6OUw3SBJ3w/edit?usp=sharing</t>
  </si>
  <si>
    <t>https://docs.google.com/document/d/1e3ro4VSIFg9bFAsm5wVagxK3I4YDnMEP2Nvra5gYuYE/edit?usp=sharing</t>
  </si>
  <si>
    <t>https://docs.google.com/document/d/1uF4yGujruceFjB50vmUC98BY3tB3vI7KXagAKoDZAZQ/edit?usp=sharing</t>
  </si>
  <si>
    <t>https://docs.google.com/document/d/16lO_Ch_wFAU01maDTHyoZEGsAxwSob9ogfkVo_aJ06M/edit?usp=sharing</t>
  </si>
  <si>
    <t>https://docs.google.com/document/d/1vRb8OTu9DJdIBcdMRVu4GHzjH3-t4khIdfVU3J2Tbdk/edit?usp=sharing</t>
  </si>
  <si>
    <t>https://docs.google.com/document/d/1a0VW5vieHlRwmYbYSI2MMxvcLLNrOyHo0GaKTsHNm4I/edit?usp=sharing</t>
  </si>
  <si>
    <t>https://docs.google.com/document/d/1NQeLIpL3el4e_zmw1XGvX20jEKf39vSz1L_ZPMfl-t4/edit?usp=sharing</t>
  </si>
  <si>
    <t>https://docs.google.com/document/d/1Dicjh9xW2EH5PdP5edpuW-aZ_fdM8RWyT2OcaSGJFTQ/edit?usp=sharing</t>
  </si>
  <si>
    <t>https://docs.google.com/document/d/1pUVzre9CyVI-mRSxWDNeSPWV_Rh0ChinWl6ylLYZ7hU/edit?usp=sharing</t>
  </si>
  <si>
    <t>https://docs.google.com/document/d/1i7gCogYtS3r_w9pkdaabdFpPPb95-1SxSfkXsR89Pec/edit?usp=sharing</t>
  </si>
  <si>
    <t>https://docs.google.com/document/d/10Zwbe0cqkip5KhDNwogmdXarm0Vhh2-QCAJar96iJKs/edit?usp=sharing</t>
  </si>
  <si>
    <t>https://docs.google.com/document/d/15pu5_fkRQVl_eAEYNrsefA7x5TFpGrz-EuS_vmVPMrk/edit?usp=sharing</t>
  </si>
  <si>
    <t>https://docs.google.com/document/d/1QxzM_TUwewU0MXG3BAJWNf1KepxWENGH-MOiHoavNt8/edit?usp=sharing</t>
  </si>
  <si>
    <t>https://docs.google.com/document/d/1005xWeaUi6Kg-h5U5oEBHph8wJ4nTjVWWM7URjup3uw/edit?usp=sharing</t>
  </si>
  <si>
    <t>https://docs.google.com/document/d/1StlEM8ik2kEjR9aVWQeyz5jaex2suhDImuIKiSkJax8/edit?usp=sharing</t>
  </si>
  <si>
    <t>https://docs.google.com/document/d/1AhFNwiqmGoXaTNN8JU4Xchmm6NDBazye6yz9Tt4ZR7s/edit?usp=sharing</t>
  </si>
  <si>
    <t>https://docs.google.com/document/d/1Ulptt5afnL-YfWtgVKoPDciEgcSUXOdI8uyYryj36e4/edit?usp=sharing</t>
  </si>
  <si>
    <t>https://docs.google.com/document/d/1Nz5ir-YxJQEUDYuUXjB1ozq5pblZWGnt76JCyoQnu78/edit?usp=sharing</t>
  </si>
  <si>
    <t>https://docs.google.com/document/d/1dVtbehsapUo0jk59hBq9TSOU9IjPM7gRsnkz8LsrRyw/edit?usp=sharing</t>
  </si>
  <si>
    <t>https://docs.google.com/document/d/1HV4PYXMbzZwP23Kx6BNuoctgDzF6Khp3L20HGdi__2E/edit?usp=sharing</t>
  </si>
  <si>
    <t>https://docs.google.com/document/d/1bD7kqOg2lkt1lw_AyjXTJEB8R2lVAFAPpYzGkDlI6-4/edit?usp=sharing</t>
  </si>
  <si>
    <t>https://docs.google.com/document/d/1MBvrMnJRYrhzPbHiSQLVvXpRN3i1IyVNp6-oMC0HHQo/edit?usp=sharing</t>
  </si>
  <si>
    <t>https://docs.google.com/document/d/1GvxnUsHxDsex9kQP_ZhAYDVjK-kxrM6U9Y5UqPVML5U/edit?usp=sharing</t>
  </si>
  <si>
    <t>https://docs.google.com/document/d/16aQXGKDAYWvl35zEmxQlLSOYjXZq20OOkRQR-O7UjgQ/edit?usp=sharing</t>
  </si>
  <si>
    <t>https://docs.google.com/document/d/1dwOIEyaQHIOiOJNuM0F5Du5OFIT-A9yG9H5i5LiXd80/edit?usp=sharing</t>
  </si>
  <si>
    <t>https://docs.google.com/document/d/1pbhPj_d7Pg4XZE7W8ekzCZ2KEvY0h_0Hult1wng91JM/edit?usp=sharing</t>
  </si>
  <si>
    <t>https://docs.google.com/document/d/1xnyVbWsFZ2Xdf-IGV4amkkvlPV3K3ftYIw3PhkuG4CY/edit?usp=sharing</t>
  </si>
  <si>
    <t>https://docs.google.com/document/d/1QiO_U5uv9qRs3xQTNWMF7EkEOb1yLxfQl2H5Ipiqc_0/edit?usp=sharing</t>
  </si>
  <si>
    <t>https://docs.google.com/document/d/1m8TFpyFCKjlhJmv1AidHxDucVHagkUGLOOGQDAEOPJU/edit?usp=sharing</t>
  </si>
  <si>
    <t>https://docs.google.com/document/d/1HC56ia-WB0iQTH_N65CznDQYbl_tRkHRZ4z6sBlnsUs/edit?usp=sharing</t>
  </si>
  <si>
    <t>https://docs.google.com/document/d/1r6bcuYcZPu42GtgWlNQJ4SgrifhvjjVXpY-11_J5yVw/edit?usp=sharing</t>
  </si>
  <si>
    <t>https://docs.google.com/document/d/1fS42F1h51W2lRBtqBrPicW1WmkOnUdOCnovNgt6Zbjs/edit?usp=sharing</t>
  </si>
  <si>
    <t>https://docs.google.com/document/d/1FRnIo5DynK9kEB44uNxGGtp2awN7I8eAjNtoRom_aMo/edit?usp=sharing</t>
  </si>
  <si>
    <t>https://docs.google.com/document/d/1s_zRTXMv6tvWytLStarabMT0tSbG_324z1cTxaRTIW0/edit?usp=sharing</t>
  </si>
  <si>
    <t>https://docs.google.com/document/d/1HhzJMVeUBZjWEOR_ujJg3j9aIt2cXRw4zCF-jaLJtfw/edit?usp=sharing</t>
  </si>
  <si>
    <t>https://docs.google.com/document/d/1AGfZlgdjVj8yBQRvCATLEgwRhEl1kYg8XD8Uqnsnrgc/edit?usp=sharing</t>
  </si>
  <si>
    <t>https://docs.google.com/document/d/1yqfmZdL2hm7Dd2DVmQVMcJPvszo0seGE6AEVDGKE5Dk/edit?usp=sharing</t>
  </si>
  <si>
    <t>https://docs.google.com/document/d/1fh0ek7-HbDB8Een1gbS0Ee2laNOCKGPhUqjY7-VJ8V8/edit?usp=sharing</t>
  </si>
  <si>
    <t>https://docs.google.com/document/d/1_hIjMKtBxoZyV1GKvcUHHMw9R7kbumgtMEd0NpFgQhA/edit?usp=sharing</t>
  </si>
  <si>
    <t>https://docs.google.com/document/d/1WbKvA_QVIAzvxyMuXZaGCSrKfIf6DVDdbO3DY6foouM/edit?usp=sharing</t>
  </si>
  <si>
    <t>https://docs.google.com/document/d/1vnmdw6leF0mx7yUDfaohlFJhkcB5vVEGWtC0s5N7vgI/edit?usp=sharing</t>
  </si>
  <si>
    <t>https://docs.google.com/document/d/1ftom-HYAWl8RD3Nh0XceOTFRsvbQMiVw59iYXX4nYMA/edit?usp=sharing</t>
  </si>
  <si>
    <t>https://docs.google.com/document/d/1k9gcYFzm2a_Wu6qKZcQgTbLQzci2UANZWG3ORGJDWnA/edit?usp=sharing</t>
  </si>
  <si>
    <t>https://docs.google.com/document/d/15ImDJhO9SlI8SbqsZfL56keOIb8lynK0pNt1fWjF7io/edit?usp=sharing</t>
  </si>
  <si>
    <t>https://docs.google.com/document/d/1btGZq5eZY-IebzZ36BDYbiyEGZaaXZZA-6nZW_yO1FY/edit?usp=sharing</t>
  </si>
  <si>
    <t>https://docs.google.com/document/d/1uZNzmg4GZTuL_VozUA_MgCa3lyEPj8bSMntgxsYfTU0/edit?usp=sharing</t>
  </si>
  <si>
    <t>https://docs.google.com/document/d/1LZhlOjwGA37jz-OIVLkM7mncA6DDP9xYzLulsEv8bqc/edit?usp=drive_link</t>
  </si>
  <si>
    <t>https://docs.google.com/document/d/1D6AYEQ9a5EovjpwuDyERtbk86uONTnT_VLIlELgJILw/edit?usp=sharing</t>
  </si>
  <si>
    <t>https://docs.google.com/document/d/1DbKX8IRJWAXE-mSdA6W6vpN49Yiq3NN9qiZJMQ80P-E/edit?usp=drive_link</t>
  </si>
  <si>
    <t>https://docs.google.com/document/d/1tftC-ZFdVRV41CvrufQ_kIGNKtgtSAcKL1msktBjIqg/edit?usp=drive_link</t>
  </si>
  <si>
    <t>https://docs.google.com/document/d/1oIPc8exfbM6UXjiCddXdwIRrWOQJ8CKwzAblBObMPiY/edit?usp=drive_link</t>
  </si>
  <si>
    <t>https://docs.google.com/document/d/1FwOOIIriF0X-u7kyU6IoWUZrpimRB5MHvDLsINUK8ZI/edit?usp=drive_link</t>
  </si>
  <si>
    <t>https://docs.google.com/document/d/1ldoaAfPQNwcjP6D6-sHZzO75Xz3zybucer4tGlsqhSg/edit?usp=drive_link</t>
  </si>
  <si>
    <t>https://docs.google.com/document/d/19QzkKYxFY_GGRHUJsvAhXG1sLaMJQCOVj2mAtpzjvXw/edit?usp=drive_link</t>
  </si>
  <si>
    <t>https://docs.google.com/document/d/12XfmDYWXls6Nc8WZjxNQcHX2uaJPmmzaARq0S0xJRnQ/edit?usp=drive_link</t>
  </si>
  <si>
    <t>https://docs.google.com/document/d/1C0cr5KQNeZ6fRJo40mY_85O6Z9ZWjl6gWt9fkM0j7Dc/edit?usp=drive_link</t>
  </si>
  <si>
    <t>https://docs.google.com/document/d/1xJg24ojlqs_UNwm4HHSPLfQeYMtJA5ummpi-_-XOQeI/edit?usp=drive_link</t>
  </si>
  <si>
    <t>https://docs.google.com/document/d/1vI5RDTQxCT58D7x0uXUPHu5bXW1uieiMiRRojCyE-BA/edit?usp=drive_link</t>
  </si>
  <si>
    <t>https://docs.google.com/document/d/1l3xFaK75JNKNHTRGwItvTXm6Je3jGBV9xg--TZtqotg/edit?usp=sharing</t>
  </si>
  <si>
    <t>https://docs.google.com/document/d/1ASjLgMRiNmeTCrrZEL3zkdPU0QGLo1mUI5Avs2VcZDA/edit?usp=drive_link</t>
  </si>
  <si>
    <t>https://docs.google.com/document/d/1d_OXa2mK9Y3hqedandF-eEUnB6Cfv5Fnr1ZZtqCMe6Q/edit?usp=drive_link</t>
  </si>
  <si>
    <t>https://docs.google.com/document/d/1GgzRkfCr5vUxeu0_zditSrSUZp4oIhVPMui_RYqY3jM/edit?usp=drive_link</t>
  </si>
  <si>
    <t>https://docs.google.com/document/d/1c1Bb_-wZj9Fc17otGXq7jEIn8pjiEtwZyiNcoxT0N8Y/edit?usp=drive_link</t>
  </si>
  <si>
    <t>https://docs.google.com/document/d/1JjDAtmYpc0XjNH4RrojDjryO4KjhPfICWzp89WfvXcc/edit?usp=drive_link</t>
  </si>
  <si>
    <t>https://docs.google.com/document/d/1kVX0pagIACU2O0VoH8s_CbyPnAJ2RnZhm92cus-aVeE/edit?usp=drive_link</t>
  </si>
  <si>
    <t>https://docs.google.com/document/d/13WEkO0K_hGxDv6ZpbxfN3aUDdlTFABHzRekJ26O1gv8/edit?usp=drive_link</t>
  </si>
  <si>
    <t>https://docs.google.com/document/d/16rh6HT-ydx9TukL7NXRCSmuKs-iZ59NvB6ZG8Ij1ZBI/edit?usp=sharing</t>
  </si>
  <si>
    <t>https://docs.google.com/document/d/1DTp4hN7uug2rqVIu_FgU5wYQ92k6869r2WlHEJjNr3o/edit?usp=drive_link</t>
  </si>
  <si>
    <t>https://docs.google.com/document/d/1AIVtUOzGO2HLHVdx3KGhQgCiIpYUuPx1Hxpp5k-AOf4/edit?usp=sharing</t>
  </si>
  <si>
    <t>https://docs.google.com/document/d/1twwq83yUevlKQCnnkjnfNqQqNRO_BUm2KYqGG-qHbLc/edit?usp=drive_link</t>
  </si>
  <si>
    <t>https://docs.google.com/document/d/1DL4tU0YMLug2k3lwDqTXBlQW5mw9YiLhIr7pkXk-8k4/edit?usp=sharing</t>
  </si>
  <si>
    <t>https://docs.google.com/document/d/1OzoUhLTVCTbEP2EXQS4-bbK-k26mnjBtzoDQOV37Jok/edit?usp=drive_link</t>
  </si>
  <si>
    <t>https://docs.google.com/document/d/1utqFB3G4M1N_r_l4ELm3ey80nyEkkSL3Qs9feQ4KA1c/edit?usp=sharing</t>
  </si>
  <si>
    <t>https://docs.google.com/document/d/1eP_nUn6lB7JOdFDDHWOEF5n00JNVyho9WH5v0BghaXo/edit?usp=drive_link</t>
  </si>
  <si>
    <t>https://docs.google.com/document/d/1xkvYZuk1yHvB2NDOLPS5HsZowa_gwEfntbDidgRy-jU/edit?usp=sharing</t>
  </si>
  <si>
    <t>https://docs.google.com/document/d/1F87--kqdRwUOHNR5jPD1oRHT2Opra8qm7WwhlwC3TJc/edit?usp=drive_link</t>
  </si>
  <si>
    <t>https://docs.google.com/document/d/1baLZC5eetm1AaHjDEKEFuWB2wevjBquAcfyOFPKjycY/edit?usp=drive_link</t>
  </si>
  <si>
    <t>https://docs.google.com/document/d/12LP-seNWVpKYXuIVMCXR97jVVESzkOYMqSibpA8w0SA/edit?usp=drive_link</t>
  </si>
  <si>
    <t>https://docs.google.com/document/d/1aEPZTRrw5JbIrzNee5h0nZmDq-31zyB4ywjs6WTvUy4/edit?usp=drive_link</t>
  </si>
  <si>
    <t>https://docs.google.com/document/d/1JBWpZq94J2WGu9IqdW3WyCUCo607G0Mbx3g2qCOw0Zk/edit?usp=sharing</t>
  </si>
  <si>
    <t>https://docs.google.com/document/d/1MM7T5m00R9bMzzDhtvhSiQbO9BtFRBFf9oxjF7UMFJY/edit?usp=drive_link</t>
  </si>
  <si>
    <t>https://docs.google.com/document/d/1A5T7pmiKDNJ4tAhl1ZeozbKpfuhSuDuUy98FxYCnOMg/edit?usp=sharing</t>
  </si>
  <si>
    <t>https://docs.google.com/document/d/1VEP4sPXC3EC4Q98RbAGlpSQOPsNefglQMpcavGiWlXQ/edit?usp=sharing</t>
  </si>
  <si>
    <t>https://docs.google.com/document/d/1BC_qmQzl2dkmqJK1JNOymZxkGiALK35kEBlVtuCjKek/edit?usp=drive_link</t>
  </si>
  <si>
    <t>https://docs.google.com/document/d/1HYzeg1wZG57ZiPuXOmupxMz5WYcjJs-HyO-odFOjJNk/edit?usp=sharing</t>
  </si>
  <si>
    <t>https://docs.google.com/document/d/1vJqUx0hWbMzYA-YhQTku4VQuZV6--J2B59nzlT7E7co/edit?usp=sharing</t>
  </si>
  <si>
    <t>https://docs.google.com/document/d/18OMCvb6O3ze7wVbc1T4I8N3Qbl1BPNmH-i2NyaN0k6E/edit?usp=sharing</t>
  </si>
  <si>
    <t>https://docs.google.com/document/d/1ZUFvHP3M0vwaM6CXlH3DGmCrCOX86T7Kg1UHRT4omOw/edit?usp=drive_link</t>
  </si>
  <si>
    <t>https://docs.google.com/document/d/10lCdCKdT3l5684XDr4uxNhrAJWwKvmv3TGf5uTNMH-o/edit?usp=drive_link</t>
  </si>
  <si>
    <t>https://docs.google.com/document/d/1wAO6ZNrE_gUaQxoOzCDGF9BqZdV2OTh_wMLi0SLEbcY/edit?usp=drive_link</t>
  </si>
  <si>
    <t>https://docs.google.com/document/d/1gpdRMQypBdwTK6dRg-vkjLBgA1eK5LaI8vRwBrGiDT4/edit?usp=drive_link</t>
  </si>
  <si>
    <t>https://docs.google.com/document/d/1_LrJWxCaratFXDB3Mge7JTF1k8iX5eVdv9sKNk1DT-M/edit?usp=drive_link</t>
  </si>
  <si>
    <t>https://docs.google.com/document/d/1X56C4FGepeDk5RtxPeiogv4nB6mhv8vIq3xmNYl_pRc/edit?usp=drive_link</t>
  </si>
  <si>
    <t>https://docs.google.com/document/d/1HnvrLajAoLImlso1VUioYX99fXiSGRC7zaXyokr1qxs/edit?usp=drive_link</t>
  </si>
  <si>
    <t>https://docs.google.com/document/d/1aNajV4Hg-WFeNsuVWRO4ElLQp9ZoEsrobejt2_P4Aeo/edit?usp=drive_link</t>
  </si>
  <si>
    <t>https://docs.google.com/document/d/1so0Ekvq5imrpDjFVXvUOmpRGNd0YuHIUE5iUCy0yVeE/edit?usp=drive_link</t>
  </si>
  <si>
    <t>https://docs.google.com/document/d/1ipWvURm1lGgXL-bsTJIyXxqBE3T_pfqJDjc1TViCfbU/edit?usp=sharing</t>
  </si>
  <si>
    <t>https://docs.google.com/document/d/1juC3_BZ6Ov3FxbHSsjvhiymU4lx6Af1oEPm5NqvxkWM/edit?usp=sharing</t>
  </si>
  <si>
    <t>https://docs.google.com/document/d/13o8D7ihKx7QOPfkQmnnY0_iJAiJjC6FC9PDfUi_CQ00/edit?usp=sharing</t>
  </si>
  <si>
    <t>https://docs.google.com/document/d/1mHHrWlb4Gp9Kl5bS86ivjd9j6pK02A3FblDmwy6fo0U/edit?usp=sharing</t>
  </si>
  <si>
    <t>https://docs.google.com/document/d/1wDDI1TX410fVM0jaUMMLteRnOmCymD8_UsiyvsG-ZNk/edit?usp=sharing</t>
  </si>
  <si>
    <t>https://docs.google.com/document/d/1yyvC9hlfdIQcYBjeypE_sPrqILmCJCAT8JRI7aNASGM/edit?usp=drive_link</t>
  </si>
  <si>
    <t>https://docs.google.com/document/d/16i8hka2kG4ncag6w_0UMBCGjgpQtG5sCxXB1h9hLMus/edit?usp=drive_link</t>
  </si>
  <si>
    <t>https://docs.google.com/document/d/1U5pMRu5nK20iA81YhfwoF_A17wJh5-J8M5Q_4_7eN2A/edit?usp=sharing</t>
  </si>
  <si>
    <t>https://docs.google.com/document/d/1aOshAdzCVpNDNIDYJzeCFa_bVipE3Kim37MAKrE-zTo/edit?usp=sharing</t>
  </si>
  <si>
    <t>https://docs.google.com/document/d/105lZlaGfSsFQn2Hpuh1A8c9VoN3zOAXyL97lTjCR7-w/edit?usp=sharing</t>
  </si>
  <si>
    <t>https://docs.google.com/document/d/12Usg6DmU3alYlku4OWyvcW9yJRhxTSwYTEQdTTWNZgA/edit?usp=sharing</t>
  </si>
  <si>
    <t>https://docs.google.com/document/d/1ENLJB9pHecC0euy03Xn2bdtLVwTn_4mdIh10Ktdd1Ts/edit?usp=sharing</t>
  </si>
  <si>
    <t>https://docs.google.com/document/d/16LUxYjkoSJmBkT2aagt9guWC5yosGpoHQ5nOKAK0mB8/edit?usp=sharing</t>
  </si>
  <si>
    <t>https://docs.google.com/document/d/1nOLj924Fkh1H3jshsWRLZ7ZueagDsdKAsupEukFMauc/edit?usp=drive_link</t>
  </si>
  <si>
    <t>https://docs.google.com/document/d/1umrvqDeE4FHjBIHmQ8m4p2DuDO2SffQBo_BuBPo3NYw/edit?usp=drive_link</t>
  </si>
  <si>
    <t>https://docs.google.com/document/d/1fHZbKS5TdDf5r3V4GL1orrAyxX82NfsJVD9_bJsQWhk/edit?usp=sharing</t>
  </si>
  <si>
    <t>https://docs.google.com/document/d/1OuzfnVJewGBrrSw8q2PW0KU9ZjOWa1kaRQLWcIRDQaU/edit?usp=sharing</t>
  </si>
  <si>
    <t>https://docs.google.com/document/d/1aKThDlJxefQwIN9z396WwXUyQanhfQ99_9Fm7sd9F0c/edit?usp=sharing</t>
  </si>
  <si>
    <t>https://docs.google.com/document/d/1b3fjnMpTlcLsbZaEgFTNaqy4eC854q8SxxeMHjWh0yE/edit?usp=sharing</t>
  </si>
  <si>
    <t>https://docs.google.com/document/d/1bakHTkiai_nAWcKjfuVw6hvvCZIY_y_sYT27M1O5YEs/edit?usp=sharing</t>
  </si>
  <si>
    <t>https://docs.google.com/document/d/1zeQte3A_FuqCfWj1HGFqIVnRj64QzD5fIw7hxM-7TQo/edit?usp=sharing</t>
  </si>
  <si>
    <t>https://docs.google.com/document/d/1vTz8kDsy6niZZExxdOGUckfZtiiFYH30iJFfAWDmht0/edit?usp=drive_link</t>
  </si>
  <si>
    <t>https://docs.google.com/document/d/17j0TurgZ8VSdEgvsEBG_9fGF2ykqIXlDk73am33btrE/edit?usp=sharing</t>
  </si>
  <si>
    <t>https://docs.google.com/document/d/1B94yU7j606k8PnSkcWLDvDbCCBZMVYHhg3rmALiVlIM/edit?usp=sharing</t>
  </si>
  <si>
    <t>https://docs.google.com/document/d/1_QyTb9Xfn-bhqfzeiDdoJPcvetqFTDslUP7DN1yvqtM/edit?usp=sharing</t>
  </si>
  <si>
    <t>https://docs.google.com/document/d/1KCKXLy4d18j_7hIE8-EN_CquqMTIMygIzT4iMHzv0ig/edit?usp=sharing</t>
  </si>
  <si>
    <t>https://docs.google.com/document/d/10zyO368LhWMOuszJ0BEMi481Gsz-VUFEsYVn3q_5wtI/edit?usp=sharing</t>
  </si>
  <si>
    <t>https://docs.google.com/document/d/12DO6l7x3VYn7gKzpS6bqN8MntWrbGmH0AhWTtez7yC4/edit?usp=sharing</t>
  </si>
  <si>
    <t>https://docs.google.com/document/d/14hW1pEPJGVSsE3cZ8H9vAuRyNp9zfKNgX3h9cIklBcI/edit?usp=sharing</t>
  </si>
  <si>
    <t>https://docs.google.com/document/d/1Fm7JdV8273Y0KcpbgK27dxph-iy-hvdR3qmD-sDX5Ck/edit?usp=drive_link</t>
  </si>
  <si>
    <t>https://docs.google.com/document/d/1KF4xEot2Tr6LV2xm8H97U6d3qRskRL73TFhxjMc77qo/edit?usp=drive_link</t>
  </si>
  <si>
    <t>https://docs.google.com/document/d/1AJnGTerWLPwuIMPDQFk-1lAmc2fLWyvjLOrB3xE82Ro/edit?usp=sharing</t>
  </si>
  <si>
    <t>https://docs.google.com/document/d/1wXxodQJw9rxyw2dHxO2oNymnX4qBVUqmpz2M1fIrve0/edit?usp=drive_link</t>
  </si>
  <si>
    <t>https://docs.google.com/document/d/15YQCkZ2egbOYp-3Dg7HslpPkD1kg0vfze-4eAKCjeLo/edit?usp=sharing</t>
  </si>
  <si>
    <t>https://docs.google.com/document/d/1Jt4xCmmGlfHeuUuI2TydEl8jTAVVV1QseniZdvtmYHE/edit?usp=sharing</t>
  </si>
  <si>
    <t>https://docs.google.com/document/d/1qUTyHUcnMgJrmSb9k_WnZbnGbUF-V-InQ7U9GF4HhI8/edit?usp=sharing</t>
  </si>
  <si>
    <t>https://docs.google.com/document/d/1emSiDL7BUuK_ZVweZM8Qfka6D1D9GAGuOVkX8qwkqYg/edit?usp=sharing</t>
  </si>
  <si>
    <t>https://docs.google.com/document/d/1T1blyXPz8UVhK4rBI9_zhnX_ilNP9-lrC9mZZ4RZ3f8/edit?usp=sharing</t>
  </si>
  <si>
    <t>https://docs.google.com/document/d/1IIirqub4EjuLjfAF4r2tPXPWm7L3LAGe9fuWchJwAs0/edit?usp=drive_link</t>
  </si>
  <si>
    <t>https://docs.google.com/document/d/1eOdIneFlIR9wYF7LjHwKZi7E7KyI-LS9S_ey79mutjk/edit?usp=sharing</t>
  </si>
  <si>
    <t>https://docs.google.com/document/d/1-5470z6B_njyPLrjovnVXgQUODc9vE2wfkHHNkmNCn8/edit?usp=sharing</t>
  </si>
  <si>
    <t>https://docs.google.com/document/d/1m4V0V8rdPefU9xhRI4dJlcBVfZVz3dpUGHWYcJzSkNY/edit?usp=sharing</t>
  </si>
  <si>
    <t>https://docs.google.com/document/d/1F93cL73tqXkB8UZjWi7UXhs7BciJC0dGXM__LirWfGY/edit?usp=sharing</t>
  </si>
  <si>
    <t>https://docs.google.com/document/d/1uBp04oK55I_fnjhSYXAjWjTeT4H1JpUIA6LzV_A8t1E/edit?usp=sharing</t>
  </si>
  <si>
    <t>https://docs.google.com/document/d/1Mij5wjbRUkmsTHomU3MNQKkbnN2Qj05t76X6tKOBCds/edit?usp=sharing</t>
  </si>
  <si>
    <t>https://docs.google.com/document/d/1k2sjvD5OpibbiSu06qtkNsO9hH_pXNfSeH_wGziIoGE/edit?usp=sharing</t>
  </si>
  <si>
    <t>https://docs.google.com/document/d/1bnPjDnmh5bQgGiAWiHJIdsdA-DYwblPnmll9Bb9nYEw/edit?usp=sharing</t>
  </si>
  <si>
    <t>https://docs.google.com/document/d/1wv8tS7ZppvAYcmlDcWcW6ivSOK9P3ghRTQ4QJDCZcOI/edit?usp=sharing</t>
  </si>
  <si>
    <t>https://docs.google.com/document/d/1lzAW8R5IZlFppbUVksbv0z9UsEXj7ZN3NZcoitO-_RA/edit?usp=sharing</t>
  </si>
  <si>
    <t>https://docs.google.com/document/d/1zJ_4ZJvxnyZh28FjqHaFAAA8CliOFEV-GtRak1gy2aw/edit?usp=sharing</t>
  </si>
  <si>
    <t>https://docs.google.com/document/d/1VhDoOSZBq4KWfuXyZp8LgHrS0C0TSp2TSNhPvj37OyI/edit?usp=sharing</t>
  </si>
  <si>
    <t>https://docs.google.com/document/d/1uHt_fmWeuk0g8OYa5ILYUSLvqkLKufE2x3oK2IWBWkY/edit?usp=drive_link</t>
  </si>
  <si>
    <t>https://docs.google.com/document/d/1X7vgt9jWHw75nmsJ2t_8cMGXZSspG0XjXmKjB9SOFfg/edit?usp=sharing</t>
  </si>
  <si>
    <t>https://docs.google.com/document/d/1msiZBzldVxxcMNKCdt3cmd0G-VbiACA3J2W3nQCjxBc/edit?usp=sharing</t>
  </si>
  <si>
    <t>https://docs.google.com/document/d/1I9ELHNEb9JPw_DTqqYDdgEtfZ69uybTeTEo2_TAQD6A/edit?usp=sharing</t>
  </si>
  <si>
    <t>https://docs.google.com/document/d/17FYBf09zDt52mAX3gcf2ePdklmInpYFQFFQxZG9_r98/edit?usp=sharing</t>
  </si>
  <si>
    <t>https://docs.google.com/document/d/11zdSVhpi19-I-aaahkEUn4_uGzpwulBCoRvpQN-iIiA/edit?usp=sharing</t>
  </si>
  <si>
    <t>https://docs.google.com/document/d/1B-9fcOTkRpbnJHOyCV2F8fVYVQ9r2IsIiEtd1x25xxQ/edit?usp=sharing</t>
  </si>
  <si>
    <t>https://docs.google.com/document/d/1it7oGAcQBWBH8asnx9DsuB63sL2QHJRjqs0rJuNr5cg/edit?usp=drive_link</t>
  </si>
  <si>
    <t>https://docs.google.com/document/d/1-accruyoR0HhRLpNfhVKKrU0-DTYduhZFT1yZgnlAYw/edit?usp=sharing</t>
  </si>
  <si>
    <t>https://docs.google.com/document/d/1fd2a7jln87OipxE2J0RJtGoqVbdqeu7bU9GJXDVVSec/edit?usp=sharing</t>
  </si>
  <si>
    <t>https://docs.google.com/document/d/1ah9wMpS03GcbNVn2HY0AqsdACer0-rKj_soKdn4objI/edit?usp=sharing</t>
  </si>
  <si>
    <t>https://docs.google.com/document/d/1tdsiweo2fvcqVT97pPfLOaVq2FQh9S-ogKgBsYh5KyI/edit?usp=sharing</t>
  </si>
  <si>
    <t>https://docs.google.com/document/d/1F29pFfbk9Pvbw1cBanDQ1UdkfjkDHNjELKboqu6PlPw/edit?usp=sharing</t>
  </si>
  <si>
    <t>https://docs.google.com/document/d/1So3fHCF3pbtNgUIr2ENCOTdz1k5sXeSvvG4gqCRuLow/edit?usp=sharing</t>
  </si>
  <si>
    <t>https://docs.google.com/document/d/1wAS2FwCFokuzsSoXgmZ-oYpvDKu7RBYQCaD2OG0DRGA/edit?usp=sharing</t>
  </si>
  <si>
    <t>https://docs.google.com/document/d/1Z_uZkWt-K6JfMTLqUWr9KLY3d6oXQ9_WbPFofd42aQk/edit?usp=sharing</t>
  </si>
  <si>
    <t>https://docs.google.com/document/d/1-agM6wBoPUP3VWXQA8xjXcmleBfTwoOOAGQz_y3BANI/edit?usp=sharing</t>
  </si>
  <si>
    <t>https://docs.google.com/document/d/1jobwks_VG5IZ6ED2pbz2I5P0FDzozfhdLAkgqTEvAJo/edit?usp=sharing</t>
  </si>
  <si>
    <t>https://docs.google.com/document/d/12rYLo9SxvT1TPYVHMCzaoxisFAkXBthWcU8o0BclOuE/edit?usp=sharing</t>
  </si>
  <si>
    <t>https://docs.google.com/document/d/1B43hIw56SUqMpK6COISBtHRezEz3snyjhoLLdhgY-6s/edit?usp=sharing</t>
  </si>
  <si>
    <t>https://docs.google.com/document/d/1hEzZ1qxn6wrl8ESvXA-_nzbL-Lnrf1nn56yQxhPxPyw/edit?usp=sharing</t>
  </si>
  <si>
    <t>https://docs.google.com/document/d/1a6mIJNiLNEgQZFZSf82Digy4IrDjwm0BwJ0BZ7dPpIw/edit?usp=sharing</t>
  </si>
  <si>
    <t>https://docs.google.com/document/d/1Aiekyka6r2k3QmLVfh-kmdTifqH3JFGweSk066ICYH0/edit?usp=sharing</t>
  </si>
  <si>
    <t>https://docs.google.com/document/d/15ftUWGJbk-qYHEx-ORjkchDfv-HJ0ek80XXflTT5ga0/edit?usp=sharing</t>
  </si>
  <si>
    <t>https://docs.google.com/document/d/1EaOzw_dkzLSDgTPaZsBiMIFg6337jMaBDzDnSp41iMI/edit?usp=sharing</t>
  </si>
  <si>
    <t>https://docs.google.com/document/d/1uUuFra1TYUrnL7cw6es8DCssKQmRsZLIJhHJtdZBKpw/edit?usp=sharing</t>
  </si>
  <si>
    <t>https://docs.google.com/document/d/1DJWJxlvVTxKJWz6dW88VHtZth4KxWqStUtJdZTBUhbo/edit?usp=sharing</t>
  </si>
  <si>
    <t>https://docs.google.com/document/d/1D9xPedrZrwevY4Ou-PmkxvXs-_ZiZZUXEsTJ-BYluog/edit?usp=sharing</t>
  </si>
  <si>
    <t>https://docs.google.com/document/d/1UmpHG8_Bq1_rnOz-rpqnXUNeg8a3Y0phRSIUhbCKHFY/edit?usp=sharing</t>
  </si>
  <si>
    <t>https://docs.google.com/document/d/1s4FDdBZmv44W5Vwp6FSdoF1MxGTKs_v68RuiW9jn36s/edit?usp=sharing</t>
  </si>
  <si>
    <t>https://docs.google.com/document/d/15vEE_u_0dMUI3vsCX7KnZ2-oTgnL17Hwpqu2i4IFCUU/edit?usp=sharing</t>
  </si>
  <si>
    <t>https://docs.google.com/document/d/17EHr7zZH5jYQRpSf8vnPGX05qzd03ZFIPBnNP545CQE/edit?usp=sharing</t>
  </si>
  <si>
    <t>https://docs.google.com/document/d/1QC_ZlcPEqJ4_8Pi2MbpanwX9DUHySDTHOsqHSMR2WwY/edit?usp=sharing</t>
  </si>
  <si>
    <t>https://docs.google.com/document/d/1v0zW_J3zzJwmEmnhaJAoGyyi8UpomCJ0Hsfo4xND0rA/edit?usp=sharing</t>
  </si>
  <si>
    <t>https://docs.google.com/document/d/1Tt3ZButd-kV_uA52JDG7TAX9sIgf4BxGE5MCD3Axq-4/edit?usp=sharing</t>
  </si>
  <si>
    <t>https://docs.google.com/document/d/1npXK7XhMwwfPMSS0spJyOYE3kCnjvbmWociIqgCFSRc/edit?usp=sharing</t>
  </si>
  <si>
    <t>https://docs.google.com/document/d/1xgdTlYWj5sYqdaqqt8X_gomfWxrHDgwWeJeStDa4jtU/edit?usp=sharing</t>
  </si>
  <si>
    <t>https://docs.google.com/document/d/1_rCdstjOI_-6uaJbXOpk5_ifGvWi-L7d-LT0JfMDbKw/edit?usp=sharing</t>
  </si>
  <si>
    <t>https://docs.google.com/document/d/1u8VchhdrbwPuvdP-vrbTmtEmU2i5H0PEkEXJlx6vhDA/edit?usp=sharing</t>
  </si>
  <si>
    <t>https://docs.google.com/document/d/1j3dwTENeApauxt30Yd4iVSurZNFkcPIRQ0lLF4-ROEY/edit?usp=sharing</t>
  </si>
  <si>
    <t>https://docs.google.com/document/d/1iuQI_BOsWszk4k3dL6aTI4lp3-SA6N7jxsNR_7sq7Gk/edit?usp=sharing</t>
  </si>
  <si>
    <t>https://docs.google.com/document/d/1rrxj4hsGWmlLUI-KTHu1_aNU8wd9cUBNSXsokj9Phl0/edit?usp=sharing</t>
  </si>
  <si>
    <t>https://docs.google.com/document/d/1eDUSLZTYeckDzvmIYo0nvD-eHKvE9rzTXlU3UAeCa5I/edit?usp=sharing</t>
  </si>
  <si>
    <t>https://docs.google.com/document/d/1By_y9dmg1nKHrPP07uCx_XhtZgoNw6r9HChKCa-6VbQ/edit?usp=sharing</t>
  </si>
  <si>
    <t>https://docs.google.com/document/d/1CBzmyoxgkb4b9z2xR1j-R6Ye_1uUUolAk_7CGVGHtME/edit?usp=sharing</t>
  </si>
  <si>
    <t>https://docs.google.com/document/d/1kpGBL2dy6MLXrakue00vZKCnLXnOdRt_MrJLu2kGI1s/edit?usp=drive_link</t>
  </si>
  <si>
    <t>https://docs.google.com/document/d/1qarhqc2d9QzPSn_E4zVFoXRU4l-4SvU0Q-EkQXIyUjM/edit?usp=drive_link</t>
  </si>
  <si>
    <t>https://docs.google.com/document/d/1E-3XYWe_-x0T3WQeWN9rDtzy-QjzHEiG6oziBpVNmP4/edit?usp=sharing</t>
  </si>
  <si>
    <t>https://docs.google.com/document/d/1b9lHUuNEiD2Et7aUchD5xGZRT1-5_6jhbyomCIlCg8s/edit?usp=sharing</t>
  </si>
  <si>
    <t>https://docs.google.com/document/d/1s5oo9tK2cUODZWkHEI55U_V260jqsqnTTPuaKRpnLbI/edit?usp=sharing</t>
  </si>
  <si>
    <t>https://docs.google.com/document/d/1joTAryNtSvlUjQJH_5C7W7hfunjfu5MJLRv3N9nYlPw/edit?usp=sharing</t>
  </si>
  <si>
    <t>https://docs.google.com/document/d/1EM64JoCmTHs84mPUbTuYs0QD-ePXQohvGJA9XU2MZZM/edit?usp=sharing</t>
  </si>
  <si>
    <t>https://docs.google.com/document/d/10WR_xE9_phcnWYS84uv3lftBR_OcDfp74i_jAPzYN2A/edit?usp=sharing</t>
  </si>
  <si>
    <t>https://docs.google.com/document/d/167r619cjXNPr06axmRJBzj51OVfrXknHleusRElCqWw/edit?usp=sharing</t>
  </si>
  <si>
    <t>https://docs.google.com/document/d/1Ct6rpkYCvHk2UfphnKLM2jsTCazgjrO8eNEs8xoUMP4/edit?usp=sharing</t>
  </si>
  <si>
    <t>https://docs.google.com/document/d/1cmldBWWid_RY1bB_jB03BLit3lPPG7igNbDDfey-nrc/edit?usp=sharing</t>
  </si>
  <si>
    <t>https://docs.google.com/document/d/1J5J_8Z7DFk-mdnQKr8x52GFbB3Ln_aLFlt_cRg5YowI/edit?usp=sharing</t>
  </si>
  <si>
    <t>https://docs.google.com/document/d/1Rwu6s4NmUj8Kn7VFmpxzDmJKmMDicJG5Z5C3dnjRCE0/edit?usp=sharing</t>
  </si>
  <si>
    <t>https://docs.google.com/document/d/1YKs2VzGjf_36-9KKfft2FHPKV6H-o5xwk9DSduvO6UM/edit?usp=sharing</t>
  </si>
  <si>
    <t>https://docs.google.com/document/d/1jkK67fppUZHLJ2QlnppB9GUdbMfoHruRSmjs1KUyoOU/edit?usp=sharing</t>
  </si>
  <si>
    <t>https://docs.google.com/document/d/1LAbO_FW4FopXect_kqAh6JUZlDlnb451MPCUm0ClFLM/edit?usp=sharing</t>
  </si>
  <si>
    <t>https://docs.google.com/document/d/1mXElh2ezh3SnEyFRDR9KFkOnROFN3Uyk6Qp5KvbvLPM/edit?usp=sharing</t>
  </si>
  <si>
    <t>https://docs.google.com/document/d/1gj0on0PGuPBFQ8srR4HH49QVZ4Loufbt1sTvuWo1-54/edit?usp=sharing</t>
  </si>
  <si>
    <t>https://docs.google.com/document/d/1MFDg9FRBPAcYbNX4mojEkTKQe6Ot5Pi65igeD_8deK4/edit?usp=sharing</t>
  </si>
  <si>
    <t>https://docs.google.com/document/d/1X45_vRnrut0HrlF0pYgptnuIBawN-vvbaXlgqUKkGqA/edit?usp=sharing</t>
  </si>
  <si>
    <t>https://docs.google.com/document/d/1H0Jwjr3XTNz-zika4OafgfYcNg4BUO7LDBAPEVwTc54/edit?usp=sharing</t>
  </si>
  <si>
    <t>https://docs.google.com/document/d/1oJYyXahyq-7EaZ7ycukzKuBdhEgr_QRRcGcCSKQPDg0/edit?usp=sharing</t>
  </si>
  <si>
    <t>https://docs.google.com/document/d/1YBjfsS_CPoTiIuDydtr3xvh_LhtXI39cTSl9wWEk6sc/edit?usp=sharing</t>
  </si>
  <si>
    <t>https://docs.google.com/document/d/1XP0aMZjLBqnC_9KIoa1Ytrnn7SDbUb1oiWdhSQ1ThD8/edit?usp=sharing</t>
  </si>
  <si>
    <t>https://docs.google.com/document/d/1Yu7FxqGuVSLkaEDla6-7eyx9pnnqTiHPwUHp52PUwZQ/edit?usp=sharing</t>
  </si>
  <si>
    <t>https://docs.google.com/document/d/189zHlNQxExmnEGzdUAFAklxUunr14q1rRrQ-VeIEzi4/edit?usp=sharing</t>
  </si>
  <si>
    <t>https://docs.google.com/document/d/1TNVgV6xu3Vue40s0EdbzbhfVL-VVcPkNuIzRyvWwW-8/edit?usp=sharing</t>
  </si>
  <si>
    <t>https://docs.google.com/document/d/1aowsTq6aFogAKgxtHfRunHVbNWYf6tTwGzn4NWQ9EO0/edit?usp=sharing</t>
  </si>
  <si>
    <t>https://docs.google.com/document/d/14REzYtBioCilp7epZxNDTygsRFxlwcpwQn4KpWpGoHY/edit?usp=sharing</t>
  </si>
  <si>
    <t>https://docs.google.com/document/d/14Shp3DAbL7Iy5RFurKx_5awkbhzPan-7Z4nWWpGezoo/edit?usp=sharing</t>
  </si>
  <si>
    <t>https://docs.google.com/document/d/1j8ZqbWjmwjje5prGukXIj4AvYKlD7bacHd07dvm9yjo/edit?usp=sharing</t>
  </si>
  <si>
    <t>https://docs.google.com/document/d/10ravnxPzzuiLznIjPWEsViPbxUx445d6-myKT2sl62s/edit?usp=sharing</t>
  </si>
  <si>
    <t>https://docs.google.com/document/d/1joDK_bGI-ml92_aW4uiM3eggFzNmYCVIM9Oz2Le1khg/edit?usp=sharing</t>
  </si>
  <si>
    <t>https://docs.google.com/document/d/1ko2p832j3MwcQTxfZ2m8L_KE0Pzrb14MvAN1X-mfzX0/edit?usp=sharing</t>
  </si>
  <si>
    <t>https://docs.google.com/document/d/1a-GZN2YqDqoKX2PbHtL05AcVkOmefRGbxRgmIbvhqOc/edit?usp=sharing</t>
  </si>
  <si>
    <t>https://docs.google.com/document/d/1gb9Jw_HugRO5IeEENaF6LEJK1RcqB198vdrhWMMd9f0/edit?usp=sharing</t>
  </si>
  <si>
    <t>https://docs.google.com/document/d/1-OLoe5L3_K4HmXnG1frrMRtEbfSDelTxLHALIfQvppY/edit?usp=sharing</t>
  </si>
  <si>
    <t>https://docs.google.com/document/d/14R130FaTEJJ4Edj1FG4dGPkJRJCGGkYQDk64ZzO3JNE/edit?usp=sharing</t>
  </si>
  <si>
    <t>https://docs.google.com/document/d/1OCyQp6glM833IkZvDjC7pVvW8aiwVWFQGGYhKc1j_vU/edit?usp=sharing</t>
  </si>
  <si>
    <t>https://docs.google.com/document/d/1gJ9_9TT1KNePbeLzaV0SWdnA0TP5d0oJvV3p4uJ0wbM/edit?usp=sharing</t>
  </si>
  <si>
    <t>https://docs.google.com/document/d/14lZypwCDUuc9zxB5yDkjpewSjFqWtyhUn5wY5dWL3RA/edit?usp=sharing</t>
  </si>
  <si>
    <t>https://docs.google.com/document/d/1TbuQQV74l1W8W4jVMLB3E5MWxPqPFFkg2h9Mdzf7lmo/edit?usp=sharing</t>
  </si>
  <si>
    <t>https://docs.google.com/document/d/1SsqVXyIp4mKTMDvx5gDmyXiIGVuhpUhGzJo_FIPndIw/edit?usp=sharing</t>
  </si>
  <si>
    <t>https://docs.google.com/document/d/1mBtZQJZ9MnTocGQsY2aGUokqCiuS8NiZ0WqgcQg25u0/edit?usp=sharing</t>
  </si>
  <si>
    <t>https://docs.google.com/document/d/1CG1u2bVXU25k32BMJbp-GjC3sPnNX3sSA7SrTTcWxtQ/edit?usp=sharing</t>
  </si>
  <si>
    <t>https://docs.google.com/document/d/1xmYYR8IKnBGfIO1jgeQBV7va69EtMsmPeh_8hptKZ1s/edit?tab=t.0</t>
  </si>
  <si>
    <t>https://docs.google.com/document/d/1sSkZx_ymEpZYH9POqivl4j62oZG0fBckJLVx5g_wxxc/edit?usp=sharing</t>
  </si>
  <si>
    <t>https://docs.google.com/document/d/1N9dOCuFRFnotklFElpzPsnxxSIN69LdW4N4LnROPc1k/edit?usp=sharing</t>
  </si>
  <si>
    <t>https://docs.google.com/document/d/1t2ZVXSlz77imyrmY2dbKNE0UrIn7tWG8YNGEDUZvK0E/edit?usp=sharing</t>
  </si>
  <si>
    <t>https://docs.google.com/document/d/1dhH-sjU2QEnFCePu5595UKCy6Rq7znCK_He5weLRwNU/edit?usp=sharing</t>
  </si>
  <si>
    <t>https://docs.google.com/document/d/1wu3r0uZlp4rUvfNAI7wmmvK_iZnLRBUA-hAnLtZGOc0/edit?tab=t.0</t>
  </si>
  <si>
    <t>https://docs.google.com/document/d/1zKvJjBxps-E7ldvcyxUSJoARKUBfjGWBxzvFZ9BiYsU/edit?usp=sharing</t>
  </si>
  <si>
    <t>https://docs.google.com/document/d/1uYej8a__8OIfoa96T4SHUFUvSH4NuG92klNS3uMhpmY/edit?usp=sharing</t>
  </si>
  <si>
    <t>https://docs.google.com/document/d/1k8in4BRBNlkzFGRpK0gJgpcpPxUGYFK-mc1nbtQ_Spc/edit?usp=sharing</t>
  </si>
  <si>
    <t>https://docs.google.com/document/d/1ziv1n077qhkcOT8t258KSsSur9kzpFEAKMvlYTY6ulQ/edit?usp=sharing</t>
  </si>
  <si>
    <t>https://docs.google.com/document/d/1i0QJDDYbw2Qbtwn3RQ1O1uXUZZlh5YB_-DtPNrz14EQ/edit?usp=sharing</t>
  </si>
  <si>
    <t>https://docs.google.com/document/d/1uIxFkfL8O6510wcgSTIZdnAyW6otTqWZkCgS3mAG75M/edit?tab=t.0</t>
  </si>
  <si>
    <t>https://docs.google.com/document/d/1n9tLNcB0y_VcQQpTv1Ffshmcm3-eTuohANsIqpvGs5k/edit?tab=t.0</t>
  </si>
  <si>
    <t>https://docs.google.com/document/d/1PmHS_2kYWma0-b3MaLP_o84bY9O8d0_NZfJTbblMOp8/edit?usp=sharing</t>
  </si>
  <si>
    <t>https://docs.google.com/document/d/1MlO4RcyBbasR4Mj0CZ_0qNxTshnb64YZw8ACsO7WNTg/edit?usp=sharing</t>
  </si>
  <si>
    <t>https://docs.google.com/document/d/1qAfGU01Z3Fg0sUNy5XrJRLN21tQpMiEUP9XpqN3YNUA/edit?usp=sharing</t>
  </si>
  <si>
    <t>https://docs.google.com/document/d/1cB1ce8QS0D9JdV8qKJAZm0ABAxfTuZmoEsnhZvLLlFc/edit?usp=sharing</t>
  </si>
  <si>
    <t>https://docs.google.com/document/d/1kvoSoV4vBf2eL7v3SsxWoQ47fBewMXKKwkNqCuBdLyY/edit?tab=t.0</t>
  </si>
  <si>
    <t>https://docs.google.com/document/d/1yejJxpKOTpupLZEpwplU-9eLHRowuhh1lydjvuHvXX4/edit?usp=sharing</t>
  </si>
  <si>
    <t>https://docs.google.com/document/d/1HxphKKBP3Tk7uqtHHdHX7YKHu4xeyyYTWfX805okqbs/edit?usp=sharing</t>
  </si>
  <si>
    <t>https://docs.google.com/document/d/1n1BOWaXeaKoCaKYEMnolY4Xy1Bxzk3ta2FAsO6pokwk/edit?usp=sharing</t>
  </si>
  <si>
    <t>https://docs.google.com/document/d/1RfHUxs_c75pfhKA_Q_xAPMpW9bBShfTo77J9xHpyErE/edit?tab=t.0</t>
  </si>
  <si>
    <t>https://docs.google.com/document/d/1gC97nnl6M1i0RElXTs3OzDHk48XEqMRKNn5QbDbsVHE/edit?usp=sharing</t>
  </si>
  <si>
    <t>https://docs.google.com/document/d/1R4kMQ_u6il5RQGcxinsSjQRpcVzY0t9i3eT8wwIq_l0/edit?tab=t.0</t>
  </si>
  <si>
    <t>https://docs.google.com/document/d/1kzoGkeNzFI8_MeBL-GJmQEFOJpENzteYoK7hLoG5bRE/edit?usp=sharing</t>
  </si>
  <si>
    <t>https://docs.google.com/document/d/14K4x3G7s9IvtjwZk8AQhNjOltt6QYDvyH0PdGRkz1GQ/edit?usp=sharing</t>
  </si>
  <si>
    <t>https://docs.google.com/document/d/1Mc5jUPAsAY9Is4eo1i5i5QGCttsjITeJRnCe9nE9SYI/edit?tab=t.0</t>
  </si>
  <si>
    <t>https://docs.google.com/document/d/1RL8tu4lrQsoghpXflILzwoi97I8skFo_F-bJDtxq-0Q/edit?usp=sharing</t>
  </si>
  <si>
    <t>https://docs.google.com/document/d/1X2l0jHXQSaYPDRVH-Axj5uXAMsoctAjAMSEBsXBeLYY/edit?usp=sharing</t>
  </si>
  <si>
    <t>https://docs.google.com/document/d/1u4zBl2ABBpS23Ruc-H3Gk8ZUndJD7Z44wVbJk9FfASw/edit?usp=sharing</t>
  </si>
  <si>
    <t>https://docs.google.com/document/d/1cxXBgF72tJfTNnDXV9B8fx-uW1lSCaZjwOpD8iKWS_Y/edit?usp=sharing</t>
  </si>
  <si>
    <t>https://docs.google.com/document/d/1LEONx7a4j3GdWBkgTlnw00v8j5TgSd5xwj6TwbnlR_c/edit?tab=t.0</t>
  </si>
  <si>
    <t>https://docs.google.com/document/d/1z9l_4tCFeK1mfb6ggIBnGrZn2urv6CK0EpvIIZFUweA/edit?usp=sharing</t>
  </si>
  <si>
    <t>https://docs.google.com/document/d/1wU-RfypXJZPLhoz-BeGW2jYmY93Dl02Is6ElMvQL13g/edit?usp=sharing</t>
  </si>
  <si>
    <t>https://docs.google.com/document/d/131Ogw_s6uUC6X6MXVasnQophgA9nbh9lQ-yZMGvD9Ck/edit?usp=sharing</t>
  </si>
  <si>
    <t>https://docs.google.com/document/d/1Fd_Id4PhWbpHFERzR9Kv9Mwr7y3Z2E3pRqmKIj6HJtI/edit?tab=t.0</t>
  </si>
  <si>
    <t>https://docs.google.com/document/d/1ekhD60DQUfiVzBs4DWR9uiNxbgHssAycCn5myXadT9c/edit?usp=sharing</t>
  </si>
  <si>
    <t>https://docs.google.com/document/d/18-A_G0vI99YNAP3ykNYhDZme3FXYy_kKvzq8y0LHouc/edit?usp=sharing</t>
  </si>
  <si>
    <t>https://docs.google.com/document/d/1YGcvdpQatn-gDZV8KJA1c18RMa40tStBooaVZtzyEvw/edit?usp=sharing</t>
  </si>
  <si>
    <t>https://docs.google.com/document/d/19qwYbJ-qlTmTAcmaQjjHz4g09tmbHjAxB7A6eOcQr5Q/edit?tab=t.0</t>
  </si>
  <si>
    <t>https://docs.google.com/document/d/1SgOtvA-4BHpGDYFviTmXkbXb0wUWa2w13SE4XtzpcmY/edit?usp=sharing</t>
  </si>
  <si>
    <t>https://docs.google.com/document/d/146L1BBlsC9oy5ZZp20n7TjjCNWI87SFwum5bN2B-SAY/edit?usp=sharing</t>
  </si>
  <si>
    <t>https://docs.google.com/document/d/1Q8yTdV3Z0-20UbCKVTfgZdzx25ignQSZm9TbUSyndbA/edit?usp=sharing</t>
  </si>
  <si>
    <t>https://docs.google.com/document/d/1ZhwSgJgzqImJ0EWcPZS70Lt1uD42VgkxhTHU4jmV8Ao/edit?usp=sharing</t>
  </si>
  <si>
    <t>https://docs.google.com/document/d/1Kt2RYgvyVZVo3QZwraYRiUAHD-WFCy1N9t4VFJI8JcM/edit?usp=drive_link</t>
  </si>
  <si>
    <t>https://docs.google.com/document/d/1-iBJCZNk1C7G43Q_HLszmm4YDgMRNq4qNHMy8d50YlE/edit?usp=sharing</t>
  </si>
  <si>
    <t>https://docs.google.com/document/d/1H98tCRXTCIRWPmWEgkTek3CnyFj9IW3jqzbRT6TmHa4/edit?usp=sharing</t>
  </si>
  <si>
    <t>https://docs.google.com/document/d/1ygLcVDLEWt1R0mWXS2NU2tooUfC89NEd_vznbQdrNcw/edit?usp=sharing</t>
  </si>
  <si>
    <t>https://docs.google.com/document/d/1EoGFeU46bQM8eztyZqzqAYKz65P2bjkxBvD6TvIDum8/edit?usp=sharing</t>
  </si>
  <si>
    <t>https://docs.google.com/document/d/1CkTNhi908lEtZBXOEJQELgrhpa4-rq7TQo3Mn7Im_ls/edit?usp=sharing</t>
  </si>
  <si>
    <t>https://docs.google.com/document/d/1FTYpE1A5qo36yv3_uHLtkUZxluElQKtI-4wo11BLQh0/edit?usp=sharing</t>
  </si>
  <si>
    <t>https://docs.google.com/document/d/13K9sgZxQeJ07LwagvzaMuhLVtH_5Y1TqBT3gySc4o1E/edit?usp=sharing</t>
  </si>
  <si>
    <t>https://docs.google.com/document/d/1x8sSGXGmPAvzstzo1mmyoyWIg0iJ4zV2tuU3UC2_Md4/edit?usp=sharing</t>
  </si>
  <si>
    <t>https://docs.google.com/document/d/1FyyRA7sFcnK2tPhgZcxzZRYiAg7NfDDtxjPkaR1aK9A/edit?usp=sharing</t>
  </si>
  <si>
    <t>https://docs.google.com/document/d/1DFQStu34jBD97K0GPiflaVdLIKljnw2mRXvQvlAb_uo/edit?usp=sharing</t>
  </si>
  <si>
    <t>https://docs.google.com/document/d/1YO7-PnXEJC5LlthM1Q-SeeEMmsPjHYWIikhaYKLKTyY/edit?usp=sharing</t>
  </si>
  <si>
    <t>https://docs.google.com/document/d/1thSFKSLGj5pF1r46g11zCSFmDet7aLiXqs6o9uf_1x8/edit?usp=sharing</t>
  </si>
  <si>
    <t>https://docs.google.com/document/d/1ZWjV7xVAjt8PR3HkBOAJogQ4D20YpHuLLRi71Hs24RI/edit?usp=sharing</t>
  </si>
  <si>
    <t>https://docs.google.com/document/d/1mPDPXaN-HW0laKc-j02w5CBqRvG9oe1sRlcgrs_Ovcg/edit?usp=sharing</t>
  </si>
  <si>
    <t>https://docs.google.com/document/d/1VCnZqK0oQ4sJc_lbvaxYJDQDw-um0sASwsMbtMJUyuQ/edit?usp=sharing</t>
  </si>
  <si>
    <t>https://docs.google.com/document/d/1TIvHMwO61_9xZqh1IgxEVgYwc38_5-DmOaNbZmAArXQ/edit?usp=sharing</t>
  </si>
  <si>
    <t>https://docs.google.com/document/d/1aFoJAzVWtGLuM-V7QLvo1_mJbwecy58W6hjKYSTEwtM/edit?usp=sharing</t>
  </si>
  <si>
    <t>https://docs.google.com/document/d/12c7cdiCrNByenQiusFZOg7h_JvSz9B3i9v4x2_xH-go/edit?usp=sharing</t>
  </si>
  <si>
    <t>https://docs.google.com/document/d/10fJzFCmoDr93uI_c8vTfgUhuiRFzM-nwRweAkPsuQJI/edit?usp=sharing</t>
  </si>
  <si>
    <t>https://docs.google.com/document/d/1G72lNhVhuCXBCpxwV_xDvUr3kACOhT8XMEHDo3qHkec/edit?usp=sharing</t>
  </si>
  <si>
    <t>https://docs.google.com/document/d/1m3HQKbXL0PDn-3apiNE9oSehErGn5FxkKLR5B_00wcI/edit?usp=sharing</t>
  </si>
  <si>
    <t>https://docs.google.com/document/d/1SOFnZosiPcT_e3YArL3HwRdQrALadHDNQWRiMe34QEM/edit?usp=sharing</t>
  </si>
  <si>
    <t>https://docs.google.com/document/d/1ewkZ4oHQok1wiJHjrUsPP8H7BGLNWh-RNdN46JV29V4/edit?usp=sharing</t>
  </si>
  <si>
    <t>https://docs.google.com/document/d/1hDrnUsQSg8RtTI1OTV5jlXqWc_FIR9Et1dIMzpligy4/edit?usp=sharing</t>
  </si>
  <si>
    <t>https://docs.google.com/document/d/1t9XvyAJgPGC0i7uth-XWBAjg5MWmCZ2wGVxBZFAqaI0/edit?usp=sharing</t>
  </si>
  <si>
    <t>https://docs.google.com/document/d/18v6hfRBzSDC5W9tAJg3Mw7JIr5Mjd4ZIfyiTR83I9ME/edit?usp=sharing</t>
  </si>
  <si>
    <t>https://docs.google.com/document/d/1mHnKrsa8dVuYykmrRAQxjigHl-TrJdksYGo2OCHVekM/edit?usp=sharing</t>
  </si>
  <si>
    <t>https://docs.google.com/document/d/1yjKiaTXWSPrY9poe8X6zi7jU48XPSQqatX9n0KvNMIE/edit?usp=sharing</t>
  </si>
  <si>
    <t>https://docs.google.com/document/d/1qOHQHWH9-zzbMOICiw54st2XTmkqlg-KvLSJIBCf7Wg/edit?usp=sharing</t>
  </si>
  <si>
    <t>https://docs.google.com/document/d/1q4ilWjnBLzDApBnklC3FV3vWY9jzPs_ocWyhfjP-IhA/edit?usp=sharing</t>
  </si>
  <si>
    <t>https://docs.google.com/document/d/1qi1LWpnH-HIdHCK0y-r3yO7diXCE7c-crdNiJSecd_g/edit?usp=sharing</t>
  </si>
  <si>
    <t>https://docs.google.com/document/d/1WiP9vVmr5SPufv-CpIRr4kg-2Hocm3QP-zqI6ALlYf4/edit?usp=sharing</t>
  </si>
  <si>
    <t>https://docs.google.com/document/d/1pCg4n05bObObScoRsSQyslVDeFofITxMGg50eWosbsQ/edit?usp=sharing</t>
  </si>
  <si>
    <t>https://docs.google.com/document/d/1g8CAyYrtMrQmPh0g_6Unk_3-foyYQ5kJ1PSM6FLzvok/edit?usp=sharing</t>
  </si>
  <si>
    <t>https://docs.google.com/document/d/1z1MxPN7IHSEJ-jqjyAP6p3fUxQm-5WMv4NUkp7Yokag/edit?usp=sharing</t>
  </si>
  <si>
    <t>https://docs.google.com/document/d/1dIhg236bMs0hTIB2WTNbw9jr2C26Dewjs1tVeQHGvhw/edit?usp=sharing</t>
  </si>
  <si>
    <t>https://docs.google.com/document/d/1dAWKKaW7mTOORXPD1RbNfacR_BjWfanjpqCjPrWO6WE/edit?usp=sharing</t>
  </si>
  <si>
    <t>https://docs.google.com/document/d/1p9o8VPte_tUY25mPxkMsJvil1doVlxGh_qqsm0VJy18/edit?usp=sharing</t>
  </si>
  <si>
    <t>https://docs.google.com/document/d/1_yt8p-xwt7xie16miViymnMqF3a2BtevKPNfgEvdIkM/edit?usp=sharing</t>
  </si>
  <si>
    <t>https://docs.google.com/document/d/1--ZklTWwErro08d_9aI1T5fDzmQ4V-C82tCcAs3wjCg/edit?usp=sharing</t>
  </si>
  <si>
    <t>https://docs.google.com/document/d/1v0nLD_wIICClihEdOyQXD0TF1TbSwuv6BIJPIdq1vNg/edit?usp=sharing</t>
  </si>
  <si>
    <t>https://docs.google.com/document/d/14g-o5PSDFR6p2IS3VUHdfCuKnoCMJmQCJyMh3JhanKU/edit?usp=sharing</t>
  </si>
  <si>
    <t>https://docs.google.com/document/d/1LfS7TGJz7QSRwXd5YMDfOagw1l9L40Z2rtVBLKNfHis/edit?usp=sharing</t>
  </si>
  <si>
    <t>https://docs.google.com/document/d/1WqrZb64x0lEORYJ88E7DkSZbZ8cIi_WnAOvaKcUHo0E/edit?usp=sharing</t>
  </si>
  <si>
    <t>https://docs.google.com/document/d/1mE45YIP902mHOGFPCfWIsy4lbPgSmILtg8QNf1T-U6E/edit?usp=sharing</t>
  </si>
  <si>
    <t>https://docs.google.com/document/d/1vm0gJk7YU_FVg9xQoU2CiyEMpASuKBcQJwFZXmeHKOQ/edit?usp=sharing</t>
  </si>
  <si>
    <t>https://docs.google.com/document/d/1TGCqmore8gqcU_hEfsEjQRtBJq5oY5TvWUHN7VdL3IE/edit?usp=sharing</t>
  </si>
  <si>
    <t>https://docs.google.com/document/d/1NVmCS_GVZAUNVfIODgQhOudMpV-0MSSFbqIeSFvBViQ/edit?usp=sharing</t>
  </si>
  <si>
    <t>https://docs.google.com/document/d/1Vh8f4aaJwdxLXQTldGqwi_TV9kHOZjFnpWCxchUl1ew/edit?usp=sharing</t>
  </si>
  <si>
    <t>https://docs.google.com/document/d/1E9Rbzy7Pv7SMbFa6zuyPO7ADyMOSSBfR2CcgPStQtfY/edit?usp=sharing</t>
  </si>
  <si>
    <t>https://docs.google.com/document/d/1ZGTVknmSMsciRK_O8_KBetgx2xH_T_esp9CYHrrmGgM/edit?usp=sharing</t>
  </si>
  <si>
    <t>https://docs.google.com/document/d/10zGS6JiOOiRsuajTlF1MXOVIchXSXxLWLixeDgc4hWg/edit?usp=sharing</t>
  </si>
  <si>
    <t>https://docs.google.com/document/d/1DiWC2JSzPpbDgXjop4J7i4mPWwMB5fwr8sE363hEImM/edit?usp=sharing</t>
  </si>
  <si>
    <t>https://docs.google.com/document/d/1wzl18Eym79EAvmfatt300XPJpSxtDmtC6pdfcXtDGSo/edit?usp=sharing</t>
  </si>
  <si>
    <t>https://docs.google.com/document/d/1xTS3Ho7fT5XzxbAqo8PzP7Y24ynFWvnYsYCBL2JVJ5c/edit?usp=sharing</t>
  </si>
  <si>
    <t>https://docs.google.com/document/d/1cLAuunG0pwUiQHr5p22NxDZ41j3v8tqPv8GVsNew4ys/edit?usp=sharing</t>
  </si>
  <si>
    <t>https://docs.google.com/document/d/1c2-bBy09xm-o5BrS8sd5cyhzzUUr6tvOCQQWZN5Myfk/edit?usp=sharing</t>
  </si>
  <si>
    <t>https://docs.google.com/document/d/1y0fBoWbd24hv5Ui5BpuvnUCYb971M8eyempF7XSVC-I/edit?usp=sharing</t>
  </si>
  <si>
    <t>https://docs.google.com/document/d/1lOnA00hZxlE9XyRcDlS8LXASRmgCNDgKEEwsW0R8Uu8/edit?usp=sharing</t>
  </si>
  <si>
    <t>https://docs.google.com/document/d/1YMaVu9hZWH0KlMw7TZ6Y39n6tmjldjZg8TT8jOa6gtA/edit?usp=drive_link</t>
  </si>
  <si>
    <t>https://docs.google.com/document/d/1l4MlLYD3haTt31IZTAvxF70WxG-g3cAJ1REbv4WFas0/edit?usp=sharing</t>
  </si>
  <si>
    <t>https://docs.google.com/document/d/18Z9jjR1Dsxopt5NnrML-MWjHNf_FlYbdHu8PYsyhB3M/edit?usp=sharing</t>
  </si>
  <si>
    <t>https://docs.google.com/document/d/1A5aOfegoPDkKGOhOad-Q2gK3mCI8WaUKOMpD_VR7-_k/edit?usp=sharing</t>
  </si>
  <si>
    <t>https://docs.google.com/document/d/1RKwZ269BnW3yAr4lnWCw3-wiFAJNLGfIwl8SdDAquxs/edit?usp=sharing</t>
  </si>
  <si>
    <t>https://docs.google.com/document/d/190MYp6upT7I1IDTjfYPWEBiSU4AZqdKDwG778K_7WhE/edit?usp=sharing</t>
  </si>
  <si>
    <t>https://docs.google.com/document/d/1GoKivDuW3GPl81OudlYpQKDSXfkWBwn1zsn-K6ZCSqE/edit?usp=sharing</t>
  </si>
  <si>
    <t>https://docs.google.com/document/d/1TpFBpbMhP55rcZ8od1XsCIRJF6Rw7_QvpZxXFi00AJE/edit?usp=sharing</t>
  </si>
  <si>
    <t>https://docs.google.com/document/d/18oKwzDh0u8kMSPq8z7nfPU6G006m2W6KRoIiSqyhFEs/edit?usp=sharing</t>
  </si>
  <si>
    <t>https://docs.google.com/document/d/123hCzs-SNJE7BowdjnnXl5LDX_wh5-mZ48HBN6apMnA/edit?usp=sharing</t>
  </si>
  <si>
    <t>https://docs.google.com/document/d/18DgsWa7grQNfRvJWGkNvWvErtOgOn4Xsva80-RVUpBY/edit?usp=sharing</t>
  </si>
  <si>
    <t>https://docs.google.com/document/d/1PkVCs5B_hf_WFR4yxoIKFo1oYgVxw_rELkZ8b4wN_us/edit?usp=sharing</t>
  </si>
  <si>
    <t>https://docs.google.com/document/d/18BlV0KQdQROTZIa8qSumC1JznAg8J8Bls4B4L47F2Wg/edit?usp=sharing</t>
  </si>
  <si>
    <t>https://docs.google.com/document/d/1_5JNPd6vzTgByhnsm1nTjN0NXxat8rfChaTYyogyE4I/edit?usp=sharing</t>
  </si>
  <si>
    <t>https://docs.google.com/document/d/181kA4SIHFitMZCT-Y6gaoKMY4qwk4R2r8ObyZiIkpl0/edit?usp=sharing</t>
  </si>
  <si>
    <t>https://docs.google.com/document/d/1B6kIm5TFc_8JZPBYFNRjreRoDROs4FEnEC2gOl16D3c/edit?usp=sharing</t>
  </si>
  <si>
    <t>https://docs.google.com/document/d/15kvejzoM-0O81Yjr61RX1b0CoSQt1RzEEXonvzUys_M/edit?usp=sharing</t>
  </si>
  <si>
    <t>https://docs.google.com/document/d/1_4b1lJMxcyIv-c0dpnn-ELDwfnbCIphx7bmS3R1_D7A/edit?usp=sharing</t>
  </si>
  <si>
    <t>https://docs.google.com/document/d/1EDRbbbI3tp2PuOKMnrvcrnQ1J09OVhxDSa6uTXcG3Tk/edit?usp=sharing</t>
  </si>
  <si>
    <t>https://docs.google.com/document/d/1aIkLGJu1AA0JiHKdMdk0w96ew42l5F3BZ-Je4L3giSo/edit?usp=sharing</t>
  </si>
  <si>
    <t>https://docs.google.com/document/d/1ZvCneexN8n9sDyLtBhhb2kKYhykns4CKpqFioLBhBm8/edit?usp=sharing</t>
  </si>
  <si>
    <t>https://docs.google.com/document/d/1rSrtJ89LFr6d07XtiCiUWa4xxKKhbdDTtoxmTAkOGS8/edit?usp=sharing</t>
  </si>
  <si>
    <t>https://docs.google.com/document/d/1EmLe_q0aepoq8fnWYx2TCb62dKITAxiWs4gjBCOkscg/edit?usp=sharing</t>
  </si>
  <si>
    <t>https://docs.google.com/document/d/1HFHtrfY5u8CVtV-XLuu_9Y4_6Wp2X6_93cqVtDdP8Xk/edit?usp=sharing</t>
  </si>
  <si>
    <t>https://docs.google.com/document/d/1F82rxGRRMDFtxItJ3Z02l5tFfYI4CgY_THueWU5AqSc/edit?usp=sharing</t>
  </si>
  <si>
    <t>https://docs.google.com/document/d/1a5f7BMmJJe87YiKwQ8ZvGgJm2uuwsjH7ZRqRQQsHA_w/edit?usp=sharing</t>
  </si>
  <si>
    <t>https://docs.google.com/document/d/1fZ4AdbrxVx9CeabldjqmmPbeTddB-QaHZx0nCEDjUGo/edit?usp=sharing</t>
  </si>
  <si>
    <t>https://docs.google.com/document/d/1vr-HvYfrxl-l0VxrtmyAzlVkdB_4o1X1IqhVYbLAzJk/edit?usp=sharing</t>
  </si>
  <si>
    <t>https://docs.google.com/document/d/12fEBaAyaX8jjRHXXWD-3rOVx4Vfhv6seFxHCwH-deBU/edit?usp=sharing</t>
  </si>
  <si>
    <t>https://docs.google.com/document/d/1qaoZ1zIy_OJUQKUnFKn5z6KMZj5-gbBW_d3Ge0EmYhA/edit?usp=sharing</t>
  </si>
  <si>
    <t>https://docs.google.com/document/d/1FggcyAsDBlA1eXrDyVZLWtj9B9hhenxmKrJygn1pYoI/edit?usp=sharing</t>
  </si>
  <si>
    <t>https://docs.google.com/document/d/1jf0yMcajFr-PXpQ6LJhIru6IcgxuoRhiWRXqWjzCY-s/edit?usp=sharing</t>
  </si>
  <si>
    <t>https://docs.google.com/document/d/1uzCadX3Vi0NGqwRK0g7h3l1MxTGHllIwRPLvU6FRmo0/edit?usp=sharing</t>
  </si>
  <si>
    <t>https://docs.google.com/document/d/1MbvhKnc3QDd8X22lBjWPBp5uLw29-VXmYJnPDGv2Wiw/edit?usp=sharing</t>
  </si>
  <si>
    <t>https://docs.google.com/document/d/1wrtca2U8OvB11p1Yzj6xCGxLnkaTiucZIdiZQdFvybE/edit?usp=sharing</t>
  </si>
  <si>
    <t>https://docs.google.com/document/d/1FfR_3jCwmU_iBkV5vVogwryiuYVEX9k7oHpPVWM-WCQ/edit?usp=sharing</t>
  </si>
  <si>
    <t>https://docs.google.com/document/d/1nc4LANJpWtpwHJmZnZDrtYi4ffaPz3E8lT8k1Qce1bw/edit?usp=sharing</t>
  </si>
  <si>
    <t>https://docs.google.com/document/d/1yRO46IbTNI9tBh49-2BK7dsaR3PzJl8U0dBNPnk9PN4/edit?usp=sharing</t>
  </si>
  <si>
    <t>https://docs.google.com/document/d/1V5zmeU3h24QTAQxBOaWmmZ1yVOgi7itSsQy-AjLdR78/edit?usp=sharing</t>
  </si>
  <si>
    <t>https://docs.google.com/document/d/1EsC07-hfD0BGqXktnzdc4nH7WWowOWb-FA9lkgeT5M0/edit?usp=sharing</t>
  </si>
  <si>
    <t>https://docs.google.com/document/d/1zsjH38oceh22nYoKpc50B-gyTPW6s9uhjrN2ChJZWkQ/edit?usp=sharing</t>
  </si>
  <si>
    <t>https://docs.google.com/document/d/1HeftTS5cFdn3Nk-NfhdRegZlR4kGGFt0gYfu6XdpxmY/edit?usp=sharing</t>
  </si>
  <si>
    <t>https://docs.google.com/document/d/1JVt3JqGRiNnI1hQu96C5_lU0bEqsn1EPxTS4HORhWug/edit?usp=sharing</t>
  </si>
  <si>
    <t>https://docs.google.com/document/d/15nt6uqlFHh0bFQ8cs6cVrq_6RQ2clLj5Qqh3BNv8dw4/edit?usp=sharing</t>
  </si>
  <si>
    <t>https://docs.google.com/document/d/1dAKd-agEUDiWtGL1beOs4xuWsze56pk-yH3KbJQMeyA/edit?usp=sharing</t>
  </si>
  <si>
    <t>https://docs.google.com/document/d/1Qvr2xab2RhT54KZA0dDlc79eZl6T0vwUBKO9nNa8xzo/edit?usp=sharing</t>
  </si>
  <si>
    <t>https://docs.google.com/document/d/1JSjjYCgDYL7bguFUKbCLO4TpTQDUjLCh4MsWDiKG3n0/edit?usp=sharing</t>
  </si>
  <si>
    <t>https://docs.google.com/document/d/1FIi__9lMje6TW_U9h4BBBxSY-Zam_nlbiGhenLoWtWw/edit?usp=sharing</t>
  </si>
  <si>
    <t>https://docs.google.com/document/d/1Gv67RmZOfZHHXmD-aHcDSbCZXy_M3y8l3oY_q4r6sjk/edit?usp=sharing</t>
  </si>
  <si>
    <t>https://docs.google.com/document/d/1GC7jPxnHpCyXoPaOojE-qAsvd3tjXPKnUQQzrwW8wZA/edit?usp=sharing</t>
  </si>
  <si>
    <t>https://docs.google.com/document/d/18zZLw8oYRzx9-561pF_zX6S0E8CZPP-gRttk6RkgMnI/edit?usp=sharing</t>
  </si>
  <si>
    <t>https://docs.google.com/document/d/1hCyTT9ReZp8xVFqgpFTZEPwYeEdFvuadAggDqzmXsBg/edit?usp=sharing</t>
  </si>
  <si>
    <t>https://docs.google.com/document/d/1xHyo0uTAxJm1DzTvoLjo8c2P-UNTrPibRHQgKKznGsc/edit?usp=sharing</t>
  </si>
  <si>
    <t>https://docs.google.com/document/d/1L1yF9INKBJvMhIPOHD3B_wD_3gZHvn5pOI2b2xW8Rgc/edit?usp=sharing</t>
  </si>
  <si>
    <t>https://docs.google.com/document/d/12r2hW7oKrfdT8ogXLlDZqWXahCr2B0SZLHZIwYPbjYs/edit?usp=sharing</t>
  </si>
  <si>
    <t>https://docs.google.com/document/d/1PKEKgFTU4O2cKNfbuHpdXCVFgKqzzdFy2Dxkv9ePUbU/edit?usp=sharing</t>
  </si>
  <si>
    <t>https://docs.google.com/document/d/1fjfnTl7ySN7Uy_CAZj_n_7CAYI5kHanO-4JAWN41rsA/edit?usp=sharing</t>
  </si>
  <si>
    <t>https://docs.google.com/document/d/17J6uOnkgGL4jMVfmNY9jNRdfRHBEojrt2PTW6n6u68k/edit?usp=sharing</t>
  </si>
  <si>
    <t>https://docs.google.com/document/d/1lD09EQSVL2vr2TORFD7GiuE-P70uHMJcKnjelNdjCys/edit?usp=sharing</t>
  </si>
  <si>
    <t>https://docs.google.com/document/d/1KIW5bosYFfIo4rD7wKKVYV7xsnU0GXPj-5tt11qiwAI/edit?usp=sharing</t>
  </si>
  <si>
    <t>https://docs.google.com/document/d/1lR9veHN7mVTPIhQTDml0Zrh-Gn3ofwygrn-8dnIYCcs/edit?usp=sharing</t>
  </si>
  <si>
    <t>https://docs.google.com/document/d/12SZhIrLnmkifD-n12kISUOICIBXocfB_06Sgcjwsmj0/edit?usp=sharing</t>
  </si>
  <si>
    <t>https://docs.google.com/document/d/1M3cIiCutA0HFu11F38d-rnEOkwsNLcA61bAuWJOVXZA/edit?usp=sharing</t>
  </si>
  <si>
    <t>https://docs.google.com/document/d/1oxxbocZHnjjck33nCgD_IsHFwYb8Llw_ejByZBI5HnI/edit?usp=sharing</t>
  </si>
  <si>
    <t>https://docs.google.com/document/d/1_W277iAs_L4_UBlmxeojER_kRMsxWTa2wZCtDVuF2WA/edit?usp=sharing</t>
  </si>
  <si>
    <t>https://docs.google.com/document/d/1Pd_VqUKuiHyizdFWdsZhqfLc2sTqRtKBGMpEfAqsgq4/edit?usp=sharing</t>
  </si>
  <si>
    <t>https://docs.google.com/document/d/1UEoe9D14re1I47O6g4i66UnKivc0k3JTBAb1XLIWY4E/edit?usp=sharing</t>
  </si>
  <si>
    <t>https://docs.google.com/document/d/1FlxCb-cUe09OzJE6qb1gAdBx2ISiklY2rFWgcSGAcCc/edit?usp=sharing</t>
  </si>
  <si>
    <t>https://docs.google.com/document/d/1nmXsYUsC5ZSX9bBL4-CZ8h6042Q3G2ijSIs_eM_C8Hk/edit?usp=sharing</t>
  </si>
  <si>
    <t>https://docs.google.com/document/d/1HhJY16y2jfBeAp_R7ScMRxpO1NcuX63nw7E1aJxvNyI/edit?usp=sharing</t>
  </si>
  <si>
    <t>https://docs.google.com/document/d/1Ip7Jv4HkscdFnHtk1oaGqVbO45WeTFiakh2X6W-LN9c/edit?usp=sharing</t>
  </si>
  <si>
    <t>https://docs.google.com/document/d/1Md3e8TxwWwSgQi1nfLBH_C7PEddtbpHtoMw39wsin_E/edit?usp=sharing</t>
  </si>
  <si>
    <t>https://docs.google.com/document/d/1uKccz9Ay4SUxa-bukZ3wL2_NceMdvPapybalNsNd2nk/edit?usp=sharing</t>
  </si>
  <si>
    <t>https://docs.google.com/document/d/1WL2pPwuHfAOYGVz962eYvyRGAyOWY6TgbSa2Fs29soo/edit?usp=sharing</t>
  </si>
  <si>
    <t>https://docs.google.com/document/d/1lkMD5f-P1ncnOJoHwNh5wPFKZUZ_uXniIG1mJiAjPLs/edit?usp=sharing</t>
  </si>
  <si>
    <t>https://docs.google.com/document/d/1EBPBL6HVXLhp-brFtSw32bKXhH2ZL6WpM8NQopkQaI8/edit?usp=sharing</t>
  </si>
  <si>
    <t>https://docs.google.com/document/d/1ivzN9wPI6U3YUXymfoavJ-rkVcSXE-hcdgyOOMlZ1oE/edit?usp=sharing</t>
  </si>
  <si>
    <t>https://docs.google.com/document/d/1oz_KcB78Xad-WRohRrLvzTE85JMSWAJ0Q8e6XPhwknQ/edit?usp=sharing</t>
  </si>
  <si>
    <t>https://docs.google.com/document/d/1VNgBLMj1HzVlGNJ_3g3HR5CAnEtmrpUJGI4EGP6qmkE/edit?usp=sharing</t>
  </si>
  <si>
    <t>https://docs.google.com/document/d/1pU-zqEa8vQv9OPVS43RbO8-95U6G6DT72ERFAkvKu0E/edit?usp=sharing</t>
  </si>
  <si>
    <t>https://docs.google.com/document/d/1jdpLbb0JOBGj96gHmWzaklsAEKPuHuzk6NEvUcUPIZU/edit?usp=sharing</t>
  </si>
  <si>
    <t>https://docs.google.com/document/d/1nFvi4CiAll83hY1upbjGzvFlNQiVWHS8Lw8oAKyjAF4/edit?usp=sharing</t>
  </si>
  <si>
    <t>https://docs.google.com/document/d/1n6RbfYCAyQZyW-w9-XyhohQrWz419XtWL3BpTV8SRi8/edit?usp=sharing</t>
  </si>
  <si>
    <t>https://docs.google.com/document/d/1d8mMqlyuSeHfCEJYdW1kHbqhfnChvLqO6I3o5fCT5tA/edit?usp=sharing</t>
  </si>
  <si>
    <t>https://docs.google.com/document/d/1QP1G2u6YFctnJ_fjuraRltBTjv5Y-DCjgiP6LrA4enk/edit?usp=sharing</t>
  </si>
  <si>
    <t>https://docs.google.com/document/d/1vZiEx608qiyRcoblo6iIAVNgDvECkiFLoQ9OWr-b2XA/edit?usp=sharing</t>
  </si>
  <si>
    <t>https://docs.google.com/document/d/1a3ZR3MGt1C_xiC1SDYKmGYOh9CFzt0yS8Eqvvf49ukE/edit?usp=sharing</t>
  </si>
  <si>
    <t>https://docs.google.com/document/d/1Lgi0EhqCbEZPSfwiSLR6YAJmcYWugdL41yodac_3saE/edit?usp=sharing</t>
  </si>
  <si>
    <t>https://docs.google.com/document/d/1A-OmvFjgAsIOf9SPg-jAINwgNSkvxNTG3MMhYdOgLVY/edit?usp=sharing</t>
  </si>
  <si>
    <t>https://docs.google.com/document/d/174jDdJ0lWcuHp0ukTQj1kBUnCYqOKVPDClGTxtABCtA/edit?usp=sharing</t>
  </si>
  <si>
    <t>https://docs.google.com/document/d/11Sj3BRcVdJz9auw5FBhq5eZvhe0LYLHuODc49cpHvmY/edit?usp=sharing</t>
  </si>
  <si>
    <t>https://docs.google.com/document/d/11gn4fdmAcXMhNelSY2xQsT1mgr98Afrf4M-r7uxwd5U/edit?usp=sharing</t>
  </si>
  <si>
    <t>https://docs.google.com/document/d/1S5XiqPaxxhJZmJrNtn_Veyrg9IF0YIA2ygP3HSUSZyw/edit?usp=sharing</t>
  </si>
  <si>
    <t>https://docs.google.com/document/d/1xKnTxiL97xaq0GhSZySQ8EEM-8trLYyL7qc9n0U1bIc/edit?usp=sharing</t>
  </si>
  <si>
    <t>https://docs.google.com/document/d/1I0TtV0xkLxRmPvHsDTGlf8k0VJVbOHKI-DAFtNOIga8/edit?usp=sharing</t>
  </si>
  <si>
    <t>https://docs.google.com/document/d/1rZUz9PWjbN9auyHr-TjseIfXksRSh-pSU2hIZONm1Zs/edit?usp=sharing</t>
  </si>
  <si>
    <t>https://docs.google.com/document/d/1UqRlLb3SdTdFumZ77J2OGplP_68bXs4BwKLe04nYkxQ/edit?usp=sharing</t>
  </si>
  <si>
    <t>https://docs.google.com/document/d/1xP8r6QTuisfcmD-EWI282lOSfHiBdIrcUYZiGtdztiI/edit?usp=sharing</t>
  </si>
  <si>
    <t>https://docs.google.com/document/d/1Vw-r4hQv4Ws7BBrIxP_zWfMQWEAh6xyLuE41fY9Gtis/edit?usp=sharing</t>
  </si>
  <si>
    <t>https://docs.google.com/document/d/1IlcQT90OmYTDL96w_slmfpnZFzUD5ADYwW3ayKuCe3w/edit?usp=sharing</t>
  </si>
  <si>
    <t>https://docs.google.com/document/d/1wZUeJrmnbv6L8tyK569AvrQ4MsSYcGiBTHjNKgoylW4/edit?usp=sharing</t>
  </si>
  <si>
    <t>https://docs.google.com/document/d/1OHUDBBkVnZEytWYNdkIVkJHOnIshyoVn2ZvKxoSo5ik/edit?usp=sharing</t>
  </si>
  <si>
    <t>https://docs.google.com/document/d/1S_YeyEzOel5-d_b-KeigLkE3ViAHIa3OqMdWMiWGHls/edit?usp=sharing</t>
  </si>
  <si>
    <t>https://docs.google.com/document/d/1wK5MVD6EdME1EUeCda3q5pzzAw4OlLsa7qM9xWmGfcE/edit?usp=sharing</t>
  </si>
  <si>
    <t>https://docs.google.com/document/d/1BJCFJTwaqCg8j-MqEC6UPMsDTLSZiSxE66X4vj1a7j8/edit?usp=sharing</t>
  </si>
  <si>
    <t>https://docs.google.com/document/d/1qc_jexKeZjgciZj7XrCmbqRRuBOWB_hZRT6i2nsDv8U/edit?usp=sharing</t>
  </si>
  <si>
    <t>https://docs.google.com/document/d/1m4YyDxMeVFQJRqAV69jE1pqD7ECxhcBgCs_UoIpV6sk/edit?usp=sharing</t>
  </si>
  <si>
    <t>https://docs.google.com/document/d/1ZSh1YV5KWi8eBiQW8wVsPLulfqPwRgj_CdolGrJ8vwI/edit?usp=sharing</t>
  </si>
  <si>
    <t>https://docs.google.com/document/d/1b6oiWFS_Nfw5ccXYVIrt5qKGehnpExga0iS3MQV8o68/edit?usp=sharing</t>
  </si>
  <si>
    <t>https://docs.google.com/document/d/1BeRbLe9cUmntxqfLtXGfve4-kobDaloVZ9VKbMi_OfM/edit?usp=sharing</t>
  </si>
  <si>
    <t>https://docs.google.com/document/d/12yPrUGorOfIlI0e58898y8mZ3tlG9Ct8-Zt7AeWb2y8/edit?usp=sharing</t>
  </si>
  <si>
    <t>https://docs.google.com/document/d/116rKCGmBV2tukCe8E72FCxIHYHMT_Rt3SttglPOTtGk/edit?usp=sharing</t>
  </si>
  <si>
    <t>https://docs.google.com/document/d/1UhGl5TJqwAid1A0xq9wrgPrDgbE-saZ2Qacfe6qwgfk/edit?usp=sharing</t>
  </si>
  <si>
    <t>https://docs.google.com/document/d/1_2slMqHtN8Hn8zMVFzYmtQFFaP51OBI2kZnk0b-kjCs/edit?usp=sharing</t>
  </si>
  <si>
    <t>https://docs.google.com/document/d/1SRE-jip9bUKB4MAh0EggoewWPORqJBjMqKi_fkpnZv0/edit?usp=sharing</t>
  </si>
  <si>
    <t>https://docs.google.com/document/d/1CkgZCW4dH0CsmjJQbIyDyij9VOXkekq8GYEQ0dRoVHQ/edit?usp=sharing</t>
  </si>
  <si>
    <t>https://docs.google.com/document/d/1ky6sJ1PazBic-NMO2R9QVEf2xkcIxlRV9yj9ZNSLC9Y/edit?usp=sharing</t>
  </si>
  <si>
    <t>https://docs.google.com/document/d/1Jhl4cSaQnFOVOCiVDBnXSFehBLsGtufCVFtbNqEoQes/edit?usp=sharing</t>
  </si>
  <si>
    <t>https://docs.google.com/document/d/12bAavfZHL7vHQWPYOEJeUTGePmgHR-ROJ0E29e_aHtQ/edit?usp=sharing</t>
  </si>
  <si>
    <t>https://docs.google.com/document/d/1_nXQcKJynzkXVi_Iq--Gwhr3-4eBGJ9VUCXDBpcAlYM/edit?usp=sharing</t>
  </si>
  <si>
    <t>https://docs.google.com/document/d/1eVCdmy2dAWQqAfXXCWPriPRvX-KKbWMvaIX77byb8xQ/edit?usp=sharing</t>
  </si>
  <si>
    <t>https://docs.google.com/document/d/1_W7PZk32s2YC6TftJtubtkG8HUX1aDLHoPfac1ddqw8/edit?usp=sharing</t>
  </si>
  <si>
    <t>https://docs.google.com/document/d/1Bk1r-AmVLSH6gxF65823l-Xakaeta3G8oI2IAcK9xtM/edit?usp=sharing</t>
  </si>
  <si>
    <t>https://docs.google.com/document/d/1NYhoMuIrN_mNLxDfpqqEYuNh0P3VuxngdVTZjSQ6evo/edit?usp=sharing</t>
  </si>
  <si>
    <t>https://docs.google.com/document/d/1OGusgWjw4eYr-CWLMOGmC_uVUkg7mzidCUtdQvZd5HY/edit?usp=sharing</t>
  </si>
  <si>
    <t>https://docs.google.com/document/d/1to4AfiDCX5dYNQ7QJjiD-UG4hBEhVQscAUka0bUWuSM/edit?usp=sharing</t>
  </si>
  <si>
    <t>https://docs.google.com/document/d/1gvKvN7NbFvQMCiZKIZvehhyUKSBxPp_4Df1JKMJyJ4k/edit?usp=sharing</t>
  </si>
  <si>
    <t>https://docs.google.com/document/d/1Ici9w1MWQGIvSqtC3kLkrFIu6rbztHIDE6uL27Xd2Rw/edit?usp=sharing</t>
  </si>
  <si>
    <t>https://docs.google.com/document/d/1gpEemVpC1pLx7PR6_eanBCwAqJmJTBqVgLYdv5gKJjc/edit?usp=sharing</t>
  </si>
  <si>
    <t>https://docs.google.com/document/d/11U63nr5zn9Befpsz_v0yAa-LqqHRKP23FEipT-EUj0M/edit?usp=sharing</t>
  </si>
  <si>
    <t>https://docs.google.com/document/d/1eYrEBT5THmwXRVMDBETOHOXdqsZfQrDAZEPLBwZstM4/edit?usp=sharing</t>
  </si>
  <si>
    <t>https://docs.google.com/document/d/1s_5s4RJSGs5KTW1fKx_fBZRVxvpwbnGZl8JPbG3KhPw/edit?usp=sharing</t>
  </si>
  <si>
    <t>https://docs.google.com/document/d/1_f6Y0tDu2zi64HfzYI79CRhzm98QNzerkhzASssW4s0/edit?usp=sharing</t>
  </si>
  <si>
    <t>https://docs.google.com/document/d/1ayZ5wUei1_R5vB5sM57lmHJs4sxv33JH9k8YLxwEYmM/edit?usp=sharing</t>
  </si>
  <si>
    <t>https://docs.google.com/document/d/1g0Cr4X8m-NFFN2pQ2r0_N8YBUE4Vuq9wljSuTtEapHQ/edit?usp=sharing</t>
  </si>
  <si>
    <t>https://docs.google.com/document/d/1gENVbTPmHx_C93P9MFya6gO8B5BLZdZj-mF6AMBUqEc/edit?usp=sharing</t>
  </si>
  <si>
    <t>https://docs.google.com/document/d/1_PH_YpSgQUMwAW_Wy5gLaXfTsmJzh8pS6vw2F76nFk0/edit?usp=sharing</t>
  </si>
  <si>
    <t>https://docs.google.com/document/d/1YSXgVco-5hgeZg3ltjFhPqaPjHpFUvKfsCQNJFDpEYw/edit?usp=sharing</t>
  </si>
  <si>
    <t>https://docs.google.com/document/d/1gFHfal8i0wYMZKmTeMT1g9zE4dX1kaimGC4lmOva6dw/edit?usp=sharing</t>
  </si>
  <si>
    <t>https://docs.google.com/document/d/1E-c9FkDl86IYx1RAWd7gsQtq-P80mgCik7yht3Ki1Gk/edit?usp=sharing</t>
  </si>
  <si>
    <t>https://docs.google.com/document/d/1PfDbkS_mnWtmrFppMExklqwa-TKZHPbu8A6F680Tbb4/edit?usp=sharing</t>
  </si>
  <si>
    <t>https://docs.google.com/document/d/1ClA0o8gWKB58bQ1xFLcsr-UV9oi0c_dIgbFDjAKLzag/edit?usp=sharing</t>
  </si>
  <si>
    <t>https://docs.google.com/document/d/1O0f9PI8fCAmGX_zKUzQ6BGvx0pg2mSilH1qJK7JslvA/edit?usp=sharing</t>
  </si>
  <si>
    <t>https://docs.google.com/document/d/1CSlYy51yExuUp199VLijfO5IwxINTak1xKJcBTpnzyw/edit?usp=sharing</t>
  </si>
  <si>
    <t>https://docs.google.com/document/d/1kz8rSURmAT4xNAgNtsOQ1UaILavxNn6cKQ1_Vl20pIk/edit?usp=sharing</t>
  </si>
  <si>
    <t>https://docs.google.com/document/d/1P7R44LBYYztJBDfhMQlzBz2NjjmLUTn9BbHvHA6L-O0/edit?usp=sharing</t>
  </si>
  <si>
    <t>https://docs.google.com/document/d/1Z9_G1k9D2zGZcGKli3PhBtOHqs87KDUVysvAj115h5I/edit?usp=sharing</t>
  </si>
  <si>
    <t>https://docs.google.com/document/d/1an-UR52J-Y7GP8L8U4h_MnXBDew9gS0oA7hhn_ogmOI/edit?usp=sharing</t>
  </si>
  <si>
    <t>https://docs.google.com/document/d/1HXMm-oneHuq4qH_IVqh404RmI9rEa_EjBmqu0H5D5Ns/edit?usp=sharing</t>
  </si>
  <si>
    <t>https://docs.google.com/document/d/1rCLbyRGy_yDZoEmlLHh2_EwrPJyPifXRagzpwfT82oI/edit?usp=sharing</t>
  </si>
  <si>
    <t>https://docs.google.com/document/d/1at4SG8at2quzOLf2tBm4JMh0flPDk-n-lLqsHglQ01M/edit?usp=sharing</t>
  </si>
  <si>
    <t>https://docs.google.com/document/d/1dLdsQHL6O5aJcBgIJlbMuBUkYc1gynM9f7VUPHJtYo4/edit?usp=sharing</t>
  </si>
  <si>
    <t>https://docs.google.com/document/d/1ZRJrGYeg0TTX1TFJCaBev_l-yI8XfZXa3QUM2q2sjbs/edit?usp=sharing</t>
  </si>
  <si>
    <t>https://docs.google.com/document/d/1ANdorze6rXZD8hlgtG8EPJbjlfpAW4rSpNRqKxmPHSY/edit?usp=sharing</t>
  </si>
  <si>
    <t>https://docs.google.com/document/d/1pv8hmckGsJPrw4xeGWPwQzTCtAjTQAa6xn8EiDCynZE/edit?usp=sharing</t>
  </si>
  <si>
    <t>https://docs.google.com/document/d/1IF6cmBso1iovteWcjKBK_4Zzpd1gu1EWXTogRLdLpvk/edit?usp=sharing</t>
  </si>
  <si>
    <t>https://docs.google.com/document/d/11L33TBVjJHvuX0BQ3hGZcqWFtkK9jiLSw5lGObDOLqc/edit?usp=sharing</t>
  </si>
  <si>
    <t>https://docs.google.com/document/d/1MQLKQ48Fm09cGUqtvU9lZcyFkt88y16aGRVvHQKnLAw/edit?usp=sharing</t>
  </si>
  <si>
    <t>https://docs.google.com/document/d/1kSWRr9LzQ4ppxI1t7ndT6M7iG0TpRgAjvty1hXPKHDw/edit?usp=sharing</t>
  </si>
  <si>
    <t>https://docs.google.com/document/d/1j-huwX92wofIyEPDHR_1d4M8tGMgLyabLn8lszkenm0/edit?usp=sharing</t>
  </si>
  <si>
    <t>https://docs.google.com/document/d/1LXvNWz63ODQ-pQQkhhzCt_T-rSTvE2d1dILQhQAMVE8/edit?usp=sharing</t>
  </si>
  <si>
    <t>https://docs.google.com/document/d/1FgWgC00hEJQYtfchcHUr6uU299ncBmLcMgBoyrwOT98/edit?usp=sharing</t>
  </si>
  <si>
    <t>https://docs.google.com/document/d/183d8CGoSW2pfO7hvirxdnR12LBnM_rH1FMf3lQrAWhM/edit?usp=sharing</t>
  </si>
  <si>
    <t>https://docs.google.com/document/d/1Fn7HirmKOTsBbC8fV-EYW-hnBbLEQfFKm4q1MoeZfiU/edit?usp=sharing</t>
  </si>
  <si>
    <t>https://docs.google.com/document/d/149SregUOkxpFD8sfYL_dnO9cWoHmZy35vdXvGkSA0GI/edit?usp=sharing</t>
  </si>
  <si>
    <t>https://docs.google.com/document/d/11QRWd-9JVHEe4_j5yO4floNIZBpL9yAqIAB9qgn80bk/edit?usp=sharing</t>
  </si>
  <si>
    <t>https://docs.google.com/document/d/16HnB7zdMP6h9pBYWY1ci478MXiVzgC2EyUiQVGZkLPE/edit?usp=sharing</t>
  </si>
  <si>
    <t>https://docs.google.com/document/d/1PzmQC2VbnZ0ZktxVvBH8gbS_MkLS9MvPu08TIIgre-o/edit?usp=sharing</t>
  </si>
  <si>
    <t>https://docs.google.com/document/d/1kvTTQKG6RmOJ5t7pqD9iCpRRBhQiGY5Tn20rA7wj99E/edit?usp=sharing</t>
  </si>
  <si>
    <t>https://docs.google.com/document/d/1k9wgVt1sILiwo12ojeg6Xj1MqWZyaZGl5kCxLNCrGBs/edit?usp=sharing</t>
  </si>
  <si>
    <t>https://docs.google.com/document/d/1xk_AopEfzQjaUcJnAofFyui6hvwyEiJ1DoujNp6_l1M/edit?usp=sharing</t>
  </si>
  <si>
    <t>https://docs.google.com/document/d/1BTguNU6-rXT5xDQsXd8yI8mj4Z1e4Nx3cJUztQLQMh0/edit?usp=sharing</t>
  </si>
  <si>
    <t>https://docs.google.com/document/d/1PuahOpcE55w-KE8LajyKtknjKLuzRsYKYpDxXzl1Ato/edit?usp=sharing</t>
  </si>
  <si>
    <t>https://docs.google.com/document/d/1qNdMnPKDbYpjI5uZX7d2GyLmW-E7-ndK6ZY76MbWzDA/edit?usp=sharing</t>
  </si>
  <si>
    <t>https://docs.google.com/document/d/1wvdfAiWNY0qw9EHLplT3vuDyOUHiieupCz124Gm6MIc/edit?usp=sharing</t>
  </si>
  <si>
    <t>https://docs.google.com/document/d/11rGbnOoj6P9qZx1ke-sqsLwtTP9VWxOIIL2zcAIeC4E/edit?usp=sharing</t>
  </si>
  <si>
    <t>https://docs.google.com/document/d/1SY14S8Kn_v4DB5Klgu_BJCFHXpg8Rxg3n8Rd5H5FAd0/edit?usp=sharing</t>
  </si>
  <si>
    <t>https://docs.google.com/document/d/1jmgB7SDtqPj3lVu4n78UeHdUwuAJKhvo2DqG5PbCE0Y/edit?usp=sharing</t>
  </si>
  <si>
    <t>https://docs.google.com/document/d/15xT6WXmyV1Jcs0u-S45itNBIE8FytYz7I2W_1IqAHhk/edit?usp=sharing</t>
  </si>
  <si>
    <t>https://docs.google.com/document/d/1VAvK57WpLHvjnY5fIHlW_W8wIc0zQdSPqN3Zp-SVzhs/edit?usp=sharing</t>
  </si>
  <si>
    <t>https://docs.google.com/document/d/1yaNaTbOCBulQccuDEE18APE6Zx6I1u-5RIRN2deW_m8/edit?usp=sharing</t>
  </si>
  <si>
    <t>https://docs.google.com/document/d/1kB_f3kHSHonTAW7HQq_FtsJjRp7oSZyVAfOzIU-wUaQ/edit?usp=sharing</t>
  </si>
  <si>
    <t>https://docs.google.com/document/d/1_GcnmHat3uSzA4TiwHy4tsKrPdtI3b8bpzuJijQAKZs/edit?usp=sharing</t>
  </si>
  <si>
    <t>https://docs.google.com/document/d/1JYR5t0KGUOKTxhhnj7dGtn3Odxg7n27_jqKWRNSAJAc/edit?usp=sharing</t>
  </si>
  <si>
    <t>https://docs.google.com/document/d/1K2dTm_kxQwHVgk6fYB3juxxhQBAC5fySt6C_0N6qHzM/edit?usp=sharing</t>
  </si>
  <si>
    <t>https://docs.google.com/document/d/1KONIY3jDAAFMp4qtIkxQg1XpFXs2PkMUp_NUY2CukUM/edit?usp=sharing</t>
  </si>
  <si>
    <t>https://docs.google.com/document/d/1sllx2GFuWqZhQDbXndmYKgF-w0rmaPj5_vC1pNTffHI/edit?usp=sharing</t>
  </si>
  <si>
    <t>https://docs.google.com/document/d/1aXMh9c6-SXLKV9TFv3r_T9Dgm2h15QCBYf-tL0uAmc4/edit?usp=sharing</t>
  </si>
  <si>
    <t>https://docs.google.com/document/d/1BTlTn1RkEMWBbWyjtGR6Dtgdhm6cbXPU5aUeruc1MNo/edit?usp=sharing</t>
  </si>
  <si>
    <t>https://docs.google.com/document/d/1mSt9SNliaxhWgZsVTZ55LdMi-2eT74QcInBHorbOXKE/edit?usp=sharing</t>
  </si>
  <si>
    <t>https://docs.google.com/document/d/1GPdFGo6QQeWYZ_PA276-SrWI6cbJ0yVP0haLHDYoJfo/edit?usp=sharing</t>
  </si>
  <si>
    <t>https://docs.google.com/document/d/1mghWwIx0qWq2FILmkrU3j1c8RzhxJMzPSFYhIjZwTeo/edit?usp=sharing</t>
  </si>
  <si>
    <t>https://docs.google.com/document/d/11CBIHYB5Xy3G74aNeGnB2t6qiW4kYrNVuyIB_1eSyBE/edit?usp=sharing</t>
  </si>
  <si>
    <t>https://docs.google.com/document/d/1fvQtljyR7GwsQzbC6B7-yy-rL0-Q3VbDMx-INWn2_HQ/edit?usp=sharing</t>
  </si>
  <si>
    <t>https://docs.google.com/document/d/1DcJU_84XIGRBZ5Xwc3u0RuZBWSaZl-HA29i5a5qGoXE/edit?usp=sharing</t>
  </si>
  <si>
    <t>https://docs.google.com/document/d/1xhf05SE6yGYlXr3fehpCXq55IJMRaV6hI3ii0gkDMAs/edit?usp=sharing</t>
  </si>
  <si>
    <t>https://docs.google.com/document/d/1GTh5rArc8yylIZWG0JSqCkxjTCtccdUR_ourye9IQE4/edit?usp=sharing</t>
  </si>
  <si>
    <t>https://docs.google.com/document/d/1PxXjHn3AqF5eCVrz3l6iFhsjocQi_NYbExgdvXK3WTw/edit?usp=sharing</t>
  </si>
  <si>
    <t>https://docs.google.com/document/d/1jmB27IcM2PzLBNiaOd7W9IhTEa7L54jtTFPAQ7QCDNg/edit?usp=sharing</t>
  </si>
  <si>
    <t>https://docs.google.com/document/d/1_5o4G5DMbV0ldBxnL1jAQKMCxpUUb6P5H0sDfs_xLEs/edit?usp=sharing</t>
  </si>
  <si>
    <t>https://docs.google.com/document/d/1XOwHb1Vs9iGySFHwQUXMWDLpjYpzMOHsdxhDxPP9woQ/edit?usp=sharing</t>
  </si>
  <si>
    <t>https://docs.google.com/document/d/14KMh-PjG0S5AxoOz10Dl_OtRE8yjNl9d7FO689wBiXY/edit?usp=sharing</t>
  </si>
  <si>
    <t>https://docs.google.com/document/d/1BotGlrLgpPWTUQr0yK76f9GZ6f7nQE0sJ_y8xJPWlck/edit?usp=sharing</t>
  </si>
  <si>
    <t>https://docs.google.com/document/d/1bLOXlbT7FsALI6xxMftXPT9n2LcF9VwyY57NpaND7-U/edit?usp=sharing</t>
  </si>
  <si>
    <t>https://docs.google.com/document/d/1nwo511vdfuFFxaWtUbwBcB-iSQR7ZG-E5lsA7tqS_tk/edit?usp=sharing</t>
  </si>
  <si>
    <t>https://docs.google.com/document/d/1LTCLlbqEHstAlzYawcMIxRzV18W1xLzoUrLNSqkb_2Y/edit?usp=sharing</t>
  </si>
  <si>
    <t>https://docs.google.com/document/d/1-x2DcHy6k9j1E9tDf2eXSBbQCyyB0RBMXxpyacEpSCY/edit?usp=sharing</t>
  </si>
  <si>
    <t>https://docs.google.com/document/d/1ze96J-OSo2zwadGZBPbgPhOAWItXEAHMUcX8Yo6jFJI/edit?usp=sharing</t>
  </si>
  <si>
    <t>https://docs.google.com/document/d/1WzLkak4ekTbab1YKbnTVRTd2AKJFMEuUsXKFBNcNkSw/edit?usp=sharing</t>
  </si>
  <si>
    <t>https://docs.google.com/document/d/1nlMRVkwqjMXHziO3D39C2fg0o4_iQ2V-ILSwKjyygDw/edit?usp=sharing</t>
  </si>
  <si>
    <t>https://docs.google.com/document/d/1i6irD7XXkcvyNeEOYH96dw5xKgJYqvz4Y0R1JTtN4Qs/edit?usp=sharing</t>
  </si>
  <si>
    <t>https://docs.google.com/document/d/13OXn10lLdwYkuejQ_5SyBrWq9BRjSiCIOREz0EYru-w/edit?usp=sharing</t>
  </si>
  <si>
    <t>https://docs.google.com/document/d/14O_eINdeuDGJn7rc1nDuuGGzPcBR29OLx3jkofWJu9w/edit?usp=sharing</t>
  </si>
  <si>
    <t>https://docs.google.com/document/d/1ujKf0_QpJOkRodA-gekN6NsA1YydIuYhM9KyjTq2XtE/edit?usp=sharing</t>
  </si>
  <si>
    <t>https://docs.google.com/document/d/18n9Jy3kdwBJVBDEuH8HQpURHfu3K1mhedg22qCxuPTo/edit?usp=sharing</t>
  </si>
  <si>
    <t>https://docs.google.com/document/d/1vzlb80fR4fVwct6NZmu_Ay0kGXdAGW1MuWfPermvFoo/edit?usp=sharing</t>
  </si>
  <si>
    <t>https://docs.google.com/document/d/1dvD21cfKQPKTtVebDbR6CBaeA0i2QwCgCu3xzhQZdIY/edit?usp=sharing</t>
  </si>
  <si>
    <t>https://docs.google.com/document/d/18Zuus2X3RDAIx4QEWtSSLj7uRs25KiUYi2hR-EyPHXo/edit?usp=sharing</t>
  </si>
  <si>
    <t>https://docs.google.com/document/d/1E-4Ii2zK-C1Yl5JziRx3A3vyA7d8QPxZzrvQiYu21RM/edit?usp=sharing</t>
  </si>
  <si>
    <t>https://docs.google.com/document/d/1i_xX_55auNMgKrk4LnTQOw9VObMP1RTeQPPNwa6LXOk/edit?usp=sharing</t>
  </si>
  <si>
    <t>https://docs.google.com/document/d/1wogF5QjodAKRcKkkZxaFqrZPZdPskRY3QwVmY7S-tJ0/edit?usp=sharing</t>
  </si>
  <si>
    <t>https://docs.google.com/document/d/1PFdL5oc-HTmHfinA4pP_jSxCdzCUOAjFiHJUXz3J-lE/edit?usp=sharing</t>
  </si>
  <si>
    <t>https://docs.google.com/document/d/1LLAbrDMXUMoCZRZmHM5Ya7gMoGnKx96N2Q-SFNAIfpA/edit?usp=sharing</t>
  </si>
  <si>
    <t>https://docs.google.com/document/d/104ZnHq1fzTnjDqcd3mNd8t-lMCSn_9OkiDIdHFnLhuY/edit?usp=sharing</t>
  </si>
  <si>
    <t>https://docs.google.com/document/d/1C8MfO1YsaKpIuZ3cF3GllPTRgep2nZTNHz2zO8nulF4/edit?usp=sharing</t>
  </si>
  <si>
    <t>https://docs.google.com/document/d/1G8AK_R-LUT_JR-4u8hMtx2iH8Ed9Yj1uVse0ndSIsdk/edit?usp=sharing</t>
  </si>
  <si>
    <t>https://docs.google.com/document/d/1yJ1xUkdXF-9sGMXHZhJspRUMWw1yr02ujYQ3HjA1AcM/edit?usp=sharing</t>
  </si>
  <si>
    <t>https://docs.google.com/document/d/1ZSJxVAUB1G_1CTEd-NHZrrhiu-LMfRutWl_qSu0SxEM/edit?usp=sharing</t>
  </si>
  <si>
    <t>https://docs.google.com/document/d/1TJRpF6LYyYb7ER9tcgp9t5W2uQafzsJ2xRK_FSHYVVY/edit?usp=sharing</t>
  </si>
  <si>
    <t>https://docs.google.com/document/d/1D5meFUMWDMyk0WvrpnexwK0j0-JomTU_IpZY1h4ChyA/edit?usp=sharing</t>
  </si>
  <si>
    <t>https://docs.google.com/document/d/1jL49nUaJjWkXW1XVUfIihzNOv9lHS4v4mCcdUDvhUkA/edit?usp=sharing</t>
  </si>
  <si>
    <t>https://docs.google.com/document/d/1tP-grBgZEnfmrQkszVmwtcCKPRXSQvt2_ywmuNlyGfw/edit?usp=sharing</t>
  </si>
  <si>
    <t>https://docs.google.com/document/d/1W4RNr5dcydyId2mYEcwbmh5JzxkdHAOpQp4Ju8AOCnU/edit?usp=sharing</t>
  </si>
  <si>
    <t>https://docs.google.com/document/d/1e3Cd58HRk3LsNpr-m2fwXbb2AAmstHHvStpUL_b_xQc/edit?usp=sharing</t>
  </si>
  <si>
    <t>https://docs.google.com/document/d/1YD2ED_arinqa71E7hCfYEaf0CBBgBxq51o2wT8QH3Yw/edit?usp=sharing</t>
  </si>
  <si>
    <t>https://docs.google.com/document/d/1D_W32hLIF8xothMZvp4RVW1laR8tHWybXUSTVxeTl7s/edit?usp=sharing</t>
  </si>
  <si>
    <t>https://docs.google.com/document/d/19PG0VA5wVPMRuQR8aYR3IRS-RcsJjNPRcIsuwf-mkcE/edit?usp=sharing</t>
  </si>
  <si>
    <t>https://docs.google.com/document/d/14Ve1amvT74RL_G1Uxa1rLcf4lJVANlchwZO9bqm_AoA/edit?usp=sharing</t>
  </si>
  <si>
    <t>https://docs.google.com/document/d/1fEZtqC-TiuoslN9xKR3PdMNyPOLdRSVHham5M4UaNu8/edit?usp=sharing</t>
  </si>
  <si>
    <t>https://docs.google.com/document/d/1cgwePMcyKnwJLqnQ177GDdXnk3PNBjw5A33zkRa6oEM/edit?usp=sharing</t>
  </si>
  <si>
    <t>https://docs.google.com/document/d/1wjVnep8lMQEajOXlnXi4Q5DPIpHRV7ZBZfcET2CFVa8/edit?usp=sharing</t>
  </si>
  <si>
    <t>https://docs.google.com/document/d/1i1SQ3HtKtw4pSM3sPgkcf6yq6W59KOe6FTYRQH6IEZ4/edit?usp=sharing</t>
  </si>
  <si>
    <t>https://docs.google.com/document/d/133kOq0vzQr0bP4Rsf7Ww9bWfTH28LGoMOZbLHVDbCSY/edit?usp=sharing</t>
  </si>
  <si>
    <t>https://docs.google.com/document/d/11lA8BBvlB1D8CtEcQEBFk1_Jz-fKGNlaBP7fkgJ-Lsw/edit?usp=sharing</t>
  </si>
  <si>
    <t>https://docs.google.com/document/d/1L_lb5cNRUHK9rvexQL9zs9MNzVgMMqx4lr3caxA_QfY/edit?usp=sharing</t>
  </si>
  <si>
    <t>https://docs.google.com/document/d/18bEr8SFY8KlXdI-ya3B2IwFkAyKoJThdV-KbkBgEqsg/edit?usp=sharing</t>
  </si>
  <si>
    <t>https://docs.google.com/document/d/1BrTi5_Iv6-lWoN6Pw2M1K9Fc9w7QtbFkGyWbeiBn7F0/edit?usp=sharing</t>
  </si>
  <si>
    <t>https://docs.google.com/document/d/1EW6vz3ZBJBxGuLjl3SgBz66ScWFZOAJkIffZLpaS9H4/edit?usp=sharing</t>
  </si>
  <si>
    <t>https://docs.google.com/document/d/10q6ud9Bz8_tZbYlHfVW9JDKD-XuCudJT7hgE0EeJxhk/edit?usp=sharing</t>
  </si>
  <si>
    <t>https://docs.google.com/document/d/13fPUoBYu4cx-p2NbK416otw154Ph_SN6d2DlLzLhYo0/edit?usp=sharing</t>
  </si>
  <si>
    <t>https://docs.google.com/document/d/1xQCoddW8RJ7A_V3xfTai69RffZpfofQ8H-216FpSJD8/edit?usp=sharing</t>
  </si>
  <si>
    <t>https://docs.google.com/document/d/1sxUdvxEHq9Kd0Whqhg9IkjyzcKh7Iuo-ap-DQzQR5m4/edit?usp=sharing</t>
  </si>
  <si>
    <t>https://docs.google.com/document/d/1Sg84WBR4SPaouTIhvONdvPonaVx2VqhcQoYzCldkklc/edit?usp=sharing</t>
  </si>
  <si>
    <t>https://docs.google.com/document/d/1xQiaNzzKyqlHMsqX8tIjbYr3cwVfy7JxRi8S2bdEQMQ/edit?usp=sharing</t>
  </si>
  <si>
    <t>https://docs.google.com/document/d/1expXKiqiYmnKnrmt7fpP5kIGAx9g7YqzBoYZxWpA4K8/edit?usp=sharing</t>
  </si>
  <si>
    <t>https://docs.google.com/document/d/18-_QvLbw87r4E6Zbs_9iRpK2W9GnUNWM8LVInO7NRjs/edit?usp=sharing</t>
  </si>
  <si>
    <t>https://docs.google.com/document/d/1iwInpbMVKaiA3-nGv2kp4kMoSbenazffXao_80RR9Yc/edit?usp=sharing</t>
  </si>
  <si>
    <t>https://docs.google.com/document/d/1kfJyvCs8njmy9KRtqgBLrjUb22IzM7cES38Mk_XECgo/edit?usp=sharing</t>
  </si>
  <si>
    <t>https://docs.google.com/document/d/162X3EuVcsHHCygvY2Xa0B_VXZ9BkONzEHdQnYNY3_48/edit?usp=sharing</t>
  </si>
  <si>
    <t>https://docs.google.com/document/d/17vQJBjkHnKPKXzg7tcyUNyZqSZHGgGsdzoPR9HikkNE/edit?usp=sharing</t>
  </si>
  <si>
    <t>https://docs.google.com/document/d/1wO1RMx_E9pR4Gnj104Sv_BZ_64dSuWrsCbbterayNxo/edit?usp=sharing</t>
  </si>
  <si>
    <t>https://docs.google.com/document/d/1x2d-60KFd4Y6VJAziPjihUbirC_j7tRJYPpa94lEp-g/edit?usp=sharing</t>
  </si>
  <si>
    <t>https://docs.google.com/document/d/1TTzrMjbnOC60AmA_8MXOvjmn7PccfO0zCaP97a_Nu5w/edit?usp=sharing</t>
  </si>
  <si>
    <t>https://docs.google.com/document/d/1EgLQ16CG4Oxr6vLAy9Cjgn-uZPiirbWWD2J448wXN4s/edit?usp=sharing</t>
  </si>
  <si>
    <t>https://docs.google.com/document/d/1vPEKhSd84bTPKc6sddMyhigWHq7c0obt6wo3VzDzCcU/edit?usp=sharing</t>
  </si>
  <si>
    <t>https://docs.google.com/document/d/1Yid5uPInvL1tOFAPmsY4Das584Jz8JwtruGjj_5RcXs/edit?usp=sharing</t>
  </si>
  <si>
    <t>https://docs.google.com/document/d/19djp67rukzmNtWy2eE7mPvr07C3vjD-p1Uj90EdmeBM/edit?usp=sharing</t>
  </si>
  <si>
    <t>https://docs.google.com/document/d/1TETOaQRGFn0NRmsrwy4iuzA3Vj01pr2zEQI4D24iJbY/edit?usp=sharing</t>
  </si>
  <si>
    <t>https://docs.google.com/document/d/1yBqRBju5Bs8S-hpmgE4qyBuRwknq-2mTKfytbziSmxU/edit?usp=sharing</t>
  </si>
  <si>
    <t>https://docs.google.com/document/d/1mEJni3RbQwR1DRipHaR6q_xyz6ZOexc0LLUQDIMkAoA/edit?usp=sharing</t>
  </si>
  <si>
    <t>https://docs.google.com/document/d/1YJ2OJJlzqIc5DBBAy65VfdeQviO02qrDPfJU73wj6qQ/edit?usp=sharing</t>
  </si>
  <si>
    <t>https://docs.google.com/document/d/1jsGu8TVp7vK6r_6zE3qyDu_QQrQJrDRFCA6IH4Bj5h4/edit?usp=sharing</t>
  </si>
  <si>
    <t>https://docs.google.com/document/d/1mU0doG4kl7mC4X3SssTtfDe-IMCQzCyHwto0MTTdp_A/edit?usp=sharing</t>
  </si>
  <si>
    <t>https://docs.google.com/document/d/1uHQMVMCBBJcqduh34F46GR4m3asY_LPLkhae5dGAMLA/edit?usp=sharing</t>
  </si>
  <si>
    <t>https://docs.google.com/document/d/1N2uN6Sy4gIYqTpGVErcqVyayrNZVbmpiudy6pDwlyws/edit?usp=sharing</t>
  </si>
  <si>
    <t>https://docs.google.com/document/d/1GEd3XJjxbONDVNIt0FjDO83w3KgktCiO5jnpp44ZypU/edit?usp=sharing</t>
  </si>
  <si>
    <t>https://docs.google.com/document/d/1GVcxw0lXvP0ubmnbzk6BnkufRUMiEqg-O5DHQWE2_iQ/edit?usp=sharing</t>
  </si>
  <si>
    <t>https://docs.google.com/document/d/1fDicVvhiRdrtCsOPkRe-ZHSzZFZsoA6l1Y3m_nXlk4Y/edit?usp=sharing</t>
  </si>
  <si>
    <t>https://docs.google.com/document/d/1HUM2CstgQwBLTBCJy5o9Qh1Qp-qZzMtThum-2BBlQQY/edit?usp=sharing</t>
  </si>
  <si>
    <t>https://docs.google.com/document/d/1KzRzXE6SDejxgsNfGLBjP99Hogh9QGDh9Jk-u8A8fTY/edit?usp=sharing</t>
  </si>
  <si>
    <t>https://docs.google.com/document/d/1lrA7x5C_9QsRbIVAuVrclk4pQ5_jdV9207srDp3z8j8/edit?usp=sharing</t>
  </si>
  <si>
    <t>https://docs.google.com/document/d/1-dLt1eud0yPu5yny4hV5BHcyiuXCzeYiNIiOT6BLKzM/edit?usp=sharing</t>
  </si>
  <si>
    <t>https://docs.google.com/document/d/1sNgjLx8beeAovR-FnMxBiY_bjqqJJfDX8dcz8lW2y04/edit?usp=sharing</t>
  </si>
  <si>
    <t>https://docs.google.com/document/d/15MT7CRDmj6gdGGoWfCf7RUgsbkGA2HaC8R9zbk1a_sY/edit?usp=sharing</t>
  </si>
  <si>
    <t>https://docs.google.com/document/d/1YoWXXymid-IkFBygIjVQlXwX-KMSRxBAHqSjDJbF9es/edit?usp=sharing</t>
  </si>
  <si>
    <t>https://docs.google.com/document/d/1zbh-_9l-tcz4oPs788pFU3_8wsWtlUtsisSpSVCNro0/edit?usp=sharing</t>
  </si>
  <si>
    <t>https://docs.google.com/document/d/1fEOCMsao3V8tjKXN9vAO5sZL3nVwgFFU0virnJwhmKY/edit?usp=sharing</t>
  </si>
  <si>
    <t>https://docs.google.com/document/d/1zxjoaUTDCh98kjRdDWNffwNxbwR-2BFAZ9Fhf4RNuWk/edit?usp=sharing</t>
  </si>
  <si>
    <t>https://docs.google.com/document/d/15LuS50RfYyrBu7biT4MN4Hci4ylnyrRWVi_0CPJDCqE/edit?usp=sharing</t>
  </si>
  <si>
    <t>https://docs.google.com/document/d/14f2niMgxMAdEgrqLaumvQjARRDwAzx6cR6gpofI6dSQ/edit?usp=sharing</t>
  </si>
  <si>
    <t>https://docs.google.com/document/d/1pvPrPc-enJRMxTar-_0SqzmfQMGaZdIbqFKVjmjBP6E/edit?usp=sharing</t>
  </si>
  <si>
    <t>https://docs.google.com/document/d/1Dr-dYxgBcaiyPA-whlnFqTXYZfVEDUdlRbd4T-EXUv0/edit?usp=sharing</t>
  </si>
  <si>
    <t>https://docs.google.com/document/d/1WmVyVq-Rq2EPb3qPHyjqiFbhUnM5JPqkc9ZACIzxbPc/edit?usp=sharing</t>
  </si>
  <si>
    <t>https://docs.google.com/document/d/12scRIsMIhTm4nww57x7husg_zIYjNbC_XIyzvlGnFGI/edit?usp=sharing</t>
  </si>
  <si>
    <t>https://docs.google.com/document/d/1c4JE2ocEWpeOPDzdakqHij3r1v5OymtEPSOWqNO5BU8/edit?usp=sharing</t>
  </si>
  <si>
    <t>https://docs.google.com/document/d/1GTKMlK-l5glUb9Ux30vRm5Bu-SM46DnzEcQ7fb5xGDk/edit?usp=sharing</t>
  </si>
  <si>
    <t>https://docs.google.com/document/d/1cwlkdwnXiYoDV7M_jCAluGLu8yEVRWeGWG0xSddCqdA/edit?usp=sharing</t>
  </si>
  <si>
    <t>https://docs.google.com/document/d/15pEl1qPS6bMHU9TQ1egxTanHK2dSTZ4HltebUgI4mBI/edit?usp=sharing</t>
  </si>
  <si>
    <t>https://docs.google.com/document/d/1vyRLxNAZZVmnSVqY_PDXWRBk5_My56mm5zO3rulJlMc/edit?usp=sharing</t>
  </si>
  <si>
    <t>https://docs.google.com/document/d/1Mjhfadqh8UkMjv44KpscIQ_rMFaeeqc-U8ljmlTvLds/edit?usp=sharing</t>
  </si>
  <si>
    <t>https://docs.google.com/document/d/1mZsHaWgjgi4AwYsmRd1ZQoNgukR0a7LQufJ1lm2MMS8/edit?usp=sharing</t>
  </si>
  <si>
    <t>https://docs.google.com/document/d/1h50oIvWFqT3PbQCECs6VLFW95XlT72Zj8LDQ7vkOV4o/edit?usp=sharing</t>
  </si>
  <si>
    <t>https://docs.google.com/document/d/11njCO1TEWzi8VuP6_rpU01O_lO6f10t58UqEYJnXZ4g/edit?usp=sharing</t>
  </si>
  <si>
    <t>https://docs.google.com/document/d/11kAPinld6tJMlnSCGWE4Eau6DI86ys-sgZc-UEJ9FlQ/edit?usp=sharing</t>
  </si>
  <si>
    <t>https://docs.google.com/document/d/1V7NrmsgXT1Z8CuE1xQkm5vZrQDJNvImMg5HaAgRMo_8/edit?usp=sharing</t>
  </si>
  <si>
    <t>https://docs.google.com/document/d/17JyY2CDnoK0pMolFZV_9FZzkMvi7AZefeIfB2X2m29I/edit?usp=sharing</t>
  </si>
  <si>
    <t>https://docs.google.com/document/d/1jbiwhAEAPFwrjL3m-AqGSHjkguIqPU-4-gfAVec7AeA/edit?usp=sharing</t>
  </si>
  <si>
    <t>https://docs.google.com/document/d/1eBM3O3a2xfl3_qJZRP0fzL5q48KxGX1Rq4iQa4bneFo/edit?usp=sharing</t>
  </si>
  <si>
    <t>https://docs.google.com/document/d/1fO9WI7F-cHpfwr1BXcKTrPZ5waNAuwtdLaeSPCxN5Xc/edit?usp=sharing</t>
  </si>
  <si>
    <t>https://docs.google.com/document/d/100iBxUdpJslnouQMVpTt4PNmXDLBuLWWaq2fJ5BxTAE/edit?usp=sharing</t>
  </si>
  <si>
    <t>https://docs.google.com/document/d/14VngmtdGwmyjs5yU-wStQkOOvSy35eP3lkA58LNxjfg/edit?usp=sharing</t>
  </si>
  <si>
    <t>https://docs.google.com/document/d/1c4TC-t0hB1nmcdSIa6-N-hPBB7Kevo293FKIsIoV7u8/edit?usp=sharing</t>
  </si>
  <si>
    <t>https://docs.google.com/document/d/1Cm11-y8hwhcBejhCy0Uvwyc_uDSTn6E0M6WJRoGkFqg/edit?usp=sharing</t>
  </si>
  <si>
    <t>https://docs.google.com/document/d/1q9qyfaMclRV-pTZ55iedNIcnyAUsrLOlAJuryzuoznQ/edit?usp=sharing</t>
  </si>
  <si>
    <t>https://docs.google.com/document/d/1Dr6g3NIkEEHUEu9k8VhHjg8rS3-XLachwgh_CX-RYbw/edit?usp=sharing</t>
  </si>
  <si>
    <t>https://docs.google.com/document/d/1bPl5DEt6VffZ-LGO1tsFtn3Lk3kg-6ft1zsSmZ5qrOQ/edit?usp=sharing</t>
  </si>
  <si>
    <t>https://docs.google.com/document/d/17_NpG6Wn4PT0MXwcQXN_dDD2j0DX82_LjKyVZ7tnEco/edit?usp=sharing</t>
  </si>
  <si>
    <t>https://docs.google.com/document/d/1iUOopQS3YEB2ZlZmhAD2t7ypwPg4unkcC_8IWm19GUE/edit?usp=sharing</t>
  </si>
  <si>
    <t>https://docs.google.com/document/d/1CiaspxjJxnIDrAS735dm6H8IAWTvc4GfPW0p60hV7h4/edit?usp=sharing</t>
  </si>
  <si>
    <t>https://docs.google.com/document/d/14k6fE3DMDvNepwEfklaEoWv-a3HPNVd-J8zhJH3HFcc/edit?usp=sharing</t>
  </si>
  <si>
    <t>https://docs.google.com/document/d/1kLhqXVG92-XKO-taNhIICj5ElvYXiNkX1nP51mvsoOo/edit?usp=sharing</t>
  </si>
  <si>
    <t>https://docs.google.com/document/d/1BpzoWfy3XIXFr2InZRGXHetF70V9QmDgDhRtgtfzmGo/edit?usp=sharing</t>
  </si>
  <si>
    <t>https://docs.google.com/document/d/19KM6RWox7SG6RWET5MeJDkpdmXXeQoEcR_QKXo3FXQ8/edit?usp=sharing</t>
  </si>
  <si>
    <t>https://docs.google.com/document/d/1aIdAx4xQyhlwHLEb0B66-G-PWMhwQXsyANw6wol80lQ/edit?usp=sharing</t>
  </si>
  <si>
    <t>https://docs.google.com/document/d/12UDPlTZ-4e8d6EJ38CvFxMTW9fRlSArS_tyIBUIaioE/edit?usp=sharing</t>
  </si>
  <si>
    <t>https://docs.google.com/document/d/1l7jtb1wIewzl-Zww8n9Zdmf1ggYVAJEhS3OLxT3yIPM/edit?usp=sharing</t>
  </si>
  <si>
    <t>https://docs.google.com/document/d/1gdkSC8X6dEw0RbFVhnxCCD1F_8dDnB6lBCP2yR6zYWE/edit?usp=sharing</t>
  </si>
  <si>
    <t>https://docs.google.com/document/d/1oxoMYxoDVLFeO0prd-y1lGkUlkE8w5IWubecRhSVaUo/edit?usp=sharing</t>
  </si>
  <si>
    <t>https://docs.google.com/document/d/1Vkceg1_U3S6beU64eL4bT6cMxqNCdP-KwStgGzVflSU/edit?usp=sharing</t>
  </si>
  <si>
    <t>https://docs.google.com/document/d/1D63_6gotVYB_qYsn23UCY8fZf5_rYgNTHuNJKAstmF8/edit?usp=sharing</t>
  </si>
  <si>
    <t>https://docs.google.com/document/d/1hhju0kgzBPRTbbOoHVTNEg3YS3WYkCGGNIp2Soa8CVA/edit?usp=sharing</t>
  </si>
  <si>
    <t>https://docs.google.com/document/d/1bp3P2Pr6q3GE0Vd7f1TG03nMZ8RP7nTGJzWu5IgNaDE/edit?usp=sharing</t>
  </si>
  <si>
    <t>https://docs.google.com/document/d/11yqEAFSQBTWQNxXICndJvr9WYWpfgdBoiqpffvUeL7I/edit?usp=sharing</t>
  </si>
  <si>
    <t>https://docs.google.com/document/d/1hwtHWIz82gRQmuCKAJhhd74q37TqnnMRv-SkmE-HyAY/edit?usp=sharing</t>
  </si>
  <si>
    <t>https://docs.google.com/document/d/1TO1yP8yDCphUunuBg-UQDUFWyplGbmu2HdxOkSdSqGc/edit?usp=sharing</t>
  </si>
  <si>
    <t>https://docs.google.com/document/d/11XPIyWWWnMyqtrwn0vvhbPjHd4NeE1Dxy100XPK6ub4/edit?usp=sharing</t>
  </si>
  <si>
    <t>https://docs.google.com/document/d/1GSbLzyEpxPo-msmvOyQA5Z-Rqn9Q4Gr8rWwJK2tozhs/edit?usp=sharing</t>
  </si>
  <si>
    <t>https://docs.google.com/document/d/1gY4BDtEhB8-fkN1SfhneGpO1rS2j2eELUHOFzFrAucQ/edit?usp=sharing</t>
  </si>
  <si>
    <t>https://docs.google.com/document/d/1okmiYZ4uumkKNHWam0fdyjzELE5oNb89drh28E5JAIA/edit?usp=sharing</t>
  </si>
  <si>
    <t>https://docs.google.com/document/d/10TIvkxgb6gsVE2e9ob6XBg_hwoLs1l0RV2MPUGIClr8/edit?usp=sharing</t>
  </si>
  <si>
    <t>https://docs.google.com/document/d/1rJilfDF89AUHiuKAD8pWQzWA-r8Lpey7cTd6vR1ts2I/edit?usp=sharing</t>
  </si>
  <si>
    <t>https://docs.google.com/document/d/1ycStjAvgYsL2PdPdlSoTTKw4tAkZT6fnOZEXFK4grRk/edit?usp=sharing</t>
  </si>
  <si>
    <t>https://docs.google.com/document/d/1My2IHkQ4tG9YOCEFQbVmbaDltJucWytPZZ1Mm7MxSaU/edit?usp=sharing</t>
  </si>
  <si>
    <t>https://docs.google.com/document/d/1YZmKuHTmL6dRqK2bgCeUvrI-xbkDE6JEErxhTrOSmNQ/edit?usp=sharing</t>
  </si>
  <si>
    <t>https://docs.google.com/document/d/1RB13TlEaw9T8D0mp4_EPxwtGcLKtKSLCKJarKNeWOgk/edit?usp=sharing</t>
  </si>
  <si>
    <t>https://docs.google.com/document/d/1ZvsY1_lJBtxoYnVYTMRQJMKsvwFlkwo8JjH-QHGVP2I/edit?usp=sharing</t>
  </si>
  <si>
    <t>https://docs.google.com/document/d/1IL410wu1hVA0b8SaCxcAhHieruFHK93j4MAtKDe3K-M/edit?usp=sharing</t>
  </si>
  <si>
    <t>https://docs.google.com/document/d/1b8oo3oge4SS1tc9GykxfCpjbOTanGuk6x2_MmbttmW8/edit?usp=sharing</t>
  </si>
  <si>
    <t>https://docs.google.com/document/d/1FNFif5rqWt4v3SbIitupORsJxzsAV67YpoEfI9jk2bM/edit?usp=sharing</t>
  </si>
  <si>
    <t>https://docs.google.com/document/d/15i1VMX4o7XWB6xwGnBM-BFE7wcFIMNb8o4jUoqB5a6A/edit?usp=sharing</t>
  </si>
  <si>
    <t>https://docs.google.com/document/d/12sO88IF7hwVqmOcv0IpR5ryc-_TF9D-cbqNKvllGfeY/edit?usp=sharing</t>
  </si>
  <si>
    <t>https://docs.google.com/document/d/1Xom2pILM3U4-Ls4WrYsqKCVxV411BpsAkjhIAIeSG98/edit?usp=sharing</t>
  </si>
  <si>
    <t>https://docs.google.com/document/d/18oNfQlZSFMMZ_ZR2u0MV3JsT5B7gfdLSJ9AXIN1A1CA/edit?usp=sharing</t>
  </si>
  <si>
    <t>https://docs.google.com/document/d/1OWDF_C_rrw1JSFpUogUdSRGy-YaBo6VP0yR99RaOef4/edit?usp=sharing</t>
  </si>
  <si>
    <t>https://docs.google.com/document/d/16u-tEwvsvseWJlPeIXtZ1DU2C1SQ-dQ1-eSWcu-N48o/edit?usp=sharing</t>
  </si>
  <si>
    <t>https://docs.google.com/document/d/1r8vPQW5TQvANKuxROcuZV6yFjS6QVwupgg3SfNm1HxM/edit?usp=sharing</t>
  </si>
  <si>
    <t>https://docs.google.com/document/d/1zEgO9-9YXnd58Yhi70fljYdKQnWtN5SWWNszZZIXvmw/edit?usp=sharing</t>
  </si>
  <si>
    <t>https://docs.google.com/document/d/1WthAVqY51iSQ3XCpGNFQ_n4bEgTV_v9TOImMQ4ZWuEg/edit?usp=sharing</t>
  </si>
  <si>
    <t>https://docs.google.com/document/d/1Wra3CkMBTUzhFrxnxRL9OUGDoegm5in9-1nEUjgWGMs/edit?usp=sharing</t>
  </si>
  <si>
    <t>https://docs.google.com/document/d/13aJdJoyGbjZW1nMrfXgDrzP7CuCf67jT0nIL0bJc-cs/edit?usp=sharing</t>
  </si>
  <si>
    <t>https://docs.google.com/document/d/1wSZSz4doEP3rgV4hjHV0Fij944jU27UGNT9fKp_zff4/edit?usp=sharing</t>
  </si>
  <si>
    <t>https://docs.google.com/document/d/1LrcvU8riWwz-FmsTYced6rdJj1ktmtQS0CHcAo0-MMo/edit?usp=sharing</t>
  </si>
  <si>
    <t>https://docs.google.com/document/d/1ZmDKW1GTiHdHVwCxyP3ADhFDRi_FG0K8FR3dGAURGbc/edit?usp=sharing</t>
  </si>
  <si>
    <t>https://docs.google.com/document/d/1fLvsq_EVAUiyBlVgMIKolfqbwL7WsgrT3OxQSkcMArI/edit?usp=sharing</t>
  </si>
  <si>
    <t>https://docs.google.com/document/d/1pVVYVrdU3hGUOuSO_buFQSw2WLlrMlu2WFQS6jHPSOY/edit?usp=sharing</t>
  </si>
  <si>
    <t>https://docs.google.com/document/d/14T4XGiSWc1HC6hC1hoq9WS3mdKmLKCYU1gEJ0zFf5pI/edit?usp=sharing</t>
  </si>
  <si>
    <t>https://docs.google.com/document/d/1gaSbyuo_Lj4jkM2e8eKGPCgmnS-bz-lb3i4KhDsTCBg/edit?usp=sharing</t>
  </si>
  <si>
    <t>Height</t>
  </si>
  <si>
    <t>Weight</t>
  </si>
  <si>
    <t>What do you usually eat for lunch?</t>
  </si>
  <si>
    <t>How often do you consume sugary drinks?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</si>
</sst>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name val="Arial"/>
    </font>
    <font>
      <sz val="11"/>
      <color rgb="FF000000"/>
      <name val="Roboto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2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  <fill>
      <patternFill patternType="solid">
        <fgColor rgb="FFA61C00"/>
        <bgColor rgb="FFA61C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164" fontId="2" fillId="2" borderId="0" xfId="0" applyNumberFormat="1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2" fillId="4" borderId="0" xfId="0" applyNumberFormat="1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6" fillId="5" borderId="0" xfId="0" applyNumberFormat="1" applyFont="1" applyFill="1" applyAlignment="1">
      <alignment horizontal="right"/>
    </xf>
    <xf numFmtId="49" fontId="6" fillId="0" borderId="0" xfId="0" applyNumberFormat="1" applyFont="1"/>
    <xf numFmtId="0" fontId="6" fillId="6" borderId="0" xfId="0" applyFont="1" applyFill="1"/>
    <xf numFmtId="0" fontId="6" fillId="7" borderId="0" xfId="0" applyFont="1" applyFill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49" fontId="7" fillId="5" borderId="0" xfId="0" applyNumberFormat="1" applyFont="1" applyFill="1" applyAlignment="1">
      <alignment horizontal="right"/>
    </xf>
    <xf numFmtId="49" fontId="7" fillId="4" borderId="4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4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49" fontId="6" fillId="8" borderId="0" xfId="0" applyNumberFormat="1" applyFont="1" applyFill="1"/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49" fontId="6" fillId="2" borderId="0" xfId="0" applyNumberFormat="1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49" fontId="6" fillId="3" borderId="0" xfId="0" applyNumberFormat="1" applyFont="1" applyFill="1"/>
    <xf numFmtId="0" fontId="6" fillId="9" borderId="0" xfId="0" applyFont="1" applyFill="1"/>
    <xf numFmtId="0" fontId="6" fillId="9" borderId="0" xfId="0" applyFont="1" applyFill="1" applyAlignment="1">
      <alignment horizontal="right"/>
    </xf>
    <xf numFmtId="49" fontId="6" fillId="9" borderId="0" xfId="0" applyNumberFormat="1" applyFont="1" applyFill="1"/>
    <xf numFmtId="0" fontId="6" fillId="9" borderId="0" xfId="0" applyFont="1" applyFill="1" applyAlignment="1">
      <alignment horizontal="center"/>
    </xf>
    <xf numFmtId="0" fontId="6" fillId="10" borderId="0" xfId="0" applyFont="1" applyFill="1"/>
    <xf numFmtId="0" fontId="6" fillId="10" borderId="0" xfId="0" applyFont="1" applyFill="1" applyAlignment="1">
      <alignment horizontal="right"/>
    </xf>
    <xf numFmtId="49" fontId="6" fillId="10" borderId="0" xfId="0" applyNumberFormat="1" applyFont="1" applyFill="1" applyAlignment="1">
      <alignment horizontal="right"/>
    </xf>
    <xf numFmtId="49" fontId="6" fillId="10" borderId="0" xfId="0" applyNumberFormat="1" applyFont="1" applyFill="1"/>
    <xf numFmtId="0" fontId="6" fillId="10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right"/>
    </xf>
    <xf numFmtId="49" fontId="6" fillId="4" borderId="0" xfId="0" applyNumberFormat="1" applyFont="1" applyFill="1"/>
    <xf numFmtId="0" fontId="6" fillId="11" borderId="0" xfId="0" applyFont="1" applyFill="1"/>
    <xf numFmtId="0" fontId="6" fillId="11" borderId="0" xfId="0" applyFont="1" applyFill="1" applyAlignment="1">
      <alignment horizontal="right"/>
    </xf>
    <xf numFmtId="49" fontId="6" fillId="11" borderId="0" xfId="0" applyNumberFormat="1" applyFont="1" applyFill="1" applyAlignment="1">
      <alignment horizontal="right"/>
    </xf>
    <xf numFmtId="49" fontId="6" fillId="11" borderId="0" xfId="0" applyNumberFormat="1" applyFont="1" applyFill="1"/>
    <xf numFmtId="0" fontId="6" fillId="11" borderId="0" xfId="0" applyFont="1" applyFill="1" applyAlignment="1">
      <alignment horizontal="center"/>
    </xf>
    <xf numFmtId="0" fontId="6" fillId="12" borderId="0" xfId="0" applyFont="1" applyFill="1"/>
    <xf numFmtId="0" fontId="6" fillId="12" borderId="0" xfId="0" applyFont="1" applyFill="1" applyAlignment="1">
      <alignment horizontal="right"/>
    </xf>
    <xf numFmtId="49" fontId="6" fillId="12" borderId="0" xfId="0" applyNumberFormat="1" applyFont="1" applyFill="1"/>
    <xf numFmtId="0" fontId="6" fillId="12" borderId="0" xfId="0" applyFont="1" applyFill="1" applyAlignment="1">
      <alignment horizontal="center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49" fontId="6" fillId="13" borderId="0" xfId="0" applyNumberFormat="1" applyFont="1" applyFill="1"/>
    <xf numFmtId="0" fontId="6" fillId="13" borderId="0" xfId="0" applyFont="1" applyFill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49" fontId="6" fillId="14" borderId="0" xfId="0" applyNumberFormat="1" applyFont="1" applyFill="1" applyAlignment="1">
      <alignment horizontal="right"/>
    </xf>
    <xf numFmtId="49" fontId="6" fillId="14" borderId="0" xfId="0" applyNumberFormat="1" applyFont="1" applyFill="1"/>
    <xf numFmtId="0" fontId="6" fillId="14" borderId="0" xfId="0" applyFont="1" applyFill="1" applyAlignment="1">
      <alignment horizontal="center"/>
    </xf>
    <xf numFmtId="49" fontId="6" fillId="7" borderId="0" xfId="0" applyNumberFormat="1" applyFont="1" applyFill="1"/>
    <xf numFmtId="0" fontId="6" fillId="7" borderId="0" xfId="0" applyFont="1" applyFill="1" applyAlignment="1">
      <alignment horizontal="center"/>
    </xf>
    <xf numFmtId="0" fontId="6" fillId="15" borderId="0" xfId="0" applyFont="1" applyFill="1"/>
    <xf numFmtId="0" fontId="6" fillId="15" borderId="0" xfId="0" applyFont="1" applyFill="1" applyAlignment="1">
      <alignment horizontal="right"/>
    </xf>
    <xf numFmtId="49" fontId="6" fillId="15" borderId="0" xfId="0" applyNumberFormat="1" applyFont="1" applyFill="1"/>
    <xf numFmtId="0" fontId="6" fillId="15" borderId="0" xfId="0" applyFont="1" applyFill="1" applyAlignment="1">
      <alignment horizontal="center"/>
    </xf>
    <xf numFmtId="0" fontId="6" fillId="16" borderId="0" xfId="0" applyFont="1" applyFill="1"/>
    <xf numFmtId="0" fontId="6" fillId="16" borderId="0" xfId="0" applyFont="1" applyFill="1" applyAlignment="1">
      <alignment horizontal="right"/>
    </xf>
    <xf numFmtId="49" fontId="6" fillId="16" borderId="0" xfId="0" applyNumberFormat="1" applyFont="1" applyFill="1"/>
    <xf numFmtId="0" fontId="6" fillId="16" borderId="0" xfId="0" applyFont="1" applyFill="1" applyAlignment="1">
      <alignment horizontal="center"/>
    </xf>
    <xf numFmtId="0" fontId="6" fillId="17" borderId="0" xfId="0" applyFont="1" applyFill="1"/>
    <xf numFmtId="0" fontId="6" fillId="17" borderId="0" xfId="0" applyFont="1" applyFill="1" applyAlignment="1">
      <alignment horizontal="right"/>
    </xf>
    <xf numFmtId="49" fontId="6" fillId="17" borderId="0" xfId="0" applyNumberFormat="1" applyFont="1" applyFill="1" applyAlignment="1">
      <alignment horizontal="right"/>
    </xf>
    <xf numFmtId="49" fontId="6" fillId="17" borderId="0" xfId="0" applyNumberFormat="1" applyFont="1" applyFill="1"/>
    <xf numFmtId="0" fontId="6" fillId="17" borderId="0" xfId="0" applyFont="1" applyFill="1" applyAlignment="1">
      <alignment horizontal="center"/>
    </xf>
    <xf numFmtId="0" fontId="6" fillId="18" borderId="0" xfId="0" applyFont="1" applyFill="1"/>
    <xf numFmtId="0" fontId="6" fillId="8" borderId="0" xfId="0" applyFont="1" applyFill="1"/>
    <xf numFmtId="0" fontId="1" fillId="19" borderId="6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2" fillId="20" borderId="2" xfId="0" applyFont="1" applyFill="1" applyBorder="1" applyAlignment="1">
      <alignment horizontal="center"/>
    </xf>
    <xf numFmtId="0" fontId="2" fillId="20" borderId="0" xfId="0" applyFont="1" applyFill="1"/>
    <xf numFmtId="0" fontId="11" fillId="0" borderId="0" xfId="0" applyFont="1"/>
    <xf numFmtId="0" fontId="0" fillId="0" borderId="0" xfId="0" applyAlignment="1">
      <alignment horizontal="right"/>
    </xf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19" borderId="0" xfId="0" applyFont="1" applyFill="1"/>
    <xf numFmtId="0" fontId="0" fillId="0" borderId="0" xfId="0"/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10" fillId="0" borderId="8" xfId="0" applyFont="1" applyBorder="1"/>
    <xf numFmtId="0" fontId="10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document/d/1zkz9Qpqm7HkHvN3LclkHQwhL2gNTj1nqsgi5q_X3hCo/edit?usp=sharing" TargetMode="External"/><Relationship Id="rId671" Type="http://schemas.openxmlformats.org/officeDocument/2006/relationships/hyperlink" Target="https://docs.google.com/document/d/1EsC07-hfD0BGqXktnzdc4nH7WWowOWb-FA9lkgeT5M0/edit?usp=sharing" TargetMode="External"/><Relationship Id="rId769" Type="http://schemas.openxmlformats.org/officeDocument/2006/relationships/hyperlink" Target="https://docs.google.com/document/d/1YSXgVco-5hgeZg3ltjFhPqaPjHpFUvKfsCQNJFDpEYw/edit?usp=sharing" TargetMode="External"/><Relationship Id="rId976" Type="http://schemas.openxmlformats.org/officeDocument/2006/relationships/hyperlink" Target="https://docs.google.com/document/d/1YZmKuHTmL6dRqK2bgCeUvrI-xbkDE6JEErxhTrOSmNQ/edit?usp=sharing" TargetMode="External"/><Relationship Id="rId21" Type="http://schemas.openxmlformats.org/officeDocument/2006/relationships/hyperlink" Target="https://docs.google.com/document/d/1yDxYFg2O0LM6oE0ORKE59vBSHrurdf4UR4yjb0K6pM4/edit?usp=sharing" TargetMode="External"/><Relationship Id="rId324" Type="http://schemas.openxmlformats.org/officeDocument/2006/relationships/hyperlink" Target="https://docs.google.com/document/d/1HhzJMVeUBZjWEOR_ujJg3j9aIt2cXRw4zCF-jaLJtfw/edit?usp=sharing" TargetMode="External"/><Relationship Id="rId531" Type="http://schemas.openxmlformats.org/officeDocument/2006/relationships/hyperlink" Target="https://docs.google.com/document/d/1t2ZVXSlz77imyrmY2dbKNE0UrIn7tWG8YNGEDUZvK0E/edit?usp=sharing" TargetMode="External"/><Relationship Id="rId629" Type="http://schemas.openxmlformats.org/officeDocument/2006/relationships/hyperlink" Target="https://docs.google.com/document/d/1c2-bBy09xm-o5BrS8sd5cyhzzUUr6tvOCQQWZN5Myfk/edit?usp=sharing" TargetMode="External"/><Relationship Id="rId170" Type="http://schemas.openxmlformats.org/officeDocument/2006/relationships/hyperlink" Target="https://docs.google.com/document/d/1jrJQytbD-qg3IWpjopJyyRsmpVI-27LXLqLLxf6BU-g/edit?usp=sharing" TargetMode="External"/><Relationship Id="rId836" Type="http://schemas.openxmlformats.org/officeDocument/2006/relationships/hyperlink" Target="https://docs.google.com/document/d/1nwo511vdfuFFxaWtUbwBcB-iSQR7ZG-E5lsA7tqS_tk/edit?usp=sharing" TargetMode="External"/><Relationship Id="rId268" Type="http://schemas.openxmlformats.org/officeDocument/2006/relationships/hyperlink" Target="https://docs.google.com/document/d/1hv0mtnS_12QOJZgKJXE2kRKfRSscEDL9ohxEpOgZ_OM/edit?usp=sharing" TargetMode="External"/><Relationship Id="rId475" Type="http://schemas.openxmlformats.org/officeDocument/2006/relationships/hyperlink" Target="https://docs.google.com/document/d/1_rCdstjOI_-6uaJbXOpk5_ifGvWi-L7d-LT0JfMDbKw/edit?usp=sharing" TargetMode="External"/><Relationship Id="rId682" Type="http://schemas.openxmlformats.org/officeDocument/2006/relationships/hyperlink" Target="https://docs.google.com/document/d/18zZLw8oYRzx9-561pF_zX6S0E8CZPP-gRttk6RkgMnI/edit?usp=sharing" TargetMode="External"/><Relationship Id="rId903" Type="http://schemas.openxmlformats.org/officeDocument/2006/relationships/hyperlink" Target="https://docs.google.com/document/d/1YJ2OJJlzqIc5DBBAy65VfdeQviO02qrDPfJU73wj6qQ/edit?usp=sharing" TargetMode="External"/><Relationship Id="rId32" Type="http://schemas.openxmlformats.org/officeDocument/2006/relationships/hyperlink" Target="https://docs.google.com/document/d/1KaMW5EmoaT3BnwLxyOUIbcnweMZX1ZNR69RbzepZ3xQ/edit?usp=sharing" TargetMode="External"/><Relationship Id="rId128" Type="http://schemas.openxmlformats.org/officeDocument/2006/relationships/hyperlink" Target="https://docs.google.com/document/d/1kIlAUkQZkkZbyar7L9NZ75VxqLTQfJqWSx2a7JgwTNc/edit?usp=sharing" TargetMode="External"/><Relationship Id="rId335" Type="http://schemas.openxmlformats.org/officeDocument/2006/relationships/hyperlink" Target="https://docs.google.com/document/d/1uZNzmg4GZTuL_VozUA_MgCa3lyEPj8bSMntgxsYfTU0/edit?usp=sharing" TargetMode="External"/><Relationship Id="rId542" Type="http://schemas.openxmlformats.org/officeDocument/2006/relationships/hyperlink" Target="https://docs.google.com/document/d/1MlO4RcyBbasR4Mj0CZ_0qNxTshnb64YZw8ACsO7WNTg/edit?usp=sharing" TargetMode="External"/><Relationship Id="rId987" Type="http://schemas.openxmlformats.org/officeDocument/2006/relationships/hyperlink" Target="https://docs.google.com/document/d/16u-tEwvsvseWJlPeIXtZ1DU2C1SQ-dQ1-eSWcu-N48o/edit?usp=sharing" TargetMode="External"/><Relationship Id="rId181" Type="http://schemas.openxmlformats.org/officeDocument/2006/relationships/hyperlink" Target="https://docs.google.com/document/d/1M4uAubYpS0jUTA9TlcO2CC2sehcSxhwD-tiDNQeh93E/edit?usp=sharing" TargetMode="External"/><Relationship Id="rId402" Type="http://schemas.openxmlformats.org/officeDocument/2006/relationships/hyperlink" Target="https://docs.google.com/document/d/1fHZbKS5TdDf5r3V4GL1orrAyxX82NfsJVD9_bJsQWhk/edit?usp=sharing" TargetMode="External"/><Relationship Id="rId847" Type="http://schemas.openxmlformats.org/officeDocument/2006/relationships/hyperlink" Target="https://docs.google.com/document/d/1vzlb80fR4fVwct6NZmu_Ay0kGXdAGW1MuWfPermvFoo/edit?usp=sharing" TargetMode="External"/><Relationship Id="rId279" Type="http://schemas.openxmlformats.org/officeDocument/2006/relationships/hyperlink" Target="https://docs.google.com/document/d/1zQLzol3_PWqER5v8ro4k0av-1ieVpUVXh0_U-bg--nQ/edit?usp=sharing" TargetMode="External"/><Relationship Id="rId486" Type="http://schemas.openxmlformats.org/officeDocument/2006/relationships/hyperlink" Target="https://docs.google.com/document/d/1b9lHUuNEiD2Et7aUchD5xGZRT1-5_6jhbyomCIlCg8s/edit?usp=sharing" TargetMode="External"/><Relationship Id="rId693" Type="http://schemas.openxmlformats.org/officeDocument/2006/relationships/hyperlink" Target="https://docs.google.com/document/d/12SZhIrLnmkifD-n12kISUOICIBXocfB_06Sgcjwsmj0/edit?usp=sharing" TargetMode="External"/><Relationship Id="rId707" Type="http://schemas.openxmlformats.org/officeDocument/2006/relationships/hyperlink" Target="https://docs.google.com/document/d/1EBPBL6HVXLhp-brFtSw32bKXhH2ZL6WpM8NQopkQaI8/edit?usp=sharing" TargetMode="External"/><Relationship Id="rId914" Type="http://schemas.openxmlformats.org/officeDocument/2006/relationships/hyperlink" Target="https://docs.google.com/document/d/1-dLt1eud0yPu5yny4hV5BHcyiuXCzeYiNIiOT6BLKzM/edit?usp=sharing" TargetMode="External"/><Relationship Id="rId43" Type="http://schemas.openxmlformats.org/officeDocument/2006/relationships/hyperlink" Target="https://docs.google.com/document/d/1yeebIVL5rg4kvSNgabsOkPPMDOGfewsDQUMfSN4hwQs/edit?usp=sharing" TargetMode="External"/><Relationship Id="rId139" Type="http://schemas.openxmlformats.org/officeDocument/2006/relationships/hyperlink" Target="https://docs.google.com/document/d/1Lnmj9ZyBJl3NgmlUrxIOzFlC13Hm0K2NXhl6ZMqO2fM/edit?usp=sharing" TargetMode="External"/><Relationship Id="rId346" Type="http://schemas.openxmlformats.org/officeDocument/2006/relationships/hyperlink" Target="https://docs.google.com/document/d/1xJg24ojlqs_UNwm4HHSPLfQeYMtJA5ummpi-_-XOQeI/edit?usp=drive_link" TargetMode="External"/><Relationship Id="rId553" Type="http://schemas.openxmlformats.org/officeDocument/2006/relationships/hyperlink" Target="https://docs.google.com/document/d/14K4x3G7s9IvtjwZk8AQhNjOltt6QYDvyH0PdGRkz1GQ/edit?usp=sharing" TargetMode="External"/><Relationship Id="rId760" Type="http://schemas.openxmlformats.org/officeDocument/2006/relationships/hyperlink" Target="https://docs.google.com/document/d/1gpEemVpC1pLx7PR6_eanBCwAqJmJTBqVgLYdv5gKJjc/edit?usp=sharing" TargetMode="External"/><Relationship Id="rId998" Type="http://schemas.openxmlformats.org/officeDocument/2006/relationships/hyperlink" Target="https://docs.google.com/document/d/14T4XGiSWc1HC6hC1hoq9WS3mdKmLKCYU1gEJ0zFf5pI/edit?usp=sharing" TargetMode="External"/><Relationship Id="rId192" Type="http://schemas.openxmlformats.org/officeDocument/2006/relationships/hyperlink" Target="https://docs.google.com/document/d/1OiaS1h8_QprwLwLk64ZtlGoQS08yAfKJBbCpMYN33ZI/edit?usp=sharing" TargetMode="External"/><Relationship Id="rId206" Type="http://schemas.openxmlformats.org/officeDocument/2006/relationships/hyperlink" Target="https://docs.google.com/document/d/1P2EWyAwSteTkHcs-QIlswtbbHKldnfvIyjQ54-Syo88/edit?usp=sharing" TargetMode="External"/><Relationship Id="rId413" Type="http://schemas.openxmlformats.org/officeDocument/2006/relationships/hyperlink" Target="https://docs.google.com/document/d/10zyO368LhWMOuszJ0BEMi481Gsz-VUFEsYVn3q_5wtI/edit?usp=sharing" TargetMode="External"/><Relationship Id="rId858" Type="http://schemas.openxmlformats.org/officeDocument/2006/relationships/hyperlink" Target="https://docs.google.com/document/d/1yJ1xUkdXF-9sGMXHZhJspRUMWw1yr02ujYQ3HjA1AcM/edit?usp=sharing" TargetMode="External"/><Relationship Id="rId497" Type="http://schemas.openxmlformats.org/officeDocument/2006/relationships/hyperlink" Target="https://docs.google.com/document/d/1jkK67fppUZHLJ2QlnppB9GUdbMfoHruRSmjs1KUyoOU/edit?usp=sharing" TargetMode="External"/><Relationship Id="rId620" Type="http://schemas.openxmlformats.org/officeDocument/2006/relationships/hyperlink" Target="https://docs.google.com/document/d/1NVmCS_GVZAUNVfIODgQhOudMpV-0MSSFbqIeSFvBViQ/edit?usp=sharing" TargetMode="External"/><Relationship Id="rId718" Type="http://schemas.openxmlformats.org/officeDocument/2006/relationships/hyperlink" Target="https://docs.google.com/document/d/1a3ZR3MGt1C_xiC1SDYKmGYOh9CFzt0yS8Eqvvf49ukE/edit?usp=sharing" TargetMode="External"/><Relationship Id="rId925" Type="http://schemas.openxmlformats.org/officeDocument/2006/relationships/hyperlink" Target="https://docs.google.com/document/d/1WmVyVq-Rq2EPb3qPHyjqiFbhUnM5JPqkc9ZACIzxbPc/edit?usp=sharing" TargetMode="External"/><Relationship Id="rId357" Type="http://schemas.openxmlformats.org/officeDocument/2006/relationships/hyperlink" Target="https://docs.google.com/document/d/1DTp4hN7uug2rqVIu_FgU5wYQ92k6869r2WlHEJjNr3o/edit?usp=drive_link" TargetMode="External"/><Relationship Id="rId54" Type="http://schemas.openxmlformats.org/officeDocument/2006/relationships/hyperlink" Target="https://docs.google.com/document/d/143Jz76hy4AmXM3Neo3XdN39UgYxGTvg2y8GLhAe4Z4s/edit?usp=sharing" TargetMode="External"/><Relationship Id="rId217" Type="http://schemas.openxmlformats.org/officeDocument/2006/relationships/hyperlink" Target="https://docs.google.com/document/d/1Fb-QZy4iTu5Sga_MmqGJM2TugR3h1gLgzcnVRf1gwiE/edit?usp=sharing" TargetMode="External"/><Relationship Id="rId564" Type="http://schemas.openxmlformats.org/officeDocument/2006/relationships/hyperlink" Target="https://docs.google.com/document/d/1ekhD60DQUfiVzBs4DWR9uiNxbgHssAycCn5myXadT9c/edit?usp=sharing" TargetMode="External"/><Relationship Id="rId771" Type="http://schemas.openxmlformats.org/officeDocument/2006/relationships/hyperlink" Target="https://docs.google.com/document/d/1E-c9FkDl86IYx1RAWd7gsQtq-P80mgCik7yht3Ki1Gk/edit?usp=sharing" TargetMode="External"/><Relationship Id="rId869" Type="http://schemas.openxmlformats.org/officeDocument/2006/relationships/hyperlink" Target="https://docs.google.com/document/d/19PG0VA5wVPMRuQR8aYR3IRS-RcsJjNPRcIsuwf-mkcE/edit?usp=sharing" TargetMode="External"/><Relationship Id="rId424" Type="http://schemas.openxmlformats.org/officeDocument/2006/relationships/hyperlink" Target="https://docs.google.com/document/d/1T1blyXPz8UVhK4rBI9_zhnX_ilNP9-lrC9mZZ4RZ3f8/edit?usp=sharing" TargetMode="External"/><Relationship Id="rId631" Type="http://schemas.openxmlformats.org/officeDocument/2006/relationships/hyperlink" Target="https://docs.google.com/document/d/1lOnA00hZxlE9XyRcDlS8LXASRmgCNDgKEEwsW0R8Uu8/edit?usp=sharing" TargetMode="External"/><Relationship Id="rId729" Type="http://schemas.openxmlformats.org/officeDocument/2006/relationships/hyperlink" Target="https://docs.google.com/document/d/1xP8r6QTuisfcmD-EWI282lOSfHiBdIrcUYZiGtdztiI/edit?usp=sharing" TargetMode="External"/><Relationship Id="rId270" Type="http://schemas.openxmlformats.org/officeDocument/2006/relationships/hyperlink" Target="https://docs.google.com/document/d/1hOU91MEPo9thIoxuM0rK7HnGlcakNT4tJqQP5Nq7bTo/edit?usp=sharing" TargetMode="External"/><Relationship Id="rId936" Type="http://schemas.openxmlformats.org/officeDocument/2006/relationships/hyperlink" Target="https://docs.google.com/document/d/11kAPinld6tJMlnSCGWE4Eau6DI86ys-sgZc-UEJ9FlQ/edit?usp=sharing" TargetMode="External"/><Relationship Id="rId65" Type="http://schemas.openxmlformats.org/officeDocument/2006/relationships/hyperlink" Target="https://docs.google.com/document/d/1iQd71yI0N9trjs-IgDS_n_Cl2OMCheYg1JP5-ud35DU/edit?usp=sharing" TargetMode="External"/><Relationship Id="rId130" Type="http://schemas.openxmlformats.org/officeDocument/2006/relationships/hyperlink" Target="https://docs.google.com/document/d/1lUH6xaw8qxBEOId-XelFs9UIoIl3DcnB7l2sAo5z_kY/edit?usp=sharing" TargetMode="External"/><Relationship Id="rId368" Type="http://schemas.openxmlformats.org/officeDocument/2006/relationships/hyperlink" Target="https://docs.google.com/document/d/1aEPZTRrw5JbIrzNee5h0nZmDq-31zyB4ywjs6WTvUy4/edit?usp=drive_link" TargetMode="External"/><Relationship Id="rId575" Type="http://schemas.openxmlformats.org/officeDocument/2006/relationships/hyperlink" Target="https://docs.google.com/document/d/1ygLcVDLEWt1R0mWXS2NU2tooUfC89NEd_vznbQdrNcw/edit?usp=sharing" TargetMode="External"/><Relationship Id="rId782" Type="http://schemas.openxmlformats.org/officeDocument/2006/relationships/hyperlink" Target="https://docs.google.com/document/d/1at4SG8at2quzOLf2tBm4JMh0flPDk-n-lLqsHglQ01M/edit?usp=sharing" TargetMode="External"/><Relationship Id="rId228" Type="http://schemas.openxmlformats.org/officeDocument/2006/relationships/hyperlink" Target="https://docs.google.com/document/d/1gOtNg0qVewM5STNRhpFKTnzwMQu2HNkX2KvmPwb5vQU/edit?usp=sharing" TargetMode="External"/><Relationship Id="rId435" Type="http://schemas.openxmlformats.org/officeDocument/2006/relationships/hyperlink" Target="https://docs.google.com/document/d/1zJ_4ZJvxnyZh28FjqHaFAAA8CliOFEV-GtRak1gy2aw/edit?usp=drive_link" TargetMode="External"/><Relationship Id="rId642" Type="http://schemas.openxmlformats.org/officeDocument/2006/relationships/hyperlink" Target="https://docs.google.com/document/d/18DgsWa7grQNfRvJWGkNvWvErtOgOn4Xsva80-RVUpBY/edit?usp=sharing" TargetMode="External"/><Relationship Id="rId281" Type="http://schemas.openxmlformats.org/officeDocument/2006/relationships/hyperlink" Target="https://docs.google.com/document/d/15AB5pNgjto1gT8kO-_e4aGwVonx95ZDyJdMyDtoGBUk/edit?usp=sharing" TargetMode="External"/><Relationship Id="rId502" Type="http://schemas.openxmlformats.org/officeDocument/2006/relationships/hyperlink" Target="https://docs.google.com/document/d/1X45_vRnrut0HrlF0pYgptnuIBawN-vvbaXlgqUKkGqA/edit?usp=sharing" TargetMode="External"/><Relationship Id="rId947" Type="http://schemas.openxmlformats.org/officeDocument/2006/relationships/hyperlink" Target="https://docs.google.com/document/d/1Dr6g3NIkEEHUEu9k8VhHjg8rS3-XLachwgh_CX-RYbw/edit?usp=sharing" TargetMode="External"/><Relationship Id="rId76" Type="http://schemas.openxmlformats.org/officeDocument/2006/relationships/hyperlink" Target="https://docs.google.com/document/d/1ltkJ292eKsmMRzUq_Qfwk6huE9EnK6dLcrCvWpfBZVU/edit?usp=sharing" TargetMode="External"/><Relationship Id="rId141" Type="http://schemas.openxmlformats.org/officeDocument/2006/relationships/hyperlink" Target="https://docs.google.com/document/d/17ReYgwJf2u4gV8JR02PhRUjCkRGfFiD6XlOJ3EEC61I/edit?usp=sharing" TargetMode="External"/><Relationship Id="rId379" Type="http://schemas.openxmlformats.org/officeDocument/2006/relationships/hyperlink" Target="https://docs.google.com/document/d/1wAO6ZNrE_gUaQxoOzCDGF9BqZdV2OTh_wMLi0SLEbcY/edit?usp=drive_link" TargetMode="External"/><Relationship Id="rId586" Type="http://schemas.openxmlformats.org/officeDocument/2006/relationships/hyperlink" Target="https://docs.google.com/document/d/1mPDPXaN-HW0laKc-j02w5CBqRvG9oe1sRlcgrs_Ovcg/edit?usp=sharing" TargetMode="External"/><Relationship Id="rId793" Type="http://schemas.openxmlformats.org/officeDocument/2006/relationships/hyperlink" Target="https://docs.google.com/document/d/1FgWgC00hEJQYtfchcHUr6uU299ncBmLcMgBoyrwOT98/edit?usp=sharing" TargetMode="External"/><Relationship Id="rId807" Type="http://schemas.openxmlformats.org/officeDocument/2006/relationships/hyperlink" Target="https://docs.google.com/document/d/11rGbnOoj6P9qZx1ke-sqsLwtTP9VWxOIIL2zcAIeC4E/edit?usp=sharing" TargetMode="External"/><Relationship Id="rId7" Type="http://schemas.openxmlformats.org/officeDocument/2006/relationships/hyperlink" Target="https://docs.google.com/document/d/1q7qww9--b7VoriHvcRyyznbRYU06Wdk2281APDKURKU/edit?usp=sharing" TargetMode="External"/><Relationship Id="rId239" Type="http://schemas.openxmlformats.org/officeDocument/2006/relationships/hyperlink" Target="https://docs.google.com/document/d/1musDDA1XGm677v8wvDh0teGe1PpHsy4NGTZIkdMMRFk/edit?usp=sharing" TargetMode="External"/><Relationship Id="rId446" Type="http://schemas.openxmlformats.org/officeDocument/2006/relationships/hyperlink" Target="https://docs.google.com/document/d/1-accruyoR0HhRLpNfhVKKrU0-DTYduhZFT1yZgnlAYw/edit?usp=sharing" TargetMode="External"/><Relationship Id="rId653" Type="http://schemas.openxmlformats.org/officeDocument/2006/relationships/hyperlink" Target="https://docs.google.com/document/d/1rSrtJ89LFr6d07XtiCiUWa4xxKKhbdDTtoxmTAkOGS8/edit?usp=sharing" TargetMode="External"/><Relationship Id="rId292" Type="http://schemas.openxmlformats.org/officeDocument/2006/relationships/hyperlink" Target="https://docs.google.com/document/d/1uF4yGujruceFjB50vmUC98BY3tB3vI7KXagAKoDZAZQ/edit?usp=sharing" TargetMode="External"/><Relationship Id="rId306" Type="http://schemas.openxmlformats.org/officeDocument/2006/relationships/hyperlink" Target="https://docs.google.com/document/d/1Ulptt5afnL-YfWtgVKoPDciEgcSUXOdI8uyYryj36e4/edit?usp=sharing" TargetMode="External"/><Relationship Id="rId860" Type="http://schemas.openxmlformats.org/officeDocument/2006/relationships/hyperlink" Target="https://docs.google.com/document/d/1TJRpF6LYyYb7ER9tcgp9t5W2uQafzsJ2xRK_FSHYVVY/edit?usp=sharing" TargetMode="External"/><Relationship Id="rId958" Type="http://schemas.openxmlformats.org/officeDocument/2006/relationships/hyperlink" Target="https://docs.google.com/document/d/1l7jtb1wIewzl-Zww8n9Zdmf1ggYVAJEhS3OLxT3yIPM/edit?usp=sharing" TargetMode="External"/><Relationship Id="rId87" Type="http://schemas.openxmlformats.org/officeDocument/2006/relationships/hyperlink" Target="https://docs.google.com/document/d/1IyPP7ClrbANg7oMR2r1C0koPcLeRDPCB5Z_Z0w9NB3o/edit?usp=sharing" TargetMode="External"/><Relationship Id="rId513" Type="http://schemas.openxmlformats.org/officeDocument/2006/relationships/hyperlink" Target="https://docs.google.com/document/d/1j8ZqbWjmwjje5prGukXIj4AvYKlD7bacHd07dvm9yjo/edit?usp=sharing" TargetMode="External"/><Relationship Id="rId597" Type="http://schemas.openxmlformats.org/officeDocument/2006/relationships/hyperlink" Target="https://docs.google.com/document/d/1t9XvyAJgPGC0i7uth-XWBAjg5MWmCZ2wGVxBZFAqaI0/edit?usp=sharing" TargetMode="External"/><Relationship Id="rId720" Type="http://schemas.openxmlformats.org/officeDocument/2006/relationships/hyperlink" Target="https://docs.google.com/document/d/1A-OmvFjgAsIOf9SPg-jAINwgNSkvxNTG3MMhYdOgLVY/edit?usp=sharing" TargetMode="External"/><Relationship Id="rId818" Type="http://schemas.openxmlformats.org/officeDocument/2006/relationships/hyperlink" Target="https://docs.google.com/document/d/1sllx2GFuWqZhQDbXndmYKgF-w0rmaPj5_vC1pNTffHI/edit?usp=sharing" TargetMode="External"/><Relationship Id="rId152" Type="http://schemas.openxmlformats.org/officeDocument/2006/relationships/hyperlink" Target="https://docs.google.com/document/d/1EBGAgF4RPvsNfAe2rYSafc3kxQKentHIMYHtREmCB3g/edit?usp=sharing" TargetMode="External"/><Relationship Id="rId457" Type="http://schemas.openxmlformats.org/officeDocument/2006/relationships/hyperlink" Target="https://docs.google.com/document/d/1B43hIw56SUqMpK6COISBtHRezEz3snyjhoLLdhgY-6s/edit?usp=sharing" TargetMode="External"/><Relationship Id="rId664" Type="http://schemas.openxmlformats.org/officeDocument/2006/relationships/hyperlink" Target="https://docs.google.com/document/d/1uzCadX3Vi0NGqwRK0g7h3l1MxTGHllIwRPLvU6FRmo0/edit?usp=sharing" TargetMode="External"/><Relationship Id="rId871" Type="http://schemas.openxmlformats.org/officeDocument/2006/relationships/hyperlink" Target="https://docs.google.com/document/d/1fEZtqC-TiuoslN9xKR3PdMNyPOLdRSVHham5M4UaNu8/edit?usp=sharing" TargetMode="External"/><Relationship Id="rId969" Type="http://schemas.openxmlformats.org/officeDocument/2006/relationships/hyperlink" Target="https://docs.google.com/document/d/1GSbLzyEpxPo-msmvOyQA5Z-Rqn9Q4Gr8rWwJK2tozhs/edit?usp=sharing" TargetMode="External"/><Relationship Id="rId14" Type="http://schemas.openxmlformats.org/officeDocument/2006/relationships/hyperlink" Target="https://docs.google.com/document/d/1ijGn_lRL7e5VRbPR5spJoDpQcgPLbkC7rs1TbUVjW0g/edit?usp=sharing" TargetMode="External"/><Relationship Id="rId317" Type="http://schemas.openxmlformats.org/officeDocument/2006/relationships/hyperlink" Target="https://docs.google.com/document/d/1QiO_U5uv9qRs3xQTNWMF7EkEOb1yLxfQl2H5Ipiqc_0/edit?usp=sharing" TargetMode="External"/><Relationship Id="rId524" Type="http://schemas.openxmlformats.org/officeDocument/2006/relationships/hyperlink" Target="https://docs.google.com/document/d/1TbuQQV74l1W8W4jVMLB3E5MWxPqPFFkg2h9Mdzf7lmo/edit?usp=sharing" TargetMode="External"/><Relationship Id="rId731" Type="http://schemas.openxmlformats.org/officeDocument/2006/relationships/hyperlink" Target="https://docs.google.com/document/d/1IlcQT90OmYTDL96w_slmfpnZFzUD5ADYwW3ayKuCe3w/edit?usp=sharing" TargetMode="External"/><Relationship Id="rId98" Type="http://schemas.openxmlformats.org/officeDocument/2006/relationships/hyperlink" Target="https://docs.google.com/document/d/1-CglCU-ofC5BMgWrdtpcAqwRpIYfEcn4B-tJXFKNh1A/edit?usp=sharing" TargetMode="External"/><Relationship Id="rId163" Type="http://schemas.openxmlformats.org/officeDocument/2006/relationships/hyperlink" Target="https://docs.google.com/document/d/1KiW_pCs_hNgRUasiefl8K0b4auXbaOyIjb41_-tjFJI/edit?usp=sharing" TargetMode="External"/><Relationship Id="rId370" Type="http://schemas.openxmlformats.org/officeDocument/2006/relationships/hyperlink" Target="https://docs.google.com/document/d/1MM7T5m00R9bMzzDhtvhSiQbO9BtFRBFf9oxjF7UMFJY/edit?usp=drive_link" TargetMode="External"/><Relationship Id="rId829" Type="http://schemas.openxmlformats.org/officeDocument/2006/relationships/hyperlink" Target="https://docs.google.com/document/d/1PxXjHn3AqF5eCVrz3l6iFhsjocQi_NYbExgdvXK3WTw/edit?usp=sharing" TargetMode="External"/><Relationship Id="rId230" Type="http://schemas.openxmlformats.org/officeDocument/2006/relationships/hyperlink" Target="https://docs.google.com/document/d/1ena0Wuq_G69nS0LbBGv-002c2KJrBEjkNKbwUN2986k/edit?usp=sharing" TargetMode="External"/><Relationship Id="rId468" Type="http://schemas.openxmlformats.org/officeDocument/2006/relationships/hyperlink" Target="https://docs.google.com/document/d/15vEE_u_0dMUI3vsCX7KnZ2-oTgnL17Hwpqu2i4IFCUU/edit?usp=sharing" TargetMode="External"/><Relationship Id="rId675" Type="http://schemas.openxmlformats.org/officeDocument/2006/relationships/hyperlink" Target="https://docs.google.com/document/d/15nt6uqlFHh0bFQ8cs6cVrq_6RQ2clLj5Qqh3BNv8dw4/edit?usp=sharing" TargetMode="External"/><Relationship Id="rId882" Type="http://schemas.openxmlformats.org/officeDocument/2006/relationships/hyperlink" Target="https://docs.google.com/document/d/13fPUoBYu4cx-p2NbK416otw154Ph_SN6d2DlLzLhYo0/edit?usp=sharing" TargetMode="External"/><Relationship Id="rId25" Type="http://schemas.openxmlformats.org/officeDocument/2006/relationships/hyperlink" Target="https://docs.google.com/document/d/1O5Y1igYnQmCTXPEzqQamAU6tEsYRh0FS_de9cXyqp3s/edit?usp=sharing" TargetMode="External"/><Relationship Id="rId328" Type="http://schemas.openxmlformats.org/officeDocument/2006/relationships/hyperlink" Target="https://docs.google.com/document/d/1_hIjMKtBxoZyV1GKvcUHHMw9R7kbumgtMEd0NpFgQhA/edit?usp=sharing" TargetMode="External"/><Relationship Id="rId535" Type="http://schemas.openxmlformats.org/officeDocument/2006/relationships/hyperlink" Target="https://docs.google.com/document/d/1uYej8a__8OIfoa96T4SHUFUvSH4NuG92klNS3uMhpmY/edit?usp=sharing" TargetMode="External"/><Relationship Id="rId742" Type="http://schemas.openxmlformats.org/officeDocument/2006/relationships/hyperlink" Target="https://docs.google.com/document/d/12yPrUGorOfIlI0e58898y8mZ3tlG9Ct8-Zt7AeWb2y8/edit?usp=sharing" TargetMode="External"/><Relationship Id="rId174" Type="http://schemas.openxmlformats.org/officeDocument/2006/relationships/hyperlink" Target="https://docs.google.com/document/d/1asXK9I93QTMH4XE45oHcImo7WPH8pzp_gpRGxeIkFkI/edit?usp=sharing" TargetMode="External"/><Relationship Id="rId381" Type="http://schemas.openxmlformats.org/officeDocument/2006/relationships/hyperlink" Target="https://docs.google.com/document/d/1_LrJWxCaratFXDB3Mge7JTF1k8iX5eVdv9sKNk1DT-M/edit?usp=drive_link" TargetMode="External"/><Relationship Id="rId602" Type="http://schemas.openxmlformats.org/officeDocument/2006/relationships/hyperlink" Target="https://docs.google.com/document/d/1q4ilWjnBLzDApBnklC3FV3vWY9jzPs_ocWyhfjP-IhA/edit?usp=sharing" TargetMode="External"/><Relationship Id="rId241" Type="http://schemas.openxmlformats.org/officeDocument/2006/relationships/hyperlink" Target="https://docs.google.com/document/d/1iKcc88L2o8Pyd5JqvujPOur_at4nrHHC3SUZfg4IW4w/edit?usp=sharing" TargetMode="External"/><Relationship Id="rId479" Type="http://schemas.openxmlformats.org/officeDocument/2006/relationships/hyperlink" Target="https://docs.google.com/document/d/1rrxj4hsGWmlLUI-KTHu1_aNU8wd9cUBNSXsokj9Phl0/edit?usp=sharing" TargetMode="External"/><Relationship Id="rId686" Type="http://schemas.openxmlformats.org/officeDocument/2006/relationships/hyperlink" Target="https://docs.google.com/document/d/12r2hW7oKrfdT8ogXLlDZqWXahCr2B0SZLHZIwYPbjYs/edit?usp=sharing" TargetMode="External"/><Relationship Id="rId893" Type="http://schemas.openxmlformats.org/officeDocument/2006/relationships/hyperlink" Target="https://docs.google.com/document/d/1wO1RMx_E9pR4Gnj104Sv_BZ_64dSuWrsCbbterayNxo/edit?usp=sharing" TargetMode="External"/><Relationship Id="rId907" Type="http://schemas.openxmlformats.org/officeDocument/2006/relationships/hyperlink" Target="https://docs.google.com/document/d/1N2uN6Sy4gIYqTpGVErcqVyayrNZVbmpiudy6pDwlyws/edit?usp=sharing" TargetMode="External"/><Relationship Id="rId36" Type="http://schemas.openxmlformats.org/officeDocument/2006/relationships/hyperlink" Target="https://docs.google.com/document/d/1V-W6j4Nql89icURDCE2KJq4HgYBnl4rA2tr2acQCcSA/edit?usp=sharing" TargetMode="External"/><Relationship Id="rId339" Type="http://schemas.openxmlformats.org/officeDocument/2006/relationships/hyperlink" Target="https://docs.google.com/document/d/1tftC-ZFdVRV41CvrufQ_kIGNKtgtSAcKL1msktBjIqg/edit?usp=drive_link" TargetMode="External"/><Relationship Id="rId546" Type="http://schemas.openxmlformats.org/officeDocument/2006/relationships/hyperlink" Target="https://docs.google.com/document/d/1yejJxpKOTpupLZEpwplU-9eLHRowuhh1lydjvuHvXX4/edit?usp=sharing" TargetMode="External"/><Relationship Id="rId753" Type="http://schemas.openxmlformats.org/officeDocument/2006/relationships/hyperlink" Target="https://docs.google.com/document/d/1_W7PZk32s2YC6TftJtubtkG8HUX1aDLHoPfac1ddqw8/edit?usp=sharing" TargetMode="External"/><Relationship Id="rId101" Type="http://schemas.openxmlformats.org/officeDocument/2006/relationships/hyperlink" Target="https://docs.google.com/document/d/1cUhqCcxvYd3cZkajblA4XLkCUnJNzJPo50JGW020aME/edit?usp=sharing" TargetMode="External"/><Relationship Id="rId185" Type="http://schemas.openxmlformats.org/officeDocument/2006/relationships/hyperlink" Target="https://docs.google.com/document/d/16nUkJZsr6xt5L6Bz6xbxL3cwNBWEKGFSDPu9Rh5KdT8/edit?usp=sharing" TargetMode="External"/><Relationship Id="rId406" Type="http://schemas.openxmlformats.org/officeDocument/2006/relationships/hyperlink" Target="https://docs.google.com/document/d/1bakHTkiai_nAWcKjfuVw6hvvCZIY_y_sYT27M1O5YEs/edit?usp=sharing" TargetMode="External"/><Relationship Id="rId960" Type="http://schemas.openxmlformats.org/officeDocument/2006/relationships/hyperlink" Target="https://docs.google.com/document/d/1oxoMYxoDVLFeO0prd-y1lGkUlkE8w5IWubecRhSVaUo/edit?usp=sharing" TargetMode="External"/><Relationship Id="rId392" Type="http://schemas.openxmlformats.org/officeDocument/2006/relationships/hyperlink" Target="https://docs.google.com/document/d/1yyvC9hlfdIQcYBjeypE_sPrqILmCJCAT8JRI7aNASGM/edit?usp=drive_link" TargetMode="External"/><Relationship Id="rId613" Type="http://schemas.openxmlformats.org/officeDocument/2006/relationships/hyperlink" Target="https://docs.google.com/document/d/1v0nLD_wIICClihEdOyQXD0TF1TbSwuv6BIJPIdq1vNg/edit?usp=sharing" TargetMode="External"/><Relationship Id="rId697" Type="http://schemas.openxmlformats.org/officeDocument/2006/relationships/hyperlink" Target="https://docs.google.com/document/d/1Pd_VqUKuiHyizdFWdsZhqfLc2sTqRtKBGMpEfAqsgq4/edit?usp=sharing" TargetMode="External"/><Relationship Id="rId820" Type="http://schemas.openxmlformats.org/officeDocument/2006/relationships/hyperlink" Target="https://docs.google.com/document/d/1BTlTn1RkEMWBbWyjtGR6Dtgdhm6cbXPU5aUeruc1MNo/edit?usp=sharing" TargetMode="External"/><Relationship Id="rId918" Type="http://schemas.openxmlformats.org/officeDocument/2006/relationships/hyperlink" Target="https://docs.google.com/document/d/1zbh-_9l-tcz4oPs788pFU3_8wsWtlUtsisSpSVCNro0/edit?usp=sharing" TargetMode="External"/><Relationship Id="rId252" Type="http://schemas.openxmlformats.org/officeDocument/2006/relationships/hyperlink" Target="https://docs.google.com/document/d/18lL1bnc-IIZmAqSDkRv3RVyb_2QGo33hx1JMeyhEPdk/edit?usp=sharing" TargetMode="External"/><Relationship Id="rId47" Type="http://schemas.openxmlformats.org/officeDocument/2006/relationships/hyperlink" Target="https://docs.google.com/document/d/1dh_Tf0PK8bB24YOuje-Je_SoqlkIvR2nLNzun9CREYc/edit?usp=sharing" TargetMode="External"/><Relationship Id="rId112" Type="http://schemas.openxmlformats.org/officeDocument/2006/relationships/hyperlink" Target="https://docs.google.com/document/d/1mAiE7iGRidPhx7-Bk2W14Kmu-zy3d_3LP2tgGvu5ADc/edit?usp=sharing" TargetMode="External"/><Relationship Id="rId557" Type="http://schemas.openxmlformats.org/officeDocument/2006/relationships/hyperlink" Target="https://docs.google.com/document/d/1u4zBl2ABBpS23Ruc-H3Gk8ZUndJD7Z44wVbJk9FfASw/edit?usp=sharing" TargetMode="External"/><Relationship Id="rId764" Type="http://schemas.openxmlformats.org/officeDocument/2006/relationships/hyperlink" Target="https://docs.google.com/document/d/1_f6Y0tDu2zi64HfzYI79CRhzm98QNzerkhzASssW4s0/edit?usp=sharing" TargetMode="External"/><Relationship Id="rId971" Type="http://schemas.openxmlformats.org/officeDocument/2006/relationships/hyperlink" Target="https://docs.google.com/document/d/1okmiYZ4uumkKNHWam0fdyjzELE5oNb89drh28E5JAIA/edit?usp=sharing" TargetMode="External"/><Relationship Id="rId196" Type="http://schemas.openxmlformats.org/officeDocument/2006/relationships/hyperlink" Target="https://docs.google.com/document/d/1haMMBcB6vPBcQLMILZWDOgaHYWR7AmqZfPEWSCZ6b0s/edit?usp=sharing" TargetMode="External"/><Relationship Id="rId417" Type="http://schemas.openxmlformats.org/officeDocument/2006/relationships/hyperlink" Target="https://docs.google.com/document/d/1KF4xEot2Tr6LV2xm8H97U6d3qRskRL73TFhxjMc77qo/edit?usp=drive_link" TargetMode="External"/><Relationship Id="rId624" Type="http://schemas.openxmlformats.org/officeDocument/2006/relationships/hyperlink" Target="https://docs.google.com/document/d/10zGS6JiOOiRsuajTlF1MXOVIchXSXxLWLixeDgc4hWg/edit?usp=sharing" TargetMode="External"/><Relationship Id="rId831" Type="http://schemas.openxmlformats.org/officeDocument/2006/relationships/hyperlink" Target="https://docs.google.com/document/d/1_5o4G5DMbV0ldBxnL1jAQKMCxpUUb6P5H0sDfs_xLEs/edit?usp=sharing" TargetMode="External"/><Relationship Id="rId263" Type="http://schemas.openxmlformats.org/officeDocument/2006/relationships/hyperlink" Target="https://docs.google.com/document/d/1RKo2rl_DyI-djDouTZIv65bKk6_QdG-IVG66EnoAAkI/edit?usp=sharing" TargetMode="External"/><Relationship Id="rId470" Type="http://schemas.openxmlformats.org/officeDocument/2006/relationships/hyperlink" Target="https://docs.google.com/document/d/1QC_ZlcPEqJ4_8Pi2MbpanwX9DUHySDTHOsqHSMR2WwY/edit?usp=sharing" TargetMode="External"/><Relationship Id="rId929" Type="http://schemas.openxmlformats.org/officeDocument/2006/relationships/hyperlink" Target="https://docs.google.com/document/d/1cwlkdwnXiYoDV7M_jCAluGLu8yEVRWeGWG0xSddCqdA/edit?usp=sharing" TargetMode="External"/><Relationship Id="rId58" Type="http://schemas.openxmlformats.org/officeDocument/2006/relationships/hyperlink" Target="https://docs.google.com/document/d/1gF083WYmMew2HmaN-Yc21zPkkEX5V6qgUjYKd4xKkdg/edit?usp=sharing" TargetMode="External"/><Relationship Id="rId123" Type="http://schemas.openxmlformats.org/officeDocument/2006/relationships/hyperlink" Target="https://docs.google.com/document/d/1ZYmYb1oe2hiOAO022EQ8kSR071BaT3sQTCMHUgO6QHQ/edit?usp=sharing" TargetMode="External"/><Relationship Id="rId330" Type="http://schemas.openxmlformats.org/officeDocument/2006/relationships/hyperlink" Target="https://docs.google.com/document/d/1vnmdw6leF0mx7yUDfaohlFJhkcB5vVEGWtC0s5N7vgI/edit?usp=sharing" TargetMode="External"/><Relationship Id="rId568" Type="http://schemas.openxmlformats.org/officeDocument/2006/relationships/hyperlink" Target="https://docs.google.com/document/d/1SgOtvA-4BHpGDYFviTmXkbXb0wUWa2w13SE4XtzpcmY/edit?usp=sharing" TargetMode="External"/><Relationship Id="rId775" Type="http://schemas.openxmlformats.org/officeDocument/2006/relationships/hyperlink" Target="https://docs.google.com/document/d/1CSlYy51yExuUp199VLijfO5IwxINTak1xKJcBTpnzyw/edit?usp=sharing" TargetMode="External"/><Relationship Id="rId982" Type="http://schemas.openxmlformats.org/officeDocument/2006/relationships/hyperlink" Target="https://docs.google.com/document/d/15i1VMX4o7XWB6xwGnBM-BFE7wcFIMNb8o4jUoqB5a6A/edit?usp=sharing" TargetMode="External"/><Relationship Id="rId428" Type="http://schemas.openxmlformats.org/officeDocument/2006/relationships/hyperlink" Target="https://docs.google.com/document/d/1m4V0V8rdPefU9xhRI4dJlcBVfZVz3dpUGHWYcJzSkNY/edit?usp=sharing" TargetMode="External"/><Relationship Id="rId635" Type="http://schemas.openxmlformats.org/officeDocument/2006/relationships/hyperlink" Target="https://docs.google.com/document/d/1A5aOfegoPDkKGOhOad-Q2gK3mCI8WaUKOMpD_VR7-_k/edit?usp=sharing" TargetMode="External"/><Relationship Id="rId842" Type="http://schemas.openxmlformats.org/officeDocument/2006/relationships/hyperlink" Target="https://docs.google.com/document/d/1i6irD7XXkcvyNeEOYH96dw5xKgJYqvz4Y0R1JTtN4Qs/edit?usp=sharing" TargetMode="External"/><Relationship Id="rId274" Type="http://schemas.openxmlformats.org/officeDocument/2006/relationships/hyperlink" Target="https://docs.google.com/document/d/1ykMcNjH80L6IwLHovsClfvtQx-_95S3_B5SMII5OIu4/edit?usp=sharing" TargetMode="External"/><Relationship Id="rId481" Type="http://schemas.openxmlformats.org/officeDocument/2006/relationships/hyperlink" Target="https://docs.google.com/document/d/1By_y9dmg1nKHrPP07uCx_XhtZgoNw6r9HChKCa-6VbQ/edit?usp=sharing" TargetMode="External"/><Relationship Id="rId702" Type="http://schemas.openxmlformats.org/officeDocument/2006/relationships/hyperlink" Target="https://docs.google.com/document/d/1Ip7Jv4HkscdFnHtk1oaGqVbO45WeTFiakh2X6W-LN9c/edit?usp=sharing" TargetMode="External"/><Relationship Id="rId69" Type="http://schemas.openxmlformats.org/officeDocument/2006/relationships/hyperlink" Target="https://docs.google.com/document/d/1ZgNRydgalKxoJx7ucpJ8v2WXHe1i_DPT0WxQhLP2AOs/edit?usp=sharing" TargetMode="External"/><Relationship Id="rId134" Type="http://schemas.openxmlformats.org/officeDocument/2006/relationships/hyperlink" Target="https://docs.google.com/document/d/1-8YxjeqQtU6ncdynIGw4-pQT76M3j5RsOgnBB0yGF7g/edit?usp=sharing" TargetMode="External"/><Relationship Id="rId579" Type="http://schemas.openxmlformats.org/officeDocument/2006/relationships/hyperlink" Target="https://docs.google.com/document/d/13K9sgZxQeJ07LwagvzaMuhLVtH_5Y1TqBT3gySc4o1E/edit?usp=sharing" TargetMode="External"/><Relationship Id="rId786" Type="http://schemas.openxmlformats.org/officeDocument/2006/relationships/hyperlink" Target="https://docs.google.com/document/d/1pv8hmckGsJPrw4xeGWPwQzTCtAjTQAa6xn8EiDCynZE/edit?usp=sharing" TargetMode="External"/><Relationship Id="rId993" Type="http://schemas.openxmlformats.org/officeDocument/2006/relationships/hyperlink" Target="https://docs.google.com/document/d/1wSZSz4doEP3rgV4hjHV0Fij944jU27UGNT9fKp_zff4/edit?usp=sharing" TargetMode="External"/><Relationship Id="rId341" Type="http://schemas.openxmlformats.org/officeDocument/2006/relationships/hyperlink" Target="https://docs.google.com/document/d/1FwOOIIriF0X-u7kyU6IoWUZrpimRB5MHvDLsINUK8ZI/edit?usp=drive_link" TargetMode="External"/><Relationship Id="rId439" Type="http://schemas.openxmlformats.org/officeDocument/2006/relationships/hyperlink" Target="https://docs.google.com/document/d/1X7vgt9jWHw75nmsJ2t_8cMGXZSspG0XjXmKjB9SOFfg/edit?usp=sharing" TargetMode="External"/><Relationship Id="rId646" Type="http://schemas.openxmlformats.org/officeDocument/2006/relationships/hyperlink" Target="https://docs.google.com/document/d/181kA4SIHFitMZCT-Y6gaoKMY4qwk4R2r8ObyZiIkpl0/edit?usp=sharing" TargetMode="External"/><Relationship Id="rId201" Type="http://schemas.openxmlformats.org/officeDocument/2006/relationships/hyperlink" Target="https://docs.google.com/document/d/1ickdSOB6655vXO-JZNoUWsI5O1f69nyfv4ULG8V08Vw/edit?usp=sharing" TargetMode="External"/><Relationship Id="rId285" Type="http://schemas.openxmlformats.org/officeDocument/2006/relationships/hyperlink" Target="https://docs.google.com/document/d/1ACekhcoP0Sj921vuUaLZfnyk4ZGbA-gQIbk3utYCs_c/edit?usp=sharing" TargetMode="External"/><Relationship Id="rId506" Type="http://schemas.openxmlformats.org/officeDocument/2006/relationships/hyperlink" Target="https://docs.google.com/document/d/1XP0aMZjLBqnC_9KIoa1Ytrnn7SDbUb1oiWdhSQ1ThD8/edit?usp=sharing" TargetMode="External"/><Relationship Id="rId853" Type="http://schemas.openxmlformats.org/officeDocument/2006/relationships/hyperlink" Target="https://docs.google.com/document/d/1PFdL5oc-HTmHfinA4pP_jSxCdzCUOAjFiHJUXz3J-lE/edit?usp=sharing" TargetMode="External"/><Relationship Id="rId492" Type="http://schemas.openxmlformats.org/officeDocument/2006/relationships/hyperlink" Target="https://docs.google.com/document/d/1Ct6rpkYCvHk2UfphnKLM2jsTCazgjrO8eNEs8xoUMP4/edit?usp=sharing" TargetMode="External"/><Relationship Id="rId713" Type="http://schemas.openxmlformats.org/officeDocument/2006/relationships/hyperlink" Target="https://docs.google.com/document/d/1nFvi4CiAll83hY1upbjGzvFlNQiVWHS8Lw8oAKyjAF4/edit?usp=sharing" TargetMode="External"/><Relationship Id="rId797" Type="http://schemas.openxmlformats.org/officeDocument/2006/relationships/hyperlink" Target="https://docs.google.com/document/d/11QRWd-9JVHEe4_j5yO4floNIZBpL9yAqIAB9qgn80bk/edit?usp=sharing" TargetMode="External"/><Relationship Id="rId920" Type="http://schemas.openxmlformats.org/officeDocument/2006/relationships/hyperlink" Target="https://docs.google.com/document/d/1zxjoaUTDCh98kjRdDWNffwNxbwR-2BFAZ9Fhf4RNuWk/edit?usp=sharing" TargetMode="External"/><Relationship Id="rId145" Type="http://schemas.openxmlformats.org/officeDocument/2006/relationships/hyperlink" Target="https://docs.google.com/document/d/16ixE6QdjT7RYgEssbjQ2pe_UvQY3JS8lPIlzUOm02BE/edit?usp=sharing" TargetMode="External"/><Relationship Id="rId352" Type="http://schemas.openxmlformats.org/officeDocument/2006/relationships/hyperlink" Target="https://docs.google.com/document/d/1c1Bb_-wZj9Fc17otGXq7jEIn8pjiEtwZyiNcoxT0N8Y/edit?usp=drive_link" TargetMode="External"/><Relationship Id="rId212" Type="http://schemas.openxmlformats.org/officeDocument/2006/relationships/hyperlink" Target="https://docs.google.com/document/d/1_38eFIVeDFvtVCbrJ8Ptfw6XvaKfjsJkTVKnSTwOtwY/edit?usp=sharing" TargetMode="External"/><Relationship Id="rId657" Type="http://schemas.openxmlformats.org/officeDocument/2006/relationships/hyperlink" Target="https://docs.google.com/document/d/1a5f7BMmJJe87YiKwQ8ZvGgJm2uuwsjH7ZRqRQQsHA_w/edit?usp=sharing" TargetMode="External"/><Relationship Id="rId864" Type="http://schemas.openxmlformats.org/officeDocument/2006/relationships/hyperlink" Target="https://docs.google.com/document/d/1W4RNr5dcydyId2mYEcwbmh5JzxkdHAOpQp4Ju8AOCnU/edit?usp=sharing" TargetMode="External"/><Relationship Id="rId296" Type="http://schemas.openxmlformats.org/officeDocument/2006/relationships/hyperlink" Target="https://docs.google.com/document/d/1NQeLIpL3el4e_zmw1XGvX20jEKf39vSz1L_ZPMfl-t4/edit?usp=sharing" TargetMode="External"/><Relationship Id="rId517" Type="http://schemas.openxmlformats.org/officeDocument/2006/relationships/hyperlink" Target="https://docs.google.com/document/d/1a-GZN2YqDqoKX2PbHtL05AcVkOmefRGbxRgmIbvhqOc/edit?usp=sharing" TargetMode="External"/><Relationship Id="rId724" Type="http://schemas.openxmlformats.org/officeDocument/2006/relationships/hyperlink" Target="https://docs.google.com/document/d/1S5XiqPaxxhJZmJrNtn_Veyrg9IF0YIA2ygP3HSUSZyw/edit?usp=sharing" TargetMode="External"/><Relationship Id="rId931" Type="http://schemas.openxmlformats.org/officeDocument/2006/relationships/hyperlink" Target="https://docs.google.com/document/d/1vyRLxNAZZVmnSVqY_PDXWRBk5_My56mm5zO3rulJlMc/edit?usp=sharing" TargetMode="External"/><Relationship Id="rId60" Type="http://schemas.openxmlformats.org/officeDocument/2006/relationships/hyperlink" Target="https://docs.google.com/document/d/1U9a7ygHmSk3TY0pOBTpZ-2iBOPR-CZcdoweurw_c0f4/edit?usp=sharing" TargetMode="External"/><Relationship Id="rId156" Type="http://schemas.openxmlformats.org/officeDocument/2006/relationships/hyperlink" Target="https://docs.google.com/document/d/1AMFpdP8VuL0SMZfBn67oWa3n1FXTSFAeAFpSegeHx_A/edit?usp=sharing" TargetMode="External"/><Relationship Id="rId363" Type="http://schemas.openxmlformats.org/officeDocument/2006/relationships/hyperlink" Target="https://docs.google.com/document/d/1eP_nUn6lB7JOdFDDHWOEF5n00JNVyho9WH5v0BghaXo/edit?usp=drive_link" TargetMode="External"/><Relationship Id="rId570" Type="http://schemas.openxmlformats.org/officeDocument/2006/relationships/hyperlink" Target="https://docs.google.com/document/d/1Q8yTdV3Z0-20UbCKVTfgZdzx25ignQSZm9TbUSyndbA/edit?usp=sharing" TargetMode="External"/><Relationship Id="rId223" Type="http://schemas.openxmlformats.org/officeDocument/2006/relationships/hyperlink" Target="https://docs.google.com/document/d/1vHDo-oxCrzdJYT0zE0YBarAD4v9fSfxPZT92kGwF0Mc/edit?usp=sharing" TargetMode="External"/><Relationship Id="rId430" Type="http://schemas.openxmlformats.org/officeDocument/2006/relationships/hyperlink" Target="https://docs.google.com/document/d/1uBp04oK55I_fnjhSYXAjWjTeT4H1JpUIA6LzV_A8t1E/edit?usp=sharing" TargetMode="External"/><Relationship Id="rId668" Type="http://schemas.openxmlformats.org/officeDocument/2006/relationships/hyperlink" Target="https://docs.google.com/document/d/1nc4LANJpWtpwHJmZnZDrtYi4ffaPz3E8lT8k1Qce1bw/edit?usp=sharing" TargetMode="External"/><Relationship Id="rId875" Type="http://schemas.openxmlformats.org/officeDocument/2006/relationships/hyperlink" Target="https://docs.google.com/document/d/133kOq0vzQr0bP4Rsf7Ww9bWfTH28LGoMOZbLHVDbCSY/edit?usp=sharing" TargetMode="External"/><Relationship Id="rId18" Type="http://schemas.openxmlformats.org/officeDocument/2006/relationships/hyperlink" Target="https://docs.google.com/document/d/1UdcspZXg3Sjqr6NgiyTLz12taJSUF4g2D-15WuSb_T8/edit?usp=sharing" TargetMode="External"/><Relationship Id="rId528" Type="http://schemas.openxmlformats.org/officeDocument/2006/relationships/hyperlink" Target="https://docs.google.com/document/d/1xmYYR8IKnBGfIO1jgeQBV7va69EtMsmPeh_8hptKZ1s/edit?tab=t.0" TargetMode="External"/><Relationship Id="rId735" Type="http://schemas.openxmlformats.org/officeDocument/2006/relationships/hyperlink" Target="https://docs.google.com/document/d/1wK5MVD6EdME1EUeCda3q5pzzAw4OlLsa7qM9xWmGfcE/edit?usp=sharing" TargetMode="External"/><Relationship Id="rId942" Type="http://schemas.openxmlformats.org/officeDocument/2006/relationships/hyperlink" Target="https://docs.google.com/document/d/100iBxUdpJslnouQMVpTt4PNmXDLBuLWWaq2fJ5BxTAE/edit?usp=sharing" TargetMode="External"/><Relationship Id="rId167" Type="http://schemas.openxmlformats.org/officeDocument/2006/relationships/hyperlink" Target="https://docs.google.com/document/d/1nRMQBjTY2GMDySoyTZn0FIhfHYPsH6H8QZjnjxOY52s/edit?usp=sharing" TargetMode="External"/><Relationship Id="rId374" Type="http://schemas.openxmlformats.org/officeDocument/2006/relationships/hyperlink" Target="https://docs.google.com/document/d/1HYzeg1wZG57ZiPuXOmupxMz5WYcjJs-HyO-odFOjJNk/edit?usp=sharing" TargetMode="External"/><Relationship Id="rId581" Type="http://schemas.openxmlformats.org/officeDocument/2006/relationships/hyperlink" Target="https://docs.google.com/document/d/1FyyRA7sFcnK2tPhgZcxzZRYiAg7NfDDtxjPkaR1aK9A/edit?usp=sharing" TargetMode="External"/><Relationship Id="rId71" Type="http://schemas.openxmlformats.org/officeDocument/2006/relationships/hyperlink" Target="https://docs.google.com/document/d/1Qi42tkv9HhZPTv8oNjk9BALzSPHGKM2tWKhZBimfPnU/edit?usp=sharing" TargetMode="External"/><Relationship Id="rId234" Type="http://schemas.openxmlformats.org/officeDocument/2006/relationships/hyperlink" Target="https://docs.google.com/document/d/1ZVaJQYx1U8oWeB_WGXISDZrxsfeE7QlTbRTvpglBElY/edit?usp=sharing" TargetMode="External"/><Relationship Id="rId679" Type="http://schemas.openxmlformats.org/officeDocument/2006/relationships/hyperlink" Target="https://docs.google.com/document/d/1FIi__9lMje6TW_U9h4BBBxSY-Zam_nlbiGhenLoWtWw/edit?usp=sharing" TargetMode="External"/><Relationship Id="rId802" Type="http://schemas.openxmlformats.org/officeDocument/2006/relationships/hyperlink" Target="https://docs.google.com/document/d/1xk_AopEfzQjaUcJnAofFyui6hvwyEiJ1DoujNp6_l1M/edit?usp=sharing" TargetMode="External"/><Relationship Id="rId886" Type="http://schemas.openxmlformats.org/officeDocument/2006/relationships/hyperlink" Target="https://docs.google.com/document/d/1xQiaNzzKyqlHMsqX8tIjbYr3cwVfy7JxRi8S2bdEQMQ/edit?usp=sharing" TargetMode="External"/><Relationship Id="rId2" Type="http://schemas.openxmlformats.org/officeDocument/2006/relationships/hyperlink" Target="https://docs.google.com/document/d/1JlP2bkxYRLVExDbAL0iBwGzdJFHCRg4KVb2llSBYpn8/edit?usp=sharing" TargetMode="External"/><Relationship Id="rId29" Type="http://schemas.openxmlformats.org/officeDocument/2006/relationships/hyperlink" Target="https://docs.google.com/document/d/1wrl9I_jRcRzNyUKn5I8kTStDILfwFpZo-QonTmdsFuA/edit?usp=sharing" TargetMode="External"/><Relationship Id="rId441" Type="http://schemas.openxmlformats.org/officeDocument/2006/relationships/hyperlink" Target="https://docs.google.com/document/d/1I9ELHNEb9JPw_DTqqYDdgEtfZ69uybTeTEo2_TAQD6A/edit?usp=sharing" TargetMode="External"/><Relationship Id="rId539" Type="http://schemas.openxmlformats.org/officeDocument/2006/relationships/hyperlink" Target="https://docs.google.com/document/d/1uIxFkfL8O6510wcgSTIZdnAyW6otTqWZkCgS3mAG75M/edit?tab=t.0" TargetMode="External"/><Relationship Id="rId746" Type="http://schemas.openxmlformats.org/officeDocument/2006/relationships/hyperlink" Target="https://docs.google.com/document/d/1SRE-jip9bUKB4MAh0EggoewWPORqJBjMqKi_fkpnZv0/edit?usp=sharing" TargetMode="External"/><Relationship Id="rId178" Type="http://schemas.openxmlformats.org/officeDocument/2006/relationships/hyperlink" Target="https://docs.google.com/document/d/1IUrYS525eg-ciGcJzQfhOwFpo7f188VxwTmD_zhzEvQ/edit?usp=sharing" TargetMode="External"/><Relationship Id="rId301" Type="http://schemas.openxmlformats.org/officeDocument/2006/relationships/hyperlink" Target="https://docs.google.com/document/d/15pu5_fkRQVl_eAEYNrsefA7x5TFpGrz-EuS_vmVPMrk/edit?usp=sharing" TargetMode="External"/><Relationship Id="rId953" Type="http://schemas.openxmlformats.org/officeDocument/2006/relationships/hyperlink" Target="https://docs.google.com/document/d/1kLhqXVG92-XKO-taNhIICj5ElvYXiNkX1nP51mvsoOo/edit?usp=sharing" TargetMode="External"/><Relationship Id="rId82" Type="http://schemas.openxmlformats.org/officeDocument/2006/relationships/hyperlink" Target="https://docs.google.com/document/d/1reMtC7ifRGjt493PisNduz573QJJ13zQAuoq1uJtHQg/edit?usp=sharing" TargetMode="External"/><Relationship Id="rId385" Type="http://schemas.openxmlformats.org/officeDocument/2006/relationships/hyperlink" Target="https://docs.google.com/document/d/1so0Ekvq5imrpDjFVXvUOmpRGNd0YuHIUE5iUCy0yVeE/edit?usp=drive_link" TargetMode="External"/><Relationship Id="rId592" Type="http://schemas.openxmlformats.org/officeDocument/2006/relationships/hyperlink" Target="https://docs.google.com/document/d/1G72lNhVhuCXBCpxwV_xDvUr3kACOhT8XMEHDo3qHkec/edit?usp=sharing" TargetMode="External"/><Relationship Id="rId606" Type="http://schemas.openxmlformats.org/officeDocument/2006/relationships/hyperlink" Target="https://docs.google.com/document/d/1g8CAyYrtMrQmPh0g_6Unk_3-foyYQ5kJ1PSM6FLzvok/edit?usp=sharing" TargetMode="External"/><Relationship Id="rId813" Type="http://schemas.openxmlformats.org/officeDocument/2006/relationships/hyperlink" Target="https://docs.google.com/document/d/1kB_f3kHSHonTAW7HQq_FtsJjRp7oSZyVAfOzIU-wUaQ/edit?usp=sharing" TargetMode="External"/><Relationship Id="rId245" Type="http://schemas.openxmlformats.org/officeDocument/2006/relationships/hyperlink" Target="https://docs.google.com/document/d/10SL57OQtlRHQNjvuz3mEwMsIAWBobcbjAinR_vxfQAw/edit?usp=sharing" TargetMode="External"/><Relationship Id="rId452" Type="http://schemas.openxmlformats.org/officeDocument/2006/relationships/hyperlink" Target="https://docs.google.com/document/d/1wAS2FwCFokuzsSoXgmZ-oYpvDKu7RBYQCaD2OG0DRGA/edit?usp=sharing" TargetMode="External"/><Relationship Id="rId897" Type="http://schemas.openxmlformats.org/officeDocument/2006/relationships/hyperlink" Target="https://docs.google.com/document/d/1vPEKhSd84bTPKc6sddMyhigWHq7c0obt6wo3VzDzCcU/edit?usp=sharing" TargetMode="External"/><Relationship Id="rId105" Type="http://schemas.openxmlformats.org/officeDocument/2006/relationships/hyperlink" Target="https://docs.google.com/document/d/1EnpGW0XHYwetEGqTQ-62wKZfwtgKwd_IZ_tHjoD0vDU/edit?usp=sharing" TargetMode="External"/><Relationship Id="rId312" Type="http://schemas.openxmlformats.org/officeDocument/2006/relationships/hyperlink" Target="https://docs.google.com/document/d/1GvxnUsHxDsex9kQP_ZhAYDVjK-kxrM6U9Y5UqPVML5U/edit?usp=sharing" TargetMode="External"/><Relationship Id="rId757" Type="http://schemas.openxmlformats.org/officeDocument/2006/relationships/hyperlink" Target="https://docs.google.com/document/d/1to4AfiDCX5dYNQ7QJjiD-UG4hBEhVQscAUka0bUWuSM/edit?usp=sharing" TargetMode="External"/><Relationship Id="rId964" Type="http://schemas.openxmlformats.org/officeDocument/2006/relationships/hyperlink" Target="https://docs.google.com/document/d/1bp3P2Pr6q3GE0Vd7f1TG03nMZ8RP7nTGJzWu5IgNaDE/edit?usp=sharing" TargetMode="External"/><Relationship Id="rId93" Type="http://schemas.openxmlformats.org/officeDocument/2006/relationships/hyperlink" Target="https://docs.google.com/document/d/1I0ljvX75P_5YthfzW3bV-cJKjK0IxbYSSAAMKZdCpl4/edit?usp=sharing" TargetMode="External"/><Relationship Id="rId189" Type="http://schemas.openxmlformats.org/officeDocument/2006/relationships/hyperlink" Target="https://docs.google.com/document/d/1nkJb-UnnRGGV4Oqf-kOw_ut6DW2LSrqnpnv8nmThW4A/edit?usp=sharing" TargetMode="External"/><Relationship Id="rId396" Type="http://schemas.openxmlformats.org/officeDocument/2006/relationships/hyperlink" Target="https://docs.google.com/document/d/105lZlaGfSsFQn2Hpuh1A8c9VoN3zOAXyL97lTjCR7-w/edit?usp=sharing" TargetMode="External"/><Relationship Id="rId617" Type="http://schemas.openxmlformats.org/officeDocument/2006/relationships/hyperlink" Target="https://docs.google.com/document/d/1mE45YIP902mHOGFPCfWIsy4lbPgSmILtg8QNf1T-U6E/edit?usp=sharing" TargetMode="External"/><Relationship Id="rId824" Type="http://schemas.openxmlformats.org/officeDocument/2006/relationships/hyperlink" Target="https://docs.google.com/document/d/11CBIHYB5Xy3G74aNeGnB2t6qiW4kYrNVuyIB_1eSyBE/edit?usp=sharing" TargetMode="External"/><Relationship Id="rId256" Type="http://schemas.openxmlformats.org/officeDocument/2006/relationships/hyperlink" Target="https://docs.google.com/document/d/1Pn485A-3mbI5JR2PvQgI1H46VCxDDWWEonUzdpop2S8/edit?usp=sharing" TargetMode="External"/><Relationship Id="rId463" Type="http://schemas.openxmlformats.org/officeDocument/2006/relationships/hyperlink" Target="https://docs.google.com/document/d/1uUuFra1TYUrnL7cw6es8DCssKQmRsZLIJhHJtdZBKpw/edit?usp=sharing" TargetMode="External"/><Relationship Id="rId670" Type="http://schemas.openxmlformats.org/officeDocument/2006/relationships/hyperlink" Target="https://docs.google.com/document/d/1V5zmeU3h24QTAQxBOaWmmZ1yVOgi7itSsQy-AjLdR78/edit?usp=sharing" TargetMode="External"/><Relationship Id="rId116" Type="http://schemas.openxmlformats.org/officeDocument/2006/relationships/hyperlink" Target="https://docs.google.com/document/d/1hGUnD32lzgHAGS9fwveHEgUDKbYrLDXTedYbkmIKvAg/edit?usp=sharing" TargetMode="External"/><Relationship Id="rId323" Type="http://schemas.openxmlformats.org/officeDocument/2006/relationships/hyperlink" Target="https://docs.google.com/document/d/1s_zRTXMv6tvWytLStarabMT0tSbG_324z1cTxaRTIW0/edit?usp=sharing" TargetMode="External"/><Relationship Id="rId530" Type="http://schemas.openxmlformats.org/officeDocument/2006/relationships/hyperlink" Target="https://docs.google.com/document/d/1N9dOCuFRFnotklFElpzPsnxxSIN69LdW4N4LnROPc1k/edit?usp=sharing" TargetMode="External"/><Relationship Id="rId768" Type="http://schemas.openxmlformats.org/officeDocument/2006/relationships/hyperlink" Target="https://docs.google.com/document/d/1_PH_YpSgQUMwAW_Wy5gLaXfTsmJzh8pS6vw2F76nFk0/edit?usp=sharing" TargetMode="External"/><Relationship Id="rId975" Type="http://schemas.openxmlformats.org/officeDocument/2006/relationships/hyperlink" Target="https://docs.google.com/document/d/1My2IHkQ4tG9YOCEFQbVmbaDltJucWytPZZ1Mm7MxSaU/edit?usp=sharing" TargetMode="External"/><Relationship Id="rId20" Type="http://schemas.openxmlformats.org/officeDocument/2006/relationships/hyperlink" Target="https://docs.google.com/document/d/1MEIX5lQqZ_Thq2NptCwhVkpfdTcWNxVhYnBPNMVcmXM/edit?usp=sharing" TargetMode="External"/><Relationship Id="rId628" Type="http://schemas.openxmlformats.org/officeDocument/2006/relationships/hyperlink" Target="https://docs.google.com/document/d/1cLAuunG0pwUiQHr5p22NxDZ41j3v8tqPv8GVsNew4ys/edit?usp=sharing" TargetMode="External"/><Relationship Id="rId835" Type="http://schemas.openxmlformats.org/officeDocument/2006/relationships/hyperlink" Target="https://docs.google.com/document/d/1bLOXlbT7FsALI6xxMftXPT9n2LcF9VwyY57NpaND7-U/edit?usp=sharing" TargetMode="External"/><Relationship Id="rId267" Type="http://schemas.openxmlformats.org/officeDocument/2006/relationships/hyperlink" Target="https://docs.google.com/document/d/1MPfI0jPZhjd_gZ6i96geuV_JLKTETz1vvfii0a5fekE/edit?usp=sharing" TargetMode="External"/><Relationship Id="rId474" Type="http://schemas.openxmlformats.org/officeDocument/2006/relationships/hyperlink" Target="https://docs.google.com/document/d/1xgdTlYWj5sYqdaqqt8X_gomfWxrHDgwWeJeStDa4jtU/edit?usp=sharing" TargetMode="External"/><Relationship Id="rId127" Type="http://schemas.openxmlformats.org/officeDocument/2006/relationships/hyperlink" Target="https://docs.google.com/document/d/1AfbzTiMH0mtKsSHTrJU9pv5k0Bo8PVuzb_0WSGJaWCs/edit?usp=sharing" TargetMode="External"/><Relationship Id="rId681" Type="http://schemas.openxmlformats.org/officeDocument/2006/relationships/hyperlink" Target="https://docs.google.com/document/d/1GC7jPxnHpCyXoPaOojE-qAsvd3tjXPKnUQQzrwW8wZA/edit?usp=sharing" TargetMode="External"/><Relationship Id="rId779" Type="http://schemas.openxmlformats.org/officeDocument/2006/relationships/hyperlink" Target="https://docs.google.com/document/d/1an-UR52J-Y7GP8L8U4h_MnXBDew9gS0oA7hhn_ogmOI/edit?usp=sharing" TargetMode="External"/><Relationship Id="rId902" Type="http://schemas.openxmlformats.org/officeDocument/2006/relationships/hyperlink" Target="https://docs.google.com/document/d/1mEJni3RbQwR1DRipHaR6q_xyz6ZOexc0LLUQDIMkAoA/edit?usp=sharing" TargetMode="External"/><Relationship Id="rId986" Type="http://schemas.openxmlformats.org/officeDocument/2006/relationships/hyperlink" Target="https://docs.google.com/document/d/1OWDF_C_rrw1JSFpUogUdSRGy-YaBo6VP0yR99RaOef4/edit?usp=sharing" TargetMode="External"/><Relationship Id="rId31" Type="http://schemas.openxmlformats.org/officeDocument/2006/relationships/hyperlink" Target="https://docs.google.com/document/d/1eUcgcSqj_bgbQkMBpdrIZ65OJokTHy3Pr0whkvxa9AU/edit?usp=sharing" TargetMode="External"/><Relationship Id="rId334" Type="http://schemas.openxmlformats.org/officeDocument/2006/relationships/hyperlink" Target="https://docs.google.com/document/d/1btGZq5eZY-IebzZ36BDYbiyEGZaaXZZA-6nZW_yO1FY/edit?usp=sharing" TargetMode="External"/><Relationship Id="rId541" Type="http://schemas.openxmlformats.org/officeDocument/2006/relationships/hyperlink" Target="https://docs.google.com/document/d/1PmHS_2kYWma0-b3MaLP_o84bY9O8d0_NZfJTbblMOp8/edit?usp=sharing" TargetMode="External"/><Relationship Id="rId639" Type="http://schemas.openxmlformats.org/officeDocument/2006/relationships/hyperlink" Target="https://docs.google.com/document/d/1TpFBpbMhP55rcZ8od1XsCIRJF6Rw7_QvpZxXFi00AJE/edit?usp=sharing" TargetMode="External"/><Relationship Id="rId180" Type="http://schemas.openxmlformats.org/officeDocument/2006/relationships/hyperlink" Target="https://docs.google.com/document/d/1wSdgbZjrIl_PrUtiEsRDjSLaYEzAE7iE8OMPWLc7cvU/edit?usp=sharing" TargetMode="External"/><Relationship Id="rId278" Type="http://schemas.openxmlformats.org/officeDocument/2006/relationships/hyperlink" Target="https://docs.google.com/document/d/1fgg6xJh7DiXLpzPON2uM9WCUU_eQzetTfy4i4MmbAyM/edit?usp=sharing" TargetMode="External"/><Relationship Id="rId401" Type="http://schemas.openxmlformats.org/officeDocument/2006/relationships/hyperlink" Target="https://docs.google.com/document/d/1umrvqDeE4FHjBIHmQ8m4p2DuDO2SffQBo_BuBPo3NYw/edit?usp=drive_link" TargetMode="External"/><Relationship Id="rId846" Type="http://schemas.openxmlformats.org/officeDocument/2006/relationships/hyperlink" Target="https://docs.google.com/document/d/18n9Jy3kdwBJVBDEuH8HQpURHfu3K1mhedg22qCxuPTo/edit?usp=sharing" TargetMode="External"/><Relationship Id="rId485" Type="http://schemas.openxmlformats.org/officeDocument/2006/relationships/hyperlink" Target="https://docs.google.com/document/d/1E-3XYWe_-x0T3WQeWN9rDtzy-QjzHEiG6oziBpVNmP4/edit?usp=sharing" TargetMode="External"/><Relationship Id="rId692" Type="http://schemas.openxmlformats.org/officeDocument/2006/relationships/hyperlink" Target="https://docs.google.com/document/d/1lR9veHN7mVTPIhQTDml0Zrh-Gn3ofwygrn-8dnIYCcs/edit?usp=sharing" TargetMode="External"/><Relationship Id="rId706" Type="http://schemas.openxmlformats.org/officeDocument/2006/relationships/hyperlink" Target="https://docs.google.com/document/d/1lkMD5f-P1ncnOJoHwNh5wPFKZUZ_uXniIG1mJiAjPLs/edit?usp=sharing" TargetMode="External"/><Relationship Id="rId913" Type="http://schemas.openxmlformats.org/officeDocument/2006/relationships/hyperlink" Target="https://docs.google.com/document/d/1lrA7x5C_9QsRbIVAuVrclk4pQ5_jdV9207srDp3z8j8/edit?usp=sharing" TargetMode="External"/><Relationship Id="rId42" Type="http://schemas.openxmlformats.org/officeDocument/2006/relationships/hyperlink" Target="https://docs.google.com/document/d/1zWxqVKbGLXG-TqlV4h5_X0aKVwTIG8NSHEZfcTpjmL4/edit?usp=sharing" TargetMode="External"/><Relationship Id="rId138" Type="http://schemas.openxmlformats.org/officeDocument/2006/relationships/hyperlink" Target="https://docs.google.com/document/d/1EexM5PHmyD434vl3E2NF8FDf2DGQu6_JNlosFUM3tos/edit?usp=sharing" TargetMode="External"/><Relationship Id="rId345" Type="http://schemas.openxmlformats.org/officeDocument/2006/relationships/hyperlink" Target="https://docs.google.com/document/d/1C0cr5KQNeZ6fRJo40mY_85O6Z9ZWjl6gWt9fkM0j7Dc/edit?usp=drive_link" TargetMode="External"/><Relationship Id="rId552" Type="http://schemas.openxmlformats.org/officeDocument/2006/relationships/hyperlink" Target="https://docs.google.com/document/d/1kzoGkeNzFI8_MeBL-GJmQEFOJpENzteYoK7hLoG5bRE/edit?usp=sharing" TargetMode="External"/><Relationship Id="rId997" Type="http://schemas.openxmlformats.org/officeDocument/2006/relationships/hyperlink" Target="https://docs.google.com/document/d/1pVVYVrdU3hGUOuSO_buFQSw2WLlrMlu2WFQS6jHPSOY/edit?usp=sharing" TargetMode="External"/><Relationship Id="rId191" Type="http://schemas.openxmlformats.org/officeDocument/2006/relationships/hyperlink" Target="https://docs.google.com/document/d/1oghrq0n6N8S0_xOkzr5CbOa5T4cP2atxNnh8ZQS37g4/edit?usp=sharing" TargetMode="External"/><Relationship Id="rId205" Type="http://schemas.openxmlformats.org/officeDocument/2006/relationships/hyperlink" Target="https://docs.google.com/document/d/1BGjfVo4SCNsbXd8VraC1Nzi-xAjhywLq3cOrbOcWdgw/edit?usp=sharing" TargetMode="External"/><Relationship Id="rId412" Type="http://schemas.openxmlformats.org/officeDocument/2006/relationships/hyperlink" Target="https://docs.google.com/document/d/1KCKXLy4d18j_7hIE8-EN_CquqMTIMygIzT4iMHzv0ig/edit?usp=sharing" TargetMode="External"/><Relationship Id="rId857" Type="http://schemas.openxmlformats.org/officeDocument/2006/relationships/hyperlink" Target="https://docs.google.com/document/d/1G8AK_R-LUT_JR-4u8hMtx2iH8Ed9Yj1uVse0ndSIsdk/edit?usp=sharing" TargetMode="External"/><Relationship Id="rId289" Type="http://schemas.openxmlformats.org/officeDocument/2006/relationships/hyperlink" Target="https://docs.google.com/document/d/1C3L6VY_N6wa1q8V1fLQ9W5fjoAczq2Ym6P8d0JsujIA/edit?usp=sharing" TargetMode="External"/><Relationship Id="rId496" Type="http://schemas.openxmlformats.org/officeDocument/2006/relationships/hyperlink" Target="https://docs.google.com/document/d/1YKs2VzGjf_36-9KKfft2FHPKV6H-o5xwk9DSduvO6UM/edit?usp=sharing" TargetMode="External"/><Relationship Id="rId717" Type="http://schemas.openxmlformats.org/officeDocument/2006/relationships/hyperlink" Target="https://docs.google.com/document/d/1vZiEx608qiyRcoblo6iIAVNgDvECkiFLoQ9OWr-b2XA/edit?usp=sharing" TargetMode="External"/><Relationship Id="rId924" Type="http://schemas.openxmlformats.org/officeDocument/2006/relationships/hyperlink" Target="https://docs.google.com/document/d/1Dr-dYxgBcaiyPA-whlnFqTXYZfVEDUdlRbd4T-EXUv0/edit?usp=sharing" TargetMode="External"/><Relationship Id="rId53" Type="http://schemas.openxmlformats.org/officeDocument/2006/relationships/hyperlink" Target="https://docs.google.com/document/d/15Y8GcwPcsBYVyEracDtVuGvj1l83TKQB5xPqxkktPVU/edit?usp=sharing" TargetMode="External"/><Relationship Id="rId149" Type="http://schemas.openxmlformats.org/officeDocument/2006/relationships/hyperlink" Target="https://docs.google.com/document/d/1Yci8Mzxb3Kt0lF3rYqq1yQBUsO-6yzlcfLHSyY_oJbM/edit?usp=sharing" TargetMode="External"/><Relationship Id="rId356" Type="http://schemas.openxmlformats.org/officeDocument/2006/relationships/hyperlink" Target="https://docs.google.com/document/d/16rh6HT-ydx9TukL7NXRCSmuKs-iZ59NvB6ZG8Ij1ZBI/edit?usp=sharing" TargetMode="External"/><Relationship Id="rId563" Type="http://schemas.openxmlformats.org/officeDocument/2006/relationships/hyperlink" Target="https://docs.google.com/document/d/1Fd_Id4PhWbpHFERzR9Kv9Mwr7y3Z2E3pRqmKIj6HJtI/edit?tab=t.0" TargetMode="External"/><Relationship Id="rId770" Type="http://schemas.openxmlformats.org/officeDocument/2006/relationships/hyperlink" Target="https://docs.google.com/document/d/1gFHfal8i0wYMZKmTeMT1g9zE4dX1kaimGC4lmOva6dw/edit?usp=sharing" TargetMode="External"/><Relationship Id="rId216" Type="http://schemas.openxmlformats.org/officeDocument/2006/relationships/hyperlink" Target="https://docs.google.com/document/d/1JiOLaqPvxJh5XW0dXlYqxKkkuyrYdBhUnID_YZEgGD8/edit?usp=sharing" TargetMode="External"/><Relationship Id="rId423" Type="http://schemas.openxmlformats.org/officeDocument/2006/relationships/hyperlink" Target="https://docs.google.com/document/d/1emSiDL7BUuK_ZVweZM8Qfka6D1D9GAGuOVkX8qwkqYg/edit?usp=sharing" TargetMode="External"/><Relationship Id="rId868" Type="http://schemas.openxmlformats.org/officeDocument/2006/relationships/hyperlink" Target="https://docs.google.com/document/d/1D_W32hLIF8xothMZvp4RVW1laR8tHWybXUSTVxeTl7s/edit?usp=sharing" TargetMode="External"/><Relationship Id="rId630" Type="http://schemas.openxmlformats.org/officeDocument/2006/relationships/hyperlink" Target="https://docs.google.com/document/d/1y0fBoWbd24hv5Ui5BpuvnUCYb971M8eyempF7XSVC-I/edit?usp=sharing" TargetMode="External"/><Relationship Id="rId728" Type="http://schemas.openxmlformats.org/officeDocument/2006/relationships/hyperlink" Target="https://docs.google.com/document/d/1UqRlLb3SdTdFumZ77J2OGplP_68bXs4BwKLe04nYkxQ/edit?usp=sharing" TargetMode="External"/><Relationship Id="rId935" Type="http://schemas.openxmlformats.org/officeDocument/2006/relationships/hyperlink" Target="https://docs.google.com/document/d/11njCO1TEWzi8VuP6_rpU01O_lO6f10t58UqEYJnXZ4g/edit?usp=sharing" TargetMode="External"/><Relationship Id="rId64" Type="http://schemas.openxmlformats.org/officeDocument/2006/relationships/hyperlink" Target="https://docs.google.com/document/d/1TTMwe-TyyS7lAy5J3CIbcdMlsNGFeyNaz6tuQgsiEFE/edit?usp=sharing" TargetMode="External"/><Relationship Id="rId367" Type="http://schemas.openxmlformats.org/officeDocument/2006/relationships/hyperlink" Target="https://docs.google.com/document/d/12LP-seNWVpKYXuIVMCXR97jVVESzkOYMqSibpA8w0SA/edit?usp=drive_link" TargetMode="External"/><Relationship Id="rId574" Type="http://schemas.openxmlformats.org/officeDocument/2006/relationships/hyperlink" Target="https://docs.google.com/document/d/1H98tCRXTCIRWPmWEgkTek3CnyFj9IW3jqzbRT6TmHa4/edit?usp=sharing" TargetMode="External"/><Relationship Id="rId227" Type="http://schemas.openxmlformats.org/officeDocument/2006/relationships/hyperlink" Target="https://docs.google.com/document/d/1J_ksiD0i-ods-KCXDomFdCLT6vzHWz9lHvMuyHOlHuM/edit?usp=sharing" TargetMode="External"/><Relationship Id="rId781" Type="http://schemas.openxmlformats.org/officeDocument/2006/relationships/hyperlink" Target="https://docs.google.com/document/d/1rCLbyRGy_yDZoEmlLHh2_EwrPJyPifXRagzpwfT82oI/edit?usp=sharing" TargetMode="External"/><Relationship Id="rId879" Type="http://schemas.openxmlformats.org/officeDocument/2006/relationships/hyperlink" Target="https://docs.google.com/document/d/1BrTi5_Iv6-lWoN6Pw2M1K9Fc9w7QtbFkGyWbeiBn7F0/edit?usp=sharing" TargetMode="External"/><Relationship Id="rId434" Type="http://schemas.openxmlformats.org/officeDocument/2006/relationships/hyperlink" Target="https://docs.google.com/document/d/1wv8tS7ZppvAYcmlDcWcW6ivSOK9P3ghRTQ4QJDCZcOI/edit?usp=sharing" TargetMode="External"/><Relationship Id="rId641" Type="http://schemas.openxmlformats.org/officeDocument/2006/relationships/hyperlink" Target="https://docs.google.com/document/d/123hCzs-SNJE7BowdjnnXl5LDX_wh5-mZ48HBN6apMnA/edit?usp=sharing" TargetMode="External"/><Relationship Id="rId739" Type="http://schemas.openxmlformats.org/officeDocument/2006/relationships/hyperlink" Target="https://docs.google.com/document/d/1ZSh1YV5KWi8eBiQW8wVsPLulfqPwRgj_CdolGrJ8vwI/edit?usp=sharing" TargetMode="External"/><Relationship Id="rId280" Type="http://schemas.openxmlformats.org/officeDocument/2006/relationships/hyperlink" Target="https://docs.google.com/document/d/1-sZJB2szHLCDo41Dfo4YX3h-Vi-kgLyjAej_TeyXL4A/edit?usp=sharing" TargetMode="External"/><Relationship Id="rId501" Type="http://schemas.openxmlformats.org/officeDocument/2006/relationships/hyperlink" Target="https://docs.google.com/document/d/1MFDg9FRBPAcYbNX4mojEkTKQe6Ot5Pi65igeD_8deK4/edit?usp=sharing" TargetMode="External"/><Relationship Id="rId946" Type="http://schemas.openxmlformats.org/officeDocument/2006/relationships/hyperlink" Target="https://docs.google.com/document/d/1q9qyfaMclRV-pTZ55iedNIcnyAUsrLOlAJuryzuoznQ/edit?usp=sharing" TargetMode="External"/><Relationship Id="rId75" Type="http://schemas.openxmlformats.org/officeDocument/2006/relationships/hyperlink" Target="https://docs.google.com/document/d/1fNxoBbxoyDQkLZG5ACfJ1yA9oq31gwTxWrv6PHP47WQ/edit?usp=sharing" TargetMode="External"/><Relationship Id="rId140" Type="http://schemas.openxmlformats.org/officeDocument/2006/relationships/hyperlink" Target="https://docs.google.com/document/d/1b1KTjOinBMHi-TGhduOJZbIx51kbf0MGmUVAOpoa5Ew/edit?usp=sharing" TargetMode="External"/><Relationship Id="rId378" Type="http://schemas.openxmlformats.org/officeDocument/2006/relationships/hyperlink" Target="https://docs.google.com/document/d/10lCdCKdT3l5684XDr4uxNhrAJWwKvmv3TGf5uTNMH-o/edit?usp=drive_link" TargetMode="External"/><Relationship Id="rId585" Type="http://schemas.openxmlformats.org/officeDocument/2006/relationships/hyperlink" Target="https://docs.google.com/document/d/1ZWjV7xVAjt8PR3HkBOAJogQ4D20YpHuLLRi71Hs24RI/edit?usp=sharing" TargetMode="External"/><Relationship Id="rId792" Type="http://schemas.openxmlformats.org/officeDocument/2006/relationships/hyperlink" Target="https://docs.google.com/document/d/1LXvNWz63ODQ-pQQkhhzCt_T-rSTvE2d1dILQhQAMVE8/edit?usp=sharing" TargetMode="External"/><Relationship Id="rId806" Type="http://schemas.openxmlformats.org/officeDocument/2006/relationships/hyperlink" Target="https://docs.google.com/document/d/1wvdfAiWNY0qw9EHLplT3vuDyOUHiieupCz124Gm6MIc/edit?usp=sharing" TargetMode="External"/><Relationship Id="rId6" Type="http://schemas.openxmlformats.org/officeDocument/2006/relationships/hyperlink" Target="https://docs.google.com/document/d/1p4yE6dgXK8jXmz5W-1vAm12EXqO6pBGVAqqYWkbvUw8/edit?usp=sharing" TargetMode="External"/><Relationship Id="rId238" Type="http://schemas.openxmlformats.org/officeDocument/2006/relationships/hyperlink" Target="https://docs.google.com/document/d/1kuz6Jm112sDobgDkKxz1Wgz3WkdM3xIdEIhULUQ6bfQ/edit?usp=sharing" TargetMode="External"/><Relationship Id="rId445" Type="http://schemas.openxmlformats.org/officeDocument/2006/relationships/hyperlink" Target="https://docs.google.com/document/d/1it7oGAcQBWBH8asnx9DsuB63sL2QHJRjqs0rJuNr5cg/edit?usp=drive_link" TargetMode="External"/><Relationship Id="rId652" Type="http://schemas.openxmlformats.org/officeDocument/2006/relationships/hyperlink" Target="https://docs.google.com/document/d/1ZvCneexN8n9sDyLtBhhb2kKYhykns4CKpqFioLBhBm8/edit?usp=sharing" TargetMode="External"/><Relationship Id="rId291" Type="http://schemas.openxmlformats.org/officeDocument/2006/relationships/hyperlink" Target="https://docs.google.com/document/d/1e3ro4VSIFg9bFAsm5wVagxK3I4YDnMEP2Nvra5gYuYE/edit?usp=sharing" TargetMode="External"/><Relationship Id="rId305" Type="http://schemas.openxmlformats.org/officeDocument/2006/relationships/hyperlink" Target="https://docs.google.com/document/d/1AhFNwiqmGoXaTNN8JU4Xchmm6NDBazye6yz9Tt4ZR7s/edit?usp=sharing" TargetMode="External"/><Relationship Id="rId512" Type="http://schemas.openxmlformats.org/officeDocument/2006/relationships/hyperlink" Target="https://docs.google.com/document/d/14Shp3DAbL7Iy5RFurKx_5awkbhzPan-7Z4nWWpGezoo/edit?usp=sharing" TargetMode="External"/><Relationship Id="rId957" Type="http://schemas.openxmlformats.org/officeDocument/2006/relationships/hyperlink" Target="https://docs.google.com/document/d/12UDPlTZ-4e8d6EJ38CvFxMTW9fRlSArS_tyIBUIaioE/edit?usp=sharing" TargetMode="External"/><Relationship Id="rId86" Type="http://schemas.openxmlformats.org/officeDocument/2006/relationships/hyperlink" Target="https://docs.google.com/document/d/1Dt5uwT_sZCGMa840sNTelFE4skhZVJto-eNnlN_ToXk/edit?usp=sharing" TargetMode="External"/><Relationship Id="rId151" Type="http://schemas.openxmlformats.org/officeDocument/2006/relationships/hyperlink" Target="https://docs.google.com/document/d/1otJ1PmaMVtHeDwpP_TQXIUPP6vO6KsRo1fryGTh08zs/edit?usp=sharing" TargetMode="External"/><Relationship Id="rId389" Type="http://schemas.openxmlformats.org/officeDocument/2006/relationships/hyperlink" Target="https://docs.google.com/document/d/1gpdRMQypBdwTK6dRg-vkjLBgA1eK5LaI8vRwBrGiDT4/edit?usp=drive_link" TargetMode="External"/><Relationship Id="rId596" Type="http://schemas.openxmlformats.org/officeDocument/2006/relationships/hyperlink" Target="https://docs.google.com/document/d/1hDrnUsQSg8RtTI1OTV5jlXqWc_FIR9Et1dIMzpligy4/edit?usp=sharing" TargetMode="External"/><Relationship Id="rId817" Type="http://schemas.openxmlformats.org/officeDocument/2006/relationships/hyperlink" Target="https://docs.google.com/document/d/1KONIY3jDAAFMp4qtIkxQg1XpFXs2PkMUp_NUY2CukUM/edit?usp=sharing" TargetMode="External"/><Relationship Id="rId249" Type="http://schemas.openxmlformats.org/officeDocument/2006/relationships/hyperlink" Target="https://docs.google.com/document/d/1w4hekBdfHB9My0rGV0DAVvBnPHilT-mNZlf8fJRPd-E/edit?usp=sharing" TargetMode="External"/><Relationship Id="rId456" Type="http://schemas.openxmlformats.org/officeDocument/2006/relationships/hyperlink" Target="https://docs.google.com/document/d/12rYLo9SxvT1TPYVHMCzaoxisFAkXBthWcU8o0BclOuE/edit?usp=sharing" TargetMode="External"/><Relationship Id="rId663" Type="http://schemas.openxmlformats.org/officeDocument/2006/relationships/hyperlink" Target="https://docs.google.com/document/d/1jf0yMcajFr-PXpQ6LJhIru6IcgxuoRhiWRXqWjzCY-s/edit?usp=sharing" TargetMode="External"/><Relationship Id="rId870" Type="http://schemas.openxmlformats.org/officeDocument/2006/relationships/hyperlink" Target="https://docs.google.com/document/d/14Ve1amvT74RL_G1Uxa1rLcf4lJVANlchwZO9bqm_AoA/edit?usp=sharing" TargetMode="External"/><Relationship Id="rId13" Type="http://schemas.openxmlformats.org/officeDocument/2006/relationships/hyperlink" Target="https://docs.google.com/document/d/1xkmryv4jvkY9YdV9MOw6O94O5gsDqQCu-1EpC0YIM0g/edit?usp=sharing" TargetMode="External"/><Relationship Id="rId109" Type="http://schemas.openxmlformats.org/officeDocument/2006/relationships/hyperlink" Target="https://docs.google.com/document/d/1Nq3yyYy9t5Ssa8EIUUNiNixQmCxl7OwbgHwcKC6O-mI/edit?usp=sharing" TargetMode="External"/><Relationship Id="rId316" Type="http://schemas.openxmlformats.org/officeDocument/2006/relationships/hyperlink" Target="https://docs.google.com/document/d/1xnyVbWsFZ2Xdf-IGV4amkkvlPV3K3ftYIw3PhkuG4CY/edit?usp=sharing" TargetMode="External"/><Relationship Id="rId523" Type="http://schemas.openxmlformats.org/officeDocument/2006/relationships/hyperlink" Target="https://docs.google.com/document/d/14lZypwCDUuc9zxB5yDkjpewSjFqWtyhUn5wY5dWL3RA/edit?usp=sharing" TargetMode="External"/><Relationship Id="rId968" Type="http://schemas.openxmlformats.org/officeDocument/2006/relationships/hyperlink" Target="https://docs.google.com/document/d/11XPIyWWWnMyqtrwn0vvhbPjHd4NeE1Dxy100XPK6ub4/edit?usp=sharing" TargetMode="External"/><Relationship Id="rId97" Type="http://schemas.openxmlformats.org/officeDocument/2006/relationships/hyperlink" Target="https://docs.google.com/document/d/1N7o2Pf2T-fSfecJsCFltjS9Tdb461goUhHpQKPtMuH0/edit?usp=sharing" TargetMode="External"/><Relationship Id="rId730" Type="http://schemas.openxmlformats.org/officeDocument/2006/relationships/hyperlink" Target="https://docs.google.com/document/d/1Vw-r4hQv4Ws7BBrIxP_zWfMQWEAh6xyLuE41fY9Gtis/edit?usp=sharing" TargetMode="External"/><Relationship Id="rId828" Type="http://schemas.openxmlformats.org/officeDocument/2006/relationships/hyperlink" Target="https://docs.google.com/document/d/1GTh5rArc8yylIZWG0JSqCkxjTCtccdUR_ourye9IQE4/edit?usp=sharing" TargetMode="External"/><Relationship Id="rId162" Type="http://schemas.openxmlformats.org/officeDocument/2006/relationships/hyperlink" Target="https://docs.google.com/document/d/1_SvFzfXJMsTt3yuUT4fDFJCDvR4waBPTg-Qi705ebGM/edit?usp=sharing" TargetMode="External"/><Relationship Id="rId467" Type="http://schemas.openxmlformats.org/officeDocument/2006/relationships/hyperlink" Target="https://docs.google.com/document/d/1s4FDdBZmv44W5Vwp6FSdoF1MxGTKs_v68RuiW9jn36s/edit?usp=sharing" TargetMode="External"/><Relationship Id="rId674" Type="http://schemas.openxmlformats.org/officeDocument/2006/relationships/hyperlink" Target="https://docs.google.com/document/d/1JVt3JqGRiNnI1hQu96C5_lU0bEqsn1EPxTS4HORhWug/edit?usp=sharing" TargetMode="External"/><Relationship Id="rId881" Type="http://schemas.openxmlformats.org/officeDocument/2006/relationships/hyperlink" Target="https://docs.google.com/document/d/10q6ud9Bz8_tZbYlHfVW9JDKD-XuCudJT7hgE0EeJxhk/edit?usp=sharing" TargetMode="External"/><Relationship Id="rId979" Type="http://schemas.openxmlformats.org/officeDocument/2006/relationships/hyperlink" Target="https://docs.google.com/document/d/1IL410wu1hVA0b8SaCxcAhHieruFHK93j4MAtKDe3K-M/edit?usp=sharing" TargetMode="External"/><Relationship Id="rId24" Type="http://schemas.openxmlformats.org/officeDocument/2006/relationships/hyperlink" Target="https://docs.google.com/document/d/1r3sb_r03kEYDACFXYtbHriImkCGZaLnMcWhmfJFGX-c/edit?usp=sharing" TargetMode="External"/><Relationship Id="rId327" Type="http://schemas.openxmlformats.org/officeDocument/2006/relationships/hyperlink" Target="https://docs.google.com/document/d/1fh0ek7-HbDB8Een1gbS0Ee2laNOCKGPhUqjY7-VJ8V8/edit?usp=sharing" TargetMode="External"/><Relationship Id="rId534" Type="http://schemas.openxmlformats.org/officeDocument/2006/relationships/hyperlink" Target="https://docs.google.com/document/d/1zKvJjBxps-E7ldvcyxUSJoARKUBfjGWBxzvFZ9BiYsU/edit?usp=sharing" TargetMode="External"/><Relationship Id="rId741" Type="http://schemas.openxmlformats.org/officeDocument/2006/relationships/hyperlink" Target="https://docs.google.com/document/d/1BeRbLe9cUmntxqfLtXGfve4-kobDaloVZ9VKbMi_OfM/edit?usp=sharing" TargetMode="External"/><Relationship Id="rId839" Type="http://schemas.openxmlformats.org/officeDocument/2006/relationships/hyperlink" Target="https://docs.google.com/document/d/1ze96J-OSo2zwadGZBPbgPhOAWItXEAHMUcX8Yo6jFJI/edit?usp=sharing" TargetMode="External"/><Relationship Id="rId173" Type="http://schemas.openxmlformats.org/officeDocument/2006/relationships/hyperlink" Target="https://docs.google.com/document/d/16d4fYJk2TScNEB-nErs4JQmZf7utlo4kM-wGxoLLFTs/edit?usp=sharing" TargetMode="External"/><Relationship Id="rId380" Type="http://schemas.openxmlformats.org/officeDocument/2006/relationships/hyperlink" Target="https://docs.google.com/document/d/1gpdRMQypBdwTK6dRg-vkjLBgA1eK5LaI8vRwBrGiDT4/edit?usp=drive_link" TargetMode="External"/><Relationship Id="rId601" Type="http://schemas.openxmlformats.org/officeDocument/2006/relationships/hyperlink" Target="https://docs.google.com/document/d/1qOHQHWH9-zzbMOICiw54st2XTmkqlg-KvLSJIBCf7Wg/edit?usp=sharing" TargetMode="External"/><Relationship Id="rId240" Type="http://schemas.openxmlformats.org/officeDocument/2006/relationships/hyperlink" Target="https://docs.google.com/document/d/1jGoFLOwgzHMGJEpfP8UJugqvTNbeafrQFoQJgmUDkcI/edit?usp=sharing" TargetMode="External"/><Relationship Id="rId478" Type="http://schemas.openxmlformats.org/officeDocument/2006/relationships/hyperlink" Target="https://docs.google.com/document/d/1iuQI_BOsWszk4k3dL6aTI4lp3-SA6N7jxsNR_7sq7Gk/edit?usp=sharing" TargetMode="External"/><Relationship Id="rId685" Type="http://schemas.openxmlformats.org/officeDocument/2006/relationships/hyperlink" Target="https://docs.google.com/document/d/1L1yF9INKBJvMhIPOHD3B_wD_3gZHvn5pOI2b2xW8Rgc/edit?usp=sharing" TargetMode="External"/><Relationship Id="rId892" Type="http://schemas.openxmlformats.org/officeDocument/2006/relationships/hyperlink" Target="https://docs.google.com/document/d/17vQJBjkHnKPKXzg7tcyUNyZqSZHGgGsdzoPR9HikkNE/edit?usp=sharing" TargetMode="External"/><Relationship Id="rId906" Type="http://schemas.openxmlformats.org/officeDocument/2006/relationships/hyperlink" Target="https://docs.google.com/document/d/1uHQMVMCBBJcqduh34F46GR4m3asY_LPLkhae5dGAMLA/edit?usp=sharing" TargetMode="External"/><Relationship Id="rId35" Type="http://schemas.openxmlformats.org/officeDocument/2006/relationships/hyperlink" Target="https://docs.google.com/document/d/1PSf73Eq-XY-N66mQ_z6k75f--sz0yu9A4S1llGThTgE/edit?usp=sharing" TargetMode="External"/><Relationship Id="rId100" Type="http://schemas.openxmlformats.org/officeDocument/2006/relationships/hyperlink" Target="https://docs.google.com/document/d/1vgHviv0qQ2s-pO6z_9pdio5Ygpi1cfAUEdwNzn7e1Og/edit?usp=sharing" TargetMode="External"/><Relationship Id="rId338" Type="http://schemas.openxmlformats.org/officeDocument/2006/relationships/hyperlink" Target="https://docs.google.com/document/d/1DbKX8IRJWAXE-mSdA6W6vpN49Yiq3NN9qiZJMQ80P-E/edit?usp=drive_link" TargetMode="External"/><Relationship Id="rId545" Type="http://schemas.openxmlformats.org/officeDocument/2006/relationships/hyperlink" Target="https://docs.google.com/document/d/1kvoSoV4vBf2eL7v3SsxWoQ47fBewMXKKwkNqCuBdLyY/edit?tab=t.0" TargetMode="External"/><Relationship Id="rId752" Type="http://schemas.openxmlformats.org/officeDocument/2006/relationships/hyperlink" Target="https://docs.google.com/document/d/1eVCdmy2dAWQqAfXXCWPriPRvX-KKbWMvaIX77byb8xQ/edit?usp=sharing" TargetMode="External"/><Relationship Id="rId184" Type="http://schemas.openxmlformats.org/officeDocument/2006/relationships/hyperlink" Target="https://docs.google.com/document/d/1vZr1tNIyvCjBu7qyp2IYSx5BEcNOZejqa32VSMRr14k/edit?usp=sharing" TargetMode="External"/><Relationship Id="rId391" Type="http://schemas.openxmlformats.org/officeDocument/2006/relationships/hyperlink" Target="https://docs.google.com/document/d/1wDDI1TX410fVM0jaUMMLteRnOmCymD8_UsiyvsG-ZNk/edit?usp=sharing" TargetMode="External"/><Relationship Id="rId405" Type="http://schemas.openxmlformats.org/officeDocument/2006/relationships/hyperlink" Target="https://docs.google.com/document/d/1b3fjnMpTlcLsbZaEgFTNaqy4eC854q8SxxeMHjWh0yE/edit?usp=sharing" TargetMode="External"/><Relationship Id="rId612" Type="http://schemas.openxmlformats.org/officeDocument/2006/relationships/hyperlink" Target="https://docs.google.com/document/d/1--ZklTWwErro08d_9aI1T5fDzmQ4V-C82tCcAs3wjCg/edit?usp=sharing" TargetMode="External"/><Relationship Id="rId251" Type="http://schemas.openxmlformats.org/officeDocument/2006/relationships/hyperlink" Target="https://docs.google.com/document/d/1jp9c6ySb3EJ8YQE6s0FueMl5ldQ8hswxf5MP-TbnD60/edit?usp=sharing" TargetMode="External"/><Relationship Id="rId489" Type="http://schemas.openxmlformats.org/officeDocument/2006/relationships/hyperlink" Target="https://docs.google.com/document/d/1EM64JoCmTHs84mPUbTuYs0QD-ePXQohvGJA9XU2MZZM/edit?usp=sharing" TargetMode="External"/><Relationship Id="rId696" Type="http://schemas.openxmlformats.org/officeDocument/2006/relationships/hyperlink" Target="https://docs.google.com/document/d/1_W277iAs_L4_UBlmxeojER_kRMsxWTa2wZCtDVuF2WA/edit?usp=sharing" TargetMode="External"/><Relationship Id="rId917" Type="http://schemas.openxmlformats.org/officeDocument/2006/relationships/hyperlink" Target="https://docs.google.com/document/d/1YoWXXymid-IkFBygIjVQlXwX-KMSRxBAHqSjDJbF9es/edit?usp=sharing" TargetMode="External"/><Relationship Id="rId46" Type="http://schemas.openxmlformats.org/officeDocument/2006/relationships/hyperlink" Target="https://docs.google.com/document/d/1vXqd0qwfd8VH5RVpDdh9WcgDwlC1OQoghG-DXTITpWg/edit?usp=sharing" TargetMode="External"/><Relationship Id="rId349" Type="http://schemas.openxmlformats.org/officeDocument/2006/relationships/hyperlink" Target="https://docs.google.com/document/d/1ASjLgMRiNmeTCrrZEL3zkdPU0QGLo1mUI5Avs2VcZDA/edit?usp=drive_link" TargetMode="External"/><Relationship Id="rId556" Type="http://schemas.openxmlformats.org/officeDocument/2006/relationships/hyperlink" Target="https://docs.google.com/document/d/1X2l0jHXQSaYPDRVH-Axj5uXAMsoctAjAMSEBsXBeLYY/edit?usp=sharing" TargetMode="External"/><Relationship Id="rId763" Type="http://schemas.openxmlformats.org/officeDocument/2006/relationships/hyperlink" Target="https://docs.google.com/document/d/1s_5s4RJSGs5KTW1fKx_fBZRVxvpwbnGZl8JPbG3KhPw/edit?usp=sharing" TargetMode="External"/><Relationship Id="rId111" Type="http://schemas.openxmlformats.org/officeDocument/2006/relationships/hyperlink" Target="https://docs.google.com/document/d/1f1w_Q0M7Md8R28g-39-Tmj4au3vNuNVHR7bhSnu0KVc/edit?usp=sharing" TargetMode="External"/><Relationship Id="rId195" Type="http://schemas.openxmlformats.org/officeDocument/2006/relationships/hyperlink" Target="https://docs.google.com/document/d/1BFNBcdSzeNljaGw3Qe7v-bjtS6KpAGjb_kr3e4f1lVg/edit?usp=sharing" TargetMode="External"/><Relationship Id="rId209" Type="http://schemas.openxmlformats.org/officeDocument/2006/relationships/hyperlink" Target="https://docs.google.com/document/d/1BrnDyyFHSgPcfJywC219RoXx7UTYxFCaC0OFfSJmweE/edit?usp=sharing" TargetMode="External"/><Relationship Id="rId416" Type="http://schemas.openxmlformats.org/officeDocument/2006/relationships/hyperlink" Target="https://docs.google.com/document/d/1Fm7JdV8273Y0KcpbgK27dxph-iy-hvdR3qmD-sDX5Ck/edit?usp=drive_link" TargetMode="External"/><Relationship Id="rId970" Type="http://schemas.openxmlformats.org/officeDocument/2006/relationships/hyperlink" Target="https://docs.google.com/document/d/1gY4BDtEhB8-fkN1SfhneGpO1rS2j2eELUHOFzFrAucQ/edit?usp=sharing" TargetMode="External"/><Relationship Id="rId623" Type="http://schemas.openxmlformats.org/officeDocument/2006/relationships/hyperlink" Target="https://docs.google.com/document/d/1ZGTVknmSMsciRK_O8_KBetgx2xH_T_esp9CYHrrmGgM/edit?usp=sharing" TargetMode="External"/><Relationship Id="rId830" Type="http://schemas.openxmlformats.org/officeDocument/2006/relationships/hyperlink" Target="https://docs.google.com/document/d/1jmB27IcM2PzLBNiaOd7W9IhTEa7L54jtTFPAQ7QCDNg/edit?usp=sharing" TargetMode="External"/><Relationship Id="rId928" Type="http://schemas.openxmlformats.org/officeDocument/2006/relationships/hyperlink" Target="https://docs.google.com/document/d/1GTKMlK-l5glUb9Ux30vRm5Bu-SM46DnzEcQ7fb5xGDk/edit?usp=sharing" TargetMode="External"/><Relationship Id="rId57" Type="http://schemas.openxmlformats.org/officeDocument/2006/relationships/hyperlink" Target="https://docs.google.com/document/d/1t4mI5oBo_x30v0ASKqV4kjsovtdH7XRDn9qRW81zklQ/edit?usp=sharing" TargetMode="External"/><Relationship Id="rId262" Type="http://schemas.openxmlformats.org/officeDocument/2006/relationships/hyperlink" Target="https://docs.google.com/document/d/10qOhrnoueshECG2lKS4McnLroZ167PhZvpa5_KMzr58/edit?usp=sharing" TargetMode="External"/><Relationship Id="rId567" Type="http://schemas.openxmlformats.org/officeDocument/2006/relationships/hyperlink" Target="https://docs.google.com/document/d/19qwYbJ-qlTmTAcmaQjjHz4g09tmbHjAxB7A6eOcQr5Q/edit?tab=t.0" TargetMode="External"/><Relationship Id="rId122" Type="http://schemas.openxmlformats.org/officeDocument/2006/relationships/hyperlink" Target="https://docs.google.com/document/d/1u9BWzJERDuw0dlo3jsllG4sDtqwuULLzywQ07a2Eu0c/edit?usp=sharing" TargetMode="External"/><Relationship Id="rId774" Type="http://schemas.openxmlformats.org/officeDocument/2006/relationships/hyperlink" Target="https://docs.google.com/document/d/1O0f9PI8fCAmGX_zKUzQ6BGvx0pg2mSilH1qJK7JslvA/edit?usp=sharing" TargetMode="External"/><Relationship Id="rId981" Type="http://schemas.openxmlformats.org/officeDocument/2006/relationships/hyperlink" Target="https://docs.google.com/document/d/1FNFif5rqWt4v3SbIitupORsJxzsAV67YpoEfI9jk2bM/edit?usp=sharing" TargetMode="External"/><Relationship Id="rId427" Type="http://schemas.openxmlformats.org/officeDocument/2006/relationships/hyperlink" Target="https://docs.google.com/document/d/1-5470z6B_njyPLrjovnVXgQUODc9vE2wfkHHNkmNCn8/edit?usp=sharing" TargetMode="External"/><Relationship Id="rId634" Type="http://schemas.openxmlformats.org/officeDocument/2006/relationships/hyperlink" Target="https://docs.google.com/document/d/18Z9jjR1Dsxopt5NnrML-MWjHNf_FlYbdHu8PYsyhB3M/edit?usp=sharing" TargetMode="External"/><Relationship Id="rId841" Type="http://schemas.openxmlformats.org/officeDocument/2006/relationships/hyperlink" Target="https://docs.google.com/document/d/1nlMRVkwqjMXHziO3D39C2fg0o4_iQ2V-ILSwKjyygDw/edit?usp=sharing" TargetMode="External"/><Relationship Id="rId273" Type="http://schemas.openxmlformats.org/officeDocument/2006/relationships/hyperlink" Target="https://docs.google.com/document/d/1jIntwLJaoXjM5mQTNcMebDWgtk7DinzmGPN5k2Q-ShA/edit?usp=sharing" TargetMode="External"/><Relationship Id="rId480" Type="http://schemas.openxmlformats.org/officeDocument/2006/relationships/hyperlink" Target="https://docs.google.com/document/d/1eDUSLZTYeckDzvmIYo0nvD-eHKvE9rzTXlU3UAeCa5I/edit?usp=sharing" TargetMode="External"/><Relationship Id="rId701" Type="http://schemas.openxmlformats.org/officeDocument/2006/relationships/hyperlink" Target="https://docs.google.com/document/d/1HhJY16y2jfBeAp_R7ScMRxpO1NcuX63nw7E1aJxvNyI/edit?usp=sharing" TargetMode="External"/><Relationship Id="rId939" Type="http://schemas.openxmlformats.org/officeDocument/2006/relationships/hyperlink" Target="https://docs.google.com/document/d/1jbiwhAEAPFwrjL3m-AqGSHjkguIqPU-4-gfAVec7AeA/edit?usp=sharing" TargetMode="External"/><Relationship Id="rId68" Type="http://schemas.openxmlformats.org/officeDocument/2006/relationships/hyperlink" Target="https://docs.google.com/document/d/1UQmFmqbmthpyARVlDFiq4Y6NBfzgVDFunZCwQ53izuM/edit?usp=sharing" TargetMode="External"/><Relationship Id="rId133" Type="http://schemas.openxmlformats.org/officeDocument/2006/relationships/hyperlink" Target="https://docs.google.com/document/d/1t2IREjYNKcotwixXSftIEJ1YNYBU4uTF1eVeCyJ_NH8/edit?usp=sharing" TargetMode="External"/><Relationship Id="rId340" Type="http://schemas.openxmlformats.org/officeDocument/2006/relationships/hyperlink" Target="https://docs.google.com/document/d/1oIPc8exfbM6UXjiCddXdwIRrWOQJ8CKwzAblBObMPiY/edit?usp=drive_link" TargetMode="External"/><Relationship Id="rId578" Type="http://schemas.openxmlformats.org/officeDocument/2006/relationships/hyperlink" Target="https://docs.google.com/document/d/1FTYpE1A5qo36yv3_uHLtkUZxluElQKtI-4wo11BLQh0/edit?usp=sharing" TargetMode="External"/><Relationship Id="rId785" Type="http://schemas.openxmlformats.org/officeDocument/2006/relationships/hyperlink" Target="https://docs.google.com/document/d/1ANdorze6rXZD8hlgtG8EPJbjlfpAW4rSpNRqKxmPHSY/edit?usp=sharing" TargetMode="External"/><Relationship Id="rId992" Type="http://schemas.openxmlformats.org/officeDocument/2006/relationships/hyperlink" Target="https://docs.google.com/document/d/13aJdJoyGbjZW1nMrfXgDrzP7CuCf67jT0nIL0bJc-cs/edit?usp=sharing" TargetMode="External"/><Relationship Id="rId200" Type="http://schemas.openxmlformats.org/officeDocument/2006/relationships/hyperlink" Target="https://docs.google.com/document/d/10Pf8P1lqq7_9t1PDXa5TBR8jOosqyzBpP3dBf1uwUBM/edit?usp=sharing" TargetMode="External"/><Relationship Id="rId438" Type="http://schemas.openxmlformats.org/officeDocument/2006/relationships/hyperlink" Target="https://docs.google.com/document/d/1uHt_fmWeuk0g8OYa5ILYUSLvqkLKufE2x3oK2IWBWkY/edit?usp=drive_link" TargetMode="External"/><Relationship Id="rId645" Type="http://schemas.openxmlformats.org/officeDocument/2006/relationships/hyperlink" Target="https://docs.google.com/document/d/1_5JNPd6vzTgByhnsm1nTjN0NXxat8rfChaTYyogyE4I/edit?usp=sharing" TargetMode="External"/><Relationship Id="rId852" Type="http://schemas.openxmlformats.org/officeDocument/2006/relationships/hyperlink" Target="https://docs.google.com/document/d/1wogF5QjodAKRcKkkZxaFqrZPZdPskRY3QwVmY7S-tJ0/edit?usp=sharing" TargetMode="External"/><Relationship Id="rId284" Type="http://schemas.openxmlformats.org/officeDocument/2006/relationships/hyperlink" Target="https://docs.google.com/document/d/1GPxo8l2zkOVdidenNHEmVMncqGvskppPsZWbpQy3LNA/edit?usp=sharing" TargetMode="External"/><Relationship Id="rId491" Type="http://schemas.openxmlformats.org/officeDocument/2006/relationships/hyperlink" Target="https://docs.google.com/document/d/167r619cjXNPr06axmRJBzj51OVfrXknHleusRElCqWw/edit?usp=sharing" TargetMode="External"/><Relationship Id="rId505" Type="http://schemas.openxmlformats.org/officeDocument/2006/relationships/hyperlink" Target="https://docs.google.com/document/d/1YBjfsS_CPoTiIuDydtr3xvh_LhtXI39cTSl9wWEk6sc/edit?usp=sharing" TargetMode="External"/><Relationship Id="rId712" Type="http://schemas.openxmlformats.org/officeDocument/2006/relationships/hyperlink" Target="https://docs.google.com/document/d/1jdpLbb0JOBGj96gHmWzaklsAEKPuHuzk6NEvUcUPIZU/edit?usp=sharing" TargetMode="External"/><Relationship Id="rId79" Type="http://schemas.openxmlformats.org/officeDocument/2006/relationships/hyperlink" Target="https://docs.google.com/document/d/1OKMJ3XbWdH1prAKUQ00fSbjTtDSJF1Ug8fKG_-bGqM8/edit?usp=sharing" TargetMode="External"/><Relationship Id="rId144" Type="http://schemas.openxmlformats.org/officeDocument/2006/relationships/hyperlink" Target="https://docs.google.com/document/d/1ZNGyanK9HcQZFVCdzpceY_w_LEspojsqoXfSWwbex3Y/edit?usp=sharing" TargetMode="External"/><Relationship Id="rId589" Type="http://schemas.openxmlformats.org/officeDocument/2006/relationships/hyperlink" Target="https://docs.google.com/document/d/1aFoJAzVWtGLuM-V7QLvo1_mJbwecy58W6hjKYSTEwtM/edit?usp=sharing" TargetMode="External"/><Relationship Id="rId796" Type="http://schemas.openxmlformats.org/officeDocument/2006/relationships/hyperlink" Target="https://docs.google.com/document/d/149SregUOkxpFD8sfYL_dnO9cWoHmZy35vdXvGkSA0GI/edit?usp=sharing" TargetMode="External"/><Relationship Id="rId351" Type="http://schemas.openxmlformats.org/officeDocument/2006/relationships/hyperlink" Target="https://docs.google.com/document/d/1GgzRkfCr5vUxeu0_zditSrSUZp4oIhVPMui_RYqY3jM/edit?usp=drive_link" TargetMode="External"/><Relationship Id="rId449" Type="http://schemas.openxmlformats.org/officeDocument/2006/relationships/hyperlink" Target="https://docs.google.com/document/d/1tdsiweo2fvcqVT97pPfLOaVq2FQh9S-ogKgBsYh5KyI/edit?usp=sharing" TargetMode="External"/><Relationship Id="rId656" Type="http://schemas.openxmlformats.org/officeDocument/2006/relationships/hyperlink" Target="https://docs.google.com/document/d/1F82rxGRRMDFtxItJ3Z02l5tFfYI4CgY_THueWU5AqSc/edit?usp=sharing" TargetMode="External"/><Relationship Id="rId863" Type="http://schemas.openxmlformats.org/officeDocument/2006/relationships/hyperlink" Target="https://docs.google.com/document/d/1tP-grBgZEnfmrQkszVmwtcCKPRXSQvt2_ywmuNlyGfw/edit?usp=sharing" TargetMode="External"/><Relationship Id="rId211" Type="http://schemas.openxmlformats.org/officeDocument/2006/relationships/hyperlink" Target="https://docs.google.com/document/d/10V-8tv-_s47cwjWxaQWsueUNw1T7fH8kG8vhzYQX80w/edit?usp=sharing" TargetMode="External"/><Relationship Id="rId295" Type="http://schemas.openxmlformats.org/officeDocument/2006/relationships/hyperlink" Target="https://docs.google.com/document/d/1a0VW5vieHlRwmYbYSI2MMxvcLLNrOyHo0GaKTsHNm4I/edit?usp=sharing" TargetMode="External"/><Relationship Id="rId309" Type="http://schemas.openxmlformats.org/officeDocument/2006/relationships/hyperlink" Target="https://docs.google.com/document/d/1HV4PYXMbzZwP23Kx6BNuoctgDzF6Khp3L20HGdi__2E/edit?usp=sharing" TargetMode="External"/><Relationship Id="rId516" Type="http://schemas.openxmlformats.org/officeDocument/2006/relationships/hyperlink" Target="https://docs.google.com/document/d/1ko2p832j3MwcQTxfZ2m8L_KE0Pzrb14MvAN1X-mfzX0/edit?usp=sharing" TargetMode="External"/><Relationship Id="rId723" Type="http://schemas.openxmlformats.org/officeDocument/2006/relationships/hyperlink" Target="https://docs.google.com/document/d/11gn4fdmAcXMhNelSY2xQsT1mgr98Afrf4M-r7uxwd5U/edit?usp=sharing" TargetMode="External"/><Relationship Id="rId930" Type="http://schemas.openxmlformats.org/officeDocument/2006/relationships/hyperlink" Target="https://docs.google.com/document/d/15pEl1qPS6bMHU9TQ1egxTanHK2dSTZ4HltebUgI4mBI/edit?usp=sharing" TargetMode="External"/><Relationship Id="rId155" Type="http://schemas.openxmlformats.org/officeDocument/2006/relationships/hyperlink" Target="https://docs.google.com/document/d/1jlDSPmjcq-JfMZvGg84zN2NQd4ZWf5-BxX7iyMmpz9Y/edit?usp=sharing" TargetMode="External"/><Relationship Id="rId362" Type="http://schemas.openxmlformats.org/officeDocument/2006/relationships/hyperlink" Target="https://docs.google.com/document/d/1utqFB3G4M1N_r_l4ELm3ey80nyEkkSL3Qs9feQ4KA1c/edit?usp=sharing" TargetMode="External"/><Relationship Id="rId222" Type="http://schemas.openxmlformats.org/officeDocument/2006/relationships/hyperlink" Target="https://docs.google.com/document/d/1_Ri8jywHmoFaXphyA6iEVpRfN4XPhv1FByow3CKf80M/edit?usp=sharing" TargetMode="External"/><Relationship Id="rId667" Type="http://schemas.openxmlformats.org/officeDocument/2006/relationships/hyperlink" Target="https://docs.google.com/document/d/1FfR_3jCwmU_iBkV5vVogwryiuYVEX9k7oHpPVWM-WCQ/edit?usp=sharing" TargetMode="External"/><Relationship Id="rId874" Type="http://schemas.openxmlformats.org/officeDocument/2006/relationships/hyperlink" Target="https://docs.google.com/document/d/1i1SQ3HtKtw4pSM3sPgkcf6yq6W59KOe6FTYRQH6IEZ4/edit?usp=sharing" TargetMode="External"/><Relationship Id="rId17" Type="http://schemas.openxmlformats.org/officeDocument/2006/relationships/hyperlink" Target="https://docs.google.com/document/d/1ewZQKMHuYl7I3oFKhHMMQd5AuSKvRunnPvEmMdzxZOs/edit?usp=sharing" TargetMode="External"/><Relationship Id="rId527" Type="http://schemas.openxmlformats.org/officeDocument/2006/relationships/hyperlink" Target="https://docs.google.com/document/d/1CG1u2bVXU25k32BMJbp-GjC3sPnNX3sSA7SrTTcWxtQ/edit?usp=sharing" TargetMode="External"/><Relationship Id="rId734" Type="http://schemas.openxmlformats.org/officeDocument/2006/relationships/hyperlink" Target="https://docs.google.com/document/d/1S_YeyEzOel5-d_b-KeigLkE3ViAHIa3OqMdWMiWGHls/edit?usp=sharing" TargetMode="External"/><Relationship Id="rId941" Type="http://schemas.openxmlformats.org/officeDocument/2006/relationships/hyperlink" Target="https://docs.google.com/document/d/1fO9WI7F-cHpfwr1BXcKTrPZ5waNAuwtdLaeSPCxN5Xc/edit?usp=sharing" TargetMode="External"/><Relationship Id="rId70" Type="http://schemas.openxmlformats.org/officeDocument/2006/relationships/hyperlink" Target="https://docs.google.com/document/d/1CxJeGEK6janje0MYlzn5eTYYQoYr5-JPAeDAkwkFjUY/edit?usp=sharing" TargetMode="External"/><Relationship Id="rId166" Type="http://schemas.openxmlformats.org/officeDocument/2006/relationships/hyperlink" Target="https://docs.google.com/document/d/1QQEMYtGSY8po36qNhlhdjlCu7xfV0MyeTs3KMmY8HXU/edit?usp=sharing" TargetMode="External"/><Relationship Id="rId373" Type="http://schemas.openxmlformats.org/officeDocument/2006/relationships/hyperlink" Target="https://docs.google.com/document/d/1BC_qmQzl2dkmqJK1JNOymZxkGiALK35kEBlVtuCjKek/edit?usp=drive_link" TargetMode="External"/><Relationship Id="rId580" Type="http://schemas.openxmlformats.org/officeDocument/2006/relationships/hyperlink" Target="https://docs.google.com/document/d/1x8sSGXGmPAvzstzo1mmyoyWIg0iJ4zV2tuU3UC2_Md4/edit?usp=sharing" TargetMode="External"/><Relationship Id="rId801" Type="http://schemas.openxmlformats.org/officeDocument/2006/relationships/hyperlink" Target="https://docs.google.com/document/d/1k9wgVt1sILiwo12ojeg6Xj1MqWZyaZGl5kCxLNCrGBs/edit?usp=sharing" TargetMode="External"/><Relationship Id="rId1" Type="http://schemas.openxmlformats.org/officeDocument/2006/relationships/hyperlink" Target="https://docs.google.com/document/d/1SSNhJb_hrgjI7jI09_EE9S_BDg2l37vEsXI6fMdET9o/edit?usp=sharing" TargetMode="External"/><Relationship Id="rId233" Type="http://schemas.openxmlformats.org/officeDocument/2006/relationships/hyperlink" Target="https://docs.google.com/document/d/1YN0r2gEzapEHFPb2hn8MPGqadOpra_juNOmBhyVZ6f8/edit?usp=sharing" TargetMode="External"/><Relationship Id="rId440" Type="http://schemas.openxmlformats.org/officeDocument/2006/relationships/hyperlink" Target="https://docs.google.com/document/d/1msiZBzldVxxcMNKCdt3cmd0G-VbiACA3J2W3nQCjxBc/edit?usp=sharing" TargetMode="External"/><Relationship Id="rId678" Type="http://schemas.openxmlformats.org/officeDocument/2006/relationships/hyperlink" Target="https://docs.google.com/document/d/1JSjjYCgDYL7bguFUKbCLO4TpTQDUjLCh4MsWDiKG3n0/edit?usp=sharing" TargetMode="External"/><Relationship Id="rId885" Type="http://schemas.openxmlformats.org/officeDocument/2006/relationships/hyperlink" Target="https://docs.google.com/document/d/1Sg84WBR4SPaouTIhvONdvPonaVx2VqhcQoYzCldkklc/edit?usp=sharing" TargetMode="External"/><Relationship Id="rId28" Type="http://schemas.openxmlformats.org/officeDocument/2006/relationships/hyperlink" Target="https://docs.google.com/document/d/1c4KwyCYWS0-Uvc9-8dJBb01hYTre8QvKhWTsumspThc/edit?usp=sharing" TargetMode="External"/><Relationship Id="rId300" Type="http://schemas.openxmlformats.org/officeDocument/2006/relationships/hyperlink" Target="https://docs.google.com/document/d/10Zwbe0cqkip5KhDNwogmdXarm0Vhh2-QCAJar96iJKs/edit?usp=sharing" TargetMode="External"/><Relationship Id="rId538" Type="http://schemas.openxmlformats.org/officeDocument/2006/relationships/hyperlink" Target="https://docs.google.com/document/d/1i0QJDDYbw2Qbtwn3RQ1O1uXUZZlh5YB_-DtPNrz14EQ/edit?usp=sharing" TargetMode="External"/><Relationship Id="rId745" Type="http://schemas.openxmlformats.org/officeDocument/2006/relationships/hyperlink" Target="https://docs.google.com/document/d/1_2slMqHtN8Hn8zMVFzYmtQFFaP51OBI2kZnk0b-kjCs/edit?usp=sharing" TargetMode="External"/><Relationship Id="rId952" Type="http://schemas.openxmlformats.org/officeDocument/2006/relationships/hyperlink" Target="https://docs.google.com/document/d/14k6fE3DMDvNepwEfklaEoWv-a3HPNVd-J8zhJH3HFcc/edit?usp=sharing" TargetMode="External"/><Relationship Id="rId81" Type="http://schemas.openxmlformats.org/officeDocument/2006/relationships/hyperlink" Target="https://docs.google.com/document/d/1Hrtr-hiFYR66jns57ik0ZfXtl6gx1eMY7nvJna_0W_Q/edit?usp=sharing" TargetMode="External"/><Relationship Id="rId177" Type="http://schemas.openxmlformats.org/officeDocument/2006/relationships/hyperlink" Target="https://docs.google.com/document/d/1HIm9iU20FAYuGPnEEb-v94_q074uvlYxAnXU9USM1_E/edit?usp=sharing" TargetMode="External"/><Relationship Id="rId384" Type="http://schemas.openxmlformats.org/officeDocument/2006/relationships/hyperlink" Target="https://docs.google.com/document/d/1aNajV4Hg-WFeNsuVWRO4ElLQp9ZoEsrobejt2_P4Aeo/edit?usp=drive_link" TargetMode="External"/><Relationship Id="rId591" Type="http://schemas.openxmlformats.org/officeDocument/2006/relationships/hyperlink" Target="https://docs.google.com/document/d/10fJzFCmoDr93uI_c8vTfgUhuiRFzM-nwRweAkPsuQJI/edit?usp=sharing" TargetMode="External"/><Relationship Id="rId605" Type="http://schemas.openxmlformats.org/officeDocument/2006/relationships/hyperlink" Target="https://docs.google.com/document/d/1pCg4n05bObObScoRsSQyslVDeFofITxMGg50eWosbsQ/edit?usp=sharing" TargetMode="External"/><Relationship Id="rId812" Type="http://schemas.openxmlformats.org/officeDocument/2006/relationships/hyperlink" Target="https://docs.google.com/document/d/1yaNaTbOCBulQccuDEE18APE6Zx6I1u-5RIRN2deW_m8/edit?usp=sharing" TargetMode="External"/><Relationship Id="rId244" Type="http://schemas.openxmlformats.org/officeDocument/2006/relationships/hyperlink" Target="https://docs.google.com/document/d/1-0wzvcLUqkal9SzL72vzz_XtoImVPV-VoZ9kUYUdicg/edit?usp=sharing" TargetMode="External"/><Relationship Id="rId689" Type="http://schemas.openxmlformats.org/officeDocument/2006/relationships/hyperlink" Target="https://docs.google.com/document/d/17J6uOnkgGL4jMVfmNY9jNRdfRHBEojrt2PTW6n6u68k/edit?usp=sharing" TargetMode="External"/><Relationship Id="rId896" Type="http://schemas.openxmlformats.org/officeDocument/2006/relationships/hyperlink" Target="https://docs.google.com/document/d/1EgLQ16CG4Oxr6vLAy9Cjgn-uZPiirbWWD2J448wXN4s/edit?usp=sharing" TargetMode="External"/><Relationship Id="rId39" Type="http://schemas.openxmlformats.org/officeDocument/2006/relationships/hyperlink" Target="https://docs.google.com/document/d/1GMKJkY7F6AUhnx3Caf0rEb4TGvmMlwPlLqEZTKswawI/edit?usp=sharing" TargetMode="External"/><Relationship Id="rId451" Type="http://schemas.openxmlformats.org/officeDocument/2006/relationships/hyperlink" Target="https://docs.google.com/document/d/1So3fHCF3pbtNgUIr2ENCOTdz1k5sXeSvvG4gqCRuLow/edit?usp=sharing" TargetMode="External"/><Relationship Id="rId549" Type="http://schemas.openxmlformats.org/officeDocument/2006/relationships/hyperlink" Target="https://docs.google.com/document/d/1RfHUxs_c75pfhKA_Q_xAPMpW9bBShfTo77J9xHpyErE/edit?tab=t.0" TargetMode="External"/><Relationship Id="rId756" Type="http://schemas.openxmlformats.org/officeDocument/2006/relationships/hyperlink" Target="https://docs.google.com/document/d/1OGusgWjw4eYr-CWLMOGmC_uVUkg7mzidCUtdQvZd5HY/edit?usp=sharing" TargetMode="External"/><Relationship Id="rId104" Type="http://schemas.openxmlformats.org/officeDocument/2006/relationships/hyperlink" Target="https://docs.google.com/document/d/1xTNxxr9aW6WumQCE8YzEI600wsyJhNJa9cdycHUVYJ0/edit?usp=sharing" TargetMode="External"/><Relationship Id="rId188" Type="http://schemas.openxmlformats.org/officeDocument/2006/relationships/hyperlink" Target="https://docs.google.com/document/d/1Ayoe5oryGNOTegXIkR0s6C9YkZcLdHevYU_QdjfQHnI/edit?usp=sharing" TargetMode="External"/><Relationship Id="rId311" Type="http://schemas.openxmlformats.org/officeDocument/2006/relationships/hyperlink" Target="https://docs.google.com/document/d/1MBvrMnJRYrhzPbHiSQLVvXpRN3i1IyVNp6-oMC0HHQo/edit?usp=sharing" TargetMode="External"/><Relationship Id="rId395" Type="http://schemas.openxmlformats.org/officeDocument/2006/relationships/hyperlink" Target="https://docs.google.com/document/d/1aOshAdzCVpNDNIDYJzeCFa_bVipE3Kim37MAKrE-zTo/edit?usp=sharing" TargetMode="External"/><Relationship Id="rId409" Type="http://schemas.openxmlformats.org/officeDocument/2006/relationships/hyperlink" Target="https://docs.google.com/document/d/17j0TurgZ8VSdEgvsEBG_9fGF2ykqIXlDk73am33btrE/edit?usp=sharing" TargetMode="External"/><Relationship Id="rId963" Type="http://schemas.openxmlformats.org/officeDocument/2006/relationships/hyperlink" Target="https://docs.google.com/document/d/1hhju0kgzBPRTbbOoHVTNEg3YS3WYkCGGNIp2Soa8CVA/edit?usp=sharing" TargetMode="External"/><Relationship Id="rId92" Type="http://schemas.openxmlformats.org/officeDocument/2006/relationships/hyperlink" Target="https://docs.google.com/document/d/1JxV6t7seCEdZJsNoT7jVIZRWRb5bHz109hP_B4S01Mo/edit?usp=sharing" TargetMode="External"/><Relationship Id="rId616" Type="http://schemas.openxmlformats.org/officeDocument/2006/relationships/hyperlink" Target="https://docs.google.com/document/d/1WqrZb64x0lEORYJ88E7DkSZbZ8cIi_WnAOvaKcUHo0E/edit?usp=sharing" TargetMode="External"/><Relationship Id="rId823" Type="http://schemas.openxmlformats.org/officeDocument/2006/relationships/hyperlink" Target="https://docs.google.com/document/d/1mghWwIx0qWq2FILmkrU3j1c8RzhxJMzPSFYhIjZwTeo/edit?usp=sharing" TargetMode="External"/><Relationship Id="rId255" Type="http://schemas.openxmlformats.org/officeDocument/2006/relationships/hyperlink" Target="https://docs.google.com/document/d/1tPMmwDqlD6YQMyNpM6PDJ__cZA5pGNwIkjXjmhP9j6c/edit?usp=sharing" TargetMode="External"/><Relationship Id="rId462" Type="http://schemas.openxmlformats.org/officeDocument/2006/relationships/hyperlink" Target="https://docs.google.com/document/d/1EaOzw_dkzLSDgTPaZsBiMIFg6337jMaBDzDnSp41iMI/edit?usp=sharing" TargetMode="External"/><Relationship Id="rId115" Type="http://schemas.openxmlformats.org/officeDocument/2006/relationships/hyperlink" Target="https://docs.google.com/document/d/1-nXLv5mlGPPi8z3E5Gnqa1UXMUz9eRjxqOtXWcxY3ro/edit?usp=sharing" TargetMode="External"/><Relationship Id="rId322" Type="http://schemas.openxmlformats.org/officeDocument/2006/relationships/hyperlink" Target="https://docs.google.com/document/d/1FRnIo5DynK9kEB44uNxGGtp2awN7I8eAjNtoRom_aMo/edit?usp=sharing" TargetMode="External"/><Relationship Id="rId767" Type="http://schemas.openxmlformats.org/officeDocument/2006/relationships/hyperlink" Target="https://docs.google.com/document/d/1gENVbTPmHx_C93P9MFya6gO8B5BLZdZj-mF6AMBUqEc/edit?usp=sharing" TargetMode="External"/><Relationship Id="rId974" Type="http://schemas.openxmlformats.org/officeDocument/2006/relationships/hyperlink" Target="https://docs.google.com/document/d/1ycStjAvgYsL2PdPdlSoTTKw4tAkZT6fnOZEXFK4grRk/edit?usp=sharing" TargetMode="External"/><Relationship Id="rId199" Type="http://schemas.openxmlformats.org/officeDocument/2006/relationships/hyperlink" Target="https://docs.google.com/document/d/1wPeXLWXk9N_FKgBstXCxhuuUUEnRazubCCu6dxmRz34/edit?usp=sharing" TargetMode="External"/><Relationship Id="rId627" Type="http://schemas.openxmlformats.org/officeDocument/2006/relationships/hyperlink" Target="https://docs.google.com/document/d/1xTS3Ho7fT5XzxbAqo8PzP7Y24ynFWvnYsYCBL2JVJ5c/edit?usp=sharing" TargetMode="External"/><Relationship Id="rId834" Type="http://schemas.openxmlformats.org/officeDocument/2006/relationships/hyperlink" Target="https://docs.google.com/document/d/1BotGlrLgpPWTUQr0yK76f9GZ6f7nQE0sJ_y8xJPWlck/edit?usp=sharing" TargetMode="External"/><Relationship Id="rId266" Type="http://schemas.openxmlformats.org/officeDocument/2006/relationships/hyperlink" Target="https://docs.google.com/document/d/1m5AIjcPwBcYxo1McO57CLUts9P0y-EkRFlevG8hCHm8/edit?usp=sharing" TargetMode="External"/><Relationship Id="rId473" Type="http://schemas.openxmlformats.org/officeDocument/2006/relationships/hyperlink" Target="https://docs.google.com/document/d/1npXK7XhMwwfPMSS0spJyOYE3kCnjvbmWociIqgCFSRc/edit?usp=sharing" TargetMode="External"/><Relationship Id="rId680" Type="http://schemas.openxmlformats.org/officeDocument/2006/relationships/hyperlink" Target="https://docs.google.com/document/d/1Gv67RmZOfZHHXmD-aHcDSbCZXy_M3y8l3oY_q4r6sjk/edit?usp=sharing" TargetMode="External"/><Relationship Id="rId901" Type="http://schemas.openxmlformats.org/officeDocument/2006/relationships/hyperlink" Target="https://docs.google.com/document/d/1yBqRBju5Bs8S-hpmgE4qyBuRwknq-2mTKfytbziSmxU/edit?usp=sharing" TargetMode="External"/><Relationship Id="rId30" Type="http://schemas.openxmlformats.org/officeDocument/2006/relationships/hyperlink" Target="https://docs.google.com/document/d/1op0u4Ro5_Mo96i5aiKBhU1E1nR78N5BdaLk4QM9olEo/edit?usp=sharing" TargetMode="External"/><Relationship Id="rId126" Type="http://schemas.openxmlformats.org/officeDocument/2006/relationships/hyperlink" Target="https://docs.google.com/document/d/1vC6w8M9dbFDPcYXlYBk3yP4uJk0gcBebhTrxErkepps/edit?usp=sharing" TargetMode="External"/><Relationship Id="rId333" Type="http://schemas.openxmlformats.org/officeDocument/2006/relationships/hyperlink" Target="https://docs.google.com/document/d/15ImDJhO9SlI8SbqsZfL56keOIb8lynK0pNt1fWjF7io/edit?usp=sharing" TargetMode="External"/><Relationship Id="rId540" Type="http://schemas.openxmlformats.org/officeDocument/2006/relationships/hyperlink" Target="https://docs.google.com/document/d/1n9tLNcB0y_VcQQpTv1Ffshmcm3-eTuohANsIqpvGs5k/edit?tab=t.0" TargetMode="External"/><Relationship Id="rId778" Type="http://schemas.openxmlformats.org/officeDocument/2006/relationships/hyperlink" Target="https://docs.google.com/document/d/1Z9_G1k9D2zGZcGKli3PhBtOHqs87KDUVysvAj115h5I/edit?usp=sharing" TargetMode="External"/><Relationship Id="rId985" Type="http://schemas.openxmlformats.org/officeDocument/2006/relationships/hyperlink" Target="https://docs.google.com/document/d/18oNfQlZSFMMZ_ZR2u0MV3JsT5B7gfdLSJ9AXIN1A1CA/edit?usp=sharing" TargetMode="External"/><Relationship Id="rId638" Type="http://schemas.openxmlformats.org/officeDocument/2006/relationships/hyperlink" Target="https://docs.google.com/document/d/1GoKivDuW3GPl81OudlYpQKDSXfkWBwn1zsn-K6ZCSqE/edit?usp=sharing" TargetMode="External"/><Relationship Id="rId845" Type="http://schemas.openxmlformats.org/officeDocument/2006/relationships/hyperlink" Target="https://docs.google.com/document/d/1ujKf0_QpJOkRodA-gekN6NsA1YydIuYhM9KyjTq2XtE/edit?usp=sharing" TargetMode="External"/><Relationship Id="rId277" Type="http://schemas.openxmlformats.org/officeDocument/2006/relationships/hyperlink" Target="https://docs.google.com/document/d/1PUdNKLHK_Jk50qJOR6pjXuXH1wmmrCMhuecIG2rt0Kg/edit?usp=sharing" TargetMode="External"/><Relationship Id="rId400" Type="http://schemas.openxmlformats.org/officeDocument/2006/relationships/hyperlink" Target="https://docs.google.com/document/d/1nOLj924Fkh1H3jshsWRLZ7ZueagDsdKAsupEukFMauc/edit?usp=drive_link" TargetMode="External"/><Relationship Id="rId484" Type="http://schemas.openxmlformats.org/officeDocument/2006/relationships/hyperlink" Target="https://docs.google.com/document/d/1qarhqc2d9QzPSn_E4zVFoXRU4l-4SvU0Q-EkQXIyUjM/edit?usp=drive_link" TargetMode="External"/><Relationship Id="rId705" Type="http://schemas.openxmlformats.org/officeDocument/2006/relationships/hyperlink" Target="https://docs.google.com/document/d/1WL2pPwuHfAOYGVz962eYvyRGAyOWY6TgbSa2Fs29soo/edit?usp=sharing" TargetMode="External"/><Relationship Id="rId137" Type="http://schemas.openxmlformats.org/officeDocument/2006/relationships/hyperlink" Target="https://docs.google.com/document/d/1-u74EJEWeMNFd437VqEdUYPnBe_lv7cZJyAchZoqnXU/edit?usp=sharing" TargetMode="External"/><Relationship Id="rId344" Type="http://schemas.openxmlformats.org/officeDocument/2006/relationships/hyperlink" Target="https://docs.google.com/document/d/12XfmDYWXls6Nc8WZjxNQcHX2uaJPmmzaARq0S0xJRnQ/edit?usp=drive_link" TargetMode="External"/><Relationship Id="rId691" Type="http://schemas.openxmlformats.org/officeDocument/2006/relationships/hyperlink" Target="https://docs.google.com/document/d/1KIW5bosYFfIo4rD7wKKVYV7xsnU0GXPj-5tt11qiwAI/edit?usp=sharing" TargetMode="External"/><Relationship Id="rId789" Type="http://schemas.openxmlformats.org/officeDocument/2006/relationships/hyperlink" Target="https://docs.google.com/document/d/1MQLKQ48Fm09cGUqtvU9lZcyFkt88y16aGRVvHQKnLAw/edit?usp=sharing" TargetMode="External"/><Relationship Id="rId912" Type="http://schemas.openxmlformats.org/officeDocument/2006/relationships/hyperlink" Target="https://docs.google.com/document/d/1KzRzXE6SDejxgsNfGLBjP99Hogh9QGDh9Jk-u8A8fTY/edit?usp=sharing" TargetMode="External"/><Relationship Id="rId996" Type="http://schemas.openxmlformats.org/officeDocument/2006/relationships/hyperlink" Target="https://docs.google.com/document/d/1fLvsq_EVAUiyBlVgMIKolfqbwL7WsgrT3OxQSkcMArI/edit?usp=sharing" TargetMode="External"/><Relationship Id="rId41" Type="http://schemas.openxmlformats.org/officeDocument/2006/relationships/hyperlink" Target="https://docs.google.com/document/d/1ABllifnF4HTnHbM5iN_0OZ6uKLFtZjUlFSVfTeHvmSk/edit?usp=sharing" TargetMode="External"/><Relationship Id="rId83" Type="http://schemas.openxmlformats.org/officeDocument/2006/relationships/hyperlink" Target="https://docs.google.com/document/d/1zALXHsbNHrwVNO08LqG_HPIKABpevDfw8MXPxGSQW2s/edit?usp=sharing" TargetMode="External"/><Relationship Id="rId179" Type="http://schemas.openxmlformats.org/officeDocument/2006/relationships/hyperlink" Target="https://docs.google.com/document/d/1zZFAo23-wdRevshFRW2G0Y-RCVhqAtEthAT4-D_BS40/edit?usp=sharing" TargetMode="External"/><Relationship Id="rId386" Type="http://schemas.openxmlformats.org/officeDocument/2006/relationships/hyperlink" Target="https://docs.google.com/document/d/1ipWvURm1lGgXL-bsTJIyXxqBE3T_pfqJDjc1TViCfbU/edit?usp=sharing" TargetMode="External"/><Relationship Id="rId551" Type="http://schemas.openxmlformats.org/officeDocument/2006/relationships/hyperlink" Target="https://docs.google.com/document/d/1R4kMQ_u6il5RQGcxinsSjQRpcVzY0t9i3eT8wwIq_l0/edit?tab=t.0" TargetMode="External"/><Relationship Id="rId593" Type="http://schemas.openxmlformats.org/officeDocument/2006/relationships/hyperlink" Target="https://docs.google.com/document/d/1m3HQKbXL0PDn-3apiNE9oSehErGn5FxkKLR5B_00wcI/edit?usp=sharing" TargetMode="External"/><Relationship Id="rId607" Type="http://schemas.openxmlformats.org/officeDocument/2006/relationships/hyperlink" Target="https://docs.google.com/document/d/1z1MxPN7IHSEJ-jqjyAP6p3fUxQm-5WMv4NUkp7Yokag/edit?usp=sharing" TargetMode="External"/><Relationship Id="rId649" Type="http://schemas.openxmlformats.org/officeDocument/2006/relationships/hyperlink" Target="https://docs.google.com/document/d/1_4b1lJMxcyIv-c0dpnn-ELDwfnbCIphx7bmS3R1_D7A/edit?usp=sharing" TargetMode="External"/><Relationship Id="rId814" Type="http://schemas.openxmlformats.org/officeDocument/2006/relationships/hyperlink" Target="https://docs.google.com/document/d/1_GcnmHat3uSzA4TiwHy4tsKrPdtI3b8bpzuJijQAKZs/edit?usp=sharing" TargetMode="External"/><Relationship Id="rId856" Type="http://schemas.openxmlformats.org/officeDocument/2006/relationships/hyperlink" Target="https://docs.google.com/document/d/1C8MfO1YsaKpIuZ3cF3GllPTRgep2nZTNHz2zO8nulF4/edit?usp=sharing" TargetMode="External"/><Relationship Id="rId190" Type="http://schemas.openxmlformats.org/officeDocument/2006/relationships/hyperlink" Target="https://docs.google.com/document/d/1xUYZiJt8YFqc2JIHDoCpjuaLGUPVXnIRU6ubkWP3Z10/edit?usp=sharing" TargetMode="External"/><Relationship Id="rId204" Type="http://schemas.openxmlformats.org/officeDocument/2006/relationships/hyperlink" Target="https://docs.google.com/document/d/1LB7_LHskqCkvn-JvnkBsAHYnNDKczsF_P85m_qVBbRE/edit?usp=sharing" TargetMode="External"/><Relationship Id="rId246" Type="http://schemas.openxmlformats.org/officeDocument/2006/relationships/hyperlink" Target="https://docs.google.com/document/d/1EX4HkQQ2Zl132B_1cVs_HSJ8d6btqwgOpNAD1og_RJU/edit?usp=sharing" TargetMode="External"/><Relationship Id="rId288" Type="http://schemas.openxmlformats.org/officeDocument/2006/relationships/hyperlink" Target="https://docs.google.com/document/d/1A2ElRp-pNcE9s9NwJkCBEdN9UFivQ690TfdyAto2IzY/edit?usp=sharing" TargetMode="External"/><Relationship Id="rId411" Type="http://schemas.openxmlformats.org/officeDocument/2006/relationships/hyperlink" Target="https://docs.google.com/document/d/1_QyTb9Xfn-bhqfzeiDdoJPcvetqFTDslUP7DN1yvqtM/edit?usp=sharing" TargetMode="External"/><Relationship Id="rId453" Type="http://schemas.openxmlformats.org/officeDocument/2006/relationships/hyperlink" Target="https://docs.google.com/document/d/1Z_uZkWt-K6JfMTLqUWr9KLY3d6oXQ9_WbPFofd42aQk/edit?usp=sharing" TargetMode="External"/><Relationship Id="rId509" Type="http://schemas.openxmlformats.org/officeDocument/2006/relationships/hyperlink" Target="https://docs.google.com/document/d/1TNVgV6xu3Vue40s0EdbzbhfVL-VVcPkNuIzRyvWwW-8/edit?usp=sharing" TargetMode="External"/><Relationship Id="rId660" Type="http://schemas.openxmlformats.org/officeDocument/2006/relationships/hyperlink" Target="https://docs.google.com/document/d/12fEBaAyaX8jjRHXXWD-3rOVx4Vfhv6seFxHCwH-deBU/edit?usp=sharing" TargetMode="External"/><Relationship Id="rId898" Type="http://schemas.openxmlformats.org/officeDocument/2006/relationships/hyperlink" Target="https://docs.google.com/document/d/1Yid5uPInvL1tOFAPmsY4Das584Jz8JwtruGjj_5RcXs/edit?usp=sharing" TargetMode="External"/><Relationship Id="rId106" Type="http://schemas.openxmlformats.org/officeDocument/2006/relationships/hyperlink" Target="https://docs.google.com/document/d/1LI2_ozyT4MwG7a9CwQLA4io6KEA_qiOep0IVhXlp8VQ/edit?usp=sharing" TargetMode="External"/><Relationship Id="rId313" Type="http://schemas.openxmlformats.org/officeDocument/2006/relationships/hyperlink" Target="https://docs.google.com/document/d/16aQXGKDAYWvl35zEmxQlLSOYjXZq20OOkRQR-O7UjgQ/edit?usp=sharing" TargetMode="External"/><Relationship Id="rId495" Type="http://schemas.openxmlformats.org/officeDocument/2006/relationships/hyperlink" Target="https://docs.google.com/document/d/1Rwu6s4NmUj8Kn7VFmpxzDmJKmMDicJG5Z5C3dnjRCE0/edit?usp=sharing" TargetMode="External"/><Relationship Id="rId716" Type="http://schemas.openxmlformats.org/officeDocument/2006/relationships/hyperlink" Target="https://docs.google.com/document/d/1QP1G2u6YFctnJ_fjuraRltBTjv5Y-DCjgiP6LrA4enk/edit?usp=sharing" TargetMode="External"/><Relationship Id="rId758" Type="http://schemas.openxmlformats.org/officeDocument/2006/relationships/hyperlink" Target="https://docs.google.com/document/d/1gvKvN7NbFvQMCiZKIZvehhyUKSBxPp_4Df1JKMJyJ4k/edit?usp=sharing" TargetMode="External"/><Relationship Id="rId923" Type="http://schemas.openxmlformats.org/officeDocument/2006/relationships/hyperlink" Target="https://docs.google.com/document/d/1pvPrPc-enJRMxTar-_0SqzmfQMGaZdIbqFKVjmjBP6E/edit?usp=sharing" TargetMode="External"/><Relationship Id="rId965" Type="http://schemas.openxmlformats.org/officeDocument/2006/relationships/hyperlink" Target="https://docs.google.com/document/d/11yqEAFSQBTWQNxXICndJvr9WYWpfgdBoiqpffvUeL7I/edit?usp=sharing" TargetMode="External"/><Relationship Id="rId10" Type="http://schemas.openxmlformats.org/officeDocument/2006/relationships/hyperlink" Target="https://docs.google.com/document/d/1xLvxH1A6_heKGTOi-r7xkMTFvZfFEKscdSka782fnwA/edit?usp=sharing" TargetMode="External"/><Relationship Id="rId52" Type="http://schemas.openxmlformats.org/officeDocument/2006/relationships/hyperlink" Target="https://docs.google.com/document/d/1mAnC_DkbxlDUnazRmgSh74hCBcwh1s1oMEcGwfCN2u8/edit?usp=sharing" TargetMode="External"/><Relationship Id="rId94" Type="http://schemas.openxmlformats.org/officeDocument/2006/relationships/hyperlink" Target="https://docs.google.com/document/d/1ybty64gwhxiy4ObOLIroWTWS8KBWNiYacShjS-tcWhE/edit?usp=sharing" TargetMode="External"/><Relationship Id="rId148" Type="http://schemas.openxmlformats.org/officeDocument/2006/relationships/hyperlink" Target="https://docs.google.com/document/d/1BYjEBnIIr9qwlYYDZ6ye_x3yRlh9oV0GTfj8nk-1O0k/edit?usp=sharing" TargetMode="External"/><Relationship Id="rId355" Type="http://schemas.openxmlformats.org/officeDocument/2006/relationships/hyperlink" Target="https://docs.google.com/document/d/13WEkO0K_hGxDv6ZpbxfN3aUDdlTFABHzRekJ26O1gv8/edit?usp=drive_link" TargetMode="External"/><Relationship Id="rId397" Type="http://schemas.openxmlformats.org/officeDocument/2006/relationships/hyperlink" Target="https://docs.google.com/document/d/12Usg6DmU3alYlku4OWyvcW9yJRhxTSwYTEQdTTWNZgA/edit?usp=sharing" TargetMode="External"/><Relationship Id="rId520" Type="http://schemas.openxmlformats.org/officeDocument/2006/relationships/hyperlink" Target="https://docs.google.com/document/d/14R130FaTEJJ4Edj1FG4dGPkJRJCGGkYQDk64ZzO3JNE/edit?usp=sharing" TargetMode="External"/><Relationship Id="rId562" Type="http://schemas.openxmlformats.org/officeDocument/2006/relationships/hyperlink" Target="https://docs.google.com/document/d/131Ogw_s6uUC6X6MXVasnQophgA9nbh9lQ-yZMGvD9Ck/edit?usp=sharing" TargetMode="External"/><Relationship Id="rId618" Type="http://schemas.openxmlformats.org/officeDocument/2006/relationships/hyperlink" Target="https://docs.google.com/document/d/1vm0gJk7YU_FVg9xQoU2CiyEMpASuKBcQJwFZXmeHKOQ/edit?usp=sharing" TargetMode="External"/><Relationship Id="rId825" Type="http://schemas.openxmlformats.org/officeDocument/2006/relationships/hyperlink" Target="https://docs.google.com/document/d/1fvQtljyR7GwsQzbC6B7-yy-rL0-Q3VbDMx-INWn2_HQ/edit?usp=sharing" TargetMode="External"/><Relationship Id="rId215" Type="http://schemas.openxmlformats.org/officeDocument/2006/relationships/hyperlink" Target="https://docs.google.com/document/d/1WgZ8kf1qYxSPQxhKsqJtv1ICjIqktRUthT3CzdT8GiI/edit?usp=sharing" TargetMode="External"/><Relationship Id="rId257" Type="http://schemas.openxmlformats.org/officeDocument/2006/relationships/hyperlink" Target="https://docs.google.com/document/d/1W4BmNRnBlEzrA4ab34KHYXCykp-Ceh2XwIv4c_6X_DE/edit?usp=sharing" TargetMode="External"/><Relationship Id="rId422" Type="http://schemas.openxmlformats.org/officeDocument/2006/relationships/hyperlink" Target="https://docs.google.com/document/d/1qUTyHUcnMgJrmSb9k_WnZbnGbUF-V-InQ7U9GF4HhI8/edit?usp=sharing" TargetMode="External"/><Relationship Id="rId464" Type="http://schemas.openxmlformats.org/officeDocument/2006/relationships/hyperlink" Target="https://docs.google.com/document/d/1DJWJxlvVTxKJWz6dW88VHtZth4KxWqStUtJdZTBUhbo/edit?usp=sharing" TargetMode="External"/><Relationship Id="rId867" Type="http://schemas.openxmlformats.org/officeDocument/2006/relationships/hyperlink" Target="https://docs.google.com/document/d/1YD2ED_arinqa71E7hCfYEaf0CBBgBxq51o2wT8QH3Yw/edit?usp=sharing" TargetMode="External"/><Relationship Id="rId299" Type="http://schemas.openxmlformats.org/officeDocument/2006/relationships/hyperlink" Target="https://docs.google.com/document/d/1i7gCogYtS3r_w9pkdaabdFpPPb95-1SxSfkXsR89Pec/edit?usp=sharing" TargetMode="External"/><Relationship Id="rId727" Type="http://schemas.openxmlformats.org/officeDocument/2006/relationships/hyperlink" Target="https://docs.google.com/document/d/1rZUz9PWjbN9auyHr-TjseIfXksRSh-pSU2hIZONm1Zs/edit?usp=sharing" TargetMode="External"/><Relationship Id="rId934" Type="http://schemas.openxmlformats.org/officeDocument/2006/relationships/hyperlink" Target="https://docs.google.com/document/d/1h50oIvWFqT3PbQCECs6VLFW95XlT72Zj8LDQ7vkOV4o/edit?usp=sharing" TargetMode="External"/><Relationship Id="rId63" Type="http://schemas.openxmlformats.org/officeDocument/2006/relationships/hyperlink" Target="https://docs.google.com/document/d/1SKdnVyu18UHOS4olDKMrsPT7qcTD4b7J84bjfK1MOFQ/edit?usp=sharing" TargetMode="External"/><Relationship Id="rId159" Type="http://schemas.openxmlformats.org/officeDocument/2006/relationships/hyperlink" Target="https://docs.google.com/document/d/1AjSoUlxtvJQguosX345P89gsXISUTpFP401w6uBhtnA/edit?usp=sharing" TargetMode="External"/><Relationship Id="rId366" Type="http://schemas.openxmlformats.org/officeDocument/2006/relationships/hyperlink" Target="https://docs.google.com/document/d/1baLZC5eetm1AaHjDEKEFuWB2wevjBquAcfyOFPKjycY/edit?usp=drive_link" TargetMode="External"/><Relationship Id="rId573" Type="http://schemas.openxmlformats.org/officeDocument/2006/relationships/hyperlink" Target="https://docs.google.com/document/d/1-iBJCZNk1C7G43Q_HLszmm4YDgMRNq4qNHMy8d50YlE/edit?usp=sharing" TargetMode="External"/><Relationship Id="rId780" Type="http://schemas.openxmlformats.org/officeDocument/2006/relationships/hyperlink" Target="https://docs.google.com/document/d/1HXMm-oneHuq4qH_IVqh404RmI9rEa_EjBmqu0H5D5Ns/edit?usp=sharing" TargetMode="External"/><Relationship Id="rId226" Type="http://schemas.openxmlformats.org/officeDocument/2006/relationships/hyperlink" Target="https://docs.google.com/document/d/1_pstsieP1iY3oY2fLuZt6IwyIOL4Xf_jpmqFyO7cCAc/edit?usp=sharing" TargetMode="External"/><Relationship Id="rId433" Type="http://schemas.openxmlformats.org/officeDocument/2006/relationships/hyperlink" Target="https://docs.google.com/document/d/1bnPjDnmh5bQgGiAWiHJIdsdA-DYwblPnmll9Bb9nYEw/edit?usp=sharing" TargetMode="External"/><Relationship Id="rId878" Type="http://schemas.openxmlformats.org/officeDocument/2006/relationships/hyperlink" Target="https://docs.google.com/document/d/18bEr8SFY8KlXdI-ya3B2IwFkAyKoJThdV-KbkBgEqsg/edit?usp=sharing" TargetMode="External"/><Relationship Id="rId640" Type="http://schemas.openxmlformats.org/officeDocument/2006/relationships/hyperlink" Target="https://docs.google.com/document/d/18oKwzDh0u8kMSPq8z7nfPU6G006m2W6KRoIiSqyhFEs/edit?usp=sharing" TargetMode="External"/><Relationship Id="rId738" Type="http://schemas.openxmlformats.org/officeDocument/2006/relationships/hyperlink" Target="https://docs.google.com/document/d/1m4YyDxMeVFQJRqAV69jE1pqD7ECxhcBgCs_UoIpV6sk/edit?usp=sharing" TargetMode="External"/><Relationship Id="rId945" Type="http://schemas.openxmlformats.org/officeDocument/2006/relationships/hyperlink" Target="https://docs.google.com/document/d/1Cm11-y8hwhcBejhCy0Uvwyc_uDSTn6E0M6WJRoGkFqg/edit?usp=sharing" TargetMode="External"/><Relationship Id="rId74" Type="http://schemas.openxmlformats.org/officeDocument/2006/relationships/hyperlink" Target="https://docs.google.com/document/d/1Mrb84O2lUqMhL4qsaGybbF4pYR8w8p_Xyt1qwI15WPA/edit?usp=sharing" TargetMode="External"/><Relationship Id="rId377" Type="http://schemas.openxmlformats.org/officeDocument/2006/relationships/hyperlink" Target="https://docs.google.com/document/d/1ZUFvHP3M0vwaM6CXlH3DGmCrCOX86T7Kg1UHRT4omOw/edit?usp=drive_link" TargetMode="External"/><Relationship Id="rId500" Type="http://schemas.openxmlformats.org/officeDocument/2006/relationships/hyperlink" Target="https://docs.google.com/document/d/1gj0on0PGuPBFQ8srR4HH49QVZ4Loufbt1sTvuWo1-54/edit?usp=sharing" TargetMode="External"/><Relationship Id="rId584" Type="http://schemas.openxmlformats.org/officeDocument/2006/relationships/hyperlink" Target="https://docs.google.com/document/d/1thSFKSLGj5pF1r46g11zCSFmDet7aLiXqs6o9uf_1x8/edit?usp=sharing" TargetMode="External"/><Relationship Id="rId805" Type="http://schemas.openxmlformats.org/officeDocument/2006/relationships/hyperlink" Target="https://docs.google.com/document/d/1qNdMnPKDbYpjI5uZX7d2GyLmW-E7-ndK6ZY76MbWzDA/edit?usp=sharing" TargetMode="External"/><Relationship Id="rId5" Type="http://schemas.openxmlformats.org/officeDocument/2006/relationships/hyperlink" Target="https://docs.google.com/document/d/1QZCjOX0OKXuY2SMm6_zxt01pG87zUTIQwjRa9Q2SSIg/edit?usp=sharing" TargetMode="External"/><Relationship Id="rId237" Type="http://schemas.openxmlformats.org/officeDocument/2006/relationships/hyperlink" Target="https://docs.google.com/document/d/16NrMaUCEGhtbeqyD94kN3tTg4gjvdByuD0V0VRAudms/edit?usp=sharing" TargetMode="External"/><Relationship Id="rId791" Type="http://schemas.openxmlformats.org/officeDocument/2006/relationships/hyperlink" Target="https://docs.google.com/document/d/1j-huwX92wofIyEPDHR_1d4M8tGMgLyabLn8lszkenm0/edit?usp=sharing" TargetMode="External"/><Relationship Id="rId889" Type="http://schemas.openxmlformats.org/officeDocument/2006/relationships/hyperlink" Target="https://docs.google.com/document/d/1iwInpbMVKaiA3-nGv2kp4kMoSbenazffXao_80RR9Yc/edit?usp=sharing" TargetMode="External"/><Relationship Id="rId444" Type="http://schemas.openxmlformats.org/officeDocument/2006/relationships/hyperlink" Target="https://docs.google.com/document/d/1B-9fcOTkRpbnJHOyCV2F8fVYVQ9r2IsIiEtd1x25xxQ/edit?usp=sharing" TargetMode="External"/><Relationship Id="rId651" Type="http://schemas.openxmlformats.org/officeDocument/2006/relationships/hyperlink" Target="https://docs.google.com/document/d/1aIkLGJu1AA0JiHKdMdk0w96ew42l5F3BZ-Je4L3giSo/edit?usp=sharing" TargetMode="External"/><Relationship Id="rId749" Type="http://schemas.openxmlformats.org/officeDocument/2006/relationships/hyperlink" Target="https://docs.google.com/document/d/1Jhl4cSaQnFOVOCiVDBnXSFehBLsGtufCVFtbNqEoQes/edit?usp=sharing" TargetMode="External"/><Relationship Id="rId290" Type="http://schemas.openxmlformats.org/officeDocument/2006/relationships/hyperlink" Target="https://docs.google.com/document/d/1BHqp32zNYdXWFh0SHf2wiNLFc7b8H7h_q6OUw3SBJ3w/edit?usp=sharing" TargetMode="External"/><Relationship Id="rId304" Type="http://schemas.openxmlformats.org/officeDocument/2006/relationships/hyperlink" Target="https://docs.google.com/document/d/1StlEM8ik2kEjR9aVWQeyz5jaex2suhDImuIKiSkJax8/edit?usp=sharing" TargetMode="External"/><Relationship Id="rId388" Type="http://schemas.openxmlformats.org/officeDocument/2006/relationships/hyperlink" Target="https://docs.google.com/document/d/13o8D7ihKx7QOPfkQmnnY0_iJAiJjC6FC9PDfUi_CQ00/edit?usp=sharing" TargetMode="External"/><Relationship Id="rId511" Type="http://schemas.openxmlformats.org/officeDocument/2006/relationships/hyperlink" Target="https://docs.google.com/document/d/14REzYtBioCilp7epZxNDTygsRFxlwcpwQn4KpWpGoHY/edit?usp=sharing" TargetMode="External"/><Relationship Id="rId609" Type="http://schemas.openxmlformats.org/officeDocument/2006/relationships/hyperlink" Target="https://docs.google.com/document/d/1dAWKKaW7mTOORXPD1RbNfacR_BjWfanjpqCjPrWO6WE/edit?usp=sharing" TargetMode="External"/><Relationship Id="rId956" Type="http://schemas.openxmlformats.org/officeDocument/2006/relationships/hyperlink" Target="https://docs.google.com/document/d/1aIdAx4xQyhlwHLEb0B66-G-PWMhwQXsyANw6wol80lQ/edit?usp=sharing" TargetMode="External"/><Relationship Id="rId85" Type="http://schemas.openxmlformats.org/officeDocument/2006/relationships/hyperlink" Target="https://docs.google.com/document/d/1vLtUCBGP5GShbI5wE1squVEvG8VcrnY8w4ALRf7cvsY/edit?usp=sharing" TargetMode="External"/><Relationship Id="rId150" Type="http://schemas.openxmlformats.org/officeDocument/2006/relationships/hyperlink" Target="https://docs.google.com/document/d/1uuYrobs0Xkf_xIzDbovk9TOMVABGjf4gziQ0dvohsvs/edit?usp=sharing" TargetMode="External"/><Relationship Id="rId595" Type="http://schemas.openxmlformats.org/officeDocument/2006/relationships/hyperlink" Target="https://docs.google.com/document/d/1ewkZ4oHQok1wiJHjrUsPP8H7BGLNWh-RNdN46JV29V4/edit?usp=sharing" TargetMode="External"/><Relationship Id="rId816" Type="http://schemas.openxmlformats.org/officeDocument/2006/relationships/hyperlink" Target="https://docs.google.com/document/d/1K2dTm_kxQwHVgk6fYB3juxxhQBAC5fySt6C_0N6qHzM/edit?usp=sharing" TargetMode="External"/><Relationship Id="rId1001" Type="http://schemas.openxmlformats.org/officeDocument/2006/relationships/comments" Target="../comments1.xml"/><Relationship Id="rId248" Type="http://schemas.openxmlformats.org/officeDocument/2006/relationships/hyperlink" Target="https://docs.google.com/document/d/1fO1HVQjfxlWXhaSVpuwUE7IhsuvF1lhMxBmTowhyN4Y/edit?usp=sharing" TargetMode="External"/><Relationship Id="rId455" Type="http://schemas.openxmlformats.org/officeDocument/2006/relationships/hyperlink" Target="https://docs.google.com/document/d/1jobwks_VG5IZ6ED2pbz2I5P0FDzozfhdLAkgqTEvAJo/edit?usp=sharing" TargetMode="External"/><Relationship Id="rId662" Type="http://schemas.openxmlformats.org/officeDocument/2006/relationships/hyperlink" Target="https://docs.google.com/document/d/1FggcyAsDBlA1eXrDyVZLWtj9B9hhenxmKrJygn1pYoI/edit?usp=sharing" TargetMode="External"/><Relationship Id="rId12" Type="http://schemas.openxmlformats.org/officeDocument/2006/relationships/hyperlink" Target="https://docs.google.com/document/d/19yZW5imDmXrlgCEN4jLrSF4rEMrLouiNbaP_Hzat30Q/edit?usp=sharing" TargetMode="External"/><Relationship Id="rId108" Type="http://schemas.openxmlformats.org/officeDocument/2006/relationships/hyperlink" Target="https://docs.google.com/document/d/1JE4JoMt1ayASnW-bcDkyzKBmf2Orw-Q0UyOuKLiprFs/edit?usp=sharing" TargetMode="External"/><Relationship Id="rId315" Type="http://schemas.openxmlformats.org/officeDocument/2006/relationships/hyperlink" Target="https://docs.google.com/document/d/1pbhPj_d7Pg4XZE7W8ekzCZ2KEvY0h_0Hult1wng91JM/edit?usp=sharing" TargetMode="External"/><Relationship Id="rId522" Type="http://schemas.openxmlformats.org/officeDocument/2006/relationships/hyperlink" Target="https://docs.google.com/document/d/1gJ9_9TT1KNePbeLzaV0SWdnA0TP5d0oJvV3p4uJ0wbM/edit?usp=sharing" TargetMode="External"/><Relationship Id="rId967" Type="http://schemas.openxmlformats.org/officeDocument/2006/relationships/hyperlink" Target="https://docs.google.com/document/d/1TO1yP8yDCphUunuBg-UQDUFWyplGbmu2HdxOkSdSqGc/edit?usp=sharing" TargetMode="External"/><Relationship Id="rId96" Type="http://schemas.openxmlformats.org/officeDocument/2006/relationships/hyperlink" Target="https://docs.google.com/document/d/1SzKuSx03wyV-N0uEnCtv__TKf0AiHnMxpyAIurukDl0/edit?usp=sharing" TargetMode="External"/><Relationship Id="rId161" Type="http://schemas.openxmlformats.org/officeDocument/2006/relationships/hyperlink" Target="https://docs.google.com/document/d/1KpFqAgVhxHoY3HtSwqPcIGoUaV_NOs_CH6gsQS-0mzI/edit?usp=sharing" TargetMode="External"/><Relationship Id="rId399" Type="http://schemas.openxmlformats.org/officeDocument/2006/relationships/hyperlink" Target="https://docs.google.com/document/d/16LUxYjkoSJmBkT2aagt9guWC5yosGpoHQ5nOKAK0mB8/edit?usp=sharing" TargetMode="External"/><Relationship Id="rId827" Type="http://schemas.openxmlformats.org/officeDocument/2006/relationships/hyperlink" Target="https://docs.google.com/document/d/1xhf05SE6yGYlXr3fehpCXq55IJMRaV6hI3ii0gkDMAs/edit?usp=sharing" TargetMode="External"/><Relationship Id="rId259" Type="http://schemas.openxmlformats.org/officeDocument/2006/relationships/hyperlink" Target="https://docs.google.com/document/d/1X9qnIbJYbHhj_izLDJh-7NjiV8_igyoKucGBpXpco_s/edit?usp=sharing" TargetMode="External"/><Relationship Id="rId466" Type="http://schemas.openxmlformats.org/officeDocument/2006/relationships/hyperlink" Target="https://docs.google.com/document/d/1UmpHG8_Bq1_rnOz-rpqnXUNeg8a3Y0phRSIUhbCKHFY/edit?usp=sharing" TargetMode="External"/><Relationship Id="rId673" Type="http://schemas.openxmlformats.org/officeDocument/2006/relationships/hyperlink" Target="https://docs.google.com/document/d/1HeftTS5cFdn3Nk-NfhdRegZlR4kGGFt0gYfu6XdpxmY/edit?usp=sharing" TargetMode="External"/><Relationship Id="rId880" Type="http://schemas.openxmlformats.org/officeDocument/2006/relationships/hyperlink" Target="https://docs.google.com/document/d/1EW6vz3ZBJBxGuLjl3SgBz66ScWFZOAJkIffZLpaS9H4/edit?usp=sharing" TargetMode="External"/><Relationship Id="rId23" Type="http://schemas.openxmlformats.org/officeDocument/2006/relationships/hyperlink" Target="https://docs.google.com/document/d/1EbXb9GKg4HiZVn4wcGOmTU5wuNwCgituvuNNCjMtBSk/edit?usp=sharing" TargetMode="External"/><Relationship Id="rId119" Type="http://schemas.openxmlformats.org/officeDocument/2006/relationships/hyperlink" Target="https://docs.google.com/document/d/1oTb4mKAl-4TBBswGPmnljwKWLreZC_2TzrIbvmOIrnI/edit?usp=sharing" TargetMode="External"/><Relationship Id="rId326" Type="http://schemas.openxmlformats.org/officeDocument/2006/relationships/hyperlink" Target="https://docs.google.com/document/d/1yqfmZdL2hm7Dd2DVmQVMcJPvszo0seGE6AEVDGKE5Dk/edit?usp=sharing" TargetMode="External"/><Relationship Id="rId533" Type="http://schemas.openxmlformats.org/officeDocument/2006/relationships/hyperlink" Target="https://docs.google.com/document/d/1wu3r0uZlp4rUvfNAI7wmmvK_iZnLRBUA-hAnLtZGOc0/edit?tab=t.0" TargetMode="External"/><Relationship Id="rId978" Type="http://schemas.openxmlformats.org/officeDocument/2006/relationships/hyperlink" Target="https://docs.google.com/document/d/1ZvsY1_lJBtxoYnVYTMRQJMKsvwFlkwo8JjH-QHGVP2I/edit?usp=sharing" TargetMode="External"/><Relationship Id="rId740" Type="http://schemas.openxmlformats.org/officeDocument/2006/relationships/hyperlink" Target="https://docs.google.com/document/d/1b6oiWFS_Nfw5ccXYVIrt5qKGehnpExga0iS3MQV8o68/edit?usp=sharing" TargetMode="External"/><Relationship Id="rId838" Type="http://schemas.openxmlformats.org/officeDocument/2006/relationships/hyperlink" Target="https://docs.google.com/document/d/1-x2DcHy6k9j1E9tDf2eXSBbQCyyB0RBMXxpyacEpSCY/edit?usp=sharing" TargetMode="External"/><Relationship Id="rId172" Type="http://schemas.openxmlformats.org/officeDocument/2006/relationships/hyperlink" Target="https://docs.google.com/document/d/1q-Gvut-BhdBicHaXYlsl5hbCmaHYR19JxCCNSOx7mV0/edit?usp=sharing" TargetMode="External"/><Relationship Id="rId477" Type="http://schemas.openxmlformats.org/officeDocument/2006/relationships/hyperlink" Target="https://docs.google.com/document/d/1j3dwTENeApauxt30Yd4iVSurZNFkcPIRQ0lLF4-ROEY/edit?usp=sharing" TargetMode="External"/><Relationship Id="rId600" Type="http://schemas.openxmlformats.org/officeDocument/2006/relationships/hyperlink" Target="https://docs.google.com/document/d/1yjKiaTXWSPrY9poe8X6zi7jU48XPSQqatX9n0KvNMIE/edit?usp=sharing" TargetMode="External"/><Relationship Id="rId684" Type="http://schemas.openxmlformats.org/officeDocument/2006/relationships/hyperlink" Target="https://docs.google.com/document/d/1xHyo0uTAxJm1DzTvoLjo8c2P-UNTrPibRHQgKKznGsc/edit?usp=sharing" TargetMode="External"/><Relationship Id="rId337" Type="http://schemas.openxmlformats.org/officeDocument/2006/relationships/hyperlink" Target="https://docs.google.com/document/d/1D6AYEQ9a5EovjpwuDyERtbk86uONTnT_VLIlELgJILw/edit?usp=sharing" TargetMode="External"/><Relationship Id="rId891" Type="http://schemas.openxmlformats.org/officeDocument/2006/relationships/hyperlink" Target="https://docs.google.com/document/d/162X3EuVcsHHCygvY2Xa0B_VXZ9BkONzEHdQnYNY3_48/edit?usp=sharing" TargetMode="External"/><Relationship Id="rId905" Type="http://schemas.openxmlformats.org/officeDocument/2006/relationships/hyperlink" Target="https://docs.google.com/document/d/1mU0doG4kl7mC4X3SssTtfDe-IMCQzCyHwto0MTTdp_A/edit?usp=sharing" TargetMode="External"/><Relationship Id="rId989" Type="http://schemas.openxmlformats.org/officeDocument/2006/relationships/hyperlink" Target="https://docs.google.com/document/d/1zEgO9-9YXnd58Yhi70fljYdKQnWtN5SWWNszZZIXvmw/edit?usp=sharing" TargetMode="External"/><Relationship Id="rId34" Type="http://schemas.openxmlformats.org/officeDocument/2006/relationships/hyperlink" Target="https://docs.google.com/document/d/1bMG7W5WSuH8svtM_ndkKQ9c3MmiUPvwdVEVk0jQ4aPg/edit?usp=sharing" TargetMode="External"/><Relationship Id="rId544" Type="http://schemas.openxmlformats.org/officeDocument/2006/relationships/hyperlink" Target="https://docs.google.com/document/d/1cB1ce8QS0D9JdV8qKJAZm0ABAxfTuZmoEsnhZvLLlFc/edit?usp=sharing" TargetMode="External"/><Relationship Id="rId751" Type="http://schemas.openxmlformats.org/officeDocument/2006/relationships/hyperlink" Target="https://docs.google.com/document/d/1_nXQcKJynzkXVi_Iq--Gwhr3-4eBGJ9VUCXDBpcAlYM/edit?usp=sharing" TargetMode="External"/><Relationship Id="rId849" Type="http://schemas.openxmlformats.org/officeDocument/2006/relationships/hyperlink" Target="https://docs.google.com/document/d/18Zuus2X3RDAIx4QEWtSSLj7uRs25KiUYi2hR-EyPHXo/edit?usp=sharing" TargetMode="External"/><Relationship Id="rId183" Type="http://schemas.openxmlformats.org/officeDocument/2006/relationships/hyperlink" Target="https://docs.google.com/document/d/1XAuQUHIxj5d3Mgu4ZU0jDjXWWVwWoJ-HYLEK1HksRQQ/edit?usp=sharing" TargetMode="External"/><Relationship Id="rId390" Type="http://schemas.openxmlformats.org/officeDocument/2006/relationships/hyperlink" Target="https://docs.google.com/document/d/1mHHrWlb4Gp9Kl5bS86ivjd9j6pK02A3FblDmwy6fo0U/edit?usp=sharing" TargetMode="External"/><Relationship Id="rId404" Type="http://schemas.openxmlformats.org/officeDocument/2006/relationships/hyperlink" Target="https://docs.google.com/document/d/1aKThDlJxefQwIN9z396WwXUyQanhfQ99_9Fm7sd9F0c/edit?usp=sharing" TargetMode="External"/><Relationship Id="rId611" Type="http://schemas.openxmlformats.org/officeDocument/2006/relationships/hyperlink" Target="https://docs.google.com/document/d/1_yt8p-xwt7xie16miViymnMqF3a2BtevKPNfgEvdIkM/edit?usp=sharing" TargetMode="External"/><Relationship Id="rId250" Type="http://schemas.openxmlformats.org/officeDocument/2006/relationships/hyperlink" Target="https://docs.google.com/document/d/1UuiKXrZmi7N0753YmXaSdWchHKvGqwDAhycA5YgblzA/edit?usp=sharing" TargetMode="External"/><Relationship Id="rId488" Type="http://schemas.openxmlformats.org/officeDocument/2006/relationships/hyperlink" Target="https://docs.google.com/document/d/1joTAryNtSvlUjQJH_5C7W7hfunjfu5MJLRv3N9nYlPw/edit?usp=sharing" TargetMode="External"/><Relationship Id="rId695" Type="http://schemas.openxmlformats.org/officeDocument/2006/relationships/hyperlink" Target="https://docs.google.com/document/d/1oxxbocZHnjjck33nCgD_IsHFwYb8Llw_ejByZBI5HnI/edit?usp=sharing" TargetMode="External"/><Relationship Id="rId709" Type="http://schemas.openxmlformats.org/officeDocument/2006/relationships/hyperlink" Target="https://docs.google.com/document/d/1oz_KcB78Xad-WRohRrLvzTE85JMSWAJ0Q8e6XPhwknQ/edit?usp=sharing" TargetMode="External"/><Relationship Id="rId916" Type="http://schemas.openxmlformats.org/officeDocument/2006/relationships/hyperlink" Target="https://docs.google.com/document/d/15MT7CRDmj6gdGGoWfCf7RUgsbkGA2HaC8R9zbk1a_sY/edit?usp=sharing" TargetMode="External"/><Relationship Id="rId45" Type="http://schemas.openxmlformats.org/officeDocument/2006/relationships/hyperlink" Target="https://docs.google.com/document/d/1Nm2Ff9SJEl1jiHxQpoCXKHCyp7XNUQ-TYK8yVgbEZCM/edit?usp=sharing" TargetMode="External"/><Relationship Id="rId110" Type="http://schemas.openxmlformats.org/officeDocument/2006/relationships/hyperlink" Target="https://docs.google.com/document/d/1_F35pzOfzRb1WJjkefTIYF0ANTKlbNEPstqlL3T5zcc/edit?usp=sharing" TargetMode="External"/><Relationship Id="rId348" Type="http://schemas.openxmlformats.org/officeDocument/2006/relationships/hyperlink" Target="https://docs.google.com/document/d/1l3xFaK75JNKNHTRGwItvTXm6Je3jGBV9xg--TZtqotg/edit?usp=sharing" TargetMode="External"/><Relationship Id="rId555" Type="http://schemas.openxmlformats.org/officeDocument/2006/relationships/hyperlink" Target="https://docs.google.com/document/d/1RL8tu4lrQsoghpXflILzwoi97I8skFo_F-bJDtxq-0Q/edit?usp=sharing" TargetMode="External"/><Relationship Id="rId762" Type="http://schemas.openxmlformats.org/officeDocument/2006/relationships/hyperlink" Target="https://docs.google.com/document/d/1eYrEBT5THmwXRVMDBETOHOXdqsZfQrDAZEPLBwZstM4/edit?usp=sharing" TargetMode="External"/><Relationship Id="rId194" Type="http://schemas.openxmlformats.org/officeDocument/2006/relationships/hyperlink" Target="https://docs.google.com/document/d/1WOSlpnhu9Vx8OKDLERVnj5rmOmk1zrRfNKtYh5bwAb4/edit?usp=sharing" TargetMode="External"/><Relationship Id="rId208" Type="http://schemas.openxmlformats.org/officeDocument/2006/relationships/hyperlink" Target="https://docs.google.com/document/d/1v3zUR1XWQx0L-4jCRKX_j8HlbNMu68qSlRU8p0RUtdc/edit?usp=sharing" TargetMode="External"/><Relationship Id="rId415" Type="http://schemas.openxmlformats.org/officeDocument/2006/relationships/hyperlink" Target="https://docs.google.com/document/d/14hW1pEPJGVSsE3cZ8H9vAuRyNp9zfKNgX3h9cIklBcI/edit?usp=sharing" TargetMode="External"/><Relationship Id="rId622" Type="http://schemas.openxmlformats.org/officeDocument/2006/relationships/hyperlink" Target="https://docs.google.com/document/d/1E9Rbzy7Pv7SMbFa6zuyPO7ADyMOSSBfR2CcgPStQtfY/edit?usp=sharing" TargetMode="External"/><Relationship Id="rId261" Type="http://schemas.openxmlformats.org/officeDocument/2006/relationships/hyperlink" Target="https://docs.google.com/document/d/1FWQzrUD2LV6EZZam3TXGGeoKInpvg5BF56ss6x5PUM8/edit?usp=sharing" TargetMode="External"/><Relationship Id="rId499" Type="http://schemas.openxmlformats.org/officeDocument/2006/relationships/hyperlink" Target="https://docs.google.com/document/d/1mXElh2ezh3SnEyFRDR9KFkOnROFN3Uyk6Qp5KvbvLPM/edit?usp=sharing" TargetMode="External"/><Relationship Id="rId927" Type="http://schemas.openxmlformats.org/officeDocument/2006/relationships/hyperlink" Target="https://docs.google.com/document/d/1c4JE2ocEWpeOPDzdakqHij3r1v5OymtEPSOWqNO5BU8/edit?usp=sharing" TargetMode="External"/><Relationship Id="rId56" Type="http://schemas.openxmlformats.org/officeDocument/2006/relationships/hyperlink" Target="https://docs.google.com/document/d/1my0ZhcXw-yQ6ekeuy5SlSCOxC7mrESJxMCsYRxScaqo/edit?usp=sharing" TargetMode="External"/><Relationship Id="rId359" Type="http://schemas.openxmlformats.org/officeDocument/2006/relationships/hyperlink" Target="https://docs.google.com/document/d/1twwq83yUevlKQCnnkjnfNqQqNRO_BUm2KYqGG-qHbLc/edit?usp=drive_link" TargetMode="External"/><Relationship Id="rId566" Type="http://schemas.openxmlformats.org/officeDocument/2006/relationships/hyperlink" Target="https://docs.google.com/document/d/1YGcvdpQatn-gDZV8KJA1c18RMa40tStBooaVZtzyEvw/edit?usp=sharing" TargetMode="External"/><Relationship Id="rId773" Type="http://schemas.openxmlformats.org/officeDocument/2006/relationships/hyperlink" Target="https://docs.google.com/document/d/1ClA0o8gWKB58bQ1xFLcsr-UV9oi0c_dIgbFDjAKLzag/edit?usp=sharing" TargetMode="External"/><Relationship Id="rId121" Type="http://schemas.openxmlformats.org/officeDocument/2006/relationships/hyperlink" Target="https://docs.google.com/document/d/1IUsfPva5LfPd8kUj0zTMN4ije0FVXFhG02oVvPMEDYc/edit?usp=sharing" TargetMode="External"/><Relationship Id="rId219" Type="http://schemas.openxmlformats.org/officeDocument/2006/relationships/hyperlink" Target="https://docs.google.com/document/d/1uR423IMQCjNwO5DW-s74Pb2cPcInxL9WdF5OERy6fec/edit?usp=sharing" TargetMode="External"/><Relationship Id="rId426" Type="http://schemas.openxmlformats.org/officeDocument/2006/relationships/hyperlink" Target="https://docs.google.com/document/d/1eOdIneFlIR9wYF7LjHwKZi7E7KyI-LS9S_ey79mutjk/edit?usp=sharing" TargetMode="External"/><Relationship Id="rId633" Type="http://schemas.openxmlformats.org/officeDocument/2006/relationships/hyperlink" Target="https://docs.google.com/document/d/1l4MlLYD3haTt31IZTAvxF70WxG-g3cAJ1REbv4WFas0/edit?usp=sharing" TargetMode="External"/><Relationship Id="rId980" Type="http://schemas.openxmlformats.org/officeDocument/2006/relationships/hyperlink" Target="https://docs.google.com/document/d/1b8oo3oge4SS1tc9GykxfCpjbOTanGuk6x2_MmbttmW8/edit?usp=sharing" TargetMode="External"/><Relationship Id="rId840" Type="http://schemas.openxmlformats.org/officeDocument/2006/relationships/hyperlink" Target="https://docs.google.com/document/d/1WzLkak4ekTbab1YKbnTVRTd2AKJFMEuUsXKFBNcNkSw/edit?usp=sharing" TargetMode="External"/><Relationship Id="rId938" Type="http://schemas.openxmlformats.org/officeDocument/2006/relationships/hyperlink" Target="https://docs.google.com/document/d/17JyY2CDnoK0pMolFZV_9FZzkMvi7AZefeIfB2X2m29I/edit?usp=sharing" TargetMode="External"/><Relationship Id="rId67" Type="http://schemas.openxmlformats.org/officeDocument/2006/relationships/hyperlink" Target="https://docs.google.com/document/d/1nqFT63rj_vZOf06iEHwZvVC2O39zFanJuJdEMlA3rQA/edit?usp=sharing" TargetMode="External"/><Relationship Id="rId272" Type="http://schemas.openxmlformats.org/officeDocument/2006/relationships/hyperlink" Target="https://docs.google.com/document/d/1bZ9qANzJWqem3HlD5dO1UoELLjPd4zluuJFbQ7m27xs/edit?usp=sharing" TargetMode="External"/><Relationship Id="rId577" Type="http://schemas.openxmlformats.org/officeDocument/2006/relationships/hyperlink" Target="https://docs.google.com/document/d/1CkTNhi908lEtZBXOEJQELgrhpa4-rq7TQo3Mn7Im_ls/edit?usp=sharing" TargetMode="External"/><Relationship Id="rId700" Type="http://schemas.openxmlformats.org/officeDocument/2006/relationships/hyperlink" Target="https://docs.google.com/document/d/1nmXsYUsC5ZSX9bBL4-CZ8h6042Q3G2ijSIs_eM_C8Hk/edit?usp=sharing" TargetMode="External"/><Relationship Id="rId132" Type="http://schemas.openxmlformats.org/officeDocument/2006/relationships/hyperlink" Target="https://docs.google.com/document/d/1zTqPfF6ftKGjdevfWLLX19TzK2fy_ZjlUphdlseYTA8/edit?usp=sharing" TargetMode="External"/><Relationship Id="rId784" Type="http://schemas.openxmlformats.org/officeDocument/2006/relationships/hyperlink" Target="https://docs.google.com/document/d/1ZRJrGYeg0TTX1TFJCaBev_l-yI8XfZXa3QUM2q2sjbs/edit?usp=sharing" TargetMode="External"/><Relationship Id="rId991" Type="http://schemas.openxmlformats.org/officeDocument/2006/relationships/hyperlink" Target="https://docs.google.com/document/d/1Wra3CkMBTUzhFrxnxRL9OUGDoegm5in9-1nEUjgWGMs/edit?usp=sharing" TargetMode="External"/><Relationship Id="rId437" Type="http://schemas.openxmlformats.org/officeDocument/2006/relationships/hyperlink" Target="https://docs.google.com/document/d/1VhDoOSZBq4KWfuXyZp8LgHrS0C0TSp2TSNhPvj37OyI/edit?usp=sharing" TargetMode="External"/><Relationship Id="rId644" Type="http://schemas.openxmlformats.org/officeDocument/2006/relationships/hyperlink" Target="https://docs.google.com/document/d/18BlV0KQdQROTZIa8qSumC1JznAg8J8Bls4B4L47F2Wg/edit?usp=sharing" TargetMode="External"/><Relationship Id="rId851" Type="http://schemas.openxmlformats.org/officeDocument/2006/relationships/hyperlink" Target="https://docs.google.com/document/d/1i_xX_55auNMgKrk4LnTQOw9VObMP1RTeQPPNwa6LXOk/edit?usp=sharing" TargetMode="External"/><Relationship Id="rId283" Type="http://schemas.openxmlformats.org/officeDocument/2006/relationships/hyperlink" Target="https://docs.google.com/document/d/1hyitKDyZccb977TZsu9mM0RZaIOl3vJfX37gJ1QzwGU/edit?usp=sharing" TargetMode="External"/><Relationship Id="rId490" Type="http://schemas.openxmlformats.org/officeDocument/2006/relationships/hyperlink" Target="https://docs.google.com/document/d/10WR_xE9_phcnWYS84uv3lftBR_OcDfp74i_jAPzYN2A/edit?usp=sharing" TargetMode="External"/><Relationship Id="rId504" Type="http://schemas.openxmlformats.org/officeDocument/2006/relationships/hyperlink" Target="https://docs.google.com/document/d/1oJYyXahyq-7EaZ7ycukzKuBdhEgr_QRRcGcCSKQPDg0/edit?usp=sharing" TargetMode="External"/><Relationship Id="rId711" Type="http://schemas.openxmlformats.org/officeDocument/2006/relationships/hyperlink" Target="https://docs.google.com/document/d/1pU-zqEa8vQv9OPVS43RbO8-95U6G6DT72ERFAkvKu0E/edit?usp=sharing" TargetMode="External"/><Relationship Id="rId949" Type="http://schemas.openxmlformats.org/officeDocument/2006/relationships/hyperlink" Target="https://docs.google.com/document/d/17_NpG6Wn4PT0MXwcQXN_dDD2j0DX82_LjKyVZ7tnEco/edit?usp=sharing" TargetMode="External"/><Relationship Id="rId78" Type="http://schemas.openxmlformats.org/officeDocument/2006/relationships/hyperlink" Target="https://docs.google.com/document/d/1di_48LVyUs-McBULnOvLogsvJAxO-lxpjHyQGA_VBbg/edit?usp=sharing" TargetMode="External"/><Relationship Id="rId143" Type="http://schemas.openxmlformats.org/officeDocument/2006/relationships/hyperlink" Target="https://docs.google.com/document/d/1ne6Z0o88-EfcY2ERd6odbZUqAptx1GTTxv688mbn0Ww/edit?usp=sharing" TargetMode="External"/><Relationship Id="rId350" Type="http://schemas.openxmlformats.org/officeDocument/2006/relationships/hyperlink" Target="https://docs.google.com/document/d/1d_OXa2mK9Y3hqedandF-eEUnB6Cfv5Fnr1ZZtqCMe6Q/edit?usp=drive_link" TargetMode="External"/><Relationship Id="rId588" Type="http://schemas.openxmlformats.org/officeDocument/2006/relationships/hyperlink" Target="https://docs.google.com/document/d/1TIvHMwO61_9xZqh1IgxEVgYwc38_5-DmOaNbZmAArXQ/edit?usp=sharing" TargetMode="External"/><Relationship Id="rId795" Type="http://schemas.openxmlformats.org/officeDocument/2006/relationships/hyperlink" Target="https://docs.google.com/document/d/1Fn7HirmKOTsBbC8fV-EYW-hnBbLEQfFKm4q1MoeZfiU/edit?usp=sharing" TargetMode="External"/><Relationship Id="rId809" Type="http://schemas.openxmlformats.org/officeDocument/2006/relationships/hyperlink" Target="https://docs.google.com/document/d/1jmgB7SDtqPj3lVu4n78UeHdUwuAJKhvo2DqG5PbCE0Y/edit?usp=sharing" TargetMode="External"/><Relationship Id="rId9" Type="http://schemas.openxmlformats.org/officeDocument/2006/relationships/hyperlink" Target="https://docs.google.com/document/d/1CeOai1_MhG3JO9oItkbuH_2-EiPmXDMkjqE0SzQklJM/edit?usp=sharing" TargetMode="External"/><Relationship Id="rId210" Type="http://schemas.openxmlformats.org/officeDocument/2006/relationships/hyperlink" Target="https://docs.google.com/document/d/1IFdTbK8TLavFXEuLRG4_biXNdRPxiZuS97FBfrIpdNY/edit?usp=sharing" TargetMode="External"/><Relationship Id="rId448" Type="http://schemas.openxmlformats.org/officeDocument/2006/relationships/hyperlink" Target="https://docs.google.com/document/d/1ah9wMpS03GcbNVn2HY0AqsdACer0-rKj_soKdn4objI/edit?usp=sharing" TargetMode="External"/><Relationship Id="rId655" Type="http://schemas.openxmlformats.org/officeDocument/2006/relationships/hyperlink" Target="https://docs.google.com/document/d/1HFHtrfY5u8CVtV-XLuu_9Y4_6Wp2X6_93cqVtDdP8Xk/edit?usp=sharing" TargetMode="External"/><Relationship Id="rId862" Type="http://schemas.openxmlformats.org/officeDocument/2006/relationships/hyperlink" Target="https://docs.google.com/document/d/1jL49nUaJjWkXW1XVUfIihzNOv9lHS4v4mCcdUDvhUkA/edit?usp=sharing" TargetMode="External"/><Relationship Id="rId294" Type="http://schemas.openxmlformats.org/officeDocument/2006/relationships/hyperlink" Target="https://docs.google.com/document/d/1vRb8OTu9DJdIBcdMRVu4GHzjH3-t4khIdfVU3J2Tbdk/edit?usp=sharing" TargetMode="External"/><Relationship Id="rId308" Type="http://schemas.openxmlformats.org/officeDocument/2006/relationships/hyperlink" Target="https://docs.google.com/document/d/1dVtbehsapUo0jk59hBq9TSOU9IjPM7gRsnkz8LsrRyw/edit?usp=sharing" TargetMode="External"/><Relationship Id="rId515" Type="http://schemas.openxmlformats.org/officeDocument/2006/relationships/hyperlink" Target="https://docs.google.com/document/d/1joDK_bGI-ml92_aW4uiM3eggFzNmYCVIM9Oz2Le1khg/edit?usp=sharing" TargetMode="External"/><Relationship Id="rId722" Type="http://schemas.openxmlformats.org/officeDocument/2006/relationships/hyperlink" Target="https://docs.google.com/document/d/11Sj3BRcVdJz9auw5FBhq5eZvhe0LYLHuODc49cpHvmY/edit?usp=sharing" TargetMode="External"/><Relationship Id="rId89" Type="http://schemas.openxmlformats.org/officeDocument/2006/relationships/hyperlink" Target="https://docs.google.com/document/d/1ZhjR0E0L4XSrXKQEYiCvwdK5VQcl7o9pIFQRYHToj2Y/edit?usp=sharing" TargetMode="External"/><Relationship Id="rId154" Type="http://schemas.openxmlformats.org/officeDocument/2006/relationships/hyperlink" Target="https://docs.google.com/document/d/1ZA9HbJlo5l5qPunwmn0Tk6Idi_yHPkdr5q-X_pte_qU/edit?usp=sharing" TargetMode="External"/><Relationship Id="rId361" Type="http://schemas.openxmlformats.org/officeDocument/2006/relationships/hyperlink" Target="https://docs.google.com/document/d/1OzoUhLTVCTbEP2EXQS4-bbK-k26mnjBtzoDQOV37Jok/edit?usp=drive_link" TargetMode="External"/><Relationship Id="rId599" Type="http://schemas.openxmlformats.org/officeDocument/2006/relationships/hyperlink" Target="https://docs.google.com/document/d/1mHnKrsa8dVuYykmrRAQxjigHl-TrJdksYGo2OCHVekM/edit?usp=sharing" TargetMode="External"/><Relationship Id="rId459" Type="http://schemas.openxmlformats.org/officeDocument/2006/relationships/hyperlink" Target="https://docs.google.com/document/d/1a6mIJNiLNEgQZFZSf82Digy4IrDjwm0BwJ0BZ7dPpIw/edit?usp=sharing" TargetMode="External"/><Relationship Id="rId666" Type="http://schemas.openxmlformats.org/officeDocument/2006/relationships/hyperlink" Target="https://docs.google.com/document/d/1wrtca2U8OvB11p1Yzj6xCGxLnkaTiucZIdiZQdFvybE/edit?usp=sharing" TargetMode="External"/><Relationship Id="rId873" Type="http://schemas.openxmlformats.org/officeDocument/2006/relationships/hyperlink" Target="https://docs.google.com/document/d/1wjVnep8lMQEajOXlnXi4Q5DPIpHRV7ZBZfcET2CFVa8/edit?usp=sharing" TargetMode="External"/><Relationship Id="rId16" Type="http://schemas.openxmlformats.org/officeDocument/2006/relationships/hyperlink" Target="https://docs.google.com/document/d/1UK-1gSqEhWnfXdortUBKsrBKTpswATwtzN4frVpCs9M/edit?usp=sharing" TargetMode="External"/><Relationship Id="rId221" Type="http://schemas.openxmlformats.org/officeDocument/2006/relationships/hyperlink" Target="https://docs.google.com/document/d/1rUq_Jk4DERUSsAa-ORgYGSOk_R5OHpP2kB4s_iTvsd0/edit?usp=sharing" TargetMode="External"/><Relationship Id="rId319" Type="http://schemas.openxmlformats.org/officeDocument/2006/relationships/hyperlink" Target="https://docs.google.com/document/d/1HC56ia-WB0iQTH_N65CznDQYbl_tRkHRZ4z6sBlnsUs/edit?usp=sharing" TargetMode="External"/><Relationship Id="rId526" Type="http://schemas.openxmlformats.org/officeDocument/2006/relationships/hyperlink" Target="https://docs.google.com/document/d/1mBtZQJZ9MnTocGQsY2aGUokqCiuS8NiZ0WqgcQg25u0/edit?usp=sharing" TargetMode="External"/><Relationship Id="rId733" Type="http://schemas.openxmlformats.org/officeDocument/2006/relationships/hyperlink" Target="https://docs.google.com/document/d/1OHUDBBkVnZEytWYNdkIVkJHOnIshyoVn2ZvKxoSo5ik/edit?usp=sharing" TargetMode="External"/><Relationship Id="rId940" Type="http://schemas.openxmlformats.org/officeDocument/2006/relationships/hyperlink" Target="https://docs.google.com/document/d/1eBM3O3a2xfl3_qJZRP0fzL5q48KxGX1Rq4iQa4bneFo/edit?usp=sharing" TargetMode="External"/><Relationship Id="rId165" Type="http://schemas.openxmlformats.org/officeDocument/2006/relationships/hyperlink" Target="https://docs.google.com/document/d/1eVXG9aT51CB3RNXdEcZ_h_n1QEUO336Rdy8qOT7j7BQ/edit?usp=sharing" TargetMode="External"/><Relationship Id="rId372" Type="http://schemas.openxmlformats.org/officeDocument/2006/relationships/hyperlink" Target="https://docs.google.com/document/d/1VEP4sPXC3EC4Q98RbAGlpSQOPsNefglQMpcavGiWlXQ/edit?usp=sharing" TargetMode="External"/><Relationship Id="rId677" Type="http://schemas.openxmlformats.org/officeDocument/2006/relationships/hyperlink" Target="https://docs.google.com/document/d/1Qvr2xab2RhT54KZA0dDlc79eZl6T0vwUBKO9nNa8xzo/edit?usp=sharing" TargetMode="External"/><Relationship Id="rId800" Type="http://schemas.openxmlformats.org/officeDocument/2006/relationships/hyperlink" Target="https://docs.google.com/document/d/1kvTTQKG6RmOJ5t7pqD9iCpRRBhQiGY5Tn20rA7wj99E/edit?usp=sharing" TargetMode="External"/><Relationship Id="rId232" Type="http://schemas.openxmlformats.org/officeDocument/2006/relationships/hyperlink" Target="https://docs.google.com/document/d/1ApcirW_ocTXwl71jkiFSUMdUTj5LnmGmD4-6b97WvGM/edit?usp=sharing" TargetMode="External"/><Relationship Id="rId884" Type="http://schemas.openxmlformats.org/officeDocument/2006/relationships/hyperlink" Target="https://docs.google.com/document/d/1sxUdvxEHq9Kd0Whqhg9IkjyzcKh7Iuo-ap-DQzQR5m4/edit?usp=sharing" TargetMode="External"/><Relationship Id="rId27" Type="http://schemas.openxmlformats.org/officeDocument/2006/relationships/hyperlink" Target="https://docs.google.com/document/d/1_KE10hs-XczdVxdvfSPzdF0l41SsJRYopfPmCZk3D20/edit?usp=sharing" TargetMode="External"/><Relationship Id="rId537" Type="http://schemas.openxmlformats.org/officeDocument/2006/relationships/hyperlink" Target="https://docs.google.com/document/d/1ziv1n077qhkcOT8t258KSsSur9kzpFEAKMvlYTY6ulQ/edit?usp=sharing" TargetMode="External"/><Relationship Id="rId744" Type="http://schemas.openxmlformats.org/officeDocument/2006/relationships/hyperlink" Target="https://docs.google.com/document/d/1UhGl5TJqwAid1A0xq9wrgPrDgbE-saZ2Qacfe6qwgfk/edit?usp=sharing" TargetMode="External"/><Relationship Id="rId951" Type="http://schemas.openxmlformats.org/officeDocument/2006/relationships/hyperlink" Target="https://docs.google.com/document/d/1CiaspxjJxnIDrAS735dm6H8IAWTvc4GfPW0p60hV7h4/edit?usp=sharing" TargetMode="External"/><Relationship Id="rId80" Type="http://schemas.openxmlformats.org/officeDocument/2006/relationships/hyperlink" Target="https://docs.google.com/document/d/1_Aq1kO_CMCYIGaYEQPZextDzD2WdmdlHY3coAZzA_-4/edit?usp=sharing" TargetMode="External"/><Relationship Id="rId176" Type="http://schemas.openxmlformats.org/officeDocument/2006/relationships/hyperlink" Target="https://docs.google.com/document/d/1LIHYYQRBdRQz2QcjiasBVGdCdVbfiAKmlpeY5KHDwg0/edit?usp=sharing" TargetMode="External"/><Relationship Id="rId383" Type="http://schemas.openxmlformats.org/officeDocument/2006/relationships/hyperlink" Target="https://docs.google.com/document/d/1HnvrLajAoLImlso1VUioYX99fXiSGRC7zaXyokr1qxs/edit?usp=drive_link" TargetMode="External"/><Relationship Id="rId590" Type="http://schemas.openxmlformats.org/officeDocument/2006/relationships/hyperlink" Target="https://docs.google.com/document/d/12c7cdiCrNByenQiusFZOg7h_JvSz9B3i9v4x2_xH-go/edit?usp=sharing" TargetMode="External"/><Relationship Id="rId604" Type="http://schemas.openxmlformats.org/officeDocument/2006/relationships/hyperlink" Target="https://docs.google.com/document/d/1WiP9vVmr5SPufv-CpIRr4kg-2Hocm3QP-zqI6ALlYf4/edit?usp=sharing" TargetMode="External"/><Relationship Id="rId811" Type="http://schemas.openxmlformats.org/officeDocument/2006/relationships/hyperlink" Target="https://docs.google.com/document/d/1VAvK57WpLHvjnY5fIHlW_W8wIc0zQdSPqN3Zp-SVzhs/edit?usp=sharing" TargetMode="External"/><Relationship Id="rId243" Type="http://schemas.openxmlformats.org/officeDocument/2006/relationships/hyperlink" Target="https://docs.google.com/document/d/1cCzeZ7l2B2q6jZbCMN_MrukjTCk-4tLiQErMyVaWVeA/edit?usp=sharing" TargetMode="External"/><Relationship Id="rId450" Type="http://schemas.openxmlformats.org/officeDocument/2006/relationships/hyperlink" Target="https://docs.google.com/document/d/1F29pFfbk9Pvbw1cBanDQ1UdkfjkDHNjELKboqu6PlPw/edit?usp=sharing" TargetMode="External"/><Relationship Id="rId688" Type="http://schemas.openxmlformats.org/officeDocument/2006/relationships/hyperlink" Target="https://docs.google.com/document/d/1fjfnTl7ySN7Uy_CAZj_n_7CAYI5kHanO-4JAWN41rsA/edit?usp=sharing" TargetMode="External"/><Relationship Id="rId895" Type="http://schemas.openxmlformats.org/officeDocument/2006/relationships/hyperlink" Target="https://docs.google.com/document/d/1TTzrMjbnOC60AmA_8MXOvjmn7PccfO0zCaP97a_Nu5w/edit?usp=sharing" TargetMode="External"/><Relationship Id="rId909" Type="http://schemas.openxmlformats.org/officeDocument/2006/relationships/hyperlink" Target="https://docs.google.com/document/d/1GVcxw0lXvP0ubmnbzk6BnkufRUMiEqg-O5DHQWE2_iQ/edit?usp=sharing" TargetMode="External"/><Relationship Id="rId38" Type="http://schemas.openxmlformats.org/officeDocument/2006/relationships/hyperlink" Target="https://docs.google.com/document/d/1WUhfz0oj9oZYbr0xhnLt8ybhC1-BhZnrKzup7MebGXk/edit?usp=sharing" TargetMode="External"/><Relationship Id="rId103" Type="http://schemas.openxmlformats.org/officeDocument/2006/relationships/hyperlink" Target="https://docs.google.com/document/d/1wufzL5XSwrTb7A7gX0J1wckr_YkzpvF4A0XK9zutDKk/edit?usp=sharing" TargetMode="External"/><Relationship Id="rId310" Type="http://schemas.openxmlformats.org/officeDocument/2006/relationships/hyperlink" Target="https://docs.google.com/document/d/1bD7kqOg2lkt1lw_AyjXTJEB8R2lVAFAPpYzGkDlI6-4/edit?usp=sharing" TargetMode="External"/><Relationship Id="rId548" Type="http://schemas.openxmlformats.org/officeDocument/2006/relationships/hyperlink" Target="https://docs.google.com/document/d/1n1BOWaXeaKoCaKYEMnolY4Xy1Bxzk3ta2FAsO6pokwk/edit?usp=sharing" TargetMode="External"/><Relationship Id="rId755" Type="http://schemas.openxmlformats.org/officeDocument/2006/relationships/hyperlink" Target="https://docs.google.com/document/d/1NYhoMuIrN_mNLxDfpqqEYuNh0P3VuxngdVTZjSQ6evo/edit?usp=sharing" TargetMode="External"/><Relationship Id="rId962" Type="http://schemas.openxmlformats.org/officeDocument/2006/relationships/hyperlink" Target="https://docs.google.com/document/d/1D63_6gotVYB_qYsn23UCY8fZf5_rYgNTHuNJKAstmF8/edit?usp=sharing" TargetMode="External"/><Relationship Id="rId91" Type="http://schemas.openxmlformats.org/officeDocument/2006/relationships/hyperlink" Target="https://docs.google.com/document/d/1lw8y4V1syeQB9SiYYKRGPR9GgCDCCS0RZwW5-TQTRfk/edit?usp=sharing" TargetMode="External"/><Relationship Id="rId187" Type="http://schemas.openxmlformats.org/officeDocument/2006/relationships/hyperlink" Target="https://docs.google.com/document/d/1Cu2JYfwuJE2LQSOR_7dVn__X0GhIowzUlI0DEW-xfhg/edit?usp=sharing" TargetMode="External"/><Relationship Id="rId394" Type="http://schemas.openxmlformats.org/officeDocument/2006/relationships/hyperlink" Target="https://docs.google.com/document/d/1U5pMRu5nK20iA81YhfwoF_A17wJh5-J8M5Q_4_7eN2A/edit?usp=sharing" TargetMode="External"/><Relationship Id="rId408" Type="http://schemas.openxmlformats.org/officeDocument/2006/relationships/hyperlink" Target="https://docs.google.com/document/d/1vTz8kDsy6niZZExxdOGUckfZtiiFYH30iJFfAWDmht0/edit?usp=drive_link" TargetMode="External"/><Relationship Id="rId615" Type="http://schemas.openxmlformats.org/officeDocument/2006/relationships/hyperlink" Target="https://docs.google.com/document/d/1LfS7TGJz7QSRwXd5YMDfOagw1l9L40Z2rtVBLKNfHis/edit?usp=sharing" TargetMode="External"/><Relationship Id="rId822" Type="http://schemas.openxmlformats.org/officeDocument/2006/relationships/hyperlink" Target="https://docs.google.com/document/d/1GPdFGo6QQeWYZ_PA276-SrWI6cbJ0yVP0haLHDYoJfo/edit?usp=sharing" TargetMode="External"/><Relationship Id="rId254" Type="http://schemas.openxmlformats.org/officeDocument/2006/relationships/hyperlink" Target="https://docs.google.com/document/d/1-YbkwEclX8ITW1pthRcDKeYsQgTUBK4hh2ecE1MnvXM/edit?usp=sharing" TargetMode="External"/><Relationship Id="rId699" Type="http://schemas.openxmlformats.org/officeDocument/2006/relationships/hyperlink" Target="https://docs.google.com/document/d/1FlxCb-cUe09OzJE6qb1gAdBx2ISiklY2rFWgcSGAcCc/edit?usp=sharing" TargetMode="External"/><Relationship Id="rId49" Type="http://schemas.openxmlformats.org/officeDocument/2006/relationships/hyperlink" Target="https://docs.google.com/document/d/1LsRlFqXMSLehO2LYfMErvGj0brULPbxQyTj7INzdHAI/edit?usp=sharing" TargetMode="External"/><Relationship Id="rId114" Type="http://schemas.openxmlformats.org/officeDocument/2006/relationships/hyperlink" Target="https://docs.google.com/document/d/1Uk_ihigDV_qcosUKqMwBypp-oka6mj0Fg2Am7NKPgIc/edit?usp=sharing" TargetMode="External"/><Relationship Id="rId461" Type="http://schemas.openxmlformats.org/officeDocument/2006/relationships/hyperlink" Target="https://docs.google.com/document/d/15ftUWGJbk-qYHEx-ORjkchDfv-HJ0ek80XXflTT5ga0/edit?usp=sharing" TargetMode="External"/><Relationship Id="rId559" Type="http://schemas.openxmlformats.org/officeDocument/2006/relationships/hyperlink" Target="https://docs.google.com/document/d/1LEONx7a4j3GdWBkgTlnw00v8j5TgSd5xwj6TwbnlR_c/edit?tab=t.0" TargetMode="External"/><Relationship Id="rId766" Type="http://schemas.openxmlformats.org/officeDocument/2006/relationships/hyperlink" Target="https://docs.google.com/document/d/1g0Cr4X8m-NFFN2pQ2r0_N8YBUE4Vuq9wljSuTtEapHQ/edit?usp=sharing" TargetMode="External"/><Relationship Id="rId198" Type="http://schemas.openxmlformats.org/officeDocument/2006/relationships/hyperlink" Target="https://docs.google.com/document/d/1hcZPtKOjxxPO2paCZ8V5YowbgMcTJAetmf5XzAppBIo/edit?usp=sharing" TargetMode="External"/><Relationship Id="rId321" Type="http://schemas.openxmlformats.org/officeDocument/2006/relationships/hyperlink" Target="https://docs.google.com/document/d/1fS42F1h51W2lRBtqBrPicW1WmkOnUdOCnovNgt6Zbjs/edit?usp=sharing" TargetMode="External"/><Relationship Id="rId419" Type="http://schemas.openxmlformats.org/officeDocument/2006/relationships/hyperlink" Target="https://docs.google.com/document/d/1wXxodQJw9rxyw2dHxO2oNymnX4qBVUqmpz2M1fIrve0/edit?usp=drive_link" TargetMode="External"/><Relationship Id="rId626" Type="http://schemas.openxmlformats.org/officeDocument/2006/relationships/hyperlink" Target="https://docs.google.com/document/d/1wzl18Eym79EAvmfatt300XPJpSxtDmtC6pdfcXtDGSo/edit?usp=sharing" TargetMode="External"/><Relationship Id="rId973" Type="http://schemas.openxmlformats.org/officeDocument/2006/relationships/hyperlink" Target="https://docs.google.com/document/d/1rJilfDF89AUHiuKAD8pWQzWA-r8Lpey7cTd6vR1ts2I/edit?usp=sharing" TargetMode="External"/><Relationship Id="rId833" Type="http://schemas.openxmlformats.org/officeDocument/2006/relationships/hyperlink" Target="https://docs.google.com/document/d/14KMh-PjG0S5AxoOz10Dl_OtRE8yjNl9d7FO689wBiXY/edit?usp=sharing" TargetMode="External"/><Relationship Id="rId265" Type="http://schemas.openxmlformats.org/officeDocument/2006/relationships/hyperlink" Target="https://docs.google.com/document/d/136o22EL8IEHDesvpv-iPAzpP_EK9b4PoXinVf2uBNX4/edit?usp=sharing" TargetMode="External"/><Relationship Id="rId472" Type="http://schemas.openxmlformats.org/officeDocument/2006/relationships/hyperlink" Target="https://docs.google.com/document/d/1Tt3ZButd-kV_uA52JDG7TAX9sIgf4BxGE5MCD3Axq-4/edit?usp=sharing" TargetMode="External"/><Relationship Id="rId900" Type="http://schemas.openxmlformats.org/officeDocument/2006/relationships/hyperlink" Target="https://docs.google.com/document/d/1TETOaQRGFn0NRmsrwy4iuzA3Vj01pr2zEQI4D24iJbY/edit?usp=sharing" TargetMode="External"/><Relationship Id="rId125" Type="http://schemas.openxmlformats.org/officeDocument/2006/relationships/hyperlink" Target="https://docs.google.com/document/d/109wC4hUZ_HHDw9CrDfsFMz29c0h6xQS3Wt3UVjscof0/edit?usp=sharing" TargetMode="External"/><Relationship Id="rId332" Type="http://schemas.openxmlformats.org/officeDocument/2006/relationships/hyperlink" Target="https://docs.google.com/document/d/1k9gcYFzm2a_Wu6qKZcQgTbLQzci2UANZWG3ORGJDWnA/edit?usp=sharing" TargetMode="External"/><Relationship Id="rId777" Type="http://schemas.openxmlformats.org/officeDocument/2006/relationships/hyperlink" Target="https://docs.google.com/document/d/1P7R44LBYYztJBDfhMQlzBz2NjjmLUTn9BbHvHA6L-O0/edit?usp=sharing" TargetMode="External"/><Relationship Id="rId984" Type="http://schemas.openxmlformats.org/officeDocument/2006/relationships/hyperlink" Target="https://docs.google.com/document/d/1Xom2pILM3U4-Ls4WrYsqKCVxV411BpsAkjhIAIeSG98/edit?usp=sharing" TargetMode="External"/><Relationship Id="rId637" Type="http://schemas.openxmlformats.org/officeDocument/2006/relationships/hyperlink" Target="https://docs.google.com/document/d/190MYp6upT7I1IDTjfYPWEBiSU4AZqdKDwG778K_7WhE/edit?usp=sharing" TargetMode="External"/><Relationship Id="rId844" Type="http://schemas.openxmlformats.org/officeDocument/2006/relationships/hyperlink" Target="https://docs.google.com/document/d/14O_eINdeuDGJn7rc1nDuuGGzPcBR29OLx3jkofWJu9w/edit?usp=sharing" TargetMode="External"/><Relationship Id="rId276" Type="http://schemas.openxmlformats.org/officeDocument/2006/relationships/hyperlink" Target="https://docs.google.com/document/d/1CYiCRHpD4XonnayNv548MjRjrhPGLaC-wSUlaZy5bA0/edit?usp=sharing" TargetMode="External"/><Relationship Id="rId483" Type="http://schemas.openxmlformats.org/officeDocument/2006/relationships/hyperlink" Target="https://docs.google.com/document/d/1kpGBL2dy6MLXrakue00vZKCnLXnOdRt_MrJLu2kGI1s/edit?usp=drive_link" TargetMode="External"/><Relationship Id="rId690" Type="http://schemas.openxmlformats.org/officeDocument/2006/relationships/hyperlink" Target="https://docs.google.com/document/d/1lD09EQSVL2vr2TORFD7GiuE-P70uHMJcKnjelNdjCys/edit?usp=sharing" TargetMode="External"/><Relationship Id="rId704" Type="http://schemas.openxmlformats.org/officeDocument/2006/relationships/hyperlink" Target="https://docs.google.com/document/d/1uKccz9Ay4SUxa-bukZ3wL2_NceMdvPapybalNsNd2nk/edit?usp=sharing" TargetMode="External"/><Relationship Id="rId911" Type="http://schemas.openxmlformats.org/officeDocument/2006/relationships/hyperlink" Target="https://docs.google.com/document/d/1HUM2CstgQwBLTBCJy5o9Qh1Qp-qZzMtThum-2BBlQQY/edit?usp=sharing" TargetMode="External"/><Relationship Id="rId40" Type="http://schemas.openxmlformats.org/officeDocument/2006/relationships/hyperlink" Target="https://docs.google.com/document/d/1Ogvw8GNOjB-2BMWf8118BAVoxYnA2BtCCm0oCVwvkVY/edit?usp=sharing" TargetMode="External"/><Relationship Id="rId136" Type="http://schemas.openxmlformats.org/officeDocument/2006/relationships/hyperlink" Target="https://docs.google.com/document/d/19neom7Q-ox12thfV2olmAE7WZeXCJPoT6SMGnrt3z04/edit?usp=sharing" TargetMode="External"/><Relationship Id="rId343" Type="http://schemas.openxmlformats.org/officeDocument/2006/relationships/hyperlink" Target="https://docs.google.com/document/d/19QzkKYxFY_GGRHUJsvAhXG1sLaMJQCOVj2mAtpzjvXw/edit?usp=drive_link" TargetMode="External"/><Relationship Id="rId550" Type="http://schemas.openxmlformats.org/officeDocument/2006/relationships/hyperlink" Target="https://docs.google.com/document/d/1gC97nnl6M1i0RElXTs3OzDHk48XEqMRKNn5QbDbsVHE/edit?usp=sharing" TargetMode="External"/><Relationship Id="rId788" Type="http://schemas.openxmlformats.org/officeDocument/2006/relationships/hyperlink" Target="https://docs.google.com/document/d/11L33TBVjJHvuX0BQ3hGZcqWFtkK9jiLSw5lGObDOLqc/edit?usp=sharing" TargetMode="External"/><Relationship Id="rId995" Type="http://schemas.openxmlformats.org/officeDocument/2006/relationships/hyperlink" Target="https://docs.google.com/document/d/1ZmDKW1GTiHdHVwCxyP3ADhFDRi_FG0K8FR3dGAURGbc/edit?usp=sharing" TargetMode="External"/><Relationship Id="rId203" Type="http://schemas.openxmlformats.org/officeDocument/2006/relationships/hyperlink" Target="https://docs.google.com/document/d/1fP-mrxq2fxnYK0S3C63lRPWwlGcFN6cWiEZCLlw48Vk/edit?usp=sharing" TargetMode="External"/><Relationship Id="rId648" Type="http://schemas.openxmlformats.org/officeDocument/2006/relationships/hyperlink" Target="https://docs.google.com/document/d/15kvejzoM-0O81Yjr61RX1b0CoSQt1RzEEXonvzUys_M/edit?usp=sharing" TargetMode="External"/><Relationship Id="rId855" Type="http://schemas.openxmlformats.org/officeDocument/2006/relationships/hyperlink" Target="https://docs.google.com/document/d/104ZnHq1fzTnjDqcd3mNd8t-lMCSn_9OkiDIdHFnLhuY/edit?usp=sharing" TargetMode="External"/><Relationship Id="rId287" Type="http://schemas.openxmlformats.org/officeDocument/2006/relationships/hyperlink" Target="https://docs.google.com/document/d/1NjlD0VFj2SDiISVvN6uUFMo-cd7J_49GPGJV_Q8Q95I/edit?usp=sharing" TargetMode="External"/><Relationship Id="rId410" Type="http://schemas.openxmlformats.org/officeDocument/2006/relationships/hyperlink" Target="https://docs.google.com/document/d/1B94yU7j606k8PnSkcWLDvDbCCBZMVYHhg3rmALiVlIM/edit?usp=sharing" TargetMode="External"/><Relationship Id="rId494" Type="http://schemas.openxmlformats.org/officeDocument/2006/relationships/hyperlink" Target="https://docs.google.com/document/d/1J5J_8Z7DFk-mdnQKr8x52GFbB3Ln_aLFlt_cRg5YowI/edit?usp=sharing" TargetMode="External"/><Relationship Id="rId508" Type="http://schemas.openxmlformats.org/officeDocument/2006/relationships/hyperlink" Target="https://docs.google.com/document/d/189zHlNQxExmnEGzdUAFAklxUunr14q1rRrQ-VeIEzi4/edit?usp=sharing" TargetMode="External"/><Relationship Id="rId715" Type="http://schemas.openxmlformats.org/officeDocument/2006/relationships/hyperlink" Target="https://docs.google.com/document/d/1d8mMqlyuSeHfCEJYdW1kHbqhfnChvLqO6I3o5fCT5tA/edit?usp=sharing" TargetMode="External"/><Relationship Id="rId922" Type="http://schemas.openxmlformats.org/officeDocument/2006/relationships/hyperlink" Target="https://docs.google.com/document/d/14f2niMgxMAdEgrqLaumvQjARRDwAzx6cR6gpofI6dSQ/edit?usp=sharing" TargetMode="External"/><Relationship Id="rId147" Type="http://schemas.openxmlformats.org/officeDocument/2006/relationships/hyperlink" Target="https://docs.google.com/document/d/10LF56yeckz8hj009xufjbVhu82ks6u9dXqpTx4rokqY/edit?usp=sharing" TargetMode="External"/><Relationship Id="rId354" Type="http://schemas.openxmlformats.org/officeDocument/2006/relationships/hyperlink" Target="https://docs.google.com/document/d/1kVX0pagIACU2O0VoH8s_CbyPnAJ2RnZhm92cus-aVeE/edit?usp=drive_link" TargetMode="External"/><Relationship Id="rId799" Type="http://schemas.openxmlformats.org/officeDocument/2006/relationships/hyperlink" Target="https://docs.google.com/document/d/1PzmQC2VbnZ0ZktxVvBH8gbS_MkLS9MvPu08TIIgre-o/edit?usp=sharing" TargetMode="External"/><Relationship Id="rId51" Type="http://schemas.openxmlformats.org/officeDocument/2006/relationships/hyperlink" Target="https://docs.google.com/document/d/1WzjK5y7wlzVvGvAZqzRhhqWMf0E3b_KG4zNiQ94AODk/edit?usp=sharing" TargetMode="External"/><Relationship Id="rId561" Type="http://schemas.openxmlformats.org/officeDocument/2006/relationships/hyperlink" Target="https://docs.google.com/document/d/1wU-RfypXJZPLhoz-BeGW2jYmY93Dl02Is6ElMvQL13g/edit?usp=sharing" TargetMode="External"/><Relationship Id="rId659" Type="http://schemas.openxmlformats.org/officeDocument/2006/relationships/hyperlink" Target="https://docs.google.com/document/d/1vr-HvYfrxl-l0VxrtmyAzlVkdB_4o1X1IqhVYbLAzJk/edit?usp=sharing" TargetMode="External"/><Relationship Id="rId866" Type="http://schemas.openxmlformats.org/officeDocument/2006/relationships/hyperlink" Target="https://docs.google.com/document/d/1PFdL5oc-HTmHfinA4pP_jSxCdzCUOAjFiHJUXz3J-lE/edit?usp=sharing" TargetMode="External"/><Relationship Id="rId214" Type="http://schemas.openxmlformats.org/officeDocument/2006/relationships/hyperlink" Target="https://docs.google.com/document/d/1_nnFXZHpchGlMbEKUh35ErQ9SoKjeJgNYhWa-5emu6w/edit?usp=sharing" TargetMode="External"/><Relationship Id="rId298" Type="http://schemas.openxmlformats.org/officeDocument/2006/relationships/hyperlink" Target="https://docs.google.com/document/d/1pUVzre9CyVI-mRSxWDNeSPWV_Rh0ChinWl6ylLYZ7hU/edit?usp=sharing" TargetMode="External"/><Relationship Id="rId421" Type="http://schemas.openxmlformats.org/officeDocument/2006/relationships/hyperlink" Target="https://docs.google.com/document/d/1Jt4xCmmGlfHeuUuI2TydEl8jTAVVV1QseniZdvtmYHE/edit?usp=sharing" TargetMode="External"/><Relationship Id="rId519" Type="http://schemas.openxmlformats.org/officeDocument/2006/relationships/hyperlink" Target="https://docs.google.com/document/d/1-OLoe5L3_K4HmXnG1frrMRtEbfSDelTxLHALIfQvppY/edit?usp=sharing" TargetMode="External"/><Relationship Id="rId158" Type="http://schemas.openxmlformats.org/officeDocument/2006/relationships/hyperlink" Target="https://docs.google.com/document/d/1ieQowkvrOibx9dS6ZJnSp-KTJ0QZ5xGfZjRoe8eC0rc/edit?usp=sharing" TargetMode="External"/><Relationship Id="rId726" Type="http://schemas.openxmlformats.org/officeDocument/2006/relationships/hyperlink" Target="https://docs.google.com/document/d/1I0TtV0xkLxRmPvHsDTGlf8k0VJVbOHKI-DAFtNOIga8/edit?usp=sharing" TargetMode="External"/><Relationship Id="rId933" Type="http://schemas.openxmlformats.org/officeDocument/2006/relationships/hyperlink" Target="https://docs.google.com/document/d/1mZsHaWgjgi4AwYsmRd1ZQoNgukR0a7LQufJ1lm2MMS8/edit?usp=sharing" TargetMode="External"/><Relationship Id="rId62" Type="http://schemas.openxmlformats.org/officeDocument/2006/relationships/hyperlink" Target="https://docs.google.com/document/d/1f_IEM0fwG31nMdr13lFtLTKLy6OzBnja1qzzpk_EryM/edit?usp=sharing" TargetMode="External"/><Relationship Id="rId365" Type="http://schemas.openxmlformats.org/officeDocument/2006/relationships/hyperlink" Target="https://docs.google.com/document/d/1F87--kqdRwUOHNR5jPD1oRHT2Opra8qm7WwhlwC3TJc/edit?usp=drive_link" TargetMode="External"/><Relationship Id="rId572" Type="http://schemas.openxmlformats.org/officeDocument/2006/relationships/hyperlink" Target="https://docs.google.com/document/d/1Kt2RYgvyVZVo3QZwraYRiUAHD-WFCy1N9t4VFJI8JcM/edit?usp=drive_link" TargetMode="External"/><Relationship Id="rId225" Type="http://schemas.openxmlformats.org/officeDocument/2006/relationships/hyperlink" Target="https://docs.google.com/document/d/14l-pExDru5kXR6Vzkp_onnCpeiNx1TSa8-hWUKCncbk/edit?usp=sharing" TargetMode="External"/><Relationship Id="rId432" Type="http://schemas.openxmlformats.org/officeDocument/2006/relationships/hyperlink" Target="https://docs.google.com/document/d/1k2sjvD5OpibbiSu06qtkNsO9hH_pXNfSeH_wGziIoGE/edit?usp=sharing" TargetMode="External"/><Relationship Id="rId877" Type="http://schemas.openxmlformats.org/officeDocument/2006/relationships/hyperlink" Target="https://docs.google.com/document/d/1L_lb5cNRUHK9rvexQL9zs9MNzVgMMqx4lr3caxA_QfY/edit?usp=sharing" TargetMode="External"/><Relationship Id="rId737" Type="http://schemas.openxmlformats.org/officeDocument/2006/relationships/hyperlink" Target="https://docs.google.com/document/d/1qc_jexKeZjgciZj7XrCmbqRRuBOWB_hZRT6i2nsDv8U/edit?usp=sharing" TargetMode="External"/><Relationship Id="rId944" Type="http://schemas.openxmlformats.org/officeDocument/2006/relationships/hyperlink" Target="https://docs.google.com/document/d/1c4TC-t0hB1nmcdSIa6-N-hPBB7Kevo293FKIsIoV7u8/edit?usp=sharing" TargetMode="External"/><Relationship Id="rId73" Type="http://schemas.openxmlformats.org/officeDocument/2006/relationships/hyperlink" Target="https://docs.google.com/document/d/11erhlx32ppgKmWBax6_BYDYzJrvkBP5I73sd1xBOrtA/edit?usp=sharing" TargetMode="External"/><Relationship Id="rId169" Type="http://schemas.openxmlformats.org/officeDocument/2006/relationships/hyperlink" Target="https://docs.google.com/document/d/1LAFipZap3TVd3xWlA7umiEcRcX9dh4umiLjOVM--ZqQ/edit?usp=sharing" TargetMode="External"/><Relationship Id="rId376" Type="http://schemas.openxmlformats.org/officeDocument/2006/relationships/hyperlink" Target="https://docs.google.com/document/d/18OMCvb6O3ze7wVbc1T4I8N3Qbl1BPNmH-i2NyaN0k6E/edit?usp=sharing" TargetMode="External"/><Relationship Id="rId583" Type="http://schemas.openxmlformats.org/officeDocument/2006/relationships/hyperlink" Target="https://docs.google.com/document/d/1YO7-PnXEJC5LlthM1Q-SeeEMmsPjHYWIikhaYKLKTyY/edit?usp=sharing" TargetMode="External"/><Relationship Id="rId790" Type="http://schemas.openxmlformats.org/officeDocument/2006/relationships/hyperlink" Target="https://docs.google.com/document/d/1kSWRr9LzQ4ppxI1t7ndT6M7iG0TpRgAjvty1hXPKHDw/edit?usp=sharing" TargetMode="External"/><Relationship Id="rId804" Type="http://schemas.openxmlformats.org/officeDocument/2006/relationships/hyperlink" Target="https://docs.google.com/document/d/1PuahOpcE55w-KE8LajyKtknjKLuzRsYKYpDxXzl1Ato/edit?usp=sharing" TargetMode="External"/><Relationship Id="rId4" Type="http://schemas.openxmlformats.org/officeDocument/2006/relationships/hyperlink" Target="https://docs.google.com/document/d/1UulswAgMOwfObSAVvf_uvyBzlLuwtn9mq6i-FNaCNe4/edit?usp=sharing" TargetMode="External"/><Relationship Id="rId236" Type="http://schemas.openxmlformats.org/officeDocument/2006/relationships/hyperlink" Target="https://docs.google.com/document/d/1Y7vU1q7X8K3BGeBb706eiLwnvIxsM_qo6taT-UHxojI/edit?usp=sharing" TargetMode="External"/><Relationship Id="rId443" Type="http://schemas.openxmlformats.org/officeDocument/2006/relationships/hyperlink" Target="https://docs.google.com/document/d/11zdSVhpi19-I-aaahkEUn4_uGzpwulBCoRvpQN-iIiA/edit?usp=sharing" TargetMode="External"/><Relationship Id="rId650" Type="http://schemas.openxmlformats.org/officeDocument/2006/relationships/hyperlink" Target="https://docs.google.com/document/d/1EDRbbbI3tp2PuOKMnrvcrnQ1J09OVhxDSa6uTXcG3Tk/edit?usp=sharing" TargetMode="External"/><Relationship Id="rId888" Type="http://schemas.openxmlformats.org/officeDocument/2006/relationships/hyperlink" Target="https://docs.google.com/document/d/18-_QvLbw87r4E6Zbs_9iRpK2W9GnUNWM8LVInO7NRjs/edit?usp=sharing" TargetMode="External"/><Relationship Id="rId303" Type="http://schemas.openxmlformats.org/officeDocument/2006/relationships/hyperlink" Target="https://docs.google.com/document/d/1005xWeaUi6Kg-h5U5oEBHph8wJ4nTjVWWM7URjup3uw/edit?usp=sharing" TargetMode="External"/><Relationship Id="rId748" Type="http://schemas.openxmlformats.org/officeDocument/2006/relationships/hyperlink" Target="https://docs.google.com/document/d/1ky6sJ1PazBic-NMO2R9QVEf2xkcIxlRV9yj9ZNSLC9Y/edit?usp=sharing" TargetMode="External"/><Relationship Id="rId955" Type="http://schemas.openxmlformats.org/officeDocument/2006/relationships/hyperlink" Target="https://docs.google.com/document/d/19KM6RWox7SG6RWET5MeJDkpdmXXeQoEcR_QKXo3FXQ8/edit?usp=sharing" TargetMode="External"/><Relationship Id="rId84" Type="http://schemas.openxmlformats.org/officeDocument/2006/relationships/hyperlink" Target="https://docs.google.com/document/d/1zQJf44DXXJ8dt-IcQc8RONngFlZsCoXjERPXTTeLRpE/edit?usp=sharing" TargetMode="External"/><Relationship Id="rId387" Type="http://schemas.openxmlformats.org/officeDocument/2006/relationships/hyperlink" Target="https://docs.google.com/document/d/1juC3_BZ6Ov3FxbHSsjvhiymU4lx6Af1oEPm5NqvxkWM/edit?usp=sharing" TargetMode="External"/><Relationship Id="rId510" Type="http://schemas.openxmlformats.org/officeDocument/2006/relationships/hyperlink" Target="https://docs.google.com/document/d/1aowsTq6aFogAKgxtHfRunHVbNWYf6tTwGzn4NWQ9EO0/edit?usp=sharing" TargetMode="External"/><Relationship Id="rId594" Type="http://schemas.openxmlformats.org/officeDocument/2006/relationships/hyperlink" Target="https://docs.google.com/document/d/1SOFnZosiPcT_e3YArL3HwRdQrALadHDNQWRiMe34QEM/edit?usp=sharing" TargetMode="External"/><Relationship Id="rId608" Type="http://schemas.openxmlformats.org/officeDocument/2006/relationships/hyperlink" Target="https://docs.google.com/document/d/1dIhg236bMs0hTIB2WTNbw9jr2C26Dewjs1tVeQHGvhw/edit?usp=sharing" TargetMode="External"/><Relationship Id="rId815" Type="http://schemas.openxmlformats.org/officeDocument/2006/relationships/hyperlink" Target="https://docs.google.com/document/d/1JYR5t0KGUOKTxhhnj7dGtn3Odxg7n27_jqKWRNSAJAc/edit?usp=sharing" TargetMode="External"/><Relationship Id="rId247" Type="http://schemas.openxmlformats.org/officeDocument/2006/relationships/hyperlink" Target="https://docs.google.com/document/d/1OMYNvB29eo6xPWOV9iV1A2OZz2j-xHzW0DBGWus8fV8/edit?usp=sharing" TargetMode="External"/><Relationship Id="rId899" Type="http://schemas.openxmlformats.org/officeDocument/2006/relationships/hyperlink" Target="https://docs.google.com/document/d/19djp67rukzmNtWy2eE7mPvr07C3vjD-p1Uj90EdmeBM/edit?usp=sharing" TargetMode="External"/><Relationship Id="rId1000" Type="http://schemas.openxmlformats.org/officeDocument/2006/relationships/vmlDrawing" Target="../drawings/vmlDrawing1.vml"/><Relationship Id="rId107" Type="http://schemas.openxmlformats.org/officeDocument/2006/relationships/hyperlink" Target="https://docs.google.com/document/d/1EYmAEhod4KTSWxWKNni3FTl7fVCb7jJN0yJ0kW7DVFw/edit?usp=sharing" TargetMode="External"/><Relationship Id="rId454" Type="http://schemas.openxmlformats.org/officeDocument/2006/relationships/hyperlink" Target="https://docs.google.com/document/d/1-agM6wBoPUP3VWXQA8xjXcmleBfTwoOOAGQz_y3BANI/edit?usp=sharing" TargetMode="External"/><Relationship Id="rId661" Type="http://schemas.openxmlformats.org/officeDocument/2006/relationships/hyperlink" Target="https://docs.google.com/document/d/1qaoZ1zIy_OJUQKUnFKn5z6KMZj5-gbBW_d3Ge0EmYhA/edit?usp=sharing" TargetMode="External"/><Relationship Id="rId759" Type="http://schemas.openxmlformats.org/officeDocument/2006/relationships/hyperlink" Target="https://docs.google.com/document/d/1Ici9w1MWQGIvSqtC3kLkrFIu6rbztHIDE6uL27Xd2Rw/edit?usp=sharing" TargetMode="External"/><Relationship Id="rId966" Type="http://schemas.openxmlformats.org/officeDocument/2006/relationships/hyperlink" Target="https://docs.google.com/document/d/1hwtHWIz82gRQmuCKAJhhd74q37TqnnMRv-SkmE-HyAY/edit?usp=sharing" TargetMode="External"/><Relationship Id="rId11" Type="http://schemas.openxmlformats.org/officeDocument/2006/relationships/hyperlink" Target="https://docs.google.com/document/d/17wSyq2xlNksijDvkQhFccO7rQhvtt7sCuJmycXeSHI8/edit?usp=sharing" TargetMode="External"/><Relationship Id="rId314" Type="http://schemas.openxmlformats.org/officeDocument/2006/relationships/hyperlink" Target="https://docs.google.com/document/d/1dwOIEyaQHIOiOJNuM0F5Du5OFIT-A9yG9H5i5LiXd80/edit?usp=sharing" TargetMode="External"/><Relationship Id="rId398" Type="http://schemas.openxmlformats.org/officeDocument/2006/relationships/hyperlink" Target="https://docs.google.com/document/d/1ENLJB9pHecC0euy03Xn2bdtLVwTn_4mdIh10Ktdd1Ts/edit?usp=sharing" TargetMode="External"/><Relationship Id="rId521" Type="http://schemas.openxmlformats.org/officeDocument/2006/relationships/hyperlink" Target="https://docs.google.com/document/d/1OCyQp6glM833IkZvDjC7pVvW8aiwVWFQGGYhKc1j_vU/edit?usp=sharing" TargetMode="External"/><Relationship Id="rId619" Type="http://schemas.openxmlformats.org/officeDocument/2006/relationships/hyperlink" Target="https://docs.google.com/document/d/1TGCqmore8gqcU_hEfsEjQRtBJq5oY5TvWUHN7VdL3IE/edit?usp=sharing" TargetMode="External"/><Relationship Id="rId95" Type="http://schemas.openxmlformats.org/officeDocument/2006/relationships/hyperlink" Target="https://docs.google.com/document/d/1akAFLm07_0RzZgYAAw0nzL_PGKaAw4tPD3z9-ElaKXs/edit?usp=sharing" TargetMode="External"/><Relationship Id="rId160" Type="http://schemas.openxmlformats.org/officeDocument/2006/relationships/hyperlink" Target="https://docs.google.com/document/d/1lbEw9H9Xo9nRQnv2ho0NoLT2XVXfuX8VTyD1K5b3_oQ/edit?usp=sharing" TargetMode="External"/><Relationship Id="rId826" Type="http://schemas.openxmlformats.org/officeDocument/2006/relationships/hyperlink" Target="https://docs.google.com/document/d/1DcJU_84XIGRBZ5Xwc3u0RuZBWSaZl-HA29i5a5qGoXE/edit?usp=sharing" TargetMode="External"/><Relationship Id="rId258" Type="http://schemas.openxmlformats.org/officeDocument/2006/relationships/hyperlink" Target="https://docs.google.com/document/d/1zRBRXQxSS162V3l3pfPDEOu8LC84Fcm15ZS3sM5X9Po/edit?usp=sharing" TargetMode="External"/><Relationship Id="rId465" Type="http://schemas.openxmlformats.org/officeDocument/2006/relationships/hyperlink" Target="https://docs.google.com/document/d/1D9xPedrZrwevY4Ou-PmkxvXs-_ZiZZUXEsTJ-BYluog/edit?usp=sharing" TargetMode="External"/><Relationship Id="rId672" Type="http://schemas.openxmlformats.org/officeDocument/2006/relationships/hyperlink" Target="https://docs.google.com/document/d/1zsjH38oceh22nYoKpc50B-gyTPW6s9uhjrN2ChJZWkQ/edit?usp=sharing" TargetMode="External"/><Relationship Id="rId22" Type="http://schemas.openxmlformats.org/officeDocument/2006/relationships/hyperlink" Target="https://docs.google.com/document/d/1JzYc7cUowMJC4sQ53jXGZI3h8OxGy4Fs0MTo2Nv9T8c/edit?usp=sharing" TargetMode="External"/><Relationship Id="rId118" Type="http://schemas.openxmlformats.org/officeDocument/2006/relationships/hyperlink" Target="https://docs.google.com/document/d/13Lclq8zWfp5Sv_5vt4cY7EsBcLOWrddawk6lpsqAm8U/edit?usp=sharing" TargetMode="External"/><Relationship Id="rId325" Type="http://schemas.openxmlformats.org/officeDocument/2006/relationships/hyperlink" Target="https://docs.google.com/document/d/1AGfZlgdjVj8yBQRvCATLEgwRhEl1kYg8XD8Uqnsnrgc/edit?usp=sharing" TargetMode="External"/><Relationship Id="rId532" Type="http://schemas.openxmlformats.org/officeDocument/2006/relationships/hyperlink" Target="https://docs.google.com/document/d/1dhH-sjU2QEnFCePu5595UKCy6Rq7znCK_He5weLRwNU/edit?usp=sharing" TargetMode="External"/><Relationship Id="rId977" Type="http://schemas.openxmlformats.org/officeDocument/2006/relationships/hyperlink" Target="https://docs.google.com/document/d/1RB13TlEaw9T8D0mp4_EPxwtGcLKtKSLCKJarKNeWOgk/edit?usp=sharing" TargetMode="External"/><Relationship Id="rId171" Type="http://schemas.openxmlformats.org/officeDocument/2006/relationships/hyperlink" Target="https://docs.google.com/document/d/10VBJW15obRse4tRl5NbGfN0C7fWHSS7v7NEWZ0o28mI/edit?usp=sharing" TargetMode="External"/><Relationship Id="rId837" Type="http://schemas.openxmlformats.org/officeDocument/2006/relationships/hyperlink" Target="https://docs.google.com/document/d/1LTCLlbqEHstAlzYawcMIxRzV18W1xLzoUrLNSqkb_2Y/edit?usp=sharing" TargetMode="External"/><Relationship Id="rId269" Type="http://schemas.openxmlformats.org/officeDocument/2006/relationships/hyperlink" Target="https://docs.google.com/document/d/1LFsqsP0Z7_UDZ_20EVR3ceDHSp7Zs0lP7bROO0bIWng/edit?usp=sharing" TargetMode="External"/><Relationship Id="rId476" Type="http://schemas.openxmlformats.org/officeDocument/2006/relationships/hyperlink" Target="https://docs.google.com/document/d/1u8VchhdrbwPuvdP-vrbTmtEmU2i5H0PEkEXJlx6vhDA/edit?usp=sharing" TargetMode="External"/><Relationship Id="rId683" Type="http://schemas.openxmlformats.org/officeDocument/2006/relationships/hyperlink" Target="https://docs.google.com/document/d/1hCyTT9ReZp8xVFqgpFTZEPwYeEdFvuadAggDqzmXsBg/edit?usp=sharing" TargetMode="External"/><Relationship Id="rId890" Type="http://schemas.openxmlformats.org/officeDocument/2006/relationships/hyperlink" Target="https://docs.google.com/document/d/1kfJyvCs8njmy9KRtqgBLrjUb22IzM7cES38Mk_XECgo/edit?usp=sharing" TargetMode="External"/><Relationship Id="rId904" Type="http://schemas.openxmlformats.org/officeDocument/2006/relationships/hyperlink" Target="https://docs.google.com/document/d/1jsGu8TVp7vK6r_6zE3qyDu_QQrQJrDRFCA6IH4Bj5h4/edit?usp=sharing" TargetMode="External"/><Relationship Id="rId33" Type="http://schemas.openxmlformats.org/officeDocument/2006/relationships/hyperlink" Target="https://docs.google.com/document/d/1Y_DoQwxDQTcTnp7tJMpPMDpMPUAx3wIIWeznXPdBShQ/edit?usp=sharing" TargetMode="External"/><Relationship Id="rId129" Type="http://schemas.openxmlformats.org/officeDocument/2006/relationships/hyperlink" Target="https://docs.google.com/document/d/1FtJKyK0WwD8QFAkcjdGnLAte-s0hso2Ua3GLwZ9w6hA/edit?usp=sharing" TargetMode="External"/><Relationship Id="rId336" Type="http://schemas.openxmlformats.org/officeDocument/2006/relationships/hyperlink" Target="https://docs.google.com/document/d/1LZhlOjwGA37jz-OIVLkM7mncA6DDP9xYzLulsEv8bqc/edit?usp=drive_link" TargetMode="External"/><Relationship Id="rId543" Type="http://schemas.openxmlformats.org/officeDocument/2006/relationships/hyperlink" Target="https://docs.google.com/document/d/1qAfGU01Z3Fg0sUNy5XrJRLN21tQpMiEUP9XpqN3YNUA/edit?usp=sharing" TargetMode="External"/><Relationship Id="rId988" Type="http://schemas.openxmlformats.org/officeDocument/2006/relationships/hyperlink" Target="https://docs.google.com/document/d/1r8vPQW5TQvANKuxROcuZV6yFjS6QVwupgg3SfNm1HxM/edit?usp=sharing" TargetMode="External"/><Relationship Id="rId182" Type="http://schemas.openxmlformats.org/officeDocument/2006/relationships/hyperlink" Target="https://docs.google.com/document/d/1zTVqNGLqZ4LGA67tCUyF6JyERoNv_HLCZv7N6nHmPxY/edit?usp=sharing" TargetMode="External"/><Relationship Id="rId403" Type="http://schemas.openxmlformats.org/officeDocument/2006/relationships/hyperlink" Target="https://docs.google.com/document/d/1OuzfnVJewGBrrSw8q2PW0KU9ZjOWa1kaRQLWcIRDQaU/edit?usp=sharing" TargetMode="External"/><Relationship Id="rId750" Type="http://schemas.openxmlformats.org/officeDocument/2006/relationships/hyperlink" Target="https://docs.google.com/document/d/12bAavfZHL7vHQWPYOEJeUTGePmgHR-ROJ0E29e_aHtQ/edit?usp=sharing" TargetMode="External"/><Relationship Id="rId848" Type="http://schemas.openxmlformats.org/officeDocument/2006/relationships/hyperlink" Target="https://docs.google.com/document/d/1dvD21cfKQPKTtVebDbR6CBaeA0i2QwCgCu3xzhQZdIY/edit?usp=sharing" TargetMode="External"/><Relationship Id="rId487" Type="http://schemas.openxmlformats.org/officeDocument/2006/relationships/hyperlink" Target="https://docs.google.com/document/d/1s5oo9tK2cUODZWkHEI55U_V260jqsqnTTPuaKRpnLbI/edit?usp=sharing" TargetMode="External"/><Relationship Id="rId610" Type="http://schemas.openxmlformats.org/officeDocument/2006/relationships/hyperlink" Target="https://docs.google.com/document/d/1p9o8VPte_tUY25mPxkMsJvil1doVlxGh_qqsm0VJy18/edit?usp=sharing" TargetMode="External"/><Relationship Id="rId694" Type="http://schemas.openxmlformats.org/officeDocument/2006/relationships/hyperlink" Target="https://docs.google.com/document/d/1M3cIiCutA0HFu11F38d-rnEOkwsNLcA61bAuWJOVXZA/edit?usp=sharing" TargetMode="External"/><Relationship Id="rId708" Type="http://schemas.openxmlformats.org/officeDocument/2006/relationships/hyperlink" Target="https://docs.google.com/document/d/1ivzN9wPI6U3YUXymfoavJ-rkVcSXE-hcdgyOOMlZ1oE/edit?usp=sharing" TargetMode="External"/><Relationship Id="rId915" Type="http://schemas.openxmlformats.org/officeDocument/2006/relationships/hyperlink" Target="https://docs.google.com/document/d/1sNgjLx8beeAovR-FnMxBiY_bjqqJJfDX8dcz8lW2y04/edit?usp=sharing" TargetMode="External"/><Relationship Id="rId347" Type="http://schemas.openxmlformats.org/officeDocument/2006/relationships/hyperlink" Target="https://docs.google.com/document/d/1vI5RDTQxCT58D7x0uXUPHu5bXW1uieiMiRRojCyE-BA/edit?usp=drive_link" TargetMode="External"/><Relationship Id="rId999" Type="http://schemas.openxmlformats.org/officeDocument/2006/relationships/hyperlink" Target="https://docs.google.com/document/d/1gaSbyuo_Lj4jkM2e8eKGPCgmnS-bz-lb3i4KhDsTCBg/edit?usp=sharing" TargetMode="External"/><Relationship Id="rId44" Type="http://schemas.openxmlformats.org/officeDocument/2006/relationships/hyperlink" Target="https://docs.google.com/document/d/1cFnKjBEOTNBcXVrrdK_lqgMRFBaljmwmFYJj1N3iTL0/edit?usp=sharing" TargetMode="External"/><Relationship Id="rId554" Type="http://schemas.openxmlformats.org/officeDocument/2006/relationships/hyperlink" Target="https://docs.google.com/document/d/1Mc5jUPAsAY9Is4eo1i5i5QGCttsjITeJRnCe9nE9SYI/edit?tab=t.0" TargetMode="External"/><Relationship Id="rId761" Type="http://schemas.openxmlformats.org/officeDocument/2006/relationships/hyperlink" Target="https://docs.google.com/document/d/11U63nr5zn9Befpsz_v0yAa-LqqHRKP23FEipT-EUj0M/edit?usp=sharing" TargetMode="External"/><Relationship Id="rId859" Type="http://schemas.openxmlformats.org/officeDocument/2006/relationships/hyperlink" Target="https://docs.google.com/document/d/1ZSJxVAUB1G_1CTEd-NHZrrhiu-LMfRutWl_qSu0SxEM/edit?usp=sharing" TargetMode="External"/><Relationship Id="rId193" Type="http://schemas.openxmlformats.org/officeDocument/2006/relationships/hyperlink" Target="https://docs.google.com/document/d/15A5TckH7qQSsakoOBwnJF8SzXhEwHkp9K920KC0snZc/edit?usp=sharing" TargetMode="External"/><Relationship Id="rId207" Type="http://schemas.openxmlformats.org/officeDocument/2006/relationships/hyperlink" Target="https://docs.google.com/document/d/1eJlxRyzOh9ACF3vRJ4Ol7PLv1PRmcFT9HvEoBJcpyiQ/edit?usp=sharing" TargetMode="External"/><Relationship Id="rId414" Type="http://schemas.openxmlformats.org/officeDocument/2006/relationships/hyperlink" Target="https://docs.google.com/document/d/12DO6l7x3VYn7gKzpS6bqN8MntWrbGmH0AhWTtez7yC4/edit?usp=sharing" TargetMode="External"/><Relationship Id="rId498" Type="http://schemas.openxmlformats.org/officeDocument/2006/relationships/hyperlink" Target="https://docs.google.com/document/d/1LAbO_FW4FopXect_kqAh6JUZlDlnb451MPCUm0ClFLM/edit?usp=sharing" TargetMode="External"/><Relationship Id="rId621" Type="http://schemas.openxmlformats.org/officeDocument/2006/relationships/hyperlink" Target="https://docs.google.com/document/d/1Vh8f4aaJwdxLXQTldGqwi_TV9kHOZjFnpWCxchUl1ew/edit?usp=sharing" TargetMode="External"/><Relationship Id="rId260" Type="http://schemas.openxmlformats.org/officeDocument/2006/relationships/hyperlink" Target="https://docs.google.com/document/d/1IqLQZKADeIuQqOMUE6yKNOrUR0qdNLQ2WXwB3V67VmA/edit?usp=sharing" TargetMode="External"/><Relationship Id="rId719" Type="http://schemas.openxmlformats.org/officeDocument/2006/relationships/hyperlink" Target="https://docs.google.com/document/d/1Lgi0EhqCbEZPSfwiSLR6YAJmcYWugdL41yodac_3saE/edit?usp=sharing" TargetMode="External"/><Relationship Id="rId926" Type="http://schemas.openxmlformats.org/officeDocument/2006/relationships/hyperlink" Target="https://docs.google.com/document/d/12scRIsMIhTm4nww57x7husg_zIYjNbC_XIyzvlGnFGI/edit?usp=sharing" TargetMode="External"/><Relationship Id="rId55" Type="http://schemas.openxmlformats.org/officeDocument/2006/relationships/hyperlink" Target="https://docs.google.com/document/d/1rLKoXWiy_Rb0IwHNWgu-OSVarVULsw2QPz5T5gHGXJE/edit?usp=sharing" TargetMode="External"/><Relationship Id="rId120" Type="http://schemas.openxmlformats.org/officeDocument/2006/relationships/hyperlink" Target="https://docs.google.com/document/d/1C_eTtgbhyvisIYCAkoqCcpplW21nbRmQuxE15VyJDLo/edit?usp=sharing" TargetMode="External"/><Relationship Id="rId358" Type="http://schemas.openxmlformats.org/officeDocument/2006/relationships/hyperlink" Target="https://docs.google.com/document/d/1AIVtUOzGO2HLHVdx3KGhQgCiIpYUuPx1Hxpp5k-AOf4/edit?usp=sharing" TargetMode="External"/><Relationship Id="rId565" Type="http://schemas.openxmlformats.org/officeDocument/2006/relationships/hyperlink" Target="https://docs.google.com/document/d/18-A_G0vI99YNAP3ykNYhDZme3FXYy_kKvzq8y0LHouc/edit?usp=sharing" TargetMode="External"/><Relationship Id="rId772" Type="http://schemas.openxmlformats.org/officeDocument/2006/relationships/hyperlink" Target="https://docs.google.com/document/d/1PfDbkS_mnWtmrFppMExklqwa-TKZHPbu8A6F680Tbb4/edit?usp=sharing" TargetMode="External"/><Relationship Id="rId218" Type="http://schemas.openxmlformats.org/officeDocument/2006/relationships/hyperlink" Target="https://docs.google.com/document/d/1YFMCDva4SwcDlbxDciwRKr0-do60Bcb0dR4BbWmjaYw/edit?usp=sharing" TargetMode="External"/><Relationship Id="rId425" Type="http://schemas.openxmlformats.org/officeDocument/2006/relationships/hyperlink" Target="https://docs.google.com/document/d/1IIirqub4EjuLjfAF4r2tPXPWm7L3LAGe9fuWchJwAs0/edit?usp=drive_link" TargetMode="External"/><Relationship Id="rId632" Type="http://schemas.openxmlformats.org/officeDocument/2006/relationships/hyperlink" Target="https://docs.google.com/document/d/1YMaVu9hZWH0KlMw7TZ6Y39n6tmjldjZg8TT8jOa6gtA/edit?usp=drive_link" TargetMode="External"/><Relationship Id="rId271" Type="http://schemas.openxmlformats.org/officeDocument/2006/relationships/hyperlink" Target="https://docs.google.com/document/d/1qddI1-_D9p0_iPLuVio0hjja41C6qsIBNAi66tz2YnE/edit?usp=sharing" TargetMode="External"/><Relationship Id="rId937" Type="http://schemas.openxmlformats.org/officeDocument/2006/relationships/hyperlink" Target="https://docs.google.com/document/d/1V7NrmsgXT1Z8CuE1xQkm5vZrQDJNvImMg5HaAgRMo_8/edit?usp=sharing" TargetMode="External"/><Relationship Id="rId66" Type="http://schemas.openxmlformats.org/officeDocument/2006/relationships/hyperlink" Target="https://docs.google.com/document/d/19WV5WxGDWuJKphdpKprLKHXM3P0i3lRO4TWtoyqp8ts/edit?usp=sharing" TargetMode="External"/><Relationship Id="rId131" Type="http://schemas.openxmlformats.org/officeDocument/2006/relationships/hyperlink" Target="https://docs.google.com/document/d/1TvzRDgHppV3rFoL4UVh_8wAX8VJ41iUWHNVpBhGJIWE/edit?usp=sharing" TargetMode="External"/><Relationship Id="rId369" Type="http://schemas.openxmlformats.org/officeDocument/2006/relationships/hyperlink" Target="https://docs.google.com/document/d/1JBWpZq94J2WGu9IqdW3WyCUCo607G0Mbx3g2qCOw0Zk/edit?usp=sharing" TargetMode="External"/><Relationship Id="rId576" Type="http://schemas.openxmlformats.org/officeDocument/2006/relationships/hyperlink" Target="https://docs.google.com/document/d/1EoGFeU46bQM8eztyZqzqAYKz65P2bjkxBvD6TvIDum8/edit?usp=sharing" TargetMode="External"/><Relationship Id="rId783" Type="http://schemas.openxmlformats.org/officeDocument/2006/relationships/hyperlink" Target="https://docs.google.com/document/d/1dLdsQHL6O5aJcBgIJlbMuBUkYc1gynM9f7VUPHJtYo4/edit?usp=sharing" TargetMode="External"/><Relationship Id="rId990" Type="http://schemas.openxmlformats.org/officeDocument/2006/relationships/hyperlink" Target="https://docs.google.com/document/d/1WthAVqY51iSQ3XCpGNFQ_n4bEgTV_v9TOImMQ4ZWuEg/edit?usp=sharing" TargetMode="External"/><Relationship Id="rId229" Type="http://schemas.openxmlformats.org/officeDocument/2006/relationships/hyperlink" Target="https://docs.google.com/document/d/1BNJa8iv_RgF3yuPEmle5J39_EbIsqKJHvbzaDj-7toY/edit?usp=sharing" TargetMode="External"/><Relationship Id="rId436" Type="http://schemas.openxmlformats.org/officeDocument/2006/relationships/hyperlink" Target="https://docs.google.com/document/d/1zJ_4ZJvxnyZh28FjqHaFAAA8CliOFEV-GtRak1gy2aw/edit?usp=sharing" TargetMode="External"/><Relationship Id="rId643" Type="http://schemas.openxmlformats.org/officeDocument/2006/relationships/hyperlink" Target="https://docs.google.com/document/d/1PkVCs5B_hf_WFR4yxoIKFo1oYgVxw_rELkZ8b4wN_us/edit?usp=sharing" TargetMode="External"/><Relationship Id="rId850" Type="http://schemas.openxmlformats.org/officeDocument/2006/relationships/hyperlink" Target="https://docs.google.com/document/d/1E-4Ii2zK-C1Yl5JziRx3A3vyA7d8QPxZzrvQiYu21RM/edit?usp=sharing" TargetMode="External"/><Relationship Id="rId948" Type="http://schemas.openxmlformats.org/officeDocument/2006/relationships/hyperlink" Target="https://docs.google.com/document/d/1bPl5DEt6VffZ-LGO1tsFtn3Lk3kg-6ft1zsSmZ5qrOQ/edit?usp=sharing" TargetMode="External"/><Relationship Id="rId77" Type="http://schemas.openxmlformats.org/officeDocument/2006/relationships/hyperlink" Target="https://docs.google.com/document/d/18vWW225FybvGJWUqguwPCCoz1XImX1kzGbSU7O06LOk/edit?usp=sharing" TargetMode="External"/><Relationship Id="rId282" Type="http://schemas.openxmlformats.org/officeDocument/2006/relationships/hyperlink" Target="https://docs.google.com/document/d/1Jwwcpvq5M01m4gn6in72hgkSfmknRp0kkV1NLlEA0iM/edit?usp=sharing" TargetMode="External"/><Relationship Id="rId503" Type="http://schemas.openxmlformats.org/officeDocument/2006/relationships/hyperlink" Target="https://docs.google.com/document/d/1H0Jwjr3XTNz-zika4OafgfYcNg4BUO7LDBAPEVwTc54/edit?usp=sharing" TargetMode="External"/><Relationship Id="rId587" Type="http://schemas.openxmlformats.org/officeDocument/2006/relationships/hyperlink" Target="https://docs.google.com/document/d/1VCnZqK0oQ4sJc_lbvaxYJDQDw-um0sASwsMbtMJUyuQ/edit?usp=sharing" TargetMode="External"/><Relationship Id="rId710" Type="http://schemas.openxmlformats.org/officeDocument/2006/relationships/hyperlink" Target="https://docs.google.com/document/d/1VNgBLMj1HzVlGNJ_3g3HR5CAnEtmrpUJGI4EGP6qmkE/edit?usp=sharing" TargetMode="External"/><Relationship Id="rId808" Type="http://schemas.openxmlformats.org/officeDocument/2006/relationships/hyperlink" Target="https://docs.google.com/document/d/1SY14S8Kn_v4DB5Klgu_BJCFHXpg8Rxg3n8Rd5H5FAd0/edit?usp=sharing" TargetMode="External"/><Relationship Id="rId8" Type="http://schemas.openxmlformats.org/officeDocument/2006/relationships/hyperlink" Target="https://docs.google.com/document/d/12bQzrXzD5xMyFPRkGi2oe4b-uSj9wh97vAOM16aBbJg/edit?usp=sharing" TargetMode="External"/><Relationship Id="rId142" Type="http://schemas.openxmlformats.org/officeDocument/2006/relationships/hyperlink" Target="https://docs.google.com/document/d/1npL58UqbFleKBs1htcKMkMEIUeBWuaOOUEoWquqm-14/edit?usp=sharing" TargetMode="External"/><Relationship Id="rId447" Type="http://schemas.openxmlformats.org/officeDocument/2006/relationships/hyperlink" Target="https://docs.google.com/document/d/1fd2a7jln87OipxE2J0RJtGoqVbdqeu7bU9GJXDVVSec/edit?usp=sharing" TargetMode="External"/><Relationship Id="rId794" Type="http://schemas.openxmlformats.org/officeDocument/2006/relationships/hyperlink" Target="https://docs.google.com/document/d/183d8CGoSW2pfO7hvirxdnR12LBnM_rH1FMf3lQrAWhM/edit?usp=sharing" TargetMode="External"/><Relationship Id="rId654" Type="http://schemas.openxmlformats.org/officeDocument/2006/relationships/hyperlink" Target="https://docs.google.com/document/d/1EmLe_q0aepoq8fnWYx2TCb62dKITAxiWs4gjBCOkscg/edit?usp=sharing" TargetMode="External"/><Relationship Id="rId861" Type="http://schemas.openxmlformats.org/officeDocument/2006/relationships/hyperlink" Target="https://docs.google.com/document/d/1D5meFUMWDMyk0WvrpnexwK0j0-JomTU_IpZY1h4ChyA/edit?usp=sharing" TargetMode="External"/><Relationship Id="rId959" Type="http://schemas.openxmlformats.org/officeDocument/2006/relationships/hyperlink" Target="https://docs.google.com/document/d/1gdkSC8X6dEw0RbFVhnxCCD1F_8dDnB6lBCP2yR6zYWE/edit?usp=sharing" TargetMode="External"/><Relationship Id="rId293" Type="http://schemas.openxmlformats.org/officeDocument/2006/relationships/hyperlink" Target="https://docs.google.com/document/d/16lO_Ch_wFAU01maDTHyoZEGsAxwSob9ogfkVo_aJ06M/edit?usp=sharing" TargetMode="External"/><Relationship Id="rId307" Type="http://schemas.openxmlformats.org/officeDocument/2006/relationships/hyperlink" Target="https://docs.google.com/document/d/1Nz5ir-YxJQEUDYuUXjB1ozq5pblZWGnt76JCyoQnu78/edit?usp=sharing" TargetMode="External"/><Relationship Id="rId514" Type="http://schemas.openxmlformats.org/officeDocument/2006/relationships/hyperlink" Target="https://docs.google.com/document/d/10ravnxPzzuiLznIjPWEsViPbxUx445d6-myKT2sl62s/edit?usp=sharing" TargetMode="External"/><Relationship Id="rId721" Type="http://schemas.openxmlformats.org/officeDocument/2006/relationships/hyperlink" Target="https://docs.google.com/document/d/174jDdJ0lWcuHp0ukTQj1kBUnCYqOKVPDClGTxtABCtA/edit?usp=sharing" TargetMode="External"/><Relationship Id="rId88" Type="http://schemas.openxmlformats.org/officeDocument/2006/relationships/hyperlink" Target="https://docs.google.com/document/d/1ZJ9Dnd8Yyko0HzE8ybRFGyfYVNvwdh1FvLp7--MTPSQ/edit?usp=sharing" TargetMode="External"/><Relationship Id="rId153" Type="http://schemas.openxmlformats.org/officeDocument/2006/relationships/hyperlink" Target="https://docs.google.com/document/d/1IkXnkMucedrcykibksRUYXCUHFVhwH5vVpMp9_0QZYI/edit?usp=sharing" TargetMode="External"/><Relationship Id="rId360" Type="http://schemas.openxmlformats.org/officeDocument/2006/relationships/hyperlink" Target="https://docs.google.com/document/d/1DL4tU0YMLug2k3lwDqTXBlQW5mw9YiLhIr7pkXk-8k4/edit?usp=sharing" TargetMode="External"/><Relationship Id="rId598" Type="http://schemas.openxmlformats.org/officeDocument/2006/relationships/hyperlink" Target="https://docs.google.com/document/d/18v6hfRBzSDC5W9tAJg3Mw7JIr5Mjd4ZIfyiTR83I9ME/edit?usp=sharing" TargetMode="External"/><Relationship Id="rId819" Type="http://schemas.openxmlformats.org/officeDocument/2006/relationships/hyperlink" Target="https://docs.google.com/document/d/1aXMh9c6-SXLKV9TFv3r_T9Dgm2h15QCBYf-tL0uAmc4/edit?usp=sharing" TargetMode="External"/><Relationship Id="rId220" Type="http://schemas.openxmlformats.org/officeDocument/2006/relationships/hyperlink" Target="https://docs.google.com/document/d/15ewteHvw8PjKCmvlTv1cdSjSq3Ar5b_tz_OUFT0hYoo/edit?usp=sharing" TargetMode="External"/><Relationship Id="rId458" Type="http://schemas.openxmlformats.org/officeDocument/2006/relationships/hyperlink" Target="https://docs.google.com/document/d/1hEzZ1qxn6wrl8ESvXA-_nzbL-Lnrf1nn56yQxhPxPyw/edit?usp=sharing" TargetMode="External"/><Relationship Id="rId665" Type="http://schemas.openxmlformats.org/officeDocument/2006/relationships/hyperlink" Target="https://docs.google.com/document/d/1MbvhKnc3QDd8X22lBjWPBp5uLw29-VXmYJnPDGv2Wiw/edit?usp=sharing" TargetMode="External"/><Relationship Id="rId872" Type="http://schemas.openxmlformats.org/officeDocument/2006/relationships/hyperlink" Target="https://docs.google.com/document/d/1cgwePMcyKnwJLqnQ177GDdXnk3PNBjw5A33zkRa6oEM/edit?usp=sharing" TargetMode="External"/><Relationship Id="rId15" Type="http://schemas.openxmlformats.org/officeDocument/2006/relationships/hyperlink" Target="https://docs.google.com/document/d/1s2MG7o5zBY_AwNenX-SCb7ZC5CUcKvf19-CKCQZB9O8/edit?usp=sharing" TargetMode="External"/><Relationship Id="rId318" Type="http://schemas.openxmlformats.org/officeDocument/2006/relationships/hyperlink" Target="https://docs.google.com/document/d/1m8TFpyFCKjlhJmv1AidHxDucVHagkUGLOOGQDAEOPJU/edit?usp=sharing" TargetMode="External"/><Relationship Id="rId525" Type="http://schemas.openxmlformats.org/officeDocument/2006/relationships/hyperlink" Target="https://docs.google.com/document/d/1SsqVXyIp4mKTMDvx5gDmyXiIGVuhpUhGzJo_FIPndIw/edit?usp=sharing" TargetMode="External"/><Relationship Id="rId732" Type="http://schemas.openxmlformats.org/officeDocument/2006/relationships/hyperlink" Target="https://docs.google.com/document/d/1wZUeJrmnbv6L8tyK569AvrQ4MsSYcGiBTHjNKgoylW4/edit?usp=sharing" TargetMode="External"/><Relationship Id="rId99" Type="http://schemas.openxmlformats.org/officeDocument/2006/relationships/hyperlink" Target="https://docs.google.com/document/d/1XZGszYGgd9wuqdD7crycwQ4aaaVfTq7BQv6HG2Ave7M/edit?usp=sharing" TargetMode="External"/><Relationship Id="rId164" Type="http://schemas.openxmlformats.org/officeDocument/2006/relationships/hyperlink" Target="https://docs.google.com/document/d/1thmrV1Fi8Jtyqv0V5DDFSVGwfR67pdEpGASvYzsaJfY/edit?usp=sharing" TargetMode="External"/><Relationship Id="rId371" Type="http://schemas.openxmlformats.org/officeDocument/2006/relationships/hyperlink" Target="https://docs.google.com/document/d/1A5T7pmiKDNJ4tAhl1ZeozbKpfuhSuDuUy98FxYCnOMg/edit?usp=sharing" TargetMode="External"/><Relationship Id="rId469" Type="http://schemas.openxmlformats.org/officeDocument/2006/relationships/hyperlink" Target="https://docs.google.com/document/d/17EHr7zZH5jYQRpSf8vnPGX05qzd03ZFIPBnNP545CQE/edit?usp=sharing" TargetMode="External"/><Relationship Id="rId676" Type="http://schemas.openxmlformats.org/officeDocument/2006/relationships/hyperlink" Target="https://docs.google.com/document/d/1dAKd-agEUDiWtGL1beOs4xuWsze56pk-yH3KbJQMeyA/edit?usp=sharing" TargetMode="External"/><Relationship Id="rId883" Type="http://schemas.openxmlformats.org/officeDocument/2006/relationships/hyperlink" Target="https://docs.google.com/document/d/1xQCoddW8RJ7A_V3xfTai69RffZpfofQ8H-216FpSJD8/edit?usp=sharing" TargetMode="External"/><Relationship Id="rId26" Type="http://schemas.openxmlformats.org/officeDocument/2006/relationships/hyperlink" Target="https://docs.google.com/document/d/1nONOaESnsuLcSad94QB8YFoVcAbraCIRqkmWqCAna34/edit?usp=sharing" TargetMode="External"/><Relationship Id="rId231" Type="http://schemas.openxmlformats.org/officeDocument/2006/relationships/hyperlink" Target="https://docs.google.com/document/d/1fjeL18Mnlyavf-tbLkPVDWnfOsHUCt7Tuvjn9sBtSvk/edit?usp=sharing" TargetMode="External"/><Relationship Id="rId329" Type="http://schemas.openxmlformats.org/officeDocument/2006/relationships/hyperlink" Target="https://docs.google.com/document/d/1WbKvA_QVIAzvxyMuXZaGCSrKfIf6DVDdbO3DY6foouM/edit?usp=sharing" TargetMode="External"/><Relationship Id="rId536" Type="http://schemas.openxmlformats.org/officeDocument/2006/relationships/hyperlink" Target="https://docs.google.com/document/d/1k8in4BRBNlkzFGRpK0gJgpcpPxUGYFK-mc1nbtQ_Spc/edit?usp=sharing" TargetMode="External"/><Relationship Id="rId175" Type="http://schemas.openxmlformats.org/officeDocument/2006/relationships/hyperlink" Target="https://docs.google.com/document/d/1LBp7t4dPe4jS5hn8VFVzTaHq4dj3e2dQs1qDoqZm5k8/edit?usp=sharing" TargetMode="External"/><Relationship Id="rId743" Type="http://schemas.openxmlformats.org/officeDocument/2006/relationships/hyperlink" Target="https://docs.google.com/document/d/116rKCGmBV2tukCe8E72FCxIHYHMT_Rt3SttglPOTtGk/edit?usp=sharing" TargetMode="External"/><Relationship Id="rId950" Type="http://schemas.openxmlformats.org/officeDocument/2006/relationships/hyperlink" Target="https://docs.google.com/document/d/1iUOopQS3YEB2ZlZmhAD2t7ypwPg4unkcC_8IWm19GUE/edit?usp=sharing" TargetMode="External"/><Relationship Id="rId382" Type="http://schemas.openxmlformats.org/officeDocument/2006/relationships/hyperlink" Target="https://docs.google.com/document/d/1X56C4FGepeDk5RtxPeiogv4nB6mhv8vIq3xmNYl_pRc/edit?usp=drive_link" TargetMode="External"/><Relationship Id="rId603" Type="http://schemas.openxmlformats.org/officeDocument/2006/relationships/hyperlink" Target="https://docs.google.com/document/d/1qi1LWpnH-HIdHCK0y-r3yO7diXCE7c-crdNiJSecd_g/edit?usp=sharing" TargetMode="External"/><Relationship Id="rId687" Type="http://schemas.openxmlformats.org/officeDocument/2006/relationships/hyperlink" Target="https://docs.google.com/document/d/1PKEKgFTU4O2cKNfbuHpdXCVFgKqzzdFy2Dxkv9ePUbU/edit?usp=sharing" TargetMode="External"/><Relationship Id="rId810" Type="http://schemas.openxmlformats.org/officeDocument/2006/relationships/hyperlink" Target="https://docs.google.com/document/d/15xT6WXmyV1Jcs0u-S45itNBIE8FytYz7I2W_1IqAHhk/edit?usp=sharing" TargetMode="External"/><Relationship Id="rId908" Type="http://schemas.openxmlformats.org/officeDocument/2006/relationships/hyperlink" Target="https://docs.google.com/document/d/1GEd3XJjxbONDVNIt0FjDO83w3KgktCiO5jnpp44ZypU/edit?usp=sharing" TargetMode="External"/><Relationship Id="rId242" Type="http://schemas.openxmlformats.org/officeDocument/2006/relationships/hyperlink" Target="https://docs.google.com/document/d/1cWjFaeoq84BZWBcz2SHeBlmIUzhn4-w5KI75bVH0DCQ/edit?usp=sharing" TargetMode="External"/><Relationship Id="rId894" Type="http://schemas.openxmlformats.org/officeDocument/2006/relationships/hyperlink" Target="https://docs.google.com/document/d/1x2d-60KFd4Y6VJAziPjihUbirC_j7tRJYPpa94lEp-g/edit?usp=sharing" TargetMode="External"/><Relationship Id="rId37" Type="http://schemas.openxmlformats.org/officeDocument/2006/relationships/hyperlink" Target="https://docs.google.com/document/d/1fyWJXGgGSNpj_NsuyjKqxsdXr7f2BG_b7kdckX4V694/edit?usp=sharing" TargetMode="External"/><Relationship Id="rId102" Type="http://schemas.openxmlformats.org/officeDocument/2006/relationships/hyperlink" Target="https://docs.google.com/document/d/11fPrzz4B0ojqNt5wz6A0ZaWC14a_Uj60CJ9_0t3IuXk/edit?usp=sharing" TargetMode="External"/><Relationship Id="rId547" Type="http://schemas.openxmlformats.org/officeDocument/2006/relationships/hyperlink" Target="https://docs.google.com/document/d/1HxphKKBP3Tk7uqtHHdHX7YKHu4xeyyYTWfX805okqbs/edit?usp=sharing" TargetMode="External"/><Relationship Id="rId754" Type="http://schemas.openxmlformats.org/officeDocument/2006/relationships/hyperlink" Target="https://docs.google.com/document/d/1Bk1r-AmVLSH6gxF65823l-Xakaeta3G8oI2IAcK9xtM/edit?usp=sharing" TargetMode="External"/><Relationship Id="rId961" Type="http://schemas.openxmlformats.org/officeDocument/2006/relationships/hyperlink" Target="https://docs.google.com/document/d/1Vkceg1_U3S6beU64eL4bT6cMxqNCdP-KwStgGzVflSU/edit?usp=sharing" TargetMode="External"/><Relationship Id="rId90" Type="http://schemas.openxmlformats.org/officeDocument/2006/relationships/hyperlink" Target="https://docs.google.com/document/d/1h13U_dQov3ZW29Zr4diuTY3xyBpcTExEmR5CXVh51JE/edit?usp=sharing" TargetMode="External"/><Relationship Id="rId186" Type="http://schemas.openxmlformats.org/officeDocument/2006/relationships/hyperlink" Target="https://docs.google.com/document/d/1M9eIZ-f71M3vVVXBrW0YSZRSHYKTL52Xbj5nv8trVtE/edit?usp=sharing" TargetMode="External"/><Relationship Id="rId393" Type="http://schemas.openxmlformats.org/officeDocument/2006/relationships/hyperlink" Target="https://docs.google.com/document/d/16i8hka2kG4ncag6w_0UMBCGjgpQtG5sCxXB1h9hLMus/edit?usp=drive_link" TargetMode="External"/><Relationship Id="rId407" Type="http://schemas.openxmlformats.org/officeDocument/2006/relationships/hyperlink" Target="https://docs.google.com/document/d/1zeQte3A_FuqCfWj1HGFqIVnRj64QzD5fIw7hxM-7TQo/edit?usp=sharing" TargetMode="External"/><Relationship Id="rId614" Type="http://schemas.openxmlformats.org/officeDocument/2006/relationships/hyperlink" Target="https://docs.google.com/document/d/14g-o5PSDFR6p2IS3VUHdfCuKnoCMJmQCJyMh3JhanKU/edit?usp=sharing" TargetMode="External"/><Relationship Id="rId821" Type="http://schemas.openxmlformats.org/officeDocument/2006/relationships/hyperlink" Target="https://docs.google.com/document/d/1mSt9SNliaxhWgZsVTZ55LdMi-2eT74QcInBHorbOXKE/edit?usp=sharing" TargetMode="External"/><Relationship Id="rId253" Type="http://schemas.openxmlformats.org/officeDocument/2006/relationships/hyperlink" Target="https://docs.google.com/document/d/1Olclnnr6ozRGerOoLpSS9VoQDVzrOxTGAyIhkVLRkJ0/edit?usp=sharing" TargetMode="External"/><Relationship Id="rId460" Type="http://schemas.openxmlformats.org/officeDocument/2006/relationships/hyperlink" Target="https://docs.google.com/document/d/1Aiekyka6r2k3QmLVfh-kmdTifqH3JFGweSk066ICYH0/edit?usp=sharing" TargetMode="External"/><Relationship Id="rId698" Type="http://schemas.openxmlformats.org/officeDocument/2006/relationships/hyperlink" Target="https://docs.google.com/document/d/1UEoe9D14re1I47O6g4i66UnKivc0k3JTBAb1XLIWY4E/edit?usp=sharing" TargetMode="External"/><Relationship Id="rId919" Type="http://schemas.openxmlformats.org/officeDocument/2006/relationships/hyperlink" Target="https://docs.google.com/document/d/1fEOCMsao3V8tjKXN9vAO5sZL3nVwgFFU0virnJwhmKY/edit?usp=sharing" TargetMode="External"/><Relationship Id="rId48" Type="http://schemas.openxmlformats.org/officeDocument/2006/relationships/hyperlink" Target="https://docs.google.com/document/d/1yXhZvMiDo8BVgkeoJoxLDveyQrhioz72f2Q8I2EDQ1w/edit?usp=sharing" TargetMode="External"/><Relationship Id="rId113" Type="http://schemas.openxmlformats.org/officeDocument/2006/relationships/hyperlink" Target="https://docs.google.com/document/d/1VU0B3D7DsI5A6PUzHEfeNLwfrbw9qtvBJ9SmtiBqyzM/edit?usp=sharing" TargetMode="External"/><Relationship Id="rId320" Type="http://schemas.openxmlformats.org/officeDocument/2006/relationships/hyperlink" Target="https://docs.google.com/document/d/1r6bcuYcZPu42GtgWlNQJ4SgrifhvjjVXpY-11_J5yVw/edit?usp=sharing" TargetMode="External"/><Relationship Id="rId558" Type="http://schemas.openxmlformats.org/officeDocument/2006/relationships/hyperlink" Target="https://docs.google.com/document/d/1cxXBgF72tJfTNnDXV9B8fx-uW1lSCaZjwOpD8iKWS_Y/edit?usp=sharing" TargetMode="External"/><Relationship Id="rId765" Type="http://schemas.openxmlformats.org/officeDocument/2006/relationships/hyperlink" Target="https://docs.google.com/document/d/1ayZ5wUei1_R5vB5sM57lmHJs4sxv33JH9k8YLxwEYmM/edit?usp=sharing" TargetMode="External"/><Relationship Id="rId972" Type="http://schemas.openxmlformats.org/officeDocument/2006/relationships/hyperlink" Target="https://docs.google.com/document/d/10TIvkxgb6gsVE2e9ob6XBg_hwoLs1l0RV2MPUGIClr8/edit?usp=sharing" TargetMode="External"/><Relationship Id="rId197" Type="http://schemas.openxmlformats.org/officeDocument/2006/relationships/hyperlink" Target="https://docs.google.com/document/d/1lDVGfAleczHeN9OLqGyF2xCO9wbVe5Ek7EPveNukQwY/edit?usp=sharing" TargetMode="External"/><Relationship Id="rId418" Type="http://schemas.openxmlformats.org/officeDocument/2006/relationships/hyperlink" Target="https://docs.google.com/document/d/1AJnGTerWLPwuIMPDQFk-1lAmc2fLWyvjLOrB3xE82Ro/edit?usp=sharing" TargetMode="External"/><Relationship Id="rId625" Type="http://schemas.openxmlformats.org/officeDocument/2006/relationships/hyperlink" Target="https://docs.google.com/document/d/1DiWC2JSzPpbDgXjop4J7i4mPWwMB5fwr8sE363hEImM/edit?usp=sharing" TargetMode="External"/><Relationship Id="rId832" Type="http://schemas.openxmlformats.org/officeDocument/2006/relationships/hyperlink" Target="https://docs.google.com/document/d/1XOwHb1Vs9iGySFHwQUXMWDLpjYpzMOHsdxhDxPP9woQ/edit?usp=sharing" TargetMode="External"/><Relationship Id="rId264" Type="http://schemas.openxmlformats.org/officeDocument/2006/relationships/hyperlink" Target="https://docs.google.com/document/d/1QYO5u9is5ABH2CmXri6zKbuM8K8u-51phNxLVt2Z4rU/edit?usp=sharing" TargetMode="External"/><Relationship Id="rId471" Type="http://schemas.openxmlformats.org/officeDocument/2006/relationships/hyperlink" Target="https://docs.google.com/document/d/1v0zW_J3zzJwmEmnhaJAoGyyi8UpomCJ0Hsfo4xND0rA/edit?usp=sharing" TargetMode="External"/><Relationship Id="rId59" Type="http://schemas.openxmlformats.org/officeDocument/2006/relationships/hyperlink" Target="https://docs.google.com/document/d/18zaJC8VaEjHVVmn2UtfxMfIAsPPTwUnblWysML-aRM8/edit?usp=sharing" TargetMode="External"/><Relationship Id="rId124" Type="http://schemas.openxmlformats.org/officeDocument/2006/relationships/hyperlink" Target="https://docs.google.com/document/d/1cwk-DySHteCY5rjMBgai2FslLTtwfb8EOciHUxFCZIw/edit?usp=sharing" TargetMode="External"/><Relationship Id="rId569" Type="http://schemas.openxmlformats.org/officeDocument/2006/relationships/hyperlink" Target="https://docs.google.com/document/d/146L1BBlsC9oy5ZZp20n7TjjCNWI87SFwum5bN2B-SAY/edit?usp=sharing" TargetMode="External"/><Relationship Id="rId776" Type="http://schemas.openxmlformats.org/officeDocument/2006/relationships/hyperlink" Target="https://docs.google.com/document/d/1kz8rSURmAT4xNAgNtsOQ1UaILavxNn6cKQ1_Vl20pIk/edit?usp=sharing" TargetMode="External"/><Relationship Id="rId983" Type="http://schemas.openxmlformats.org/officeDocument/2006/relationships/hyperlink" Target="https://docs.google.com/document/d/12sO88IF7hwVqmOcv0IpR5ryc-_TF9D-cbqNKvllGfeY/edit?usp=sharing" TargetMode="External"/><Relationship Id="rId331" Type="http://schemas.openxmlformats.org/officeDocument/2006/relationships/hyperlink" Target="https://docs.google.com/document/d/1ftom-HYAWl8RD3Nh0XceOTFRsvbQMiVw59iYXX4nYMA/edit?usp=sharing" TargetMode="External"/><Relationship Id="rId429" Type="http://schemas.openxmlformats.org/officeDocument/2006/relationships/hyperlink" Target="https://docs.google.com/document/d/1F93cL73tqXkB8UZjWi7UXhs7BciJC0dGXM__LirWfGY/edit?usp=sharing" TargetMode="External"/><Relationship Id="rId636" Type="http://schemas.openxmlformats.org/officeDocument/2006/relationships/hyperlink" Target="https://docs.google.com/document/d/1RKwZ269BnW3yAr4lnWCw3-wiFAJNLGfIwl8SdDAquxs/edit?usp=sharing" TargetMode="External"/><Relationship Id="rId843" Type="http://schemas.openxmlformats.org/officeDocument/2006/relationships/hyperlink" Target="https://docs.google.com/document/d/13OXn10lLdwYkuejQ_5SyBrWq9BRjSiCIOREz0EYru-w/edit?usp=sharing" TargetMode="External"/><Relationship Id="rId275" Type="http://schemas.openxmlformats.org/officeDocument/2006/relationships/hyperlink" Target="https://docs.google.com/document/d/11zoJ7vUDhcVKbwQdKSprOpsBtqea7g4qSYWXxoT7YcA/edit?usp=sharing" TargetMode="External"/><Relationship Id="rId482" Type="http://schemas.openxmlformats.org/officeDocument/2006/relationships/hyperlink" Target="https://docs.google.com/document/d/1CBzmyoxgkb4b9z2xR1j-R6Ye_1uUUolAk_7CGVGHtME/edit?usp=sharing" TargetMode="External"/><Relationship Id="rId703" Type="http://schemas.openxmlformats.org/officeDocument/2006/relationships/hyperlink" Target="https://docs.google.com/document/d/1Md3e8TxwWwSgQi1nfLBH_C7PEddtbpHtoMw39wsin_E/edit?usp=sharing" TargetMode="External"/><Relationship Id="rId910" Type="http://schemas.openxmlformats.org/officeDocument/2006/relationships/hyperlink" Target="https://docs.google.com/document/d/1fDicVvhiRdrtCsOPkRe-ZHSzZFZsoA6l1Y3m_nXlk4Y/edit?usp=sharing" TargetMode="External"/><Relationship Id="rId135" Type="http://schemas.openxmlformats.org/officeDocument/2006/relationships/hyperlink" Target="https://docs.google.com/document/d/14magOjbIq7jaIzx78GRzqiOBcbLTlYbt44gOBfohwT0/edit?usp=sharing" TargetMode="External"/><Relationship Id="rId342" Type="http://schemas.openxmlformats.org/officeDocument/2006/relationships/hyperlink" Target="https://docs.google.com/document/d/1ldoaAfPQNwcjP6D6-sHZzO75Xz3zybucer4tGlsqhSg/edit?usp=drive_link" TargetMode="External"/><Relationship Id="rId787" Type="http://schemas.openxmlformats.org/officeDocument/2006/relationships/hyperlink" Target="https://docs.google.com/document/d/1IF6cmBso1iovteWcjKBK_4Zzpd1gu1EWXTogRLdLpvk/edit?usp=sharing" TargetMode="External"/><Relationship Id="rId994" Type="http://schemas.openxmlformats.org/officeDocument/2006/relationships/hyperlink" Target="https://docs.google.com/document/d/1LrcvU8riWwz-FmsTYced6rdJj1ktmtQS0CHcAo0-MMo/edit?usp=sharing" TargetMode="External"/><Relationship Id="rId202" Type="http://schemas.openxmlformats.org/officeDocument/2006/relationships/hyperlink" Target="https://docs.google.com/document/d/10xCrJ6htmI8hnr4tVnjNSEMQ5-QVSHc2aTDNuB0PDag/edit?usp=sharing" TargetMode="External"/><Relationship Id="rId647" Type="http://schemas.openxmlformats.org/officeDocument/2006/relationships/hyperlink" Target="https://docs.google.com/document/d/1B6kIm5TFc_8JZPBYFNRjreRoDROs4FEnEC2gOl16D3c/edit?usp=sharing" TargetMode="External"/><Relationship Id="rId854" Type="http://schemas.openxmlformats.org/officeDocument/2006/relationships/hyperlink" Target="https://docs.google.com/document/d/1LLAbrDMXUMoCZRZmHM5Ya7gMoGnKx96N2Q-SFNAIfpA/edit?usp=sharing" TargetMode="External"/><Relationship Id="rId286" Type="http://schemas.openxmlformats.org/officeDocument/2006/relationships/hyperlink" Target="https://docs.google.com/document/d/19Yb9gtis-Dj38WAz2pq0KOZLvByzqgXx_Gy7xxfFruY/edit?usp=sharing" TargetMode="External"/><Relationship Id="rId493" Type="http://schemas.openxmlformats.org/officeDocument/2006/relationships/hyperlink" Target="https://docs.google.com/document/d/1cmldBWWid_RY1bB_jB03BLit3lPPG7igNbDDfey-nrc/edit?usp=sharing" TargetMode="External"/><Relationship Id="rId507" Type="http://schemas.openxmlformats.org/officeDocument/2006/relationships/hyperlink" Target="https://docs.google.com/document/d/1Yu7FxqGuVSLkaEDla6-7eyx9pnnqTiHPwUHp52PUwZQ/edit?usp=sharing" TargetMode="External"/><Relationship Id="rId714" Type="http://schemas.openxmlformats.org/officeDocument/2006/relationships/hyperlink" Target="https://docs.google.com/document/d/1n6RbfYCAyQZyW-w9-XyhohQrWz419XtWL3BpTV8SRi8/edit?usp=sharing" TargetMode="External"/><Relationship Id="rId921" Type="http://schemas.openxmlformats.org/officeDocument/2006/relationships/hyperlink" Target="https://docs.google.com/document/d/15LuS50RfYyrBu7biT4MN4Hci4ylnyrRWVi_0CPJDCqE/edit?usp=sharing" TargetMode="External"/><Relationship Id="rId50" Type="http://schemas.openxmlformats.org/officeDocument/2006/relationships/hyperlink" Target="https://docs.google.com/document/d/1oQ73WqTAcKpMTmTFQeI6hlKOl6IyuK7egpf6pZcJj_k/edit?usp=sharing" TargetMode="External"/><Relationship Id="rId146" Type="http://schemas.openxmlformats.org/officeDocument/2006/relationships/hyperlink" Target="https://docs.google.com/document/d/1I94k35MMEDvXUXrgicJ12Sfj4pn7rSi-A5fERqkX-5o/edit?usp=sharing" TargetMode="External"/><Relationship Id="rId353" Type="http://schemas.openxmlformats.org/officeDocument/2006/relationships/hyperlink" Target="https://docs.google.com/document/d/1JjDAtmYpc0XjNH4RrojDjryO4KjhPfICWzp89WfvXcc/edit?usp=drive_link" TargetMode="External"/><Relationship Id="rId560" Type="http://schemas.openxmlformats.org/officeDocument/2006/relationships/hyperlink" Target="https://docs.google.com/document/d/1z9l_4tCFeK1mfb6ggIBnGrZn2urv6CK0EpvIIZFUweA/edit?usp=sharing" TargetMode="External"/><Relationship Id="rId798" Type="http://schemas.openxmlformats.org/officeDocument/2006/relationships/hyperlink" Target="https://docs.google.com/document/d/16HnB7zdMP6h9pBYWY1ci478MXiVzgC2EyUiQVGZkLPE/edit?usp=sharing" TargetMode="External"/><Relationship Id="rId213" Type="http://schemas.openxmlformats.org/officeDocument/2006/relationships/hyperlink" Target="https://docs.google.com/document/d/1LhhXV7nYlnDV2-g8ACJOU-Qzsz9Z-ZtM5l1_SoRvMvw/edit?usp=sharing" TargetMode="External"/><Relationship Id="rId420" Type="http://schemas.openxmlformats.org/officeDocument/2006/relationships/hyperlink" Target="https://docs.google.com/document/d/15YQCkZ2egbOYp-3Dg7HslpPkD1kg0vfze-4eAKCjeLo/edit?usp=sharing" TargetMode="External"/><Relationship Id="rId658" Type="http://schemas.openxmlformats.org/officeDocument/2006/relationships/hyperlink" Target="https://docs.google.com/document/d/1fZ4AdbrxVx9CeabldjqmmPbeTddB-QaHZx0nCEDjUGo/edit?usp=sharing" TargetMode="External"/><Relationship Id="rId865" Type="http://schemas.openxmlformats.org/officeDocument/2006/relationships/hyperlink" Target="https://docs.google.com/document/d/1e3Cd58HRk3LsNpr-m2fwXbb2AAmstHHvStpUL_b_xQc/edit?usp=sharing" TargetMode="External"/><Relationship Id="rId297" Type="http://schemas.openxmlformats.org/officeDocument/2006/relationships/hyperlink" Target="https://docs.google.com/document/d/1Dicjh9xW2EH5PdP5edpuW-aZ_fdM8RWyT2OcaSGJFTQ/edit?usp=sharing" TargetMode="External"/><Relationship Id="rId518" Type="http://schemas.openxmlformats.org/officeDocument/2006/relationships/hyperlink" Target="https://docs.google.com/document/d/1gb9Jw_HugRO5IeEENaF6LEJK1RcqB198vdrhWMMd9f0/edit?usp=sharing" TargetMode="External"/><Relationship Id="rId725" Type="http://schemas.openxmlformats.org/officeDocument/2006/relationships/hyperlink" Target="https://docs.google.com/document/d/1xKnTxiL97xaq0GhSZySQ8EEM-8trLYyL7qc9n0U1bIc/edit?usp=sharing" TargetMode="External"/><Relationship Id="rId932" Type="http://schemas.openxmlformats.org/officeDocument/2006/relationships/hyperlink" Target="https://docs.google.com/document/d/1Mjhfadqh8UkMjv44KpscIQ_rMFaeeqc-U8ljmlTvLds/edit?usp=sharing" TargetMode="External"/><Relationship Id="rId157" Type="http://schemas.openxmlformats.org/officeDocument/2006/relationships/hyperlink" Target="https://docs.google.com/document/d/10vFiV5DXp8WbyENbbdsRDvxK82pqeTdnXFCwnpbIG9c/edit?usp=sharing" TargetMode="External"/><Relationship Id="rId364" Type="http://schemas.openxmlformats.org/officeDocument/2006/relationships/hyperlink" Target="https://docs.google.com/document/d/1xkvYZuk1yHvB2NDOLPS5HsZowa_gwEfntbDidgRy-jU/edit?usp=sharing" TargetMode="External"/><Relationship Id="rId61" Type="http://schemas.openxmlformats.org/officeDocument/2006/relationships/hyperlink" Target="https://docs.google.com/document/d/10Lr2JOQrVeTTuIWwytnJ3-gsPFmoR2ZxTVoshntnypo/edit?usp=sharing" TargetMode="External"/><Relationship Id="rId571" Type="http://schemas.openxmlformats.org/officeDocument/2006/relationships/hyperlink" Target="https://docs.google.com/document/d/1ZhwSgJgzqImJ0EWcPZS70Lt1uD42VgkxhTHU4jmV8Ao/edit?usp=sharing" TargetMode="External"/><Relationship Id="rId669" Type="http://schemas.openxmlformats.org/officeDocument/2006/relationships/hyperlink" Target="https://docs.google.com/document/d/1yRO46IbTNI9tBh49-2BK7dsaR3PzJl8U0dBNPnk9PN4/edit?usp=sharing" TargetMode="External"/><Relationship Id="rId876" Type="http://schemas.openxmlformats.org/officeDocument/2006/relationships/hyperlink" Target="https://docs.google.com/document/d/11lA8BBvlB1D8CtEcQEBFk1_Jz-fKGNlaBP7fkgJ-Lsw/edit?usp=sharing" TargetMode="External"/><Relationship Id="rId19" Type="http://schemas.openxmlformats.org/officeDocument/2006/relationships/hyperlink" Target="https://docs.google.com/document/d/1oCQH_EmCfiU9RKjHUkyeTwOudgroERAtPklxY-F0qwE/edit?usp=sharing" TargetMode="External"/><Relationship Id="rId224" Type="http://schemas.openxmlformats.org/officeDocument/2006/relationships/hyperlink" Target="https://docs.google.com/document/d/1RIoZtZtzwp04NayFqK2xmb2D4d0ApZsvLOOZmKy9PXI/edit?usp=sharing" TargetMode="External"/><Relationship Id="rId431" Type="http://schemas.openxmlformats.org/officeDocument/2006/relationships/hyperlink" Target="https://docs.google.com/document/d/1Mij5wjbRUkmsTHomU3MNQKkbnN2Qj05t76X6tKOBCds/edit?usp=sharing" TargetMode="External"/><Relationship Id="rId529" Type="http://schemas.openxmlformats.org/officeDocument/2006/relationships/hyperlink" Target="https://docs.google.com/document/d/1sSkZx_ymEpZYH9POqivl4j62oZG0fBckJLVx5g_wxxc/edit?usp=sharing" TargetMode="External"/><Relationship Id="rId736" Type="http://schemas.openxmlformats.org/officeDocument/2006/relationships/hyperlink" Target="https://docs.google.com/document/d/1BJCFJTwaqCg8j-MqEC6UPMsDTLSZiSxE66X4vj1a7j8/edit?usp=sharing" TargetMode="External"/><Relationship Id="rId168" Type="http://schemas.openxmlformats.org/officeDocument/2006/relationships/hyperlink" Target="https://docs.google.com/document/d/1aonMJOYwPKosLLM1wZbllFWz1MrnA8ZhGRbubijaTFI/edit?usp=sharing" TargetMode="External"/><Relationship Id="rId943" Type="http://schemas.openxmlformats.org/officeDocument/2006/relationships/hyperlink" Target="https://docs.google.com/document/d/14VngmtdGwmyjs5yU-wStQkOOvSy35eP3lkA58LNxjfg/edit?usp=sharing" TargetMode="External"/><Relationship Id="rId72" Type="http://schemas.openxmlformats.org/officeDocument/2006/relationships/hyperlink" Target="https://docs.google.com/document/d/1zNN7338bPVWFVAykk3XNkeQ3xKt5q_9utp4OtOPseRs/edit?usp=sharing" TargetMode="External"/><Relationship Id="rId375" Type="http://schemas.openxmlformats.org/officeDocument/2006/relationships/hyperlink" Target="https://docs.google.com/document/d/1vJqUx0hWbMzYA-YhQTku4VQuZV6--J2B59nzlT7E7co/edit?usp=sharing" TargetMode="External"/><Relationship Id="rId582" Type="http://schemas.openxmlformats.org/officeDocument/2006/relationships/hyperlink" Target="https://docs.google.com/document/d/1DFQStu34jBD97K0GPiflaVdLIKljnw2mRXvQvlAb_uo/edit?usp=sharing" TargetMode="External"/><Relationship Id="rId803" Type="http://schemas.openxmlformats.org/officeDocument/2006/relationships/hyperlink" Target="https://docs.google.com/document/d/1BTguNU6-rXT5xDQsXd8yI8mj4Z1e4Nx3cJUztQLQMh0/edit?usp=sharing" TargetMode="External"/><Relationship Id="rId3" Type="http://schemas.openxmlformats.org/officeDocument/2006/relationships/hyperlink" Target="https://docs.google.com/document/d/19cFD-fnPLrKzzw0B-t8PmBH1wRXgWEsuclE3K3zjdBA/edit?usp=sharing" TargetMode="External"/><Relationship Id="rId235" Type="http://schemas.openxmlformats.org/officeDocument/2006/relationships/hyperlink" Target="https://docs.google.com/document/d/15TUkw5GIjG7MKKDCWku1jQVr--LDc9MllWZ2BnVN4Co/edit?usp=sharing" TargetMode="External"/><Relationship Id="rId442" Type="http://schemas.openxmlformats.org/officeDocument/2006/relationships/hyperlink" Target="https://docs.google.com/document/d/17FYBf09zDt52mAX3gcf2ePdklmInpYFQFFQxZG9_r98/edit?usp=sharing" TargetMode="External"/><Relationship Id="rId887" Type="http://schemas.openxmlformats.org/officeDocument/2006/relationships/hyperlink" Target="https://docs.google.com/document/d/1expXKiqiYmnKnrmt7fpP5kIGAx9g7YqzBoYZxWpA4K8/edit?usp=sharing" TargetMode="External"/><Relationship Id="rId302" Type="http://schemas.openxmlformats.org/officeDocument/2006/relationships/hyperlink" Target="https://docs.google.com/document/d/1QxzM_TUwewU0MXG3BAJWNf1KepxWENGH-MOiHoavNt8/edit?usp=sharing" TargetMode="External"/><Relationship Id="rId747" Type="http://schemas.openxmlformats.org/officeDocument/2006/relationships/hyperlink" Target="https://docs.google.com/document/d/1CkgZCW4dH0CsmjJQbIyDyij9VOXkekq8GYEQ0dRoVHQ/edit?usp=sharing" TargetMode="External"/><Relationship Id="rId954" Type="http://schemas.openxmlformats.org/officeDocument/2006/relationships/hyperlink" Target="https://docs.google.com/document/d/1BpzoWfy3XIXFr2InZRGXHetF70V9QmDgDhRtgtfzmG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2"/>
  <sheetViews>
    <sheetView tabSelected="1" topLeftCell="S1" workbookViewId="0">
      <selection activeCell="T1" sqref="T1"/>
    </sheetView>
  </sheetViews>
  <sheetFormatPr defaultColWidth="12.5703125" defaultRowHeight="15.75" customHeight="1"/>
  <cols>
    <col min="1" max="1" width="20.28515625" customWidth="1"/>
    <col min="2" max="2" width="16.5703125" customWidth="1"/>
    <col min="3" max="3" width="24.42578125" customWidth="1"/>
    <col min="4" max="4" width="11.140625" customWidth="1"/>
    <col min="5" max="5" width="22.85546875" customWidth="1"/>
    <col min="6" max="6" width="21.42578125" customWidth="1"/>
    <col min="7" max="7" width="56.28515625" customWidth="1"/>
    <col min="8" max="8" width="55.42578125" customWidth="1"/>
    <col min="9" max="9" width="60.85546875" style="93" customWidth="1"/>
    <col min="10" max="10" width="61.5703125" customWidth="1"/>
    <col min="11" max="11" width="68.140625" style="93" customWidth="1"/>
    <col min="12" max="12" width="47.85546875" style="93" customWidth="1"/>
    <col min="13" max="13" width="44.5703125" style="93" customWidth="1"/>
    <col min="14" max="14" width="71" style="93" customWidth="1"/>
    <col min="15" max="15" width="41.5703125" style="93" customWidth="1"/>
    <col min="16" max="16" width="45.28515625" style="93" customWidth="1"/>
    <col min="17" max="17" width="44.85546875" customWidth="1"/>
    <col min="18" max="18" width="49.42578125" customWidth="1"/>
    <col min="19" max="19" width="40.42578125" customWidth="1"/>
    <col min="20" max="21" width="58" customWidth="1"/>
    <col min="22" max="22" width="104.7109375" customWidth="1"/>
    <col min="23" max="23" width="38.28515625" customWidth="1"/>
  </cols>
  <sheetData>
    <row r="1" spans="1:23" ht="12.75">
      <c r="A1" t="s">
        <v>0</v>
      </c>
      <c r="B1" t="s">
        <v>1</v>
      </c>
      <c r="C1" t="s">
        <v>594</v>
      </c>
      <c r="D1" t="s">
        <v>595</v>
      </c>
      <c r="E1" s="95" t="s">
        <v>1604</v>
      </c>
      <c r="F1" s="95" t="s">
        <v>1605</v>
      </c>
      <c r="G1" s="95" t="s">
        <v>593</v>
      </c>
      <c r="H1" s="95" t="s">
        <v>596</v>
      </c>
      <c r="I1" s="95" t="s">
        <v>597</v>
      </c>
      <c r="J1" s="95" t="s">
        <v>598</v>
      </c>
      <c r="K1" s="95" t="s">
        <v>599</v>
      </c>
      <c r="L1" s="95" t="s">
        <v>600</v>
      </c>
      <c r="M1" s="95" t="s">
        <v>601</v>
      </c>
      <c r="N1" s="95" t="s">
        <v>602</v>
      </c>
      <c r="O1" s="95" t="s">
        <v>1606</v>
      </c>
      <c r="P1" s="95" t="s">
        <v>603</v>
      </c>
      <c r="Q1" s="95" t="s">
        <v>604</v>
      </c>
      <c r="R1" s="95" t="s">
        <v>605</v>
      </c>
      <c r="S1" s="95" t="s">
        <v>606</v>
      </c>
      <c r="T1" s="95" t="s">
        <v>1607</v>
      </c>
      <c r="U1" s="95" t="s">
        <v>607</v>
      </c>
      <c r="V1" s="95" t="s">
        <v>2</v>
      </c>
      <c r="W1" s="95" t="s">
        <v>608</v>
      </c>
    </row>
    <row r="2" spans="1:23" ht="22.5" customHeight="1">
      <c r="A2" s="1">
        <v>45803.684791666667</v>
      </c>
      <c r="C2" t="s">
        <v>3</v>
      </c>
      <c r="D2">
        <v>59</v>
      </c>
      <c r="E2">
        <v>178</v>
      </c>
      <c r="F2">
        <v>72</v>
      </c>
      <c r="G2">
        <v>2.5</v>
      </c>
      <c r="H2" t="s">
        <v>590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15</v>
      </c>
      <c r="U2" t="s">
        <v>5</v>
      </c>
      <c r="V2" s="2" t="s">
        <v>609</v>
      </c>
      <c r="W2" t="s">
        <v>16</v>
      </c>
    </row>
    <row r="3" spans="1:23" ht="21.75" customHeight="1">
      <c r="A3" s="1">
        <v>45686.693819444445</v>
      </c>
      <c r="C3" t="s">
        <v>17</v>
      </c>
      <c r="D3">
        <v>20</v>
      </c>
      <c r="E3">
        <v>183</v>
      </c>
      <c r="F3">
        <v>74</v>
      </c>
      <c r="G3">
        <v>2.5</v>
      </c>
      <c r="H3" t="s">
        <v>591</v>
      </c>
      <c r="I3" t="s">
        <v>5</v>
      </c>
      <c r="J3" t="s">
        <v>6</v>
      </c>
      <c r="K3" t="s">
        <v>19</v>
      </c>
      <c r="L3" t="s">
        <v>20</v>
      </c>
      <c r="M3" t="s">
        <v>21</v>
      </c>
      <c r="N3" t="s">
        <v>8</v>
      </c>
      <c r="O3" t="s">
        <v>22</v>
      </c>
      <c r="P3" t="s">
        <v>10</v>
      </c>
      <c r="Q3" t="s">
        <v>23</v>
      </c>
      <c r="R3" t="s">
        <v>14</v>
      </c>
      <c r="S3" t="s">
        <v>24</v>
      </c>
      <c r="T3" t="s">
        <v>25</v>
      </c>
      <c r="U3" t="s">
        <v>5</v>
      </c>
      <c r="V3" s="3" t="s">
        <v>610</v>
      </c>
      <c r="W3" t="s">
        <v>26</v>
      </c>
    </row>
    <row r="4" spans="1:23" ht="21" customHeight="1">
      <c r="A4" s="1">
        <v>45799.427129629628</v>
      </c>
      <c r="C4" t="s">
        <v>27</v>
      </c>
      <c r="D4">
        <v>29</v>
      </c>
      <c r="E4">
        <v>189</v>
      </c>
      <c r="F4">
        <v>96</v>
      </c>
      <c r="G4">
        <v>1.5</v>
      </c>
      <c r="H4" t="s">
        <v>28</v>
      </c>
      <c r="I4" t="s">
        <v>29</v>
      </c>
      <c r="J4" t="s">
        <v>6</v>
      </c>
      <c r="K4" t="s">
        <v>30</v>
      </c>
      <c r="L4" t="s">
        <v>31</v>
      </c>
      <c r="M4" t="s">
        <v>21</v>
      </c>
      <c r="N4" t="s">
        <v>10</v>
      </c>
      <c r="O4" t="s">
        <v>10</v>
      </c>
      <c r="P4" t="s">
        <v>12</v>
      </c>
      <c r="Q4" t="s">
        <v>32</v>
      </c>
      <c r="R4" t="s">
        <v>33</v>
      </c>
      <c r="S4" t="s">
        <v>24</v>
      </c>
      <c r="T4" t="s">
        <v>15</v>
      </c>
      <c r="U4" t="s">
        <v>29</v>
      </c>
      <c r="V4" s="3" t="s">
        <v>611</v>
      </c>
      <c r="W4" t="s">
        <v>34</v>
      </c>
    </row>
    <row r="5" spans="1:23" ht="20.25" customHeight="1">
      <c r="A5" s="1">
        <v>45782.636840277781</v>
      </c>
      <c r="C5" t="s">
        <v>35</v>
      </c>
      <c r="D5">
        <v>30</v>
      </c>
      <c r="E5">
        <v>166</v>
      </c>
      <c r="F5">
        <v>93</v>
      </c>
      <c r="G5">
        <v>2</v>
      </c>
      <c r="H5" t="s">
        <v>590</v>
      </c>
      <c r="I5" t="s">
        <v>5</v>
      </c>
      <c r="J5" t="s">
        <v>36</v>
      </c>
      <c r="K5" t="s">
        <v>37</v>
      </c>
      <c r="L5" t="s">
        <v>12</v>
      </c>
      <c r="M5" t="s">
        <v>38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25</v>
      </c>
      <c r="T5" t="s">
        <v>24</v>
      </c>
      <c r="U5" t="s">
        <v>29</v>
      </c>
      <c r="V5" s="3" t="s">
        <v>612</v>
      </c>
      <c r="W5" t="s">
        <v>39</v>
      </c>
    </row>
    <row r="6" spans="1:23" ht="21.75" customHeight="1">
      <c r="A6" s="1">
        <v>45722.394907407404</v>
      </c>
      <c r="C6" t="s">
        <v>17</v>
      </c>
      <c r="D6">
        <v>53</v>
      </c>
      <c r="E6">
        <v>176</v>
      </c>
      <c r="F6">
        <v>81</v>
      </c>
      <c r="G6">
        <v>1.5</v>
      </c>
      <c r="H6" t="s">
        <v>28</v>
      </c>
      <c r="I6" t="s">
        <v>29</v>
      </c>
      <c r="J6" t="s">
        <v>36</v>
      </c>
      <c r="K6" t="s">
        <v>19</v>
      </c>
      <c r="L6" t="s">
        <v>12</v>
      </c>
      <c r="M6" t="s">
        <v>9</v>
      </c>
      <c r="N6" t="s">
        <v>40</v>
      </c>
      <c r="O6" t="s">
        <v>22</v>
      </c>
      <c r="P6" t="s">
        <v>40</v>
      </c>
      <c r="Q6" t="s">
        <v>13</v>
      </c>
      <c r="R6" t="s">
        <v>33</v>
      </c>
      <c r="S6" t="s">
        <v>15</v>
      </c>
      <c r="T6" t="s">
        <v>25</v>
      </c>
      <c r="U6" t="s">
        <v>29</v>
      </c>
      <c r="V6" s="3" t="s">
        <v>613</v>
      </c>
      <c r="W6" t="s">
        <v>39</v>
      </c>
    </row>
    <row r="7" spans="1:23" ht="20.25" customHeight="1">
      <c r="A7" s="1">
        <v>45699.255023148151</v>
      </c>
      <c r="C7" t="s">
        <v>41</v>
      </c>
      <c r="D7">
        <v>26</v>
      </c>
      <c r="E7">
        <v>182</v>
      </c>
      <c r="F7">
        <v>100</v>
      </c>
      <c r="G7">
        <v>2.5</v>
      </c>
      <c r="H7" t="s">
        <v>592</v>
      </c>
      <c r="I7" t="s">
        <v>29</v>
      </c>
      <c r="J7" t="s">
        <v>6</v>
      </c>
      <c r="K7" t="s">
        <v>7</v>
      </c>
      <c r="L7" t="s">
        <v>8</v>
      </c>
      <c r="M7" t="s">
        <v>9</v>
      </c>
      <c r="N7" t="s">
        <v>40</v>
      </c>
      <c r="O7" t="s">
        <v>22</v>
      </c>
      <c r="P7" t="s">
        <v>20</v>
      </c>
      <c r="Q7" t="s">
        <v>23</v>
      </c>
      <c r="R7" t="s">
        <v>14</v>
      </c>
      <c r="S7" t="s">
        <v>15</v>
      </c>
      <c r="T7" t="s">
        <v>24</v>
      </c>
      <c r="U7" t="s">
        <v>5</v>
      </c>
      <c r="V7" s="3" t="s">
        <v>614</v>
      </c>
      <c r="W7" t="s">
        <v>16</v>
      </c>
    </row>
    <row r="8" spans="1:23" ht="18.75" customHeight="1">
      <c r="A8" s="1">
        <v>45669.739722222221</v>
      </c>
      <c r="C8" t="s">
        <v>43</v>
      </c>
      <c r="D8">
        <v>36</v>
      </c>
      <c r="E8">
        <v>170</v>
      </c>
      <c r="F8">
        <v>106</v>
      </c>
      <c r="G8">
        <v>3</v>
      </c>
      <c r="H8" t="s">
        <v>28</v>
      </c>
      <c r="I8" t="s">
        <v>5</v>
      </c>
      <c r="J8" t="s">
        <v>6</v>
      </c>
      <c r="K8" t="s">
        <v>7</v>
      </c>
      <c r="L8" t="s">
        <v>40</v>
      </c>
      <c r="M8" t="s">
        <v>9</v>
      </c>
      <c r="N8" t="s">
        <v>31</v>
      </c>
      <c r="O8" t="s">
        <v>44</v>
      </c>
      <c r="P8" t="s">
        <v>31</v>
      </c>
      <c r="Q8" t="s">
        <v>32</v>
      </c>
      <c r="R8" t="s">
        <v>33</v>
      </c>
      <c r="S8" t="s">
        <v>25</v>
      </c>
      <c r="T8" t="s">
        <v>15</v>
      </c>
      <c r="U8" t="s">
        <v>29</v>
      </c>
      <c r="V8" s="3" t="s">
        <v>615</v>
      </c>
      <c r="W8" t="s">
        <v>16</v>
      </c>
    </row>
    <row r="9" spans="1:23" ht="20.25" customHeight="1">
      <c r="A9" s="1">
        <v>45767.094004629631</v>
      </c>
      <c r="C9" t="s">
        <v>45</v>
      </c>
      <c r="D9">
        <v>57</v>
      </c>
      <c r="E9">
        <v>172</v>
      </c>
      <c r="F9">
        <v>75</v>
      </c>
      <c r="G9">
        <v>1</v>
      </c>
      <c r="H9" t="s">
        <v>28</v>
      </c>
      <c r="I9" t="s">
        <v>29</v>
      </c>
      <c r="J9" t="s">
        <v>36</v>
      </c>
      <c r="K9" t="s">
        <v>37</v>
      </c>
      <c r="L9" t="s">
        <v>20</v>
      </c>
      <c r="M9" t="s">
        <v>38</v>
      </c>
      <c r="N9" t="s">
        <v>8</v>
      </c>
      <c r="O9" t="s">
        <v>46</v>
      </c>
      <c r="P9" t="s">
        <v>10</v>
      </c>
      <c r="Q9" t="s">
        <v>13</v>
      </c>
      <c r="R9" t="s">
        <v>14</v>
      </c>
      <c r="S9" t="s">
        <v>47</v>
      </c>
      <c r="T9" t="s">
        <v>47</v>
      </c>
      <c r="U9" t="s">
        <v>5</v>
      </c>
      <c r="V9" s="3" t="s">
        <v>616</v>
      </c>
      <c r="W9" t="s">
        <v>26</v>
      </c>
    </row>
    <row r="10" spans="1:23" ht="18.75" customHeight="1">
      <c r="A10" s="1">
        <v>45794.64025462963</v>
      </c>
      <c r="C10" t="s">
        <v>48</v>
      </c>
      <c r="D10">
        <v>22</v>
      </c>
      <c r="E10">
        <v>180</v>
      </c>
      <c r="F10">
        <v>90</v>
      </c>
      <c r="G10">
        <v>2.5</v>
      </c>
      <c r="H10" t="s">
        <v>591</v>
      </c>
      <c r="I10" t="s">
        <v>29</v>
      </c>
      <c r="J10" t="s">
        <v>6</v>
      </c>
      <c r="K10" t="s">
        <v>30</v>
      </c>
      <c r="L10" t="s">
        <v>10</v>
      </c>
      <c r="M10" t="s">
        <v>38</v>
      </c>
      <c r="N10" t="s">
        <v>12</v>
      </c>
      <c r="O10" t="s">
        <v>22</v>
      </c>
      <c r="P10" t="s">
        <v>40</v>
      </c>
      <c r="Q10" t="s">
        <v>23</v>
      </c>
      <c r="R10" t="s">
        <v>14</v>
      </c>
      <c r="S10" t="s">
        <v>47</v>
      </c>
      <c r="T10" t="s">
        <v>15</v>
      </c>
      <c r="U10" t="s">
        <v>29</v>
      </c>
      <c r="V10" s="3" t="s">
        <v>617</v>
      </c>
      <c r="W10" t="s">
        <v>26</v>
      </c>
    </row>
    <row r="11" spans="1:23" ht="18.75" customHeight="1">
      <c r="A11" s="1">
        <v>45670.605439814812</v>
      </c>
      <c r="C11" t="s">
        <v>49</v>
      </c>
      <c r="D11">
        <v>49</v>
      </c>
      <c r="E11">
        <v>165</v>
      </c>
      <c r="F11">
        <v>104</v>
      </c>
      <c r="G11">
        <v>3</v>
      </c>
      <c r="H11" t="s">
        <v>592</v>
      </c>
      <c r="I11" t="s">
        <v>29</v>
      </c>
      <c r="J11" t="s">
        <v>6</v>
      </c>
      <c r="K11" t="s">
        <v>19</v>
      </c>
      <c r="L11" t="s">
        <v>12</v>
      </c>
      <c r="M11" t="s">
        <v>9</v>
      </c>
      <c r="N11" t="s">
        <v>20</v>
      </c>
      <c r="O11" t="s">
        <v>11</v>
      </c>
      <c r="P11" t="s">
        <v>8</v>
      </c>
      <c r="Q11" t="s">
        <v>23</v>
      </c>
      <c r="R11" t="s">
        <v>50</v>
      </c>
      <c r="S11" t="s">
        <v>25</v>
      </c>
      <c r="T11" t="s">
        <v>25</v>
      </c>
      <c r="U11" t="s">
        <v>5</v>
      </c>
      <c r="V11" s="3" t="s">
        <v>618</v>
      </c>
      <c r="W11" t="s">
        <v>16</v>
      </c>
    </row>
    <row r="12" spans="1:23" ht="21.75" customHeight="1">
      <c r="A12" s="1">
        <v>45801.705185185187</v>
      </c>
      <c r="C12" t="s">
        <v>51</v>
      </c>
      <c r="D12">
        <v>52</v>
      </c>
      <c r="E12">
        <v>159</v>
      </c>
      <c r="F12">
        <v>68</v>
      </c>
      <c r="G12">
        <v>2</v>
      </c>
      <c r="H12" t="s">
        <v>28</v>
      </c>
      <c r="I12" t="s">
        <v>29</v>
      </c>
      <c r="J12" t="s">
        <v>36</v>
      </c>
      <c r="K12" t="s">
        <v>19</v>
      </c>
      <c r="L12" t="s">
        <v>8</v>
      </c>
      <c r="M12" t="s">
        <v>52</v>
      </c>
      <c r="N12" t="s">
        <v>8</v>
      </c>
      <c r="O12" t="s">
        <v>44</v>
      </c>
      <c r="P12" t="s">
        <v>12</v>
      </c>
      <c r="Q12" t="s">
        <v>23</v>
      </c>
      <c r="R12" t="s">
        <v>50</v>
      </c>
      <c r="S12" t="s">
        <v>24</v>
      </c>
      <c r="T12" t="s">
        <v>47</v>
      </c>
      <c r="U12" t="s">
        <v>5</v>
      </c>
      <c r="V12" s="3" t="s">
        <v>619</v>
      </c>
      <c r="W12" t="s">
        <v>39</v>
      </c>
    </row>
    <row r="13" spans="1:23" ht="19.5" customHeight="1">
      <c r="A13" s="1">
        <v>45666.825428240743</v>
      </c>
      <c r="C13" t="s">
        <v>53</v>
      </c>
      <c r="D13">
        <v>51</v>
      </c>
      <c r="E13">
        <v>156</v>
      </c>
      <c r="F13">
        <v>92</v>
      </c>
      <c r="G13">
        <v>2</v>
      </c>
      <c r="H13" t="s">
        <v>591</v>
      </c>
      <c r="I13" t="s">
        <v>29</v>
      </c>
      <c r="J13" t="s">
        <v>6</v>
      </c>
      <c r="K13" t="s">
        <v>37</v>
      </c>
      <c r="L13" t="s">
        <v>10</v>
      </c>
      <c r="M13" t="s">
        <v>52</v>
      </c>
      <c r="N13" t="s">
        <v>10</v>
      </c>
      <c r="O13" t="s">
        <v>44</v>
      </c>
      <c r="P13" t="s">
        <v>31</v>
      </c>
      <c r="Q13" t="s">
        <v>13</v>
      </c>
      <c r="R13" t="s">
        <v>33</v>
      </c>
      <c r="S13" t="s">
        <v>24</v>
      </c>
      <c r="T13" t="s">
        <v>47</v>
      </c>
      <c r="U13" t="s">
        <v>29</v>
      </c>
      <c r="V13" s="3" t="s">
        <v>620</v>
      </c>
      <c r="W13" t="s">
        <v>39</v>
      </c>
    </row>
    <row r="14" spans="1:23" ht="18.75" customHeight="1">
      <c r="A14" s="1">
        <v>45679.817800925928</v>
      </c>
      <c r="C14" t="s">
        <v>54</v>
      </c>
      <c r="D14">
        <v>32</v>
      </c>
      <c r="E14">
        <v>168</v>
      </c>
      <c r="F14">
        <v>90</v>
      </c>
      <c r="G14">
        <v>1</v>
      </c>
      <c r="H14" t="s">
        <v>28</v>
      </c>
      <c r="I14" t="s">
        <v>5</v>
      </c>
      <c r="J14" t="s">
        <v>6</v>
      </c>
      <c r="K14" t="s">
        <v>7</v>
      </c>
      <c r="L14" t="s">
        <v>40</v>
      </c>
      <c r="M14" t="s">
        <v>38</v>
      </c>
      <c r="N14" t="s">
        <v>8</v>
      </c>
      <c r="O14" t="s">
        <v>46</v>
      </c>
      <c r="P14" t="s">
        <v>40</v>
      </c>
      <c r="Q14" t="s">
        <v>55</v>
      </c>
      <c r="R14" t="s">
        <v>50</v>
      </c>
      <c r="S14" t="s">
        <v>15</v>
      </c>
      <c r="T14" t="s">
        <v>15</v>
      </c>
      <c r="U14" t="s">
        <v>5</v>
      </c>
      <c r="V14" s="3" t="s">
        <v>621</v>
      </c>
      <c r="W14" t="s">
        <v>39</v>
      </c>
    </row>
    <row r="15" spans="1:23" ht="18.75" customHeight="1">
      <c r="A15" s="1">
        <v>45792.257754629631</v>
      </c>
      <c r="C15" t="s">
        <v>56</v>
      </c>
      <c r="D15">
        <v>44</v>
      </c>
      <c r="E15">
        <v>185</v>
      </c>
      <c r="F15">
        <v>80</v>
      </c>
      <c r="G15">
        <v>1</v>
      </c>
      <c r="H15" t="s">
        <v>590</v>
      </c>
      <c r="I15" t="s">
        <v>29</v>
      </c>
      <c r="J15" t="s">
        <v>36</v>
      </c>
      <c r="K15" t="s">
        <v>7</v>
      </c>
      <c r="L15" t="s">
        <v>8</v>
      </c>
      <c r="M15" t="s">
        <v>38</v>
      </c>
      <c r="N15" t="s">
        <v>20</v>
      </c>
      <c r="O15" t="s">
        <v>46</v>
      </c>
      <c r="P15" t="s">
        <v>40</v>
      </c>
      <c r="Q15" t="s">
        <v>13</v>
      </c>
      <c r="R15" t="s">
        <v>33</v>
      </c>
      <c r="S15" t="s">
        <v>25</v>
      </c>
      <c r="T15" t="s">
        <v>47</v>
      </c>
      <c r="U15" t="s">
        <v>5</v>
      </c>
      <c r="V15" s="3" t="s">
        <v>622</v>
      </c>
      <c r="W15" t="s">
        <v>26</v>
      </c>
    </row>
    <row r="16" spans="1:23" ht="21" customHeight="1">
      <c r="A16" s="1">
        <v>45660.598819444444</v>
      </c>
      <c r="C16" t="s">
        <v>57</v>
      </c>
      <c r="D16">
        <v>40</v>
      </c>
      <c r="E16">
        <v>182</v>
      </c>
      <c r="F16">
        <v>68</v>
      </c>
      <c r="G16">
        <v>2</v>
      </c>
      <c r="H16" t="s">
        <v>592</v>
      </c>
      <c r="I16" t="s">
        <v>5</v>
      </c>
      <c r="J16" t="s">
        <v>36</v>
      </c>
      <c r="K16" t="s">
        <v>19</v>
      </c>
      <c r="L16" t="s">
        <v>40</v>
      </c>
      <c r="M16" t="s">
        <v>21</v>
      </c>
      <c r="N16" t="s">
        <v>31</v>
      </c>
      <c r="O16" t="s">
        <v>11</v>
      </c>
      <c r="P16" t="s">
        <v>8</v>
      </c>
      <c r="Q16" t="s">
        <v>13</v>
      </c>
      <c r="R16" t="s">
        <v>50</v>
      </c>
      <c r="S16" t="s">
        <v>25</v>
      </c>
      <c r="T16" t="s">
        <v>24</v>
      </c>
      <c r="U16" t="s">
        <v>5</v>
      </c>
      <c r="V16" s="3" t="s">
        <v>623</v>
      </c>
      <c r="W16" t="s">
        <v>16</v>
      </c>
    </row>
    <row r="17" spans="1:23" ht="21" customHeight="1">
      <c r="A17" s="1">
        <v>45749.663888888892</v>
      </c>
      <c r="C17" t="s">
        <v>58</v>
      </c>
      <c r="D17">
        <v>58</v>
      </c>
      <c r="E17">
        <v>169</v>
      </c>
      <c r="F17">
        <v>54</v>
      </c>
      <c r="G17">
        <v>1.5</v>
      </c>
      <c r="H17" t="s">
        <v>590</v>
      </c>
      <c r="I17" t="s">
        <v>5</v>
      </c>
      <c r="J17" t="s">
        <v>6</v>
      </c>
      <c r="K17" t="s">
        <v>7</v>
      </c>
      <c r="L17" t="s">
        <v>20</v>
      </c>
      <c r="M17" t="s">
        <v>38</v>
      </c>
      <c r="N17" t="s">
        <v>8</v>
      </c>
      <c r="O17" t="s">
        <v>46</v>
      </c>
      <c r="P17" t="s">
        <v>20</v>
      </c>
      <c r="Q17" t="s">
        <v>32</v>
      </c>
      <c r="R17" t="s">
        <v>33</v>
      </c>
      <c r="S17" t="s">
        <v>15</v>
      </c>
      <c r="T17" t="s">
        <v>25</v>
      </c>
      <c r="U17" t="s">
        <v>5</v>
      </c>
      <c r="V17" s="3" t="s">
        <v>624</v>
      </c>
      <c r="W17" t="s">
        <v>39</v>
      </c>
    </row>
    <row r="18" spans="1:23" ht="19.5" customHeight="1">
      <c r="A18" s="1">
        <v>45806.295381944445</v>
      </c>
      <c r="C18" t="s">
        <v>59</v>
      </c>
      <c r="D18">
        <v>35</v>
      </c>
      <c r="E18">
        <v>169</v>
      </c>
      <c r="F18">
        <v>84</v>
      </c>
      <c r="G18">
        <v>1.5</v>
      </c>
      <c r="H18" t="s">
        <v>28</v>
      </c>
      <c r="I18" t="s">
        <v>29</v>
      </c>
      <c r="J18" t="s">
        <v>36</v>
      </c>
      <c r="K18" t="s">
        <v>60</v>
      </c>
      <c r="L18" t="s">
        <v>20</v>
      </c>
      <c r="M18" t="s">
        <v>52</v>
      </c>
      <c r="N18" t="s">
        <v>8</v>
      </c>
      <c r="O18" t="s">
        <v>22</v>
      </c>
      <c r="P18" t="s">
        <v>8</v>
      </c>
      <c r="Q18" t="s">
        <v>13</v>
      </c>
      <c r="R18" t="s">
        <v>50</v>
      </c>
      <c r="S18" t="s">
        <v>24</v>
      </c>
      <c r="T18" t="s">
        <v>24</v>
      </c>
      <c r="U18" t="s">
        <v>5</v>
      </c>
      <c r="V18" s="3" t="s">
        <v>625</v>
      </c>
      <c r="W18" t="s">
        <v>16</v>
      </c>
    </row>
    <row r="19" spans="1:23" ht="19.5" customHeight="1">
      <c r="A19" s="1">
        <v>45724.142627314817</v>
      </c>
      <c r="C19" t="s">
        <v>61</v>
      </c>
      <c r="D19">
        <v>21</v>
      </c>
      <c r="E19">
        <v>159</v>
      </c>
      <c r="F19">
        <v>83</v>
      </c>
      <c r="G19">
        <v>1</v>
      </c>
      <c r="H19" t="s">
        <v>591</v>
      </c>
      <c r="I19" t="s">
        <v>29</v>
      </c>
      <c r="J19" t="s">
        <v>6</v>
      </c>
      <c r="K19" t="s">
        <v>37</v>
      </c>
      <c r="L19" t="s">
        <v>40</v>
      </c>
      <c r="M19" t="s">
        <v>9</v>
      </c>
      <c r="N19" t="s">
        <v>20</v>
      </c>
      <c r="O19" t="s">
        <v>46</v>
      </c>
      <c r="P19" t="s">
        <v>10</v>
      </c>
      <c r="Q19" t="s">
        <v>32</v>
      </c>
      <c r="R19" t="s">
        <v>50</v>
      </c>
      <c r="S19" t="s">
        <v>24</v>
      </c>
      <c r="T19" t="s">
        <v>15</v>
      </c>
      <c r="U19" t="s">
        <v>29</v>
      </c>
      <c r="V19" s="3" t="s">
        <v>626</v>
      </c>
      <c r="W19" t="s">
        <v>39</v>
      </c>
    </row>
    <row r="20" spans="1:23" ht="18.75" customHeight="1">
      <c r="A20" s="1">
        <v>45724.898368055554</v>
      </c>
      <c r="C20" t="s">
        <v>62</v>
      </c>
      <c r="D20">
        <v>55</v>
      </c>
      <c r="E20">
        <v>176</v>
      </c>
      <c r="F20">
        <v>70</v>
      </c>
      <c r="G20">
        <v>2</v>
      </c>
      <c r="H20" t="s">
        <v>591</v>
      </c>
      <c r="I20" t="s">
        <v>29</v>
      </c>
      <c r="J20" t="s">
        <v>6</v>
      </c>
      <c r="K20" t="s">
        <v>63</v>
      </c>
      <c r="L20" t="s">
        <v>31</v>
      </c>
      <c r="M20" t="s">
        <v>21</v>
      </c>
      <c r="N20" t="s">
        <v>20</v>
      </c>
      <c r="O20" t="s">
        <v>11</v>
      </c>
      <c r="P20" t="s">
        <v>40</v>
      </c>
      <c r="Q20" t="s">
        <v>32</v>
      </c>
      <c r="R20" t="s">
        <v>50</v>
      </c>
      <c r="S20" t="s">
        <v>25</v>
      </c>
      <c r="T20" t="s">
        <v>47</v>
      </c>
      <c r="U20" t="s">
        <v>5</v>
      </c>
      <c r="V20" s="3" t="s">
        <v>627</v>
      </c>
      <c r="W20" t="s">
        <v>26</v>
      </c>
    </row>
    <row r="21" spans="1:23" ht="20.25" customHeight="1">
      <c r="A21" s="1">
        <v>45695.491377314815</v>
      </c>
      <c r="C21" t="s">
        <v>64</v>
      </c>
      <c r="D21">
        <v>40</v>
      </c>
      <c r="E21">
        <v>187</v>
      </c>
      <c r="F21">
        <v>52</v>
      </c>
      <c r="G21">
        <v>1</v>
      </c>
      <c r="H21" t="s">
        <v>592</v>
      </c>
      <c r="I21" t="s">
        <v>29</v>
      </c>
      <c r="J21" t="s">
        <v>36</v>
      </c>
      <c r="K21" t="s">
        <v>19</v>
      </c>
      <c r="L21" t="s">
        <v>10</v>
      </c>
      <c r="M21" t="s">
        <v>21</v>
      </c>
      <c r="N21" t="s">
        <v>20</v>
      </c>
      <c r="O21" t="s">
        <v>22</v>
      </c>
      <c r="P21" t="s">
        <v>20</v>
      </c>
      <c r="Q21" t="s">
        <v>23</v>
      </c>
      <c r="R21" t="s">
        <v>50</v>
      </c>
      <c r="S21" t="s">
        <v>25</v>
      </c>
      <c r="T21" t="s">
        <v>47</v>
      </c>
      <c r="U21" t="s">
        <v>29</v>
      </c>
      <c r="V21" s="3" t="s">
        <v>628</v>
      </c>
      <c r="W21" t="s">
        <v>39</v>
      </c>
    </row>
    <row r="22" spans="1:23" ht="20.25" customHeight="1">
      <c r="A22" s="1">
        <v>45678.143171296295</v>
      </c>
      <c r="C22" t="s">
        <v>65</v>
      </c>
      <c r="D22">
        <v>44</v>
      </c>
      <c r="E22">
        <v>186</v>
      </c>
      <c r="F22">
        <v>70</v>
      </c>
      <c r="G22">
        <v>2.5</v>
      </c>
      <c r="H22" t="s">
        <v>28</v>
      </c>
      <c r="I22" t="s">
        <v>29</v>
      </c>
      <c r="J22" t="s">
        <v>6</v>
      </c>
      <c r="K22" t="s">
        <v>30</v>
      </c>
      <c r="L22" t="s">
        <v>10</v>
      </c>
      <c r="M22" t="s">
        <v>9</v>
      </c>
      <c r="N22" t="s">
        <v>10</v>
      </c>
      <c r="O22" t="s">
        <v>44</v>
      </c>
      <c r="P22" t="s">
        <v>40</v>
      </c>
      <c r="Q22" t="s">
        <v>13</v>
      </c>
      <c r="R22" t="s">
        <v>14</v>
      </c>
      <c r="S22" t="s">
        <v>24</v>
      </c>
      <c r="T22" t="s">
        <v>15</v>
      </c>
      <c r="U22" t="s">
        <v>5</v>
      </c>
      <c r="V22" s="3" t="s">
        <v>629</v>
      </c>
      <c r="W22" t="s">
        <v>26</v>
      </c>
    </row>
    <row r="23" spans="1:23" ht="20.25" customHeight="1">
      <c r="A23" s="1">
        <v>45772.938668981478</v>
      </c>
      <c r="C23" t="s">
        <v>66</v>
      </c>
      <c r="D23">
        <v>21</v>
      </c>
      <c r="E23">
        <v>175</v>
      </c>
      <c r="F23">
        <v>91</v>
      </c>
      <c r="G23">
        <v>3</v>
      </c>
      <c r="H23" t="s">
        <v>591</v>
      </c>
      <c r="I23" t="s">
        <v>29</v>
      </c>
      <c r="J23" t="s">
        <v>36</v>
      </c>
      <c r="K23" t="s">
        <v>30</v>
      </c>
      <c r="L23" t="s">
        <v>31</v>
      </c>
      <c r="M23" t="s">
        <v>21</v>
      </c>
      <c r="N23" t="s">
        <v>40</v>
      </c>
      <c r="O23" t="s">
        <v>46</v>
      </c>
      <c r="P23" t="s">
        <v>40</v>
      </c>
      <c r="Q23" t="s">
        <v>23</v>
      </c>
      <c r="R23" t="s">
        <v>14</v>
      </c>
      <c r="S23" t="s">
        <v>15</v>
      </c>
      <c r="T23" t="s">
        <v>47</v>
      </c>
      <c r="U23" t="s">
        <v>5</v>
      </c>
      <c r="V23" s="3" t="s">
        <v>630</v>
      </c>
      <c r="W23" t="s">
        <v>34</v>
      </c>
    </row>
    <row r="24" spans="1:23" ht="21" customHeight="1">
      <c r="A24" s="1">
        <v>45680.842638888891</v>
      </c>
      <c r="C24" t="s">
        <v>67</v>
      </c>
      <c r="D24">
        <v>57</v>
      </c>
      <c r="E24">
        <v>177</v>
      </c>
      <c r="F24">
        <v>99</v>
      </c>
      <c r="G24">
        <v>1.5</v>
      </c>
      <c r="H24" t="s">
        <v>591</v>
      </c>
      <c r="I24" t="s">
        <v>29</v>
      </c>
      <c r="J24" t="s">
        <v>6</v>
      </c>
      <c r="K24" t="s">
        <v>7</v>
      </c>
      <c r="L24" t="s">
        <v>40</v>
      </c>
      <c r="M24" t="s">
        <v>38</v>
      </c>
      <c r="N24" t="s">
        <v>8</v>
      </c>
      <c r="O24" t="s">
        <v>44</v>
      </c>
      <c r="P24" t="s">
        <v>31</v>
      </c>
      <c r="Q24" t="s">
        <v>13</v>
      </c>
      <c r="R24" t="s">
        <v>33</v>
      </c>
      <c r="S24" t="s">
        <v>15</v>
      </c>
      <c r="T24" t="s">
        <v>15</v>
      </c>
      <c r="U24" t="s">
        <v>29</v>
      </c>
      <c r="V24" s="3" t="s">
        <v>631</v>
      </c>
      <c r="W24" t="s">
        <v>26</v>
      </c>
    </row>
    <row r="25" spans="1:23" ht="19.5" customHeight="1">
      <c r="A25" s="1">
        <v>45795.246435185189</v>
      </c>
      <c r="C25" t="s">
        <v>68</v>
      </c>
      <c r="D25">
        <v>30</v>
      </c>
      <c r="E25">
        <v>157</v>
      </c>
      <c r="F25">
        <v>107</v>
      </c>
      <c r="G25">
        <v>1.5</v>
      </c>
      <c r="H25" t="s">
        <v>592</v>
      </c>
      <c r="I25" t="s">
        <v>29</v>
      </c>
      <c r="J25" t="s">
        <v>36</v>
      </c>
      <c r="K25" t="s">
        <v>7</v>
      </c>
      <c r="L25" t="s">
        <v>20</v>
      </c>
      <c r="M25" t="s">
        <v>52</v>
      </c>
      <c r="N25" t="s">
        <v>8</v>
      </c>
      <c r="O25" t="s">
        <v>11</v>
      </c>
      <c r="P25" t="s">
        <v>8</v>
      </c>
      <c r="Q25" t="s">
        <v>55</v>
      </c>
      <c r="R25" t="s">
        <v>14</v>
      </c>
      <c r="S25" t="s">
        <v>24</v>
      </c>
      <c r="T25" t="s">
        <v>24</v>
      </c>
      <c r="U25" t="s">
        <v>29</v>
      </c>
      <c r="V25" s="3" t="s">
        <v>632</v>
      </c>
      <c r="W25" t="s">
        <v>39</v>
      </c>
    </row>
    <row r="26" spans="1:23" ht="20.25" customHeight="1">
      <c r="A26" s="1">
        <v>45727.729259259257</v>
      </c>
      <c r="C26" t="s">
        <v>69</v>
      </c>
      <c r="D26">
        <v>50</v>
      </c>
      <c r="E26">
        <v>163</v>
      </c>
      <c r="F26">
        <v>80</v>
      </c>
      <c r="G26">
        <v>3</v>
      </c>
      <c r="H26" t="s">
        <v>592</v>
      </c>
      <c r="I26" t="s">
        <v>29</v>
      </c>
      <c r="J26" t="s">
        <v>6</v>
      </c>
      <c r="K26" t="s">
        <v>63</v>
      </c>
      <c r="L26" t="s">
        <v>20</v>
      </c>
      <c r="M26" t="s">
        <v>52</v>
      </c>
      <c r="N26" t="s">
        <v>31</v>
      </c>
      <c r="O26" t="s">
        <v>44</v>
      </c>
      <c r="P26" t="s">
        <v>12</v>
      </c>
      <c r="Q26" t="s">
        <v>32</v>
      </c>
      <c r="R26" t="s">
        <v>14</v>
      </c>
      <c r="S26" t="s">
        <v>24</v>
      </c>
      <c r="T26" t="s">
        <v>24</v>
      </c>
      <c r="U26" t="s">
        <v>5</v>
      </c>
      <c r="V26" s="3" t="s">
        <v>633</v>
      </c>
      <c r="W26" t="s">
        <v>34</v>
      </c>
    </row>
    <row r="27" spans="1:23" ht="19.5" customHeight="1">
      <c r="A27" s="1">
        <v>45790.805659722224</v>
      </c>
      <c r="C27" t="s">
        <v>70</v>
      </c>
      <c r="D27">
        <v>50</v>
      </c>
      <c r="E27">
        <v>169</v>
      </c>
      <c r="F27">
        <v>109</v>
      </c>
      <c r="G27">
        <v>1</v>
      </c>
      <c r="H27" t="s">
        <v>28</v>
      </c>
      <c r="I27" t="s">
        <v>5</v>
      </c>
      <c r="J27" t="s">
        <v>36</v>
      </c>
      <c r="K27" t="s">
        <v>30</v>
      </c>
      <c r="L27" t="s">
        <v>10</v>
      </c>
      <c r="M27" t="s">
        <v>9</v>
      </c>
      <c r="N27" t="s">
        <v>8</v>
      </c>
      <c r="O27" t="s">
        <v>46</v>
      </c>
      <c r="P27" t="s">
        <v>8</v>
      </c>
      <c r="Q27" t="s">
        <v>32</v>
      </c>
      <c r="R27" t="s">
        <v>50</v>
      </c>
      <c r="S27" t="s">
        <v>15</v>
      </c>
      <c r="T27" t="s">
        <v>47</v>
      </c>
      <c r="U27" t="s">
        <v>5</v>
      </c>
      <c r="V27" s="3" t="s">
        <v>634</v>
      </c>
      <c r="W27" t="s">
        <v>26</v>
      </c>
    </row>
    <row r="28" spans="1:23" ht="18.75" customHeight="1">
      <c r="A28" s="1">
        <v>45781.238587962966</v>
      </c>
      <c r="C28" t="s">
        <v>71</v>
      </c>
      <c r="D28">
        <v>31</v>
      </c>
      <c r="E28">
        <v>179</v>
      </c>
      <c r="F28">
        <v>77</v>
      </c>
      <c r="G28">
        <v>1.5</v>
      </c>
      <c r="H28" t="s">
        <v>592</v>
      </c>
      <c r="I28" t="s">
        <v>29</v>
      </c>
      <c r="J28" t="s">
        <v>36</v>
      </c>
      <c r="K28" t="s">
        <v>37</v>
      </c>
      <c r="L28" t="s">
        <v>10</v>
      </c>
      <c r="M28" t="s">
        <v>38</v>
      </c>
      <c r="N28" t="s">
        <v>8</v>
      </c>
      <c r="O28" t="s">
        <v>46</v>
      </c>
      <c r="P28" t="s">
        <v>8</v>
      </c>
      <c r="Q28" t="s">
        <v>55</v>
      </c>
      <c r="R28" t="s">
        <v>33</v>
      </c>
      <c r="S28" t="s">
        <v>15</v>
      </c>
      <c r="T28" t="s">
        <v>25</v>
      </c>
      <c r="U28" t="s">
        <v>5</v>
      </c>
      <c r="V28" s="3" t="s">
        <v>635</v>
      </c>
      <c r="W28" t="s">
        <v>26</v>
      </c>
    </row>
    <row r="29" spans="1:23" ht="22.5" customHeight="1">
      <c r="A29" s="1">
        <v>45751.452222222222</v>
      </c>
      <c r="C29" t="s">
        <v>72</v>
      </c>
      <c r="D29">
        <v>43</v>
      </c>
      <c r="E29">
        <v>166</v>
      </c>
      <c r="F29">
        <v>69</v>
      </c>
      <c r="G29">
        <v>1</v>
      </c>
      <c r="H29" t="s">
        <v>590</v>
      </c>
      <c r="I29" t="s">
        <v>29</v>
      </c>
      <c r="J29" t="s">
        <v>36</v>
      </c>
      <c r="K29" t="s">
        <v>63</v>
      </c>
      <c r="L29" t="s">
        <v>8</v>
      </c>
      <c r="M29" t="s">
        <v>52</v>
      </c>
      <c r="N29" t="s">
        <v>12</v>
      </c>
      <c r="O29" t="s">
        <v>46</v>
      </c>
      <c r="P29" t="s">
        <v>8</v>
      </c>
      <c r="Q29" t="s">
        <v>32</v>
      </c>
      <c r="R29" t="s">
        <v>33</v>
      </c>
      <c r="S29" t="s">
        <v>25</v>
      </c>
      <c r="T29" t="s">
        <v>47</v>
      </c>
      <c r="U29" t="s">
        <v>29</v>
      </c>
      <c r="V29" s="3" t="s">
        <v>636</v>
      </c>
      <c r="W29" t="s">
        <v>39</v>
      </c>
    </row>
    <row r="30" spans="1:23" ht="22.5" customHeight="1">
      <c r="A30" s="1">
        <v>45781.339074074072</v>
      </c>
      <c r="C30" t="s">
        <v>73</v>
      </c>
      <c r="D30">
        <v>29</v>
      </c>
      <c r="E30">
        <v>182</v>
      </c>
      <c r="F30">
        <v>84</v>
      </c>
      <c r="G30">
        <v>2</v>
      </c>
      <c r="H30" t="s">
        <v>592</v>
      </c>
      <c r="I30" t="s">
        <v>5</v>
      </c>
      <c r="J30" t="s">
        <v>36</v>
      </c>
      <c r="K30" t="s">
        <v>63</v>
      </c>
      <c r="L30" t="s">
        <v>40</v>
      </c>
      <c r="M30" t="s">
        <v>52</v>
      </c>
      <c r="N30" t="s">
        <v>8</v>
      </c>
      <c r="O30" t="s">
        <v>11</v>
      </c>
      <c r="P30" t="s">
        <v>12</v>
      </c>
      <c r="Q30" t="s">
        <v>23</v>
      </c>
      <c r="R30" t="s">
        <v>33</v>
      </c>
      <c r="S30" t="s">
        <v>24</v>
      </c>
      <c r="T30" t="s">
        <v>47</v>
      </c>
      <c r="U30" t="s">
        <v>29</v>
      </c>
      <c r="V30" s="3" t="s">
        <v>637</v>
      </c>
      <c r="W30" t="s">
        <v>34</v>
      </c>
    </row>
    <row r="31" spans="1:23" ht="20.25" customHeight="1">
      <c r="A31" s="1">
        <v>45689.258923611109</v>
      </c>
      <c r="C31" t="s">
        <v>74</v>
      </c>
      <c r="D31">
        <v>47</v>
      </c>
      <c r="E31">
        <v>188</v>
      </c>
      <c r="F31">
        <v>101</v>
      </c>
      <c r="G31">
        <v>1</v>
      </c>
      <c r="H31" t="s">
        <v>590</v>
      </c>
      <c r="I31" t="s">
        <v>29</v>
      </c>
      <c r="J31" t="s">
        <v>36</v>
      </c>
      <c r="K31" t="s">
        <v>7</v>
      </c>
      <c r="L31" t="s">
        <v>40</v>
      </c>
      <c r="M31" t="s">
        <v>21</v>
      </c>
      <c r="N31" t="s">
        <v>12</v>
      </c>
      <c r="O31" t="s">
        <v>22</v>
      </c>
      <c r="P31" t="s">
        <v>8</v>
      </c>
      <c r="Q31" t="s">
        <v>32</v>
      </c>
      <c r="R31" t="s">
        <v>33</v>
      </c>
      <c r="S31" t="s">
        <v>15</v>
      </c>
      <c r="T31" t="s">
        <v>47</v>
      </c>
      <c r="U31" t="s">
        <v>29</v>
      </c>
      <c r="V31" s="3" t="s">
        <v>638</v>
      </c>
      <c r="W31" t="s">
        <v>34</v>
      </c>
    </row>
    <row r="32" spans="1:23" ht="19.5" customHeight="1">
      <c r="A32" s="1">
        <v>45722.384201388886</v>
      </c>
      <c r="C32" t="s">
        <v>75</v>
      </c>
      <c r="D32">
        <v>33</v>
      </c>
      <c r="E32">
        <v>182</v>
      </c>
      <c r="F32">
        <v>96</v>
      </c>
      <c r="G32">
        <v>2.5</v>
      </c>
      <c r="H32" t="s">
        <v>591</v>
      </c>
      <c r="I32" t="s">
        <v>29</v>
      </c>
      <c r="J32" t="s">
        <v>36</v>
      </c>
      <c r="K32" t="s">
        <v>37</v>
      </c>
      <c r="L32" t="s">
        <v>8</v>
      </c>
      <c r="M32" t="s">
        <v>38</v>
      </c>
      <c r="N32" t="s">
        <v>8</v>
      </c>
      <c r="O32" t="s">
        <v>11</v>
      </c>
      <c r="P32" t="s">
        <v>40</v>
      </c>
      <c r="Q32" t="s">
        <v>32</v>
      </c>
      <c r="R32" t="s">
        <v>50</v>
      </c>
      <c r="S32" t="s">
        <v>47</v>
      </c>
      <c r="T32" t="s">
        <v>47</v>
      </c>
      <c r="U32" t="s">
        <v>29</v>
      </c>
      <c r="V32" s="3" t="s">
        <v>639</v>
      </c>
      <c r="W32" t="s">
        <v>34</v>
      </c>
    </row>
    <row r="33" spans="1:23" ht="18.75" customHeight="1">
      <c r="A33" s="1">
        <v>45692.753796296296</v>
      </c>
      <c r="C33" t="s">
        <v>41</v>
      </c>
      <c r="D33">
        <v>20</v>
      </c>
      <c r="E33">
        <v>178</v>
      </c>
      <c r="F33">
        <v>68</v>
      </c>
      <c r="G33">
        <v>1.5</v>
      </c>
      <c r="H33" t="s">
        <v>592</v>
      </c>
      <c r="I33" t="s">
        <v>29</v>
      </c>
      <c r="J33" t="s">
        <v>36</v>
      </c>
      <c r="K33" t="s">
        <v>60</v>
      </c>
      <c r="L33" t="s">
        <v>10</v>
      </c>
      <c r="M33" t="s">
        <v>21</v>
      </c>
      <c r="N33" t="s">
        <v>31</v>
      </c>
      <c r="O33" t="s">
        <v>22</v>
      </c>
      <c r="P33" t="s">
        <v>40</v>
      </c>
      <c r="Q33" t="s">
        <v>32</v>
      </c>
      <c r="R33" t="s">
        <v>33</v>
      </c>
      <c r="S33" t="s">
        <v>24</v>
      </c>
      <c r="T33" t="s">
        <v>15</v>
      </c>
      <c r="U33" t="s">
        <v>29</v>
      </c>
      <c r="V33" s="3" t="s">
        <v>640</v>
      </c>
      <c r="W33" t="s">
        <v>34</v>
      </c>
    </row>
    <row r="34" spans="1:23" ht="19.5" customHeight="1">
      <c r="A34" s="1">
        <v>45708.800833333335</v>
      </c>
      <c r="C34" t="s">
        <v>76</v>
      </c>
      <c r="D34">
        <v>53</v>
      </c>
      <c r="E34">
        <v>180</v>
      </c>
      <c r="F34">
        <v>108</v>
      </c>
      <c r="G34">
        <v>1.5</v>
      </c>
      <c r="H34" t="s">
        <v>591</v>
      </c>
      <c r="I34" t="s">
        <v>29</v>
      </c>
      <c r="J34" t="s">
        <v>6</v>
      </c>
      <c r="K34" t="s">
        <v>19</v>
      </c>
      <c r="L34" t="s">
        <v>31</v>
      </c>
      <c r="M34" t="s">
        <v>52</v>
      </c>
      <c r="N34" t="s">
        <v>12</v>
      </c>
      <c r="O34" t="s">
        <v>44</v>
      </c>
      <c r="P34" t="s">
        <v>20</v>
      </c>
      <c r="Q34" t="s">
        <v>23</v>
      </c>
      <c r="R34" t="s">
        <v>33</v>
      </c>
      <c r="S34" t="s">
        <v>24</v>
      </c>
      <c r="T34" t="s">
        <v>25</v>
      </c>
      <c r="U34" t="s">
        <v>29</v>
      </c>
      <c r="V34" s="3" t="s">
        <v>641</v>
      </c>
      <c r="W34" t="s">
        <v>26</v>
      </c>
    </row>
    <row r="35" spans="1:23" ht="21" customHeight="1">
      <c r="A35" s="1">
        <v>45804.475972222222</v>
      </c>
      <c r="C35" t="s">
        <v>77</v>
      </c>
      <c r="D35">
        <v>26</v>
      </c>
      <c r="E35">
        <v>164</v>
      </c>
      <c r="F35">
        <v>76</v>
      </c>
      <c r="G35">
        <v>2</v>
      </c>
      <c r="H35" t="s">
        <v>592</v>
      </c>
      <c r="I35" t="s">
        <v>5</v>
      </c>
      <c r="J35" t="s">
        <v>6</v>
      </c>
      <c r="K35" t="s">
        <v>37</v>
      </c>
      <c r="L35" t="s">
        <v>10</v>
      </c>
      <c r="M35" t="s">
        <v>9</v>
      </c>
      <c r="N35" t="s">
        <v>20</v>
      </c>
      <c r="O35" t="s">
        <v>11</v>
      </c>
      <c r="P35" t="s">
        <v>10</v>
      </c>
      <c r="Q35" t="s">
        <v>55</v>
      </c>
      <c r="R35" t="s">
        <v>14</v>
      </c>
      <c r="S35" t="s">
        <v>47</v>
      </c>
      <c r="T35" t="s">
        <v>47</v>
      </c>
      <c r="U35" t="s">
        <v>5</v>
      </c>
      <c r="V35" s="3" t="s">
        <v>642</v>
      </c>
      <c r="W35" t="s">
        <v>26</v>
      </c>
    </row>
    <row r="36" spans="1:23" ht="21" customHeight="1">
      <c r="A36" s="1">
        <v>45719.829351851855</v>
      </c>
      <c r="C36" t="s">
        <v>53</v>
      </c>
      <c r="D36">
        <v>49</v>
      </c>
      <c r="E36">
        <v>156</v>
      </c>
      <c r="F36">
        <v>62</v>
      </c>
      <c r="G36">
        <v>2.5</v>
      </c>
      <c r="H36" t="s">
        <v>592</v>
      </c>
      <c r="I36" t="s">
        <v>5</v>
      </c>
      <c r="J36" t="s">
        <v>6</v>
      </c>
      <c r="K36" t="s">
        <v>19</v>
      </c>
      <c r="L36" t="s">
        <v>10</v>
      </c>
      <c r="M36" t="s">
        <v>52</v>
      </c>
      <c r="N36" t="s">
        <v>31</v>
      </c>
      <c r="O36" t="s">
        <v>11</v>
      </c>
      <c r="P36" t="s">
        <v>12</v>
      </c>
      <c r="Q36" t="s">
        <v>32</v>
      </c>
      <c r="R36" t="s">
        <v>33</v>
      </c>
      <c r="S36" t="s">
        <v>15</v>
      </c>
      <c r="T36" t="s">
        <v>24</v>
      </c>
      <c r="U36" t="s">
        <v>29</v>
      </c>
      <c r="V36" s="3" t="s">
        <v>643</v>
      </c>
      <c r="W36" t="s">
        <v>34</v>
      </c>
    </row>
    <row r="37" spans="1:23" ht="20.25" customHeight="1">
      <c r="A37" s="1">
        <v>45764.800104166665</v>
      </c>
      <c r="C37" t="s">
        <v>78</v>
      </c>
      <c r="D37">
        <v>32</v>
      </c>
      <c r="E37">
        <v>189</v>
      </c>
      <c r="F37">
        <v>62</v>
      </c>
      <c r="G37">
        <v>1</v>
      </c>
      <c r="H37" t="s">
        <v>591</v>
      </c>
      <c r="I37" t="s">
        <v>5</v>
      </c>
      <c r="J37" t="s">
        <v>36</v>
      </c>
      <c r="K37" t="s">
        <v>30</v>
      </c>
      <c r="L37" t="s">
        <v>12</v>
      </c>
      <c r="M37" t="s">
        <v>21</v>
      </c>
      <c r="N37" t="s">
        <v>40</v>
      </c>
      <c r="O37" t="s">
        <v>44</v>
      </c>
      <c r="P37" t="s">
        <v>40</v>
      </c>
      <c r="Q37" t="s">
        <v>55</v>
      </c>
      <c r="R37" t="s">
        <v>14</v>
      </c>
      <c r="S37" t="s">
        <v>15</v>
      </c>
      <c r="T37" t="s">
        <v>24</v>
      </c>
      <c r="U37" t="s">
        <v>5</v>
      </c>
      <c r="V37" s="3" t="s">
        <v>644</v>
      </c>
      <c r="W37" t="s">
        <v>16</v>
      </c>
    </row>
    <row r="38" spans="1:23" ht="21" customHeight="1">
      <c r="A38" s="1">
        <v>45712.233506944445</v>
      </c>
      <c r="C38" t="s">
        <v>79</v>
      </c>
      <c r="D38">
        <v>45</v>
      </c>
      <c r="E38">
        <v>184</v>
      </c>
      <c r="F38">
        <v>56</v>
      </c>
      <c r="G38">
        <v>1.5</v>
      </c>
      <c r="H38" t="s">
        <v>591</v>
      </c>
      <c r="I38" t="s">
        <v>29</v>
      </c>
      <c r="J38" t="s">
        <v>6</v>
      </c>
      <c r="K38" t="s">
        <v>63</v>
      </c>
      <c r="L38" t="s">
        <v>12</v>
      </c>
      <c r="M38" t="s">
        <v>52</v>
      </c>
      <c r="N38" t="s">
        <v>8</v>
      </c>
      <c r="O38" t="s">
        <v>11</v>
      </c>
      <c r="P38" t="s">
        <v>31</v>
      </c>
      <c r="Q38" t="s">
        <v>32</v>
      </c>
      <c r="R38" t="s">
        <v>33</v>
      </c>
      <c r="S38" t="s">
        <v>47</v>
      </c>
      <c r="T38" t="s">
        <v>47</v>
      </c>
      <c r="U38" t="s">
        <v>5</v>
      </c>
      <c r="V38" s="3" t="s">
        <v>645</v>
      </c>
      <c r="W38" t="s">
        <v>16</v>
      </c>
    </row>
    <row r="39" spans="1:23" ht="21" customHeight="1">
      <c r="A39" s="1">
        <v>45724.634641203702</v>
      </c>
      <c r="C39" t="s">
        <v>80</v>
      </c>
      <c r="D39">
        <v>50</v>
      </c>
      <c r="E39">
        <v>168</v>
      </c>
      <c r="F39">
        <v>64</v>
      </c>
      <c r="G39">
        <v>2</v>
      </c>
      <c r="H39" t="s">
        <v>590</v>
      </c>
      <c r="I39" t="s">
        <v>5</v>
      </c>
      <c r="J39" t="s">
        <v>36</v>
      </c>
      <c r="K39" t="s">
        <v>63</v>
      </c>
      <c r="L39" t="s">
        <v>10</v>
      </c>
      <c r="M39" t="s">
        <v>38</v>
      </c>
      <c r="N39" t="s">
        <v>12</v>
      </c>
      <c r="O39" t="s">
        <v>11</v>
      </c>
      <c r="P39" t="s">
        <v>31</v>
      </c>
      <c r="Q39" t="s">
        <v>32</v>
      </c>
      <c r="R39" t="s">
        <v>14</v>
      </c>
      <c r="S39" t="s">
        <v>15</v>
      </c>
      <c r="T39" t="s">
        <v>15</v>
      </c>
      <c r="U39" t="s">
        <v>5</v>
      </c>
      <c r="V39" s="3" t="s">
        <v>646</v>
      </c>
      <c r="W39" t="s">
        <v>39</v>
      </c>
    </row>
    <row r="40" spans="1:23" ht="19.5" customHeight="1">
      <c r="A40" s="1">
        <v>45705.880972222221</v>
      </c>
      <c r="C40" t="s">
        <v>81</v>
      </c>
      <c r="D40">
        <v>31</v>
      </c>
      <c r="E40">
        <v>176</v>
      </c>
      <c r="F40">
        <v>56</v>
      </c>
      <c r="G40">
        <v>2</v>
      </c>
      <c r="H40" t="s">
        <v>590</v>
      </c>
      <c r="I40" t="s">
        <v>29</v>
      </c>
      <c r="J40" t="s">
        <v>6</v>
      </c>
      <c r="K40" t="s">
        <v>19</v>
      </c>
      <c r="L40" t="s">
        <v>10</v>
      </c>
      <c r="M40" t="s">
        <v>9</v>
      </c>
      <c r="N40" t="s">
        <v>40</v>
      </c>
      <c r="O40" t="s">
        <v>44</v>
      </c>
      <c r="P40" t="s">
        <v>31</v>
      </c>
      <c r="Q40" t="s">
        <v>55</v>
      </c>
      <c r="R40" t="s">
        <v>14</v>
      </c>
      <c r="S40" t="s">
        <v>15</v>
      </c>
      <c r="T40" t="s">
        <v>15</v>
      </c>
      <c r="U40" t="s">
        <v>29</v>
      </c>
      <c r="V40" s="3" t="s">
        <v>647</v>
      </c>
      <c r="W40" t="s">
        <v>26</v>
      </c>
    </row>
    <row r="41" spans="1:23" ht="24" customHeight="1">
      <c r="A41" s="1">
        <v>45699.834421296298</v>
      </c>
      <c r="C41" t="s">
        <v>82</v>
      </c>
      <c r="D41">
        <v>43</v>
      </c>
      <c r="E41">
        <v>187</v>
      </c>
      <c r="F41">
        <v>75</v>
      </c>
      <c r="G41">
        <v>2</v>
      </c>
      <c r="H41" t="s">
        <v>28</v>
      </c>
      <c r="I41" t="s">
        <v>5</v>
      </c>
      <c r="J41" t="s">
        <v>36</v>
      </c>
      <c r="K41" t="s">
        <v>37</v>
      </c>
      <c r="L41" t="s">
        <v>12</v>
      </c>
      <c r="M41" t="s">
        <v>38</v>
      </c>
      <c r="N41" t="s">
        <v>8</v>
      </c>
      <c r="O41" t="s">
        <v>44</v>
      </c>
      <c r="P41" t="s">
        <v>20</v>
      </c>
      <c r="Q41" t="s">
        <v>23</v>
      </c>
      <c r="R41" t="s">
        <v>50</v>
      </c>
      <c r="S41" t="s">
        <v>24</v>
      </c>
      <c r="T41" t="s">
        <v>24</v>
      </c>
      <c r="U41" t="s">
        <v>29</v>
      </c>
      <c r="V41" s="3" t="s">
        <v>648</v>
      </c>
      <c r="W41" t="s">
        <v>34</v>
      </c>
    </row>
    <row r="42" spans="1:23" ht="20.25" customHeight="1">
      <c r="A42" s="1">
        <v>45767.048333333332</v>
      </c>
      <c r="C42" t="s">
        <v>83</v>
      </c>
      <c r="D42">
        <v>58</v>
      </c>
      <c r="E42">
        <v>171</v>
      </c>
      <c r="F42">
        <v>58</v>
      </c>
      <c r="G42">
        <v>2</v>
      </c>
      <c r="H42" t="s">
        <v>590</v>
      </c>
      <c r="I42" t="s">
        <v>5</v>
      </c>
      <c r="J42" t="s">
        <v>6</v>
      </c>
      <c r="K42" t="s">
        <v>7</v>
      </c>
      <c r="L42" t="s">
        <v>10</v>
      </c>
      <c r="M42" t="s">
        <v>21</v>
      </c>
      <c r="N42" t="s">
        <v>31</v>
      </c>
      <c r="O42" t="s">
        <v>22</v>
      </c>
      <c r="P42" t="s">
        <v>20</v>
      </c>
      <c r="Q42" t="s">
        <v>55</v>
      </c>
      <c r="R42" t="s">
        <v>33</v>
      </c>
      <c r="S42" t="s">
        <v>25</v>
      </c>
      <c r="T42" t="s">
        <v>47</v>
      </c>
      <c r="U42" t="s">
        <v>5</v>
      </c>
      <c r="V42" s="3" t="s">
        <v>649</v>
      </c>
      <c r="W42" t="s">
        <v>34</v>
      </c>
    </row>
    <row r="43" spans="1:23" ht="21" customHeight="1">
      <c r="A43" s="1">
        <v>45706.900972222225</v>
      </c>
      <c r="C43" t="s">
        <v>84</v>
      </c>
      <c r="D43">
        <v>32</v>
      </c>
      <c r="E43">
        <v>176</v>
      </c>
      <c r="F43">
        <v>105</v>
      </c>
      <c r="G43">
        <v>1.5</v>
      </c>
      <c r="H43" t="s">
        <v>590</v>
      </c>
      <c r="I43" t="s">
        <v>29</v>
      </c>
      <c r="J43" t="s">
        <v>36</v>
      </c>
      <c r="K43" t="s">
        <v>30</v>
      </c>
      <c r="L43" t="s">
        <v>12</v>
      </c>
      <c r="M43" t="s">
        <v>38</v>
      </c>
      <c r="N43" t="s">
        <v>12</v>
      </c>
      <c r="O43" t="s">
        <v>46</v>
      </c>
      <c r="P43" t="s">
        <v>10</v>
      </c>
      <c r="Q43" t="s">
        <v>32</v>
      </c>
      <c r="R43" t="s">
        <v>33</v>
      </c>
      <c r="S43" t="s">
        <v>47</v>
      </c>
      <c r="T43" t="s">
        <v>24</v>
      </c>
      <c r="U43" t="s">
        <v>5</v>
      </c>
      <c r="V43" s="3" t="s">
        <v>650</v>
      </c>
      <c r="W43" t="s">
        <v>26</v>
      </c>
    </row>
    <row r="44" spans="1:23" ht="20.25" customHeight="1">
      <c r="A44" s="1">
        <v>45730.001620370371</v>
      </c>
      <c r="C44" t="s">
        <v>85</v>
      </c>
      <c r="D44">
        <v>41</v>
      </c>
      <c r="E44">
        <v>158</v>
      </c>
      <c r="F44">
        <v>91</v>
      </c>
      <c r="G44">
        <v>2.5</v>
      </c>
      <c r="H44" t="s">
        <v>590</v>
      </c>
      <c r="I44" t="s">
        <v>29</v>
      </c>
      <c r="J44" t="s">
        <v>36</v>
      </c>
      <c r="K44" t="s">
        <v>7</v>
      </c>
      <c r="L44" t="s">
        <v>20</v>
      </c>
      <c r="M44" t="s">
        <v>21</v>
      </c>
      <c r="N44" t="s">
        <v>31</v>
      </c>
      <c r="O44" t="s">
        <v>11</v>
      </c>
      <c r="P44" t="s">
        <v>8</v>
      </c>
      <c r="Q44" t="s">
        <v>13</v>
      </c>
      <c r="R44" t="s">
        <v>14</v>
      </c>
      <c r="S44" t="s">
        <v>25</v>
      </c>
      <c r="T44" t="s">
        <v>15</v>
      </c>
      <c r="U44" t="s">
        <v>29</v>
      </c>
      <c r="V44" s="3" t="s">
        <v>651</v>
      </c>
      <c r="W44" t="s">
        <v>16</v>
      </c>
    </row>
    <row r="45" spans="1:23" ht="19.5" customHeight="1">
      <c r="A45" s="1">
        <v>45668.662210648145</v>
      </c>
      <c r="C45" t="s">
        <v>86</v>
      </c>
      <c r="D45">
        <v>37</v>
      </c>
      <c r="E45">
        <v>168</v>
      </c>
      <c r="F45">
        <v>91</v>
      </c>
      <c r="G45">
        <v>3</v>
      </c>
      <c r="H45" t="s">
        <v>28</v>
      </c>
      <c r="I45" t="s">
        <v>5</v>
      </c>
      <c r="J45" t="s">
        <v>6</v>
      </c>
      <c r="K45" t="s">
        <v>37</v>
      </c>
      <c r="L45" t="s">
        <v>10</v>
      </c>
      <c r="M45" t="s">
        <v>9</v>
      </c>
      <c r="N45" t="s">
        <v>10</v>
      </c>
      <c r="O45" t="s">
        <v>44</v>
      </c>
      <c r="P45" t="s">
        <v>12</v>
      </c>
      <c r="Q45" t="s">
        <v>23</v>
      </c>
      <c r="R45" t="s">
        <v>33</v>
      </c>
      <c r="S45" t="s">
        <v>24</v>
      </c>
      <c r="T45" t="s">
        <v>24</v>
      </c>
      <c r="U45" t="s">
        <v>5</v>
      </c>
      <c r="V45" s="3" t="s">
        <v>652</v>
      </c>
      <c r="W45" t="s">
        <v>39</v>
      </c>
    </row>
    <row r="46" spans="1:23" ht="18" customHeight="1">
      <c r="A46" s="1">
        <v>45749.24560185185</v>
      </c>
      <c r="C46" t="s">
        <v>87</v>
      </c>
      <c r="D46">
        <v>33</v>
      </c>
      <c r="E46">
        <v>168</v>
      </c>
      <c r="F46">
        <v>63</v>
      </c>
      <c r="G46">
        <v>2</v>
      </c>
      <c r="H46" t="s">
        <v>590</v>
      </c>
      <c r="I46" t="s">
        <v>29</v>
      </c>
      <c r="J46" t="s">
        <v>36</v>
      </c>
      <c r="K46" t="s">
        <v>60</v>
      </c>
      <c r="L46" t="s">
        <v>12</v>
      </c>
      <c r="M46" t="s">
        <v>21</v>
      </c>
      <c r="N46" t="s">
        <v>10</v>
      </c>
      <c r="O46" t="s">
        <v>22</v>
      </c>
      <c r="P46" t="s">
        <v>40</v>
      </c>
      <c r="Q46" t="s">
        <v>55</v>
      </c>
      <c r="R46" t="s">
        <v>14</v>
      </c>
      <c r="S46" t="s">
        <v>25</v>
      </c>
      <c r="T46" t="s">
        <v>15</v>
      </c>
      <c r="U46" t="s">
        <v>5</v>
      </c>
      <c r="V46" s="3" t="s">
        <v>653</v>
      </c>
      <c r="W46" t="s">
        <v>39</v>
      </c>
    </row>
    <row r="47" spans="1:23" ht="18" customHeight="1">
      <c r="A47" s="1">
        <v>45785.106111111112</v>
      </c>
      <c r="C47" t="s">
        <v>57</v>
      </c>
      <c r="D47">
        <v>56</v>
      </c>
      <c r="E47">
        <v>161</v>
      </c>
      <c r="F47">
        <v>60</v>
      </c>
      <c r="G47">
        <v>1.5</v>
      </c>
      <c r="H47" t="s">
        <v>28</v>
      </c>
      <c r="I47" t="s">
        <v>29</v>
      </c>
      <c r="J47" t="s">
        <v>36</v>
      </c>
      <c r="K47" t="s">
        <v>7</v>
      </c>
      <c r="L47" t="s">
        <v>12</v>
      </c>
      <c r="M47" t="s">
        <v>38</v>
      </c>
      <c r="N47" t="s">
        <v>31</v>
      </c>
      <c r="O47" t="s">
        <v>44</v>
      </c>
      <c r="P47" t="s">
        <v>40</v>
      </c>
      <c r="Q47" t="s">
        <v>13</v>
      </c>
      <c r="R47" t="s">
        <v>14</v>
      </c>
      <c r="S47" t="s">
        <v>47</v>
      </c>
      <c r="T47" t="s">
        <v>25</v>
      </c>
      <c r="U47" t="s">
        <v>5</v>
      </c>
      <c r="V47" s="3" t="s">
        <v>654</v>
      </c>
      <c r="W47" t="s">
        <v>34</v>
      </c>
    </row>
    <row r="48" spans="1:23" ht="20.25" customHeight="1">
      <c r="A48" s="1">
        <v>45773.855196759258</v>
      </c>
      <c r="C48" t="s">
        <v>88</v>
      </c>
      <c r="D48">
        <v>48</v>
      </c>
      <c r="E48">
        <v>179</v>
      </c>
      <c r="F48">
        <v>52</v>
      </c>
      <c r="G48">
        <v>3</v>
      </c>
      <c r="H48" t="s">
        <v>591</v>
      </c>
      <c r="I48" t="s">
        <v>29</v>
      </c>
      <c r="J48" t="s">
        <v>6</v>
      </c>
      <c r="K48" t="s">
        <v>30</v>
      </c>
      <c r="L48" t="s">
        <v>40</v>
      </c>
      <c r="M48" t="s">
        <v>21</v>
      </c>
      <c r="N48" t="s">
        <v>12</v>
      </c>
      <c r="O48" t="s">
        <v>22</v>
      </c>
      <c r="P48" t="s">
        <v>40</v>
      </c>
      <c r="Q48" t="s">
        <v>32</v>
      </c>
      <c r="R48" t="s">
        <v>33</v>
      </c>
      <c r="S48" t="s">
        <v>24</v>
      </c>
      <c r="T48" t="s">
        <v>25</v>
      </c>
      <c r="U48" t="s">
        <v>5</v>
      </c>
      <c r="V48" s="3" t="s">
        <v>655</v>
      </c>
      <c r="W48" t="s">
        <v>26</v>
      </c>
    </row>
    <row r="49" spans="1:23" ht="19.5" customHeight="1">
      <c r="A49" s="1">
        <v>45691.305277777778</v>
      </c>
      <c r="C49" t="s">
        <v>89</v>
      </c>
      <c r="D49">
        <v>21</v>
      </c>
      <c r="E49">
        <v>156</v>
      </c>
      <c r="F49">
        <v>72</v>
      </c>
      <c r="G49">
        <v>1.5</v>
      </c>
      <c r="H49" t="s">
        <v>590</v>
      </c>
      <c r="I49" t="s">
        <v>29</v>
      </c>
      <c r="J49" t="s">
        <v>36</v>
      </c>
      <c r="K49" t="s">
        <v>30</v>
      </c>
      <c r="L49" t="s">
        <v>10</v>
      </c>
      <c r="M49" t="s">
        <v>9</v>
      </c>
      <c r="N49" t="s">
        <v>12</v>
      </c>
      <c r="O49" t="s">
        <v>46</v>
      </c>
      <c r="P49" t="s">
        <v>10</v>
      </c>
      <c r="Q49" t="s">
        <v>13</v>
      </c>
      <c r="R49" t="s">
        <v>50</v>
      </c>
      <c r="S49" t="s">
        <v>15</v>
      </c>
      <c r="T49" t="s">
        <v>47</v>
      </c>
      <c r="U49" t="s">
        <v>29</v>
      </c>
      <c r="V49" s="3" t="s">
        <v>656</v>
      </c>
      <c r="W49" t="s">
        <v>39</v>
      </c>
    </row>
    <row r="50" spans="1:23" ht="18.75" customHeight="1">
      <c r="A50" s="1">
        <v>45811.491064814814</v>
      </c>
      <c r="C50" t="s">
        <v>90</v>
      </c>
      <c r="D50">
        <v>56</v>
      </c>
      <c r="E50">
        <v>173</v>
      </c>
      <c r="F50">
        <v>93</v>
      </c>
      <c r="G50">
        <v>2.5</v>
      </c>
      <c r="H50" t="s">
        <v>590</v>
      </c>
      <c r="I50" t="s">
        <v>29</v>
      </c>
      <c r="J50" t="s">
        <v>36</v>
      </c>
      <c r="K50" t="s">
        <v>37</v>
      </c>
      <c r="L50" t="s">
        <v>10</v>
      </c>
      <c r="M50" t="s">
        <v>21</v>
      </c>
      <c r="N50" t="s">
        <v>12</v>
      </c>
      <c r="O50" t="s">
        <v>11</v>
      </c>
      <c r="P50" t="s">
        <v>8</v>
      </c>
      <c r="Q50" t="s">
        <v>23</v>
      </c>
      <c r="R50" t="s">
        <v>33</v>
      </c>
      <c r="S50" t="s">
        <v>24</v>
      </c>
      <c r="T50" t="s">
        <v>47</v>
      </c>
      <c r="U50" t="s">
        <v>5</v>
      </c>
      <c r="V50" s="3" t="s">
        <v>657</v>
      </c>
      <c r="W50" t="s">
        <v>16</v>
      </c>
    </row>
    <row r="51" spans="1:23" ht="18.75" customHeight="1">
      <c r="A51" s="1">
        <v>45675.971724537034</v>
      </c>
      <c r="C51" t="s">
        <v>91</v>
      </c>
      <c r="D51">
        <v>40</v>
      </c>
      <c r="E51">
        <v>175</v>
      </c>
      <c r="F51">
        <v>87</v>
      </c>
      <c r="G51">
        <v>3</v>
      </c>
      <c r="H51" t="s">
        <v>592</v>
      </c>
      <c r="I51" t="s">
        <v>5</v>
      </c>
      <c r="J51" t="s">
        <v>6</v>
      </c>
      <c r="K51" t="s">
        <v>60</v>
      </c>
      <c r="L51" t="s">
        <v>10</v>
      </c>
      <c r="M51" t="s">
        <v>9</v>
      </c>
      <c r="N51" t="s">
        <v>20</v>
      </c>
      <c r="O51" t="s">
        <v>44</v>
      </c>
      <c r="P51" t="s">
        <v>31</v>
      </c>
      <c r="Q51" t="s">
        <v>23</v>
      </c>
      <c r="R51" t="s">
        <v>50</v>
      </c>
      <c r="S51" t="s">
        <v>47</v>
      </c>
      <c r="T51" t="s">
        <v>47</v>
      </c>
      <c r="U51" t="s">
        <v>29</v>
      </c>
      <c r="V51" s="3" t="s">
        <v>658</v>
      </c>
      <c r="W51" t="s">
        <v>16</v>
      </c>
    </row>
    <row r="52" spans="1:23" ht="18.75" customHeight="1">
      <c r="A52" s="1">
        <v>45740.81927083333</v>
      </c>
      <c r="C52" t="s">
        <v>92</v>
      </c>
      <c r="D52">
        <v>55</v>
      </c>
      <c r="E52">
        <v>183</v>
      </c>
      <c r="F52">
        <v>53</v>
      </c>
      <c r="G52">
        <v>1</v>
      </c>
      <c r="H52" t="s">
        <v>591</v>
      </c>
      <c r="I52" t="s">
        <v>5</v>
      </c>
      <c r="J52" t="s">
        <v>36</v>
      </c>
      <c r="K52" t="s">
        <v>30</v>
      </c>
      <c r="L52" t="s">
        <v>8</v>
      </c>
      <c r="M52" t="s">
        <v>21</v>
      </c>
      <c r="N52" t="s">
        <v>12</v>
      </c>
      <c r="O52" t="s">
        <v>11</v>
      </c>
      <c r="P52" t="s">
        <v>12</v>
      </c>
      <c r="Q52" t="s">
        <v>55</v>
      </c>
      <c r="R52" t="s">
        <v>50</v>
      </c>
      <c r="S52" t="s">
        <v>24</v>
      </c>
      <c r="T52" t="s">
        <v>47</v>
      </c>
      <c r="U52" t="s">
        <v>29</v>
      </c>
      <c r="V52" s="3" t="s">
        <v>659</v>
      </c>
      <c r="W52" t="s">
        <v>16</v>
      </c>
    </row>
    <row r="53" spans="1:23" ht="20.25" customHeight="1">
      <c r="A53" s="1">
        <v>45807.175046296295</v>
      </c>
      <c r="C53" t="s">
        <v>70</v>
      </c>
      <c r="D53">
        <v>56</v>
      </c>
      <c r="E53">
        <v>180</v>
      </c>
      <c r="F53">
        <v>82</v>
      </c>
      <c r="G53">
        <v>2</v>
      </c>
      <c r="H53" t="s">
        <v>591</v>
      </c>
      <c r="I53" t="s">
        <v>5</v>
      </c>
      <c r="J53" t="s">
        <v>6</v>
      </c>
      <c r="K53" t="s">
        <v>63</v>
      </c>
      <c r="L53" t="s">
        <v>10</v>
      </c>
      <c r="M53" t="s">
        <v>38</v>
      </c>
      <c r="N53" t="s">
        <v>20</v>
      </c>
      <c r="O53" t="s">
        <v>11</v>
      </c>
      <c r="P53" t="s">
        <v>12</v>
      </c>
      <c r="Q53" t="s">
        <v>55</v>
      </c>
      <c r="R53" t="s">
        <v>50</v>
      </c>
      <c r="S53" t="s">
        <v>24</v>
      </c>
      <c r="T53" t="s">
        <v>47</v>
      </c>
      <c r="U53" t="s">
        <v>5</v>
      </c>
      <c r="V53" s="3" t="s">
        <v>660</v>
      </c>
      <c r="W53" t="s">
        <v>16</v>
      </c>
    </row>
    <row r="54" spans="1:23" ht="21.75" customHeight="1">
      <c r="A54" s="1">
        <v>45684.640046296299</v>
      </c>
      <c r="C54" t="s">
        <v>93</v>
      </c>
      <c r="D54">
        <v>22</v>
      </c>
      <c r="E54">
        <v>163</v>
      </c>
      <c r="F54">
        <v>86</v>
      </c>
      <c r="G54">
        <v>1.5</v>
      </c>
      <c r="H54" t="s">
        <v>591</v>
      </c>
      <c r="I54" t="s">
        <v>29</v>
      </c>
      <c r="J54" t="s">
        <v>36</v>
      </c>
      <c r="K54" t="s">
        <v>30</v>
      </c>
      <c r="L54" t="s">
        <v>12</v>
      </c>
      <c r="M54" t="s">
        <v>38</v>
      </c>
      <c r="N54" t="s">
        <v>31</v>
      </c>
      <c r="O54" t="s">
        <v>46</v>
      </c>
      <c r="P54" t="s">
        <v>20</v>
      </c>
      <c r="Q54" t="s">
        <v>55</v>
      </c>
      <c r="R54" t="s">
        <v>33</v>
      </c>
      <c r="S54" t="s">
        <v>24</v>
      </c>
      <c r="T54" t="s">
        <v>15</v>
      </c>
      <c r="U54" t="s">
        <v>5</v>
      </c>
      <c r="V54" s="3" t="s">
        <v>661</v>
      </c>
      <c r="W54" t="s">
        <v>39</v>
      </c>
    </row>
    <row r="55" spans="1:23" ht="19.5" customHeight="1">
      <c r="A55" s="1">
        <v>45722.135682870372</v>
      </c>
      <c r="C55" t="s">
        <v>94</v>
      </c>
      <c r="D55">
        <v>27</v>
      </c>
      <c r="E55">
        <v>183</v>
      </c>
      <c r="F55">
        <v>101</v>
      </c>
      <c r="G55">
        <v>2</v>
      </c>
      <c r="H55" t="s">
        <v>28</v>
      </c>
      <c r="I55" t="s">
        <v>29</v>
      </c>
      <c r="J55" t="s">
        <v>36</v>
      </c>
      <c r="K55" t="s">
        <v>19</v>
      </c>
      <c r="L55" t="s">
        <v>20</v>
      </c>
      <c r="M55" t="s">
        <v>38</v>
      </c>
      <c r="N55" t="s">
        <v>10</v>
      </c>
      <c r="O55" t="s">
        <v>22</v>
      </c>
      <c r="P55" t="s">
        <v>20</v>
      </c>
      <c r="Q55" t="s">
        <v>23</v>
      </c>
      <c r="R55" t="s">
        <v>14</v>
      </c>
      <c r="S55" t="s">
        <v>47</v>
      </c>
      <c r="T55" t="s">
        <v>47</v>
      </c>
      <c r="U55" t="s">
        <v>5</v>
      </c>
      <c r="V55" s="3" t="s">
        <v>662</v>
      </c>
      <c r="W55" t="s">
        <v>34</v>
      </c>
    </row>
    <row r="56" spans="1:23" ht="21" customHeight="1">
      <c r="A56" s="1">
        <v>45740.540266203701</v>
      </c>
      <c r="C56" t="s">
        <v>95</v>
      </c>
      <c r="D56">
        <v>36</v>
      </c>
      <c r="E56">
        <v>169</v>
      </c>
      <c r="F56">
        <v>71</v>
      </c>
      <c r="G56">
        <v>2</v>
      </c>
      <c r="H56" t="s">
        <v>28</v>
      </c>
      <c r="I56" t="s">
        <v>5</v>
      </c>
      <c r="J56" t="s">
        <v>36</v>
      </c>
      <c r="K56" t="s">
        <v>7</v>
      </c>
      <c r="L56" t="s">
        <v>12</v>
      </c>
      <c r="M56" t="s">
        <v>52</v>
      </c>
      <c r="N56" t="s">
        <v>10</v>
      </c>
      <c r="O56" t="s">
        <v>22</v>
      </c>
      <c r="P56" t="s">
        <v>10</v>
      </c>
      <c r="Q56" t="s">
        <v>23</v>
      </c>
      <c r="R56" t="s">
        <v>50</v>
      </c>
      <c r="S56" t="s">
        <v>47</v>
      </c>
      <c r="T56" t="s">
        <v>15</v>
      </c>
      <c r="U56" t="s">
        <v>5</v>
      </c>
      <c r="V56" s="3" t="s">
        <v>663</v>
      </c>
      <c r="W56" t="s">
        <v>26</v>
      </c>
    </row>
    <row r="57" spans="1:23" ht="19.5" customHeight="1">
      <c r="A57" s="1">
        <v>45804.185624999998</v>
      </c>
      <c r="C57" t="s">
        <v>96</v>
      </c>
      <c r="D57">
        <v>25</v>
      </c>
      <c r="E57">
        <v>168</v>
      </c>
      <c r="F57">
        <v>90</v>
      </c>
      <c r="G57">
        <v>3</v>
      </c>
      <c r="H57" t="s">
        <v>592</v>
      </c>
      <c r="I57" t="s">
        <v>29</v>
      </c>
      <c r="J57" t="s">
        <v>6</v>
      </c>
      <c r="K57" t="s">
        <v>37</v>
      </c>
      <c r="L57" t="s">
        <v>40</v>
      </c>
      <c r="M57" t="s">
        <v>52</v>
      </c>
      <c r="N57" t="s">
        <v>8</v>
      </c>
      <c r="O57" t="s">
        <v>22</v>
      </c>
      <c r="P57" t="s">
        <v>10</v>
      </c>
      <c r="Q57" t="s">
        <v>32</v>
      </c>
      <c r="R57" t="s">
        <v>50</v>
      </c>
      <c r="S57" t="s">
        <v>47</v>
      </c>
      <c r="T57" t="s">
        <v>47</v>
      </c>
      <c r="U57" t="s">
        <v>5</v>
      </c>
      <c r="V57" s="4" t="s">
        <v>97</v>
      </c>
      <c r="W57" t="s">
        <v>16</v>
      </c>
    </row>
    <row r="58" spans="1:23" ht="18.75" customHeight="1">
      <c r="A58" s="1">
        <v>45776.893553240741</v>
      </c>
      <c r="C58" t="s">
        <v>98</v>
      </c>
      <c r="D58">
        <v>54</v>
      </c>
      <c r="E58">
        <v>181</v>
      </c>
      <c r="F58">
        <v>88</v>
      </c>
      <c r="G58">
        <v>1.5</v>
      </c>
      <c r="H58" t="s">
        <v>28</v>
      </c>
      <c r="I58" t="s">
        <v>5</v>
      </c>
      <c r="J58" t="s">
        <v>36</v>
      </c>
      <c r="K58" t="s">
        <v>37</v>
      </c>
      <c r="L58" t="s">
        <v>10</v>
      </c>
      <c r="M58" t="s">
        <v>21</v>
      </c>
      <c r="N58" t="s">
        <v>12</v>
      </c>
      <c r="O58" t="s">
        <v>11</v>
      </c>
      <c r="P58" t="s">
        <v>12</v>
      </c>
      <c r="Q58" t="s">
        <v>55</v>
      </c>
      <c r="R58" t="s">
        <v>14</v>
      </c>
      <c r="S58" t="s">
        <v>25</v>
      </c>
      <c r="T58" t="s">
        <v>24</v>
      </c>
      <c r="U58" t="s">
        <v>29</v>
      </c>
      <c r="V58" s="3" t="s">
        <v>664</v>
      </c>
      <c r="W58" t="s">
        <v>26</v>
      </c>
    </row>
    <row r="59" spans="1:23" ht="21" customHeight="1">
      <c r="A59" s="1">
        <v>45789.690567129626</v>
      </c>
      <c r="C59" t="s">
        <v>99</v>
      </c>
      <c r="D59">
        <v>34</v>
      </c>
      <c r="E59">
        <v>170</v>
      </c>
      <c r="F59">
        <v>92</v>
      </c>
      <c r="G59">
        <v>2.5</v>
      </c>
      <c r="H59" t="s">
        <v>28</v>
      </c>
      <c r="I59" t="s">
        <v>29</v>
      </c>
      <c r="J59" t="s">
        <v>6</v>
      </c>
      <c r="K59" t="s">
        <v>30</v>
      </c>
      <c r="L59" t="s">
        <v>12</v>
      </c>
      <c r="M59" t="s">
        <v>9</v>
      </c>
      <c r="N59" t="s">
        <v>10</v>
      </c>
      <c r="O59" t="s">
        <v>22</v>
      </c>
      <c r="P59" t="s">
        <v>12</v>
      </c>
      <c r="Q59" t="s">
        <v>23</v>
      </c>
      <c r="R59" t="s">
        <v>50</v>
      </c>
      <c r="S59" t="s">
        <v>47</v>
      </c>
      <c r="T59" t="s">
        <v>24</v>
      </c>
      <c r="U59" t="s">
        <v>5</v>
      </c>
      <c r="V59" s="3" t="s">
        <v>665</v>
      </c>
      <c r="W59" t="s">
        <v>39</v>
      </c>
    </row>
    <row r="60" spans="1:23" ht="18" customHeight="1">
      <c r="A60" s="1">
        <v>45726.182974537034</v>
      </c>
      <c r="C60" t="s">
        <v>100</v>
      </c>
      <c r="D60">
        <v>41</v>
      </c>
      <c r="E60">
        <v>176</v>
      </c>
      <c r="F60">
        <v>77</v>
      </c>
      <c r="G60">
        <v>3</v>
      </c>
      <c r="H60" t="s">
        <v>592</v>
      </c>
      <c r="I60" t="s">
        <v>29</v>
      </c>
      <c r="J60" t="s">
        <v>6</v>
      </c>
      <c r="K60" t="s">
        <v>30</v>
      </c>
      <c r="L60" t="s">
        <v>12</v>
      </c>
      <c r="M60" t="s">
        <v>52</v>
      </c>
      <c r="N60" t="s">
        <v>31</v>
      </c>
      <c r="O60" t="s">
        <v>22</v>
      </c>
      <c r="P60" t="s">
        <v>40</v>
      </c>
      <c r="Q60" t="s">
        <v>32</v>
      </c>
      <c r="R60" t="s">
        <v>50</v>
      </c>
      <c r="S60" t="s">
        <v>25</v>
      </c>
      <c r="T60" t="s">
        <v>15</v>
      </c>
      <c r="U60" t="s">
        <v>29</v>
      </c>
      <c r="V60" s="3" t="s">
        <v>666</v>
      </c>
      <c r="W60" t="s">
        <v>26</v>
      </c>
    </row>
    <row r="61" spans="1:23" ht="19.5" customHeight="1">
      <c r="A61" s="1">
        <v>45751.529699074075</v>
      </c>
      <c r="C61" t="s">
        <v>101</v>
      </c>
      <c r="D61">
        <v>57</v>
      </c>
      <c r="E61">
        <v>183</v>
      </c>
      <c r="F61">
        <v>97</v>
      </c>
      <c r="G61">
        <v>3</v>
      </c>
      <c r="H61" t="s">
        <v>590</v>
      </c>
      <c r="I61" t="s">
        <v>29</v>
      </c>
      <c r="J61" t="s">
        <v>6</v>
      </c>
      <c r="K61" t="s">
        <v>7</v>
      </c>
      <c r="L61" t="s">
        <v>40</v>
      </c>
      <c r="M61" t="s">
        <v>9</v>
      </c>
      <c r="N61" t="s">
        <v>8</v>
      </c>
      <c r="O61" t="s">
        <v>22</v>
      </c>
      <c r="P61" t="s">
        <v>10</v>
      </c>
      <c r="Q61" t="s">
        <v>13</v>
      </c>
      <c r="R61" t="s">
        <v>33</v>
      </c>
      <c r="S61" t="s">
        <v>15</v>
      </c>
      <c r="T61" t="s">
        <v>24</v>
      </c>
      <c r="U61" t="s">
        <v>29</v>
      </c>
      <c r="V61" s="3" t="s">
        <v>667</v>
      </c>
      <c r="W61" t="s">
        <v>26</v>
      </c>
    </row>
    <row r="62" spans="1:23" ht="20.25" customHeight="1">
      <c r="A62" s="1">
        <v>45710.769432870373</v>
      </c>
      <c r="C62" t="s">
        <v>102</v>
      </c>
      <c r="D62">
        <v>26</v>
      </c>
      <c r="E62">
        <v>161</v>
      </c>
      <c r="F62">
        <v>88</v>
      </c>
      <c r="G62">
        <v>2</v>
      </c>
      <c r="H62" t="s">
        <v>592</v>
      </c>
      <c r="I62" t="s">
        <v>5</v>
      </c>
      <c r="J62" t="s">
        <v>36</v>
      </c>
      <c r="K62" t="s">
        <v>37</v>
      </c>
      <c r="L62" t="s">
        <v>20</v>
      </c>
      <c r="M62" t="s">
        <v>9</v>
      </c>
      <c r="N62" t="s">
        <v>20</v>
      </c>
      <c r="O62" t="s">
        <v>22</v>
      </c>
      <c r="P62" t="s">
        <v>8</v>
      </c>
      <c r="Q62" t="s">
        <v>32</v>
      </c>
      <c r="R62" t="s">
        <v>33</v>
      </c>
      <c r="S62" t="s">
        <v>15</v>
      </c>
      <c r="T62" t="s">
        <v>24</v>
      </c>
      <c r="U62" t="s">
        <v>5</v>
      </c>
      <c r="V62" s="3" t="s">
        <v>668</v>
      </c>
      <c r="W62" t="s">
        <v>34</v>
      </c>
    </row>
    <row r="63" spans="1:23" ht="19.5" customHeight="1">
      <c r="A63" s="1">
        <v>45702.428877314815</v>
      </c>
      <c r="C63" t="s">
        <v>103</v>
      </c>
      <c r="D63">
        <v>47</v>
      </c>
      <c r="E63">
        <v>187</v>
      </c>
      <c r="F63">
        <v>96</v>
      </c>
      <c r="G63">
        <v>2.5</v>
      </c>
      <c r="H63" t="s">
        <v>590</v>
      </c>
      <c r="I63" t="s">
        <v>29</v>
      </c>
      <c r="J63" t="s">
        <v>6</v>
      </c>
      <c r="K63" t="s">
        <v>30</v>
      </c>
      <c r="L63" t="s">
        <v>10</v>
      </c>
      <c r="M63" t="s">
        <v>52</v>
      </c>
      <c r="N63" t="s">
        <v>31</v>
      </c>
      <c r="O63" t="s">
        <v>11</v>
      </c>
      <c r="P63" t="s">
        <v>20</v>
      </c>
      <c r="Q63" t="s">
        <v>55</v>
      </c>
      <c r="R63" t="s">
        <v>14</v>
      </c>
      <c r="S63" t="s">
        <v>47</v>
      </c>
      <c r="T63" t="s">
        <v>15</v>
      </c>
      <c r="U63" t="s">
        <v>5</v>
      </c>
      <c r="V63" s="3" t="s">
        <v>669</v>
      </c>
      <c r="W63" t="s">
        <v>26</v>
      </c>
    </row>
    <row r="64" spans="1:23" ht="21" customHeight="1">
      <c r="A64" s="1">
        <v>45671.284108796295</v>
      </c>
      <c r="C64" t="s">
        <v>104</v>
      </c>
      <c r="D64">
        <v>40</v>
      </c>
      <c r="E64">
        <v>157</v>
      </c>
      <c r="F64">
        <v>93</v>
      </c>
      <c r="G64">
        <v>2.5</v>
      </c>
      <c r="H64" t="s">
        <v>28</v>
      </c>
      <c r="I64" t="s">
        <v>29</v>
      </c>
      <c r="J64" t="s">
        <v>6</v>
      </c>
      <c r="K64" t="s">
        <v>60</v>
      </c>
      <c r="L64" t="s">
        <v>31</v>
      </c>
      <c r="M64" t="s">
        <v>21</v>
      </c>
      <c r="N64" t="s">
        <v>10</v>
      </c>
      <c r="O64" t="s">
        <v>44</v>
      </c>
      <c r="P64" t="s">
        <v>31</v>
      </c>
      <c r="Q64" t="s">
        <v>32</v>
      </c>
      <c r="R64" t="s">
        <v>50</v>
      </c>
      <c r="S64" t="s">
        <v>47</v>
      </c>
      <c r="T64" t="s">
        <v>25</v>
      </c>
      <c r="U64" t="s">
        <v>29</v>
      </c>
      <c r="V64" s="3" t="s">
        <v>670</v>
      </c>
      <c r="W64" t="s">
        <v>16</v>
      </c>
    </row>
    <row r="65" spans="1:23" ht="21" customHeight="1">
      <c r="A65" s="1">
        <v>45677.722557870373</v>
      </c>
      <c r="C65" t="s">
        <v>105</v>
      </c>
      <c r="D65">
        <v>58</v>
      </c>
      <c r="E65">
        <v>164</v>
      </c>
      <c r="F65">
        <v>54</v>
      </c>
      <c r="G65">
        <v>1.5</v>
      </c>
      <c r="H65" t="s">
        <v>28</v>
      </c>
      <c r="I65" t="s">
        <v>5</v>
      </c>
      <c r="J65" t="s">
        <v>6</v>
      </c>
      <c r="K65" t="s">
        <v>63</v>
      </c>
      <c r="L65" t="s">
        <v>12</v>
      </c>
      <c r="M65" t="s">
        <v>38</v>
      </c>
      <c r="N65" t="s">
        <v>10</v>
      </c>
      <c r="O65" t="s">
        <v>22</v>
      </c>
      <c r="P65" t="s">
        <v>31</v>
      </c>
      <c r="Q65" t="s">
        <v>55</v>
      </c>
      <c r="R65" t="s">
        <v>14</v>
      </c>
      <c r="S65" t="s">
        <v>15</v>
      </c>
      <c r="T65" t="s">
        <v>47</v>
      </c>
      <c r="U65" t="s">
        <v>5</v>
      </c>
      <c r="V65" s="3" t="s">
        <v>671</v>
      </c>
      <c r="W65" t="s">
        <v>39</v>
      </c>
    </row>
    <row r="66" spans="1:23" ht="18" customHeight="1">
      <c r="A66" s="1">
        <v>45689.348645833335</v>
      </c>
      <c r="C66" t="s">
        <v>106</v>
      </c>
      <c r="D66">
        <v>20</v>
      </c>
      <c r="E66">
        <v>155</v>
      </c>
      <c r="F66">
        <v>65</v>
      </c>
      <c r="G66">
        <v>1.5</v>
      </c>
      <c r="H66" t="s">
        <v>592</v>
      </c>
      <c r="I66" t="s">
        <v>5</v>
      </c>
      <c r="J66" t="s">
        <v>36</v>
      </c>
      <c r="K66" t="s">
        <v>60</v>
      </c>
      <c r="L66" t="s">
        <v>12</v>
      </c>
      <c r="M66" t="s">
        <v>52</v>
      </c>
      <c r="N66" t="s">
        <v>31</v>
      </c>
      <c r="O66" t="s">
        <v>46</v>
      </c>
      <c r="P66" t="s">
        <v>20</v>
      </c>
      <c r="Q66" t="s">
        <v>13</v>
      </c>
      <c r="R66" t="s">
        <v>33</v>
      </c>
      <c r="S66" t="s">
        <v>47</v>
      </c>
      <c r="T66" t="s">
        <v>47</v>
      </c>
      <c r="U66" t="s">
        <v>5</v>
      </c>
      <c r="V66" s="3" t="s">
        <v>672</v>
      </c>
      <c r="W66" t="s">
        <v>39</v>
      </c>
    </row>
    <row r="67" spans="1:23" ht="20.25" customHeight="1">
      <c r="A67" s="1">
        <v>45731.631296296298</v>
      </c>
      <c r="C67" t="s">
        <v>107</v>
      </c>
      <c r="D67">
        <v>54</v>
      </c>
      <c r="E67">
        <v>189</v>
      </c>
      <c r="F67">
        <v>64</v>
      </c>
      <c r="G67">
        <v>1.5</v>
      </c>
      <c r="H67" t="s">
        <v>590</v>
      </c>
      <c r="I67" t="s">
        <v>5</v>
      </c>
      <c r="J67" t="s">
        <v>6</v>
      </c>
      <c r="K67" t="s">
        <v>19</v>
      </c>
      <c r="L67" t="s">
        <v>10</v>
      </c>
      <c r="M67" t="s">
        <v>9</v>
      </c>
      <c r="N67" t="s">
        <v>10</v>
      </c>
      <c r="O67" t="s">
        <v>11</v>
      </c>
      <c r="P67" t="s">
        <v>40</v>
      </c>
      <c r="Q67" t="s">
        <v>23</v>
      </c>
      <c r="R67" t="s">
        <v>33</v>
      </c>
      <c r="S67" t="s">
        <v>15</v>
      </c>
      <c r="T67" t="s">
        <v>47</v>
      </c>
      <c r="U67" t="s">
        <v>5</v>
      </c>
      <c r="V67" s="3" t="s">
        <v>673</v>
      </c>
      <c r="W67" t="s">
        <v>34</v>
      </c>
    </row>
    <row r="68" spans="1:23" ht="12.75">
      <c r="A68" s="1">
        <v>45777.758900462963</v>
      </c>
      <c r="C68" t="s">
        <v>108</v>
      </c>
      <c r="D68">
        <v>56</v>
      </c>
      <c r="E68">
        <v>174</v>
      </c>
      <c r="F68">
        <v>88</v>
      </c>
      <c r="G68">
        <v>3</v>
      </c>
      <c r="H68" t="s">
        <v>592</v>
      </c>
      <c r="I68" t="s">
        <v>29</v>
      </c>
      <c r="J68" t="s">
        <v>36</v>
      </c>
      <c r="K68" t="s">
        <v>19</v>
      </c>
      <c r="L68" t="s">
        <v>40</v>
      </c>
      <c r="M68" t="s">
        <v>21</v>
      </c>
      <c r="N68" t="s">
        <v>31</v>
      </c>
      <c r="O68" t="s">
        <v>46</v>
      </c>
      <c r="P68" t="s">
        <v>20</v>
      </c>
      <c r="Q68" t="s">
        <v>13</v>
      </c>
      <c r="R68" t="s">
        <v>33</v>
      </c>
      <c r="S68" t="s">
        <v>24</v>
      </c>
      <c r="T68" t="s">
        <v>47</v>
      </c>
      <c r="U68" t="s">
        <v>5</v>
      </c>
      <c r="V68" s="3" t="s">
        <v>674</v>
      </c>
      <c r="W68" t="s">
        <v>39</v>
      </c>
    </row>
    <row r="69" spans="1:23" ht="12.75">
      <c r="A69" s="1">
        <v>45734.216620370367</v>
      </c>
      <c r="C69" t="s">
        <v>109</v>
      </c>
      <c r="D69">
        <v>58</v>
      </c>
      <c r="E69">
        <v>188</v>
      </c>
      <c r="F69">
        <v>56</v>
      </c>
      <c r="G69">
        <v>2.5</v>
      </c>
      <c r="H69" t="s">
        <v>28</v>
      </c>
      <c r="I69" t="s">
        <v>5</v>
      </c>
      <c r="J69" t="s">
        <v>36</v>
      </c>
      <c r="K69" t="s">
        <v>7</v>
      </c>
      <c r="L69" t="s">
        <v>20</v>
      </c>
      <c r="M69" t="s">
        <v>21</v>
      </c>
      <c r="N69" t="s">
        <v>8</v>
      </c>
      <c r="O69" t="s">
        <v>46</v>
      </c>
      <c r="P69" t="s">
        <v>10</v>
      </c>
      <c r="Q69" t="s">
        <v>32</v>
      </c>
      <c r="R69" t="s">
        <v>14</v>
      </c>
      <c r="S69" t="s">
        <v>25</v>
      </c>
      <c r="T69" t="s">
        <v>47</v>
      </c>
      <c r="U69" t="s">
        <v>5</v>
      </c>
      <c r="V69" s="3" t="s">
        <v>675</v>
      </c>
      <c r="W69" t="s">
        <v>16</v>
      </c>
    </row>
    <row r="70" spans="1:23" ht="12.75">
      <c r="A70" s="1">
        <v>45728.099652777775</v>
      </c>
      <c r="C70" t="s">
        <v>110</v>
      </c>
      <c r="D70">
        <v>43</v>
      </c>
      <c r="E70">
        <v>171</v>
      </c>
      <c r="F70">
        <v>97</v>
      </c>
      <c r="G70">
        <v>1.5</v>
      </c>
      <c r="H70" t="s">
        <v>28</v>
      </c>
      <c r="I70" t="s">
        <v>29</v>
      </c>
      <c r="J70" t="s">
        <v>6</v>
      </c>
      <c r="K70" t="s">
        <v>63</v>
      </c>
      <c r="L70" t="s">
        <v>12</v>
      </c>
      <c r="M70" t="s">
        <v>21</v>
      </c>
      <c r="N70" t="s">
        <v>10</v>
      </c>
      <c r="O70" t="s">
        <v>44</v>
      </c>
      <c r="P70" t="s">
        <v>12</v>
      </c>
      <c r="Q70" t="s">
        <v>32</v>
      </c>
      <c r="R70" t="s">
        <v>33</v>
      </c>
      <c r="S70" t="s">
        <v>47</v>
      </c>
      <c r="T70" t="s">
        <v>15</v>
      </c>
      <c r="U70" t="s">
        <v>29</v>
      </c>
      <c r="V70" s="3" t="s">
        <v>676</v>
      </c>
      <c r="W70" t="s">
        <v>16</v>
      </c>
    </row>
    <row r="71" spans="1:23" ht="12.75">
      <c r="A71" s="1">
        <v>45758.161956018521</v>
      </c>
      <c r="C71" t="s">
        <v>111</v>
      </c>
      <c r="D71">
        <v>38</v>
      </c>
      <c r="E71">
        <v>168</v>
      </c>
      <c r="F71">
        <v>83</v>
      </c>
      <c r="G71">
        <v>3</v>
      </c>
      <c r="H71" t="s">
        <v>592</v>
      </c>
      <c r="I71" t="s">
        <v>5</v>
      </c>
      <c r="J71" t="s">
        <v>6</v>
      </c>
      <c r="K71" t="s">
        <v>19</v>
      </c>
      <c r="L71" t="s">
        <v>40</v>
      </c>
      <c r="M71" t="s">
        <v>21</v>
      </c>
      <c r="N71" t="s">
        <v>10</v>
      </c>
      <c r="O71" t="s">
        <v>22</v>
      </c>
      <c r="P71" t="s">
        <v>40</v>
      </c>
      <c r="Q71" t="s">
        <v>32</v>
      </c>
      <c r="R71" t="s">
        <v>33</v>
      </c>
      <c r="S71" t="s">
        <v>15</v>
      </c>
      <c r="T71" t="s">
        <v>24</v>
      </c>
      <c r="U71" t="s">
        <v>29</v>
      </c>
      <c r="V71" s="3" t="s">
        <v>677</v>
      </c>
      <c r="W71" t="s">
        <v>34</v>
      </c>
    </row>
    <row r="72" spans="1:23" ht="12.75">
      <c r="A72" s="1">
        <v>45743.838067129633</v>
      </c>
      <c r="C72" t="s">
        <v>112</v>
      </c>
      <c r="D72">
        <v>37</v>
      </c>
      <c r="E72">
        <v>160</v>
      </c>
      <c r="F72">
        <v>92</v>
      </c>
      <c r="G72">
        <v>2.5</v>
      </c>
      <c r="H72" t="s">
        <v>590</v>
      </c>
      <c r="I72" t="s">
        <v>29</v>
      </c>
      <c r="J72" t="s">
        <v>6</v>
      </c>
      <c r="K72" t="s">
        <v>7</v>
      </c>
      <c r="L72" t="s">
        <v>20</v>
      </c>
      <c r="M72" t="s">
        <v>52</v>
      </c>
      <c r="N72" t="s">
        <v>8</v>
      </c>
      <c r="O72" t="s">
        <v>11</v>
      </c>
      <c r="P72" t="s">
        <v>10</v>
      </c>
      <c r="Q72" t="s">
        <v>23</v>
      </c>
      <c r="R72" t="s">
        <v>33</v>
      </c>
      <c r="S72" t="s">
        <v>47</v>
      </c>
      <c r="T72" t="s">
        <v>47</v>
      </c>
      <c r="U72" t="s">
        <v>29</v>
      </c>
      <c r="V72" s="3" t="s">
        <v>678</v>
      </c>
      <c r="W72" t="s">
        <v>16</v>
      </c>
    </row>
    <row r="73" spans="1:23" ht="12.75">
      <c r="A73" s="1">
        <v>45762.778854166667</v>
      </c>
      <c r="C73" t="s">
        <v>93</v>
      </c>
      <c r="D73">
        <v>23</v>
      </c>
      <c r="E73">
        <v>161</v>
      </c>
      <c r="F73">
        <v>100</v>
      </c>
      <c r="G73">
        <v>2.5</v>
      </c>
      <c r="H73" t="s">
        <v>592</v>
      </c>
      <c r="I73" t="s">
        <v>29</v>
      </c>
      <c r="J73" t="s">
        <v>6</v>
      </c>
      <c r="K73" t="s">
        <v>63</v>
      </c>
      <c r="L73" t="s">
        <v>12</v>
      </c>
      <c r="M73" t="s">
        <v>21</v>
      </c>
      <c r="N73" t="s">
        <v>10</v>
      </c>
      <c r="O73" t="s">
        <v>46</v>
      </c>
      <c r="P73" t="s">
        <v>20</v>
      </c>
      <c r="Q73" t="s">
        <v>32</v>
      </c>
      <c r="R73" t="s">
        <v>50</v>
      </c>
      <c r="S73" t="s">
        <v>25</v>
      </c>
      <c r="T73" t="s">
        <v>15</v>
      </c>
      <c r="U73" t="s">
        <v>5</v>
      </c>
      <c r="V73" s="3" t="s">
        <v>679</v>
      </c>
      <c r="W73" t="s">
        <v>16</v>
      </c>
    </row>
    <row r="74" spans="1:23" ht="12.75">
      <c r="A74" s="1">
        <v>45710.112118055556</v>
      </c>
      <c r="C74" t="s">
        <v>113</v>
      </c>
      <c r="D74">
        <v>44</v>
      </c>
      <c r="E74">
        <v>172</v>
      </c>
      <c r="F74">
        <v>106</v>
      </c>
      <c r="G74">
        <v>1.5</v>
      </c>
      <c r="H74" t="s">
        <v>591</v>
      </c>
      <c r="I74" t="s">
        <v>5</v>
      </c>
      <c r="J74" t="s">
        <v>36</v>
      </c>
      <c r="K74" t="s">
        <v>63</v>
      </c>
      <c r="L74" t="s">
        <v>20</v>
      </c>
      <c r="M74" t="s">
        <v>9</v>
      </c>
      <c r="N74" t="s">
        <v>20</v>
      </c>
      <c r="O74" t="s">
        <v>11</v>
      </c>
      <c r="P74" t="s">
        <v>12</v>
      </c>
      <c r="Q74" t="s">
        <v>55</v>
      </c>
      <c r="R74" t="s">
        <v>50</v>
      </c>
      <c r="S74" t="s">
        <v>47</v>
      </c>
      <c r="T74" t="s">
        <v>25</v>
      </c>
      <c r="U74" t="s">
        <v>5</v>
      </c>
      <c r="V74" s="3" t="s">
        <v>680</v>
      </c>
      <c r="W74" t="s">
        <v>26</v>
      </c>
    </row>
    <row r="75" spans="1:23" ht="12.75">
      <c r="A75" s="1">
        <v>45720.696620370371</v>
      </c>
      <c r="C75" t="s">
        <v>108</v>
      </c>
      <c r="D75">
        <v>55</v>
      </c>
      <c r="E75">
        <v>158</v>
      </c>
      <c r="F75">
        <v>83</v>
      </c>
      <c r="G75">
        <v>2</v>
      </c>
      <c r="H75" t="s">
        <v>592</v>
      </c>
      <c r="I75" t="s">
        <v>29</v>
      </c>
      <c r="J75" t="s">
        <v>36</v>
      </c>
      <c r="K75" t="s">
        <v>63</v>
      </c>
      <c r="L75" t="s">
        <v>12</v>
      </c>
      <c r="M75" t="s">
        <v>21</v>
      </c>
      <c r="N75" t="s">
        <v>8</v>
      </c>
      <c r="O75" t="s">
        <v>22</v>
      </c>
      <c r="P75" t="s">
        <v>31</v>
      </c>
      <c r="Q75" t="s">
        <v>13</v>
      </c>
      <c r="R75" t="s">
        <v>50</v>
      </c>
      <c r="S75" t="s">
        <v>25</v>
      </c>
      <c r="T75" t="s">
        <v>24</v>
      </c>
      <c r="U75" t="s">
        <v>29</v>
      </c>
      <c r="V75" s="3" t="s">
        <v>681</v>
      </c>
      <c r="W75" t="s">
        <v>26</v>
      </c>
    </row>
    <row r="76" spans="1:23" ht="12.75">
      <c r="A76" s="1">
        <v>45761.49763888889</v>
      </c>
      <c r="C76" t="s">
        <v>114</v>
      </c>
      <c r="D76">
        <v>44</v>
      </c>
      <c r="E76">
        <v>178</v>
      </c>
      <c r="F76">
        <v>70</v>
      </c>
      <c r="G76">
        <v>3</v>
      </c>
      <c r="H76" t="s">
        <v>590</v>
      </c>
      <c r="I76" t="s">
        <v>5</v>
      </c>
      <c r="J76" t="s">
        <v>6</v>
      </c>
      <c r="K76" t="s">
        <v>60</v>
      </c>
      <c r="L76" t="s">
        <v>12</v>
      </c>
      <c r="M76" t="s">
        <v>38</v>
      </c>
      <c r="N76" t="s">
        <v>20</v>
      </c>
      <c r="O76" t="s">
        <v>22</v>
      </c>
      <c r="P76" t="s">
        <v>8</v>
      </c>
      <c r="Q76" t="s">
        <v>23</v>
      </c>
      <c r="R76" t="s">
        <v>50</v>
      </c>
      <c r="S76" t="s">
        <v>15</v>
      </c>
      <c r="T76" t="s">
        <v>15</v>
      </c>
      <c r="U76" t="s">
        <v>29</v>
      </c>
      <c r="V76" s="3" t="s">
        <v>682</v>
      </c>
      <c r="W76" t="s">
        <v>16</v>
      </c>
    </row>
    <row r="77" spans="1:23" ht="12.75">
      <c r="A77" s="1">
        <v>45724.268437500003</v>
      </c>
      <c r="C77" t="s">
        <v>115</v>
      </c>
      <c r="D77">
        <v>28</v>
      </c>
      <c r="E77">
        <v>182</v>
      </c>
      <c r="F77">
        <v>50</v>
      </c>
      <c r="G77">
        <v>1</v>
      </c>
      <c r="H77" t="s">
        <v>590</v>
      </c>
      <c r="I77" t="s">
        <v>5</v>
      </c>
      <c r="J77" t="s">
        <v>36</v>
      </c>
      <c r="K77" t="s">
        <v>30</v>
      </c>
      <c r="L77" t="s">
        <v>40</v>
      </c>
      <c r="M77" t="s">
        <v>9</v>
      </c>
      <c r="N77" t="s">
        <v>12</v>
      </c>
      <c r="O77" t="s">
        <v>46</v>
      </c>
      <c r="P77" t="s">
        <v>31</v>
      </c>
      <c r="Q77" t="s">
        <v>13</v>
      </c>
      <c r="R77" t="s">
        <v>50</v>
      </c>
      <c r="S77" t="s">
        <v>15</v>
      </c>
      <c r="T77" t="s">
        <v>15</v>
      </c>
      <c r="U77" t="s">
        <v>29</v>
      </c>
      <c r="V77" s="3" t="s">
        <v>683</v>
      </c>
      <c r="W77" t="s">
        <v>34</v>
      </c>
    </row>
    <row r="78" spans="1:23" ht="12.75">
      <c r="A78" s="1">
        <v>45671.77820601852</v>
      </c>
      <c r="C78" t="s">
        <v>116</v>
      </c>
      <c r="D78">
        <v>50</v>
      </c>
      <c r="E78">
        <v>187</v>
      </c>
      <c r="F78">
        <v>86</v>
      </c>
      <c r="G78">
        <v>2</v>
      </c>
      <c r="H78" t="s">
        <v>28</v>
      </c>
      <c r="I78" t="s">
        <v>5</v>
      </c>
      <c r="J78" t="s">
        <v>6</v>
      </c>
      <c r="K78" t="s">
        <v>30</v>
      </c>
      <c r="L78" t="s">
        <v>10</v>
      </c>
      <c r="M78" t="s">
        <v>21</v>
      </c>
      <c r="N78" t="s">
        <v>8</v>
      </c>
      <c r="O78" t="s">
        <v>44</v>
      </c>
      <c r="P78" t="s">
        <v>31</v>
      </c>
      <c r="Q78" t="s">
        <v>32</v>
      </c>
      <c r="R78" t="s">
        <v>14</v>
      </c>
      <c r="S78" t="s">
        <v>24</v>
      </c>
      <c r="T78" t="s">
        <v>15</v>
      </c>
      <c r="U78" t="s">
        <v>29</v>
      </c>
      <c r="V78" s="3" t="s">
        <v>684</v>
      </c>
      <c r="W78" t="s">
        <v>26</v>
      </c>
    </row>
    <row r="79" spans="1:23" ht="12.75">
      <c r="A79" s="1">
        <v>45806.411458333336</v>
      </c>
      <c r="C79" t="s">
        <v>117</v>
      </c>
      <c r="D79">
        <v>24</v>
      </c>
      <c r="E79">
        <v>174</v>
      </c>
      <c r="F79">
        <v>77</v>
      </c>
      <c r="G79">
        <v>3</v>
      </c>
      <c r="H79" t="s">
        <v>28</v>
      </c>
      <c r="I79" t="s">
        <v>5</v>
      </c>
      <c r="J79" t="s">
        <v>6</v>
      </c>
      <c r="K79" t="s">
        <v>7</v>
      </c>
      <c r="L79" t="s">
        <v>12</v>
      </c>
      <c r="M79" t="s">
        <v>9</v>
      </c>
      <c r="N79" t="s">
        <v>12</v>
      </c>
      <c r="O79" t="s">
        <v>11</v>
      </c>
      <c r="P79" t="s">
        <v>12</v>
      </c>
      <c r="Q79" t="s">
        <v>23</v>
      </c>
      <c r="R79" t="s">
        <v>33</v>
      </c>
      <c r="S79" t="s">
        <v>25</v>
      </c>
      <c r="T79" t="s">
        <v>47</v>
      </c>
      <c r="U79" t="s">
        <v>5</v>
      </c>
      <c r="V79" s="3" t="s">
        <v>685</v>
      </c>
      <c r="W79" t="s">
        <v>39</v>
      </c>
    </row>
    <row r="80" spans="1:23" ht="12.75">
      <c r="A80" s="1">
        <v>45768.238749999997</v>
      </c>
      <c r="C80" t="s">
        <v>118</v>
      </c>
      <c r="D80">
        <v>44</v>
      </c>
      <c r="E80">
        <v>181</v>
      </c>
      <c r="F80">
        <v>80</v>
      </c>
      <c r="G80">
        <v>2</v>
      </c>
      <c r="H80" t="s">
        <v>590</v>
      </c>
      <c r="I80" t="s">
        <v>29</v>
      </c>
      <c r="J80" t="s">
        <v>6</v>
      </c>
      <c r="K80" t="s">
        <v>37</v>
      </c>
      <c r="L80" t="s">
        <v>40</v>
      </c>
      <c r="M80" t="s">
        <v>38</v>
      </c>
      <c r="N80" t="s">
        <v>10</v>
      </c>
      <c r="O80" t="s">
        <v>11</v>
      </c>
      <c r="P80" t="s">
        <v>10</v>
      </c>
      <c r="Q80" t="s">
        <v>32</v>
      </c>
      <c r="R80" t="s">
        <v>14</v>
      </c>
      <c r="S80" t="s">
        <v>24</v>
      </c>
      <c r="T80" t="s">
        <v>15</v>
      </c>
      <c r="U80" t="s">
        <v>5</v>
      </c>
      <c r="V80" s="3" t="s">
        <v>686</v>
      </c>
      <c r="W80" t="s">
        <v>34</v>
      </c>
    </row>
    <row r="81" spans="1:23" ht="12.75">
      <c r="A81" s="1">
        <v>45722.704942129632</v>
      </c>
      <c r="C81" t="s">
        <v>98</v>
      </c>
      <c r="D81">
        <v>20</v>
      </c>
      <c r="E81">
        <v>162</v>
      </c>
      <c r="F81">
        <v>53</v>
      </c>
      <c r="G81">
        <v>2.5</v>
      </c>
      <c r="H81" t="s">
        <v>592</v>
      </c>
      <c r="I81" t="s">
        <v>29</v>
      </c>
      <c r="J81" t="s">
        <v>36</v>
      </c>
      <c r="K81" t="s">
        <v>19</v>
      </c>
      <c r="L81" t="s">
        <v>12</v>
      </c>
      <c r="M81" t="s">
        <v>9</v>
      </c>
      <c r="N81" t="s">
        <v>10</v>
      </c>
      <c r="O81" t="s">
        <v>44</v>
      </c>
      <c r="P81" t="s">
        <v>10</v>
      </c>
      <c r="Q81" t="s">
        <v>23</v>
      </c>
      <c r="R81" t="s">
        <v>50</v>
      </c>
      <c r="S81" t="s">
        <v>15</v>
      </c>
      <c r="T81" t="s">
        <v>25</v>
      </c>
      <c r="U81" t="s">
        <v>5</v>
      </c>
      <c r="V81" s="3" t="s">
        <v>687</v>
      </c>
      <c r="W81" t="s">
        <v>16</v>
      </c>
    </row>
    <row r="82" spans="1:23" ht="12.75">
      <c r="A82" s="1">
        <v>45754.046712962961</v>
      </c>
      <c r="C82" t="s">
        <v>119</v>
      </c>
      <c r="D82">
        <v>59</v>
      </c>
      <c r="E82">
        <v>163</v>
      </c>
      <c r="F82">
        <v>56</v>
      </c>
      <c r="G82">
        <v>1.5</v>
      </c>
      <c r="H82" t="s">
        <v>592</v>
      </c>
      <c r="I82" t="s">
        <v>29</v>
      </c>
      <c r="J82" t="s">
        <v>6</v>
      </c>
      <c r="K82" t="s">
        <v>63</v>
      </c>
      <c r="L82" t="s">
        <v>8</v>
      </c>
      <c r="M82" t="s">
        <v>21</v>
      </c>
      <c r="N82" t="s">
        <v>8</v>
      </c>
      <c r="O82" t="s">
        <v>44</v>
      </c>
      <c r="P82" t="s">
        <v>8</v>
      </c>
      <c r="Q82" t="s">
        <v>23</v>
      </c>
      <c r="R82" t="s">
        <v>50</v>
      </c>
      <c r="S82" t="s">
        <v>47</v>
      </c>
      <c r="T82" t="s">
        <v>24</v>
      </c>
      <c r="U82" t="s">
        <v>5</v>
      </c>
      <c r="V82" s="3" t="s">
        <v>688</v>
      </c>
      <c r="W82" t="s">
        <v>34</v>
      </c>
    </row>
    <row r="83" spans="1:23" ht="12.75">
      <c r="A83" s="1">
        <v>45732.047349537039</v>
      </c>
      <c r="C83" t="s">
        <v>120</v>
      </c>
      <c r="D83">
        <v>35</v>
      </c>
      <c r="E83">
        <v>160</v>
      </c>
      <c r="F83">
        <v>81</v>
      </c>
      <c r="G83">
        <v>1.5</v>
      </c>
      <c r="H83" t="s">
        <v>28</v>
      </c>
      <c r="I83" t="s">
        <v>5</v>
      </c>
      <c r="J83" t="s">
        <v>36</v>
      </c>
      <c r="K83" t="s">
        <v>63</v>
      </c>
      <c r="L83" t="s">
        <v>40</v>
      </c>
      <c r="M83" t="s">
        <v>38</v>
      </c>
      <c r="N83" t="s">
        <v>40</v>
      </c>
      <c r="O83" t="s">
        <v>22</v>
      </c>
      <c r="P83" t="s">
        <v>10</v>
      </c>
      <c r="Q83" t="s">
        <v>23</v>
      </c>
      <c r="R83" t="s">
        <v>33</v>
      </c>
      <c r="S83" t="s">
        <v>24</v>
      </c>
      <c r="T83" t="s">
        <v>25</v>
      </c>
      <c r="U83" t="s">
        <v>29</v>
      </c>
      <c r="V83" s="3" t="s">
        <v>689</v>
      </c>
      <c r="W83" t="s">
        <v>39</v>
      </c>
    </row>
    <row r="84" spans="1:23" ht="12.75">
      <c r="A84" s="1">
        <v>45802.990289351852</v>
      </c>
      <c r="C84" t="s">
        <v>59</v>
      </c>
      <c r="D84">
        <v>51</v>
      </c>
      <c r="E84">
        <v>187</v>
      </c>
      <c r="F84">
        <v>62</v>
      </c>
      <c r="G84">
        <v>2</v>
      </c>
      <c r="H84" t="s">
        <v>592</v>
      </c>
      <c r="I84" t="s">
        <v>29</v>
      </c>
      <c r="J84" t="s">
        <v>36</v>
      </c>
      <c r="K84" t="s">
        <v>60</v>
      </c>
      <c r="L84" t="s">
        <v>10</v>
      </c>
      <c r="M84" t="s">
        <v>9</v>
      </c>
      <c r="N84" t="s">
        <v>12</v>
      </c>
      <c r="O84" t="s">
        <v>44</v>
      </c>
      <c r="P84" t="s">
        <v>31</v>
      </c>
      <c r="Q84" t="s">
        <v>32</v>
      </c>
      <c r="R84" t="s">
        <v>33</v>
      </c>
      <c r="S84" t="s">
        <v>24</v>
      </c>
      <c r="T84" t="s">
        <v>15</v>
      </c>
      <c r="U84" t="s">
        <v>5</v>
      </c>
      <c r="V84" s="4" t="s">
        <v>121</v>
      </c>
      <c r="W84" t="s">
        <v>26</v>
      </c>
    </row>
    <row r="85" spans="1:23" ht="12.75">
      <c r="A85" s="1">
        <v>45800.08048611111</v>
      </c>
      <c r="C85" t="s">
        <v>102</v>
      </c>
      <c r="D85">
        <v>48</v>
      </c>
      <c r="E85">
        <v>159</v>
      </c>
      <c r="F85">
        <v>81</v>
      </c>
      <c r="G85">
        <v>2.5</v>
      </c>
      <c r="H85" t="s">
        <v>591</v>
      </c>
      <c r="I85" t="s">
        <v>29</v>
      </c>
      <c r="J85" t="s">
        <v>36</v>
      </c>
      <c r="K85" t="s">
        <v>60</v>
      </c>
      <c r="L85" t="s">
        <v>40</v>
      </c>
      <c r="M85" t="s">
        <v>9</v>
      </c>
      <c r="N85" t="s">
        <v>12</v>
      </c>
      <c r="O85" t="s">
        <v>11</v>
      </c>
      <c r="P85" t="s">
        <v>20</v>
      </c>
      <c r="Q85" t="s">
        <v>23</v>
      </c>
      <c r="R85" t="s">
        <v>50</v>
      </c>
      <c r="S85" t="s">
        <v>24</v>
      </c>
      <c r="T85" t="s">
        <v>24</v>
      </c>
      <c r="U85" t="s">
        <v>29</v>
      </c>
      <c r="V85" s="3" t="s">
        <v>690</v>
      </c>
      <c r="W85" t="s">
        <v>16</v>
      </c>
    </row>
    <row r="86" spans="1:23" ht="12.75">
      <c r="A86" s="1">
        <v>45786.160312499997</v>
      </c>
      <c r="C86" t="s">
        <v>122</v>
      </c>
      <c r="D86">
        <v>38</v>
      </c>
      <c r="E86">
        <v>177</v>
      </c>
      <c r="F86">
        <v>84</v>
      </c>
      <c r="G86">
        <v>1</v>
      </c>
      <c r="H86" t="s">
        <v>590</v>
      </c>
      <c r="I86" t="s">
        <v>5</v>
      </c>
      <c r="J86" t="s">
        <v>36</v>
      </c>
      <c r="K86" t="s">
        <v>37</v>
      </c>
      <c r="L86" t="s">
        <v>10</v>
      </c>
      <c r="M86" t="s">
        <v>38</v>
      </c>
      <c r="N86" t="s">
        <v>40</v>
      </c>
      <c r="O86" t="s">
        <v>11</v>
      </c>
      <c r="P86" t="s">
        <v>40</v>
      </c>
      <c r="Q86" t="s">
        <v>13</v>
      </c>
      <c r="R86" t="s">
        <v>14</v>
      </c>
      <c r="S86" t="s">
        <v>15</v>
      </c>
      <c r="T86" t="s">
        <v>25</v>
      </c>
      <c r="U86" t="s">
        <v>5</v>
      </c>
      <c r="V86" s="3" t="s">
        <v>691</v>
      </c>
      <c r="W86" t="s">
        <v>34</v>
      </c>
    </row>
    <row r="87" spans="1:23" ht="12.75">
      <c r="A87" s="1">
        <v>45738.170416666668</v>
      </c>
      <c r="C87" t="s">
        <v>123</v>
      </c>
      <c r="D87">
        <v>33</v>
      </c>
      <c r="E87">
        <v>177</v>
      </c>
      <c r="F87">
        <v>69</v>
      </c>
      <c r="G87">
        <v>1.5</v>
      </c>
      <c r="H87" t="s">
        <v>592</v>
      </c>
      <c r="I87" t="s">
        <v>29</v>
      </c>
      <c r="J87" t="s">
        <v>36</v>
      </c>
      <c r="K87" t="s">
        <v>37</v>
      </c>
      <c r="L87" t="s">
        <v>20</v>
      </c>
      <c r="M87" t="s">
        <v>21</v>
      </c>
      <c r="N87" t="s">
        <v>8</v>
      </c>
      <c r="O87" t="s">
        <v>22</v>
      </c>
      <c r="P87" t="s">
        <v>12</v>
      </c>
      <c r="Q87" t="s">
        <v>13</v>
      </c>
      <c r="R87" t="s">
        <v>33</v>
      </c>
      <c r="S87" t="s">
        <v>15</v>
      </c>
      <c r="T87" t="s">
        <v>25</v>
      </c>
      <c r="U87" t="s">
        <v>5</v>
      </c>
      <c r="V87" s="3" t="s">
        <v>692</v>
      </c>
      <c r="W87" t="s">
        <v>26</v>
      </c>
    </row>
    <row r="88" spans="1:23" ht="12.75">
      <c r="A88" s="1">
        <v>45711.447245370371</v>
      </c>
      <c r="C88" t="s">
        <v>124</v>
      </c>
      <c r="D88">
        <v>47</v>
      </c>
      <c r="E88">
        <v>171</v>
      </c>
      <c r="F88">
        <v>93</v>
      </c>
      <c r="G88">
        <v>2.5</v>
      </c>
      <c r="H88" t="s">
        <v>592</v>
      </c>
      <c r="I88" t="s">
        <v>5</v>
      </c>
      <c r="J88" t="s">
        <v>6</v>
      </c>
      <c r="K88" t="s">
        <v>37</v>
      </c>
      <c r="L88" t="s">
        <v>40</v>
      </c>
      <c r="M88" t="s">
        <v>21</v>
      </c>
      <c r="N88" t="s">
        <v>8</v>
      </c>
      <c r="O88" t="s">
        <v>11</v>
      </c>
      <c r="P88" t="s">
        <v>20</v>
      </c>
      <c r="Q88" t="s">
        <v>55</v>
      </c>
      <c r="R88" t="s">
        <v>50</v>
      </c>
      <c r="S88" t="s">
        <v>24</v>
      </c>
      <c r="T88" t="s">
        <v>15</v>
      </c>
      <c r="U88" t="s">
        <v>5</v>
      </c>
      <c r="V88" s="3" t="s">
        <v>693</v>
      </c>
      <c r="W88" t="s">
        <v>26</v>
      </c>
    </row>
    <row r="89" spans="1:23" ht="12.75">
      <c r="A89" s="1">
        <v>45800.070625</v>
      </c>
      <c r="C89" t="s">
        <v>125</v>
      </c>
      <c r="D89">
        <v>48</v>
      </c>
      <c r="E89">
        <v>172</v>
      </c>
      <c r="F89">
        <v>74</v>
      </c>
      <c r="G89">
        <v>1.5</v>
      </c>
      <c r="H89" t="s">
        <v>28</v>
      </c>
      <c r="I89" t="s">
        <v>29</v>
      </c>
      <c r="J89" t="s">
        <v>6</v>
      </c>
      <c r="K89" t="s">
        <v>7</v>
      </c>
      <c r="L89" t="s">
        <v>40</v>
      </c>
      <c r="M89" t="s">
        <v>21</v>
      </c>
      <c r="N89" t="s">
        <v>12</v>
      </c>
      <c r="O89" t="s">
        <v>22</v>
      </c>
      <c r="P89" t="s">
        <v>12</v>
      </c>
      <c r="Q89" t="s">
        <v>13</v>
      </c>
      <c r="R89" t="s">
        <v>33</v>
      </c>
      <c r="S89" t="s">
        <v>47</v>
      </c>
      <c r="T89" t="s">
        <v>25</v>
      </c>
      <c r="U89" t="s">
        <v>5</v>
      </c>
      <c r="V89" s="3" t="s">
        <v>694</v>
      </c>
      <c r="W89" t="s">
        <v>34</v>
      </c>
    </row>
    <row r="90" spans="1:23" ht="12.75">
      <c r="A90" s="1">
        <v>45718.705787037034</v>
      </c>
      <c r="C90" t="s">
        <v>109</v>
      </c>
      <c r="D90">
        <v>23</v>
      </c>
      <c r="E90">
        <v>156</v>
      </c>
      <c r="F90">
        <v>51</v>
      </c>
      <c r="G90">
        <v>1</v>
      </c>
      <c r="H90" t="s">
        <v>591</v>
      </c>
      <c r="I90" t="s">
        <v>5</v>
      </c>
      <c r="J90" t="s">
        <v>6</v>
      </c>
      <c r="K90" t="s">
        <v>63</v>
      </c>
      <c r="L90" t="s">
        <v>10</v>
      </c>
      <c r="M90" t="s">
        <v>38</v>
      </c>
      <c r="N90" t="s">
        <v>31</v>
      </c>
      <c r="O90" t="s">
        <v>46</v>
      </c>
      <c r="P90" t="s">
        <v>8</v>
      </c>
      <c r="Q90" t="s">
        <v>23</v>
      </c>
      <c r="R90" t="s">
        <v>33</v>
      </c>
      <c r="S90" t="s">
        <v>24</v>
      </c>
      <c r="T90" t="s">
        <v>25</v>
      </c>
      <c r="U90" t="s">
        <v>5</v>
      </c>
      <c r="V90" s="3" t="s">
        <v>695</v>
      </c>
      <c r="W90" t="s">
        <v>16</v>
      </c>
    </row>
    <row r="91" spans="1:23" ht="12.75">
      <c r="A91" s="1">
        <v>45687.168993055559</v>
      </c>
      <c r="C91" t="s">
        <v>126</v>
      </c>
      <c r="D91">
        <v>55</v>
      </c>
      <c r="E91">
        <v>187</v>
      </c>
      <c r="F91">
        <v>103</v>
      </c>
      <c r="G91">
        <v>2</v>
      </c>
      <c r="H91" t="s">
        <v>28</v>
      </c>
      <c r="I91" t="s">
        <v>29</v>
      </c>
      <c r="J91" t="s">
        <v>6</v>
      </c>
      <c r="K91" t="s">
        <v>7</v>
      </c>
      <c r="L91" t="s">
        <v>12</v>
      </c>
      <c r="M91" t="s">
        <v>21</v>
      </c>
      <c r="N91" t="s">
        <v>12</v>
      </c>
      <c r="O91" t="s">
        <v>22</v>
      </c>
      <c r="P91" t="s">
        <v>8</v>
      </c>
      <c r="Q91" t="s">
        <v>13</v>
      </c>
      <c r="R91" t="s">
        <v>50</v>
      </c>
      <c r="S91" t="s">
        <v>24</v>
      </c>
      <c r="T91" t="s">
        <v>25</v>
      </c>
      <c r="U91" t="s">
        <v>29</v>
      </c>
      <c r="V91" s="3" t="s">
        <v>696</v>
      </c>
      <c r="W91" t="s">
        <v>16</v>
      </c>
    </row>
    <row r="92" spans="1:23" ht="12.75">
      <c r="A92" s="1">
        <v>45763.845381944448</v>
      </c>
      <c r="C92" t="s">
        <v>127</v>
      </c>
      <c r="D92">
        <v>25</v>
      </c>
      <c r="E92">
        <v>160</v>
      </c>
      <c r="F92">
        <v>108</v>
      </c>
      <c r="G92">
        <v>3</v>
      </c>
      <c r="H92" t="s">
        <v>28</v>
      </c>
      <c r="I92" t="s">
        <v>29</v>
      </c>
      <c r="J92" t="s">
        <v>36</v>
      </c>
      <c r="K92" t="s">
        <v>37</v>
      </c>
      <c r="L92" t="s">
        <v>8</v>
      </c>
      <c r="M92" t="s">
        <v>9</v>
      </c>
      <c r="N92" t="s">
        <v>40</v>
      </c>
      <c r="O92" t="s">
        <v>22</v>
      </c>
      <c r="P92" t="s">
        <v>8</v>
      </c>
      <c r="Q92" t="s">
        <v>32</v>
      </c>
      <c r="R92" t="s">
        <v>50</v>
      </c>
      <c r="S92" t="s">
        <v>25</v>
      </c>
      <c r="T92" t="s">
        <v>15</v>
      </c>
      <c r="U92" t="s">
        <v>5</v>
      </c>
      <c r="V92" s="3" t="s">
        <v>697</v>
      </c>
      <c r="W92" t="s">
        <v>39</v>
      </c>
    </row>
    <row r="93" spans="1:23" ht="12.75">
      <c r="A93" s="1">
        <v>45729.963055555556</v>
      </c>
      <c r="C93" t="s">
        <v>128</v>
      </c>
      <c r="D93">
        <v>54</v>
      </c>
      <c r="E93">
        <v>180</v>
      </c>
      <c r="F93">
        <v>94</v>
      </c>
      <c r="G93">
        <v>1</v>
      </c>
      <c r="H93" t="s">
        <v>592</v>
      </c>
      <c r="I93" t="s">
        <v>29</v>
      </c>
      <c r="J93" t="s">
        <v>36</v>
      </c>
      <c r="K93" t="s">
        <v>60</v>
      </c>
      <c r="L93" t="s">
        <v>8</v>
      </c>
      <c r="M93" t="s">
        <v>52</v>
      </c>
      <c r="N93" t="s">
        <v>10</v>
      </c>
      <c r="O93" t="s">
        <v>46</v>
      </c>
      <c r="P93" t="s">
        <v>31</v>
      </c>
      <c r="Q93" t="s">
        <v>23</v>
      </c>
      <c r="R93" t="s">
        <v>14</v>
      </c>
      <c r="S93" t="s">
        <v>25</v>
      </c>
      <c r="T93" t="s">
        <v>15</v>
      </c>
      <c r="U93" t="s">
        <v>5</v>
      </c>
      <c r="V93" s="3" t="s">
        <v>698</v>
      </c>
      <c r="W93" t="s">
        <v>16</v>
      </c>
    </row>
    <row r="94" spans="1:23" ht="12.75">
      <c r="A94" s="1">
        <v>45807.130300925928</v>
      </c>
      <c r="C94" t="s">
        <v>123</v>
      </c>
      <c r="D94">
        <v>36</v>
      </c>
      <c r="E94">
        <v>186</v>
      </c>
      <c r="F94">
        <v>71</v>
      </c>
      <c r="G94">
        <v>2</v>
      </c>
      <c r="H94" t="s">
        <v>590</v>
      </c>
      <c r="I94" t="s">
        <v>29</v>
      </c>
      <c r="J94" t="s">
        <v>6</v>
      </c>
      <c r="K94" t="s">
        <v>30</v>
      </c>
      <c r="L94" t="s">
        <v>20</v>
      </c>
      <c r="M94" t="s">
        <v>52</v>
      </c>
      <c r="N94" t="s">
        <v>31</v>
      </c>
      <c r="O94" t="s">
        <v>11</v>
      </c>
      <c r="P94" t="s">
        <v>40</v>
      </c>
      <c r="Q94" t="s">
        <v>32</v>
      </c>
      <c r="R94" t="s">
        <v>14</v>
      </c>
      <c r="S94" t="s">
        <v>47</v>
      </c>
      <c r="T94" t="s">
        <v>15</v>
      </c>
      <c r="U94" t="s">
        <v>29</v>
      </c>
      <c r="V94" s="3" t="s">
        <v>699</v>
      </c>
      <c r="W94" t="s">
        <v>34</v>
      </c>
    </row>
    <row r="95" spans="1:23" ht="12.75">
      <c r="A95" s="1">
        <v>45773.479351851849</v>
      </c>
      <c r="C95" t="s">
        <v>129</v>
      </c>
      <c r="D95">
        <v>21</v>
      </c>
      <c r="E95">
        <v>166</v>
      </c>
      <c r="F95">
        <v>79</v>
      </c>
      <c r="G95">
        <v>1</v>
      </c>
      <c r="H95" t="s">
        <v>592</v>
      </c>
      <c r="I95" t="s">
        <v>29</v>
      </c>
      <c r="J95" t="s">
        <v>6</v>
      </c>
      <c r="K95" t="s">
        <v>7</v>
      </c>
      <c r="L95" t="s">
        <v>8</v>
      </c>
      <c r="M95" t="s">
        <v>38</v>
      </c>
      <c r="N95" t="s">
        <v>20</v>
      </c>
      <c r="O95" t="s">
        <v>46</v>
      </c>
      <c r="P95" t="s">
        <v>31</v>
      </c>
      <c r="Q95" t="s">
        <v>23</v>
      </c>
      <c r="R95" t="s">
        <v>33</v>
      </c>
      <c r="S95" t="s">
        <v>47</v>
      </c>
      <c r="T95" t="s">
        <v>25</v>
      </c>
      <c r="U95" t="s">
        <v>5</v>
      </c>
      <c r="V95" s="3" t="s">
        <v>700</v>
      </c>
      <c r="W95" t="s">
        <v>16</v>
      </c>
    </row>
    <row r="96" spans="1:23" ht="12.75">
      <c r="A96" s="1">
        <v>45747.56627314815</v>
      </c>
      <c r="C96" t="s">
        <v>130</v>
      </c>
      <c r="D96">
        <v>48</v>
      </c>
      <c r="E96">
        <v>189</v>
      </c>
      <c r="F96">
        <v>64</v>
      </c>
      <c r="G96">
        <v>2.5</v>
      </c>
      <c r="H96" t="s">
        <v>592</v>
      </c>
      <c r="I96" t="s">
        <v>5</v>
      </c>
      <c r="J96" t="s">
        <v>36</v>
      </c>
      <c r="K96" t="s">
        <v>7</v>
      </c>
      <c r="L96" t="s">
        <v>20</v>
      </c>
      <c r="M96" t="s">
        <v>52</v>
      </c>
      <c r="N96" t="s">
        <v>12</v>
      </c>
      <c r="O96" t="s">
        <v>44</v>
      </c>
      <c r="P96" t="s">
        <v>10</v>
      </c>
      <c r="Q96" t="s">
        <v>13</v>
      </c>
      <c r="R96" t="s">
        <v>14</v>
      </c>
      <c r="S96" t="s">
        <v>24</v>
      </c>
      <c r="T96" t="s">
        <v>15</v>
      </c>
      <c r="U96" t="s">
        <v>29</v>
      </c>
      <c r="V96" s="3" t="s">
        <v>701</v>
      </c>
      <c r="W96" t="s">
        <v>34</v>
      </c>
    </row>
    <row r="97" spans="1:23" ht="12.75">
      <c r="A97" s="1">
        <v>45682.724456018521</v>
      </c>
      <c r="C97" t="s">
        <v>131</v>
      </c>
      <c r="D97">
        <v>27</v>
      </c>
      <c r="E97">
        <v>167</v>
      </c>
      <c r="F97">
        <v>50</v>
      </c>
      <c r="G97">
        <v>1</v>
      </c>
      <c r="H97" t="s">
        <v>590</v>
      </c>
      <c r="I97" t="s">
        <v>29</v>
      </c>
      <c r="J97" t="s">
        <v>36</v>
      </c>
      <c r="K97" t="s">
        <v>37</v>
      </c>
      <c r="L97" t="s">
        <v>10</v>
      </c>
      <c r="M97" t="s">
        <v>21</v>
      </c>
      <c r="N97" t="s">
        <v>20</v>
      </c>
      <c r="O97" t="s">
        <v>44</v>
      </c>
      <c r="P97" t="s">
        <v>8</v>
      </c>
      <c r="Q97" t="s">
        <v>32</v>
      </c>
      <c r="R97" t="s">
        <v>50</v>
      </c>
      <c r="S97" t="s">
        <v>24</v>
      </c>
      <c r="T97" t="s">
        <v>24</v>
      </c>
      <c r="U97" t="s">
        <v>5</v>
      </c>
      <c r="V97" s="3" t="s">
        <v>702</v>
      </c>
      <c r="W97" t="s">
        <v>26</v>
      </c>
    </row>
    <row r="98" spans="1:23" ht="12.75">
      <c r="A98" s="1">
        <v>45788.164178240739</v>
      </c>
      <c r="C98" t="s">
        <v>132</v>
      </c>
      <c r="D98">
        <v>28</v>
      </c>
      <c r="E98">
        <v>158</v>
      </c>
      <c r="F98">
        <v>95</v>
      </c>
      <c r="G98">
        <v>2</v>
      </c>
      <c r="H98" t="s">
        <v>592</v>
      </c>
      <c r="I98" t="s">
        <v>29</v>
      </c>
      <c r="J98" t="s">
        <v>36</v>
      </c>
      <c r="K98" t="s">
        <v>7</v>
      </c>
      <c r="L98" t="s">
        <v>20</v>
      </c>
      <c r="M98" t="s">
        <v>52</v>
      </c>
      <c r="N98" t="s">
        <v>20</v>
      </c>
      <c r="O98" t="s">
        <v>11</v>
      </c>
      <c r="P98" t="s">
        <v>20</v>
      </c>
      <c r="Q98" t="s">
        <v>23</v>
      </c>
      <c r="R98" t="s">
        <v>33</v>
      </c>
      <c r="S98" t="s">
        <v>24</v>
      </c>
      <c r="T98" t="s">
        <v>47</v>
      </c>
      <c r="U98" t="s">
        <v>5</v>
      </c>
      <c r="V98" s="3" t="s">
        <v>703</v>
      </c>
      <c r="W98" t="s">
        <v>39</v>
      </c>
    </row>
    <row r="99" spans="1:23" ht="12.75">
      <c r="A99" s="1">
        <v>45690.252997685187</v>
      </c>
      <c r="C99" t="s">
        <v>133</v>
      </c>
      <c r="D99">
        <v>39</v>
      </c>
      <c r="E99">
        <v>185</v>
      </c>
      <c r="F99">
        <v>72</v>
      </c>
      <c r="G99">
        <v>1.5</v>
      </c>
      <c r="H99" t="s">
        <v>591</v>
      </c>
      <c r="I99" t="s">
        <v>5</v>
      </c>
      <c r="J99" t="s">
        <v>6</v>
      </c>
      <c r="K99" t="s">
        <v>37</v>
      </c>
      <c r="L99" t="s">
        <v>10</v>
      </c>
      <c r="M99" t="s">
        <v>9</v>
      </c>
      <c r="N99" t="s">
        <v>10</v>
      </c>
      <c r="O99" t="s">
        <v>22</v>
      </c>
      <c r="P99" t="s">
        <v>40</v>
      </c>
      <c r="Q99" t="s">
        <v>13</v>
      </c>
      <c r="R99" t="s">
        <v>14</v>
      </c>
      <c r="S99" t="s">
        <v>15</v>
      </c>
      <c r="T99" t="s">
        <v>25</v>
      </c>
      <c r="U99" t="s">
        <v>29</v>
      </c>
      <c r="V99" s="3" t="s">
        <v>704</v>
      </c>
      <c r="W99" t="s">
        <v>39</v>
      </c>
    </row>
    <row r="100" spans="1:23" ht="12.75">
      <c r="A100" s="1">
        <v>45658.754791666666</v>
      </c>
      <c r="C100" t="s">
        <v>134</v>
      </c>
      <c r="D100">
        <v>33</v>
      </c>
      <c r="E100">
        <v>159</v>
      </c>
      <c r="F100">
        <v>63</v>
      </c>
      <c r="G100">
        <v>2.5</v>
      </c>
      <c r="H100" t="s">
        <v>28</v>
      </c>
      <c r="I100" t="s">
        <v>5</v>
      </c>
      <c r="J100" t="s">
        <v>36</v>
      </c>
      <c r="K100" t="s">
        <v>60</v>
      </c>
      <c r="L100" t="s">
        <v>12</v>
      </c>
      <c r="M100" t="s">
        <v>38</v>
      </c>
      <c r="N100" t="s">
        <v>12</v>
      </c>
      <c r="O100" t="s">
        <v>46</v>
      </c>
      <c r="P100" t="s">
        <v>12</v>
      </c>
      <c r="Q100" t="s">
        <v>13</v>
      </c>
      <c r="R100" t="s">
        <v>50</v>
      </c>
      <c r="S100" t="s">
        <v>24</v>
      </c>
      <c r="T100" t="s">
        <v>47</v>
      </c>
      <c r="U100" t="s">
        <v>29</v>
      </c>
      <c r="V100" s="3" t="s">
        <v>705</v>
      </c>
      <c r="W100" t="s">
        <v>26</v>
      </c>
    </row>
    <row r="101" spans="1:23" ht="12.75">
      <c r="A101" s="1">
        <v>45694.443368055552</v>
      </c>
      <c r="C101" t="s">
        <v>76</v>
      </c>
      <c r="D101">
        <v>56</v>
      </c>
      <c r="E101">
        <v>155</v>
      </c>
      <c r="F101">
        <v>93</v>
      </c>
      <c r="G101">
        <v>2.5</v>
      </c>
      <c r="H101" t="s">
        <v>592</v>
      </c>
      <c r="I101" t="s">
        <v>5</v>
      </c>
      <c r="J101" t="s">
        <v>6</v>
      </c>
      <c r="K101" t="s">
        <v>63</v>
      </c>
      <c r="L101" t="s">
        <v>20</v>
      </c>
      <c r="M101" t="s">
        <v>52</v>
      </c>
      <c r="N101" t="s">
        <v>40</v>
      </c>
      <c r="O101" t="s">
        <v>22</v>
      </c>
      <c r="P101" t="s">
        <v>8</v>
      </c>
      <c r="Q101" t="s">
        <v>13</v>
      </c>
      <c r="R101" t="s">
        <v>33</v>
      </c>
      <c r="S101" t="s">
        <v>25</v>
      </c>
      <c r="T101" t="s">
        <v>47</v>
      </c>
      <c r="U101" t="s">
        <v>29</v>
      </c>
      <c r="V101" s="3" t="s">
        <v>706</v>
      </c>
      <c r="W101" t="s">
        <v>39</v>
      </c>
    </row>
    <row r="102" spans="1:23" ht="12.75">
      <c r="A102" s="1">
        <v>45680.381111111114</v>
      </c>
      <c r="C102" t="s">
        <v>102</v>
      </c>
      <c r="D102">
        <v>54</v>
      </c>
      <c r="E102">
        <v>159</v>
      </c>
      <c r="F102">
        <v>106</v>
      </c>
      <c r="G102">
        <v>2.5</v>
      </c>
      <c r="H102" t="s">
        <v>590</v>
      </c>
      <c r="I102" t="s">
        <v>29</v>
      </c>
      <c r="J102" t="s">
        <v>6</v>
      </c>
      <c r="K102" t="s">
        <v>60</v>
      </c>
      <c r="L102" t="s">
        <v>12</v>
      </c>
      <c r="M102" t="s">
        <v>9</v>
      </c>
      <c r="N102" t="s">
        <v>10</v>
      </c>
      <c r="O102" t="s">
        <v>44</v>
      </c>
      <c r="P102" t="s">
        <v>12</v>
      </c>
      <c r="Q102" t="s">
        <v>23</v>
      </c>
      <c r="R102" t="s">
        <v>14</v>
      </c>
      <c r="S102" t="s">
        <v>25</v>
      </c>
      <c r="T102" t="s">
        <v>24</v>
      </c>
      <c r="U102" t="s">
        <v>29</v>
      </c>
      <c r="V102" s="3" t="s">
        <v>707</v>
      </c>
      <c r="W102" t="s">
        <v>16</v>
      </c>
    </row>
    <row r="103" spans="1:23" ht="12.75">
      <c r="A103" s="1">
        <v>45777.504027777781</v>
      </c>
      <c r="C103" t="s">
        <v>135</v>
      </c>
      <c r="D103">
        <v>59</v>
      </c>
      <c r="E103">
        <v>173</v>
      </c>
      <c r="F103">
        <v>58</v>
      </c>
      <c r="G103">
        <v>2.5</v>
      </c>
      <c r="H103" t="s">
        <v>28</v>
      </c>
      <c r="I103" t="s">
        <v>29</v>
      </c>
      <c r="J103" t="s">
        <v>36</v>
      </c>
      <c r="K103" t="s">
        <v>30</v>
      </c>
      <c r="L103" t="s">
        <v>31</v>
      </c>
      <c r="M103" t="s">
        <v>52</v>
      </c>
      <c r="N103" t="s">
        <v>12</v>
      </c>
      <c r="O103" t="s">
        <v>44</v>
      </c>
      <c r="P103" t="s">
        <v>12</v>
      </c>
      <c r="Q103" t="s">
        <v>32</v>
      </c>
      <c r="R103" t="s">
        <v>50</v>
      </c>
      <c r="S103" t="s">
        <v>15</v>
      </c>
      <c r="T103" t="s">
        <v>25</v>
      </c>
      <c r="U103" t="s">
        <v>5</v>
      </c>
      <c r="V103" s="3" t="s">
        <v>708</v>
      </c>
      <c r="W103" t="s">
        <v>39</v>
      </c>
    </row>
    <row r="104" spans="1:23" ht="12.75">
      <c r="A104" s="1">
        <v>45717.309236111112</v>
      </c>
      <c r="C104" t="s">
        <v>136</v>
      </c>
      <c r="D104">
        <v>39</v>
      </c>
      <c r="E104">
        <v>177</v>
      </c>
      <c r="F104">
        <v>87</v>
      </c>
      <c r="G104">
        <v>1.5</v>
      </c>
      <c r="H104" t="s">
        <v>28</v>
      </c>
      <c r="I104" t="s">
        <v>5</v>
      </c>
      <c r="J104" t="s">
        <v>6</v>
      </c>
      <c r="K104" t="s">
        <v>7</v>
      </c>
      <c r="L104" t="s">
        <v>8</v>
      </c>
      <c r="M104" t="s">
        <v>38</v>
      </c>
      <c r="N104" t="s">
        <v>10</v>
      </c>
      <c r="O104" t="s">
        <v>44</v>
      </c>
      <c r="P104" t="s">
        <v>12</v>
      </c>
      <c r="Q104" t="s">
        <v>32</v>
      </c>
      <c r="R104" t="s">
        <v>33</v>
      </c>
      <c r="S104" t="s">
        <v>15</v>
      </c>
      <c r="T104" t="s">
        <v>15</v>
      </c>
      <c r="U104" t="s">
        <v>5</v>
      </c>
      <c r="V104" s="3" t="s">
        <v>709</v>
      </c>
      <c r="W104" t="s">
        <v>26</v>
      </c>
    </row>
    <row r="105" spans="1:23" ht="12.75">
      <c r="A105" s="1">
        <v>45676.290300925924</v>
      </c>
      <c r="C105" t="s">
        <v>85</v>
      </c>
      <c r="D105">
        <v>26</v>
      </c>
      <c r="E105">
        <v>186</v>
      </c>
      <c r="F105">
        <v>102</v>
      </c>
      <c r="G105">
        <v>3</v>
      </c>
      <c r="H105" t="s">
        <v>591</v>
      </c>
      <c r="I105" t="s">
        <v>5</v>
      </c>
      <c r="J105" t="s">
        <v>36</v>
      </c>
      <c r="K105" t="s">
        <v>63</v>
      </c>
      <c r="L105" t="s">
        <v>31</v>
      </c>
      <c r="M105" t="s">
        <v>9</v>
      </c>
      <c r="N105" t="s">
        <v>40</v>
      </c>
      <c r="O105" t="s">
        <v>44</v>
      </c>
      <c r="P105" t="s">
        <v>8</v>
      </c>
      <c r="Q105" t="s">
        <v>32</v>
      </c>
      <c r="R105" t="s">
        <v>50</v>
      </c>
      <c r="S105" t="s">
        <v>25</v>
      </c>
      <c r="T105" t="s">
        <v>25</v>
      </c>
      <c r="U105" t="s">
        <v>5</v>
      </c>
      <c r="V105" s="3" t="s">
        <v>710</v>
      </c>
      <c r="W105" t="s">
        <v>34</v>
      </c>
    </row>
    <row r="106" spans="1:23" ht="12.75">
      <c r="A106" s="1">
        <v>45751.915405092594</v>
      </c>
      <c r="C106" t="s">
        <v>137</v>
      </c>
      <c r="D106">
        <v>42</v>
      </c>
      <c r="E106">
        <v>165</v>
      </c>
      <c r="F106">
        <v>86</v>
      </c>
      <c r="G106">
        <v>1.5</v>
      </c>
      <c r="H106" t="s">
        <v>28</v>
      </c>
      <c r="I106" t="s">
        <v>29</v>
      </c>
      <c r="J106" t="s">
        <v>36</v>
      </c>
      <c r="K106" t="s">
        <v>7</v>
      </c>
      <c r="L106" t="s">
        <v>31</v>
      </c>
      <c r="M106" t="s">
        <v>21</v>
      </c>
      <c r="N106" t="s">
        <v>10</v>
      </c>
      <c r="O106" t="s">
        <v>44</v>
      </c>
      <c r="P106" t="s">
        <v>8</v>
      </c>
      <c r="Q106" t="s">
        <v>13</v>
      </c>
      <c r="R106" t="s">
        <v>14</v>
      </c>
      <c r="S106" t="s">
        <v>24</v>
      </c>
      <c r="T106" t="s">
        <v>24</v>
      </c>
      <c r="U106" t="s">
        <v>29</v>
      </c>
      <c r="V106" s="3" t="s">
        <v>711</v>
      </c>
      <c r="W106" t="s">
        <v>34</v>
      </c>
    </row>
    <row r="107" spans="1:23" ht="12.75">
      <c r="A107" s="1">
        <v>45706.329664351855</v>
      </c>
      <c r="C107" t="s">
        <v>138</v>
      </c>
      <c r="D107">
        <v>48</v>
      </c>
      <c r="E107">
        <v>168</v>
      </c>
      <c r="F107">
        <v>50</v>
      </c>
      <c r="G107">
        <v>1</v>
      </c>
      <c r="H107" t="s">
        <v>28</v>
      </c>
      <c r="I107" t="s">
        <v>29</v>
      </c>
      <c r="J107" t="s">
        <v>6</v>
      </c>
      <c r="K107" t="s">
        <v>60</v>
      </c>
      <c r="L107" t="s">
        <v>8</v>
      </c>
      <c r="M107" t="s">
        <v>38</v>
      </c>
      <c r="N107" t="s">
        <v>8</v>
      </c>
      <c r="O107" t="s">
        <v>46</v>
      </c>
      <c r="P107" t="s">
        <v>20</v>
      </c>
      <c r="Q107" t="s">
        <v>23</v>
      </c>
      <c r="R107" t="s">
        <v>50</v>
      </c>
      <c r="S107" t="s">
        <v>25</v>
      </c>
      <c r="T107" t="s">
        <v>24</v>
      </c>
      <c r="U107" t="s">
        <v>5</v>
      </c>
      <c r="V107" s="3" t="s">
        <v>712</v>
      </c>
      <c r="W107" t="s">
        <v>26</v>
      </c>
    </row>
    <row r="108" spans="1:23" ht="12.75">
      <c r="A108" s="1">
        <v>45696.958518518521</v>
      </c>
      <c r="C108" t="s">
        <v>139</v>
      </c>
      <c r="D108">
        <v>55</v>
      </c>
      <c r="E108">
        <v>162</v>
      </c>
      <c r="F108">
        <v>60</v>
      </c>
      <c r="G108">
        <v>3</v>
      </c>
      <c r="H108" t="s">
        <v>28</v>
      </c>
      <c r="I108" t="s">
        <v>5</v>
      </c>
      <c r="J108" t="s">
        <v>6</v>
      </c>
      <c r="K108" t="s">
        <v>19</v>
      </c>
      <c r="L108" t="s">
        <v>8</v>
      </c>
      <c r="M108" t="s">
        <v>38</v>
      </c>
      <c r="N108" t="s">
        <v>8</v>
      </c>
      <c r="O108" t="s">
        <v>22</v>
      </c>
      <c r="P108" t="s">
        <v>31</v>
      </c>
      <c r="Q108" t="s">
        <v>13</v>
      </c>
      <c r="R108" t="s">
        <v>14</v>
      </c>
      <c r="S108" t="s">
        <v>25</v>
      </c>
      <c r="T108" t="s">
        <v>25</v>
      </c>
      <c r="U108" t="s">
        <v>5</v>
      </c>
      <c r="V108" s="3" t="s">
        <v>713</v>
      </c>
      <c r="W108" t="s">
        <v>34</v>
      </c>
    </row>
    <row r="109" spans="1:23" ht="12.75">
      <c r="A109" s="1">
        <v>45659.872407407405</v>
      </c>
      <c r="C109" t="s">
        <v>140</v>
      </c>
      <c r="D109">
        <v>48</v>
      </c>
      <c r="E109">
        <v>175</v>
      </c>
      <c r="F109">
        <v>65</v>
      </c>
      <c r="G109">
        <v>2</v>
      </c>
      <c r="H109" t="s">
        <v>28</v>
      </c>
      <c r="I109" t="s">
        <v>29</v>
      </c>
      <c r="J109" t="s">
        <v>36</v>
      </c>
      <c r="K109" t="s">
        <v>60</v>
      </c>
      <c r="L109" t="s">
        <v>10</v>
      </c>
      <c r="M109" t="s">
        <v>9</v>
      </c>
      <c r="N109" t="s">
        <v>20</v>
      </c>
      <c r="O109" t="s">
        <v>44</v>
      </c>
      <c r="P109" t="s">
        <v>12</v>
      </c>
      <c r="Q109" t="s">
        <v>13</v>
      </c>
      <c r="R109" t="s">
        <v>50</v>
      </c>
      <c r="S109" t="s">
        <v>25</v>
      </c>
      <c r="T109" t="s">
        <v>47</v>
      </c>
      <c r="U109" t="s">
        <v>5</v>
      </c>
      <c r="V109" s="3" t="s">
        <v>714</v>
      </c>
      <c r="W109" t="s">
        <v>39</v>
      </c>
    </row>
    <row r="110" spans="1:23" ht="12.75">
      <c r="A110" s="1">
        <v>45757.828541666669</v>
      </c>
      <c r="C110" t="s">
        <v>56</v>
      </c>
      <c r="D110">
        <v>50</v>
      </c>
      <c r="E110">
        <v>175</v>
      </c>
      <c r="F110">
        <v>106</v>
      </c>
      <c r="G110">
        <v>1.5</v>
      </c>
      <c r="H110" t="s">
        <v>591</v>
      </c>
      <c r="I110" t="s">
        <v>5</v>
      </c>
      <c r="J110" t="s">
        <v>36</v>
      </c>
      <c r="K110" t="s">
        <v>37</v>
      </c>
      <c r="L110" t="s">
        <v>12</v>
      </c>
      <c r="M110" t="s">
        <v>21</v>
      </c>
      <c r="N110" t="s">
        <v>10</v>
      </c>
      <c r="O110" t="s">
        <v>22</v>
      </c>
      <c r="P110" t="s">
        <v>20</v>
      </c>
      <c r="Q110" t="s">
        <v>23</v>
      </c>
      <c r="R110" t="s">
        <v>50</v>
      </c>
      <c r="S110" t="s">
        <v>47</v>
      </c>
      <c r="T110" t="s">
        <v>15</v>
      </c>
      <c r="U110" t="s">
        <v>5</v>
      </c>
      <c r="V110" s="3" t="s">
        <v>715</v>
      </c>
      <c r="W110" t="s">
        <v>39</v>
      </c>
    </row>
    <row r="111" spans="1:23" ht="12.75">
      <c r="A111" s="1">
        <v>45660.835868055554</v>
      </c>
      <c r="C111" t="s">
        <v>141</v>
      </c>
      <c r="D111">
        <v>37</v>
      </c>
      <c r="E111">
        <v>158</v>
      </c>
      <c r="F111">
        <v>69</v>
      </c>
      <c r="G111">
        <v>2</v>
      </c>
      <c r="H111" t="s">
        <v>592</v>
      </c>
      <c r="I111" t="s">
        <v>29</v>
      </c>
      <c r="J111" t="s">
        <v>36</v>
      </c>
      <c r="K111" t="s">
        <v>30</v>
      </c>
      <c r="L111" t="s">
        <v>40</v>
      </c>
      <c r="M111" t="s">
        <v>21</v>
      </c>
      <c r="N111" t="s">
        <v>20</v>
      </c>
      <c r="O111" t="s">
        <v>22</v>
      </c>
      <c r="P111" t="s">
        <v>8</v>
      </c>
      <c r="Q111" t="s">
        <v>32</v>
      </c>
      <c r="R111" t="s">
        <v>14</v>
      </c>
      <c r="S111" t="s">
        <v>15</v>
      </c>
      <c r="T111" t="s">
        <v>47</v>
      </c>
      <c r="U111" t="s">
        <v>5</v>
      </c>
      <c r="V111" s="3" t="s">
        <v>716</v>
      </c>
      <c r="W111" t="s">
        <v>26</v>
      </c>
    </row>
    <row r="112" spans="1:23" ht="12.75">
      <c r="A112" s="1">
        <v>45736.658182870371</v>
      </c>
      <c r="C112" t="s">
        <v>142</v>
      </c>
      <c r="D112">
        <v>28</v>
      </c>
      <c r="E112">
        <v>172</v>
      </c>
      <c r="F112">
        <v>99</v>
      </c>
      <c r="G112">
        <v>1</v>
      </c>
      <c r="H112" t="s">
        <v>591</v>
      </c>
      <c r="I112" t="s">
        <v>5</v>
      </c>
      <c r="J112" t="s">
        <v>6</v>
      </c>
      <c r="K112" t="s">
        <v>37</v>
      </c>
      <c r="L112" t="s">
        <v>10</v>
      </c>
      <c r="M112" t="s">
        <v>52</v>
      </c>
      <c r="N112" t="s">
        <v>20</v>
      </c>
      <c r="O112" t="s">
        <v>22</v>
      </c>
      <c r="P112" t="s">
        <v>40</v>
      </c>
      <c r="Q112" t="s">
        <v>23</v>
      </c>
      <c r="R112" t="s">
        <v>33</v>
      </c>
      <c r="S112" t="s">
        <v>25</v>
      </c>
      <c r="T112" t="s">
        <v>24</v>
      </c>
      <c r="U112" t="s">
        <v>29</v>
      </c>
      <c r="V112" s="3" t="s">
        <v>717</v>
      </c>
      <c r="W112" t="s">
        <v>16</v>
      </c>
    </row>
    <row r="113" spans="1:23" ht="12.75">
      <c r="A113" s="1">
        <v>45673.295775462961</v>
      </c>
      <c r="C113" t="s">
        <v>143</v>
      </c>
      <c r="D113">
        <v>59</v>
      </c>
      <c r="E113">
        <v>157</v>
      </c>
      <c r="F113">
        <v>90</v>
      </c>
      <c r="G113">
        <v>3</v>
      </c>
      <c r="H113" t="s">
        <v>590</v>
      </c>
      <c r="I113" t="s">
        <v>5</v>
      </c>
      <c r="J113" t="s">
        <v>6</v>
      </c>
      <c r="K113" t="s">
        <v>30</v>
      </c>
      <c r="L113" t="s">
        <v>20</v>
      </c>
      <c r="M113" t="s">
        <v>21</v>
      </c>
      <c r="N113" t="s">
        <v>31</v>
      </c>
      <c r="O113" t="s">
        <v>46</v>
      </c>
      <c r="P113" t="s">
        <v>20</v>
      </c>
      <c r="Q113" t="s">
        <v>13</v>
      </c>
      <c r="R113" t="s">
        <v>50</v>
      </c>
      <c r="S113" t="s">
        <v>15</v>
      </c>
      <c r="T113" t="s">
        <v>47</v>
      </c>
      <c r="U113" t="s">
        <v>29</v>
      </c>
      <c r="V113" s="3" t="s">
        <v>718</v>
      </c>
      <c r="W113" t="s">
        <v>26</v>
      </c>
    </row>
    <row r="114" spans="1:23" ht="12.75">
      <c r="A114" s="1">
        <v>45801.957592592589</v>
      </c>
      <c r="C114" t="s">
        <v>144</v>
      </c>
      <c r="D114">
        <v>54</v>
      </c>
      <c r="E114">
        <v>158</v>
      </c>
      <c r="F114">
        <v>97</v>
      </c>
      <c r="G114">
        <v>2</v>
      </c>
      <c r="H114" t="s">
        <v>590</v>
      </c>
      <c r="I114" t="s">
        <v>29</v>
      </c>
      <c r="J114" t="s">
        <v>6</v>
      </c>
      <c r="K114" t="s">
        <v>7</v>
      </c>
      <c r="L114" t="s">
        <v>10</v>
      </c>
      <c r="M114" t="s">
        <v>38</v>
      </c>
      <c r="N114" t="s">
        <v>40</v>
      </c>
      <c r="O114" t="s">
        <v>46</v>
      </c>
      <c r="P114" t="s">
        <v>8</v>
      </c>
      <c r="Q114" t="s">
        <v>23</v>
      </c>
      <c r="R114" t="s">
        <v>50</v>
      </c>
      <c r="S114" t="s">
        <v>25</v>
      </c>
      <c r="T114" t="s">
        <v>15</v>
      </c>
      <c r="U114" t="s">
        <v>5</v>
      </c>
      <c r="V114" s="3" t="s">
        <v>719</v>
      </c>
      <c r="W114" t="s">
        <v>34</v>
      </c>
    </row>
    <row r="115" spans="1:23" ht="12.75">
      <c r="A115" s="1">
        <v>45720.941412037035</v>
      </c>
      <c r="C115" t="s">
        <v>57</v>
      </c>
      <c r="D115">
        <v>35</v>
      </c>
      <c r="E115">
        <v>166</v>
      </c>
      <c r="F115">
        <v>57</v>
      </c>
      <c r="G115">
        <v>2.5</v>
      </c>
      <c r="H115" t="s">
        <v>592</v>
      </c>
      <c r="I115" t="s">
        <v>29</v>
      </c>
      <c r="J115" t="s">
        <v>36</v>
      </c>
      <c r="K115" t="s">
        <v>30</v>
      </c>
      <c r="L115" t="s">
        <v>31</v>
      </c>
      <c r="M115" t="s">
        <v>21</v>
      </c>
      <c r="N115" t="s">
        <v>40</v>
      </c>
      <c r="O115" t="s">
        <v>22</v>
      </c>
      <c r="P115" t="s">
        <v>8</v>
      </c>
      <c r="Q115" t="s">
        <v>55</v>
      </c>
      <c r="R115" t="s">
        <v>33</v>
      </c>
      <c r="S115" t="s">
        <v>24</v>
      </c>
      <c r="T115" t="s">
        <v>15</v>
      </c>
      <c r="U115" t="s">
        <v>5</v>
      </c>
      <c r="V115" s="3" t="s">
        <v>720</v>
      </c>
      <c r="W115" t="s">
        <v>16</v>
      </c>
    </row>
    <row r="116" spans="1:23" ht="12.75">
      <c r="A116" s="1">
        <v>45716.204942129632</v>
      </c>
      <c r="C116" t="s">
        <v>145</v>
      </c>
      <c r="D116">
        <v>38</v>
      </c>
      <c r="E116">
        <v>165</v>
      </c>
      <c r="F116">
        <v>81</v>
      </c>
      <c r="G116">
        <v>1</v>
      </c>
      <c r="H116" t="s">
        <v>590</v>
      </c>
      <c r="I116" t="s">
        <v>29</v>
      </c>
      <c r="J116" t="s">
        <v>36</v>
      </c>
      <c r="K116" t="s">
        <v>19</v>
      </c>
      <c r="L116" t="s">
        <v>20</v>
      </c>
      <c r="M116" t="s">
        <v>21</v>
      </c>
      <c r="N116" t="s">
        <v>20</v>
      </c>
      <c r="O116" t="s">
        <v>22</v>
      </c>
      <c r="P116" t="s">
        <v>8</v>
      </c>
      <c r="Q116" t="s">
        <v>23</v>
      </c>
      <c r="R116" t="s">
        <v>50</v>
      </c>
      <c r="S116" t="s">
        <v>15</v>
      </c>
      <c r="T116" t="s">
        <v>24</v>
      </c>
      <c r="U116" t="s">
        <v>29</v>
      </c>
      <c r="V116" s="3" t="s">
        <v>721</v>
      </c>
      <c r="W116" t="s">
        <v>26</v>
      </c>
    </row>
    <row r="117" spans="1:23" ht="12.75">
      <c r="A117" s="1">
        <v>45687.57403935185</v>
      </c>
      <c r="C117" t="s">
        <v>146</v>
      </c>
      <c r="D117">
        <v>40</v>
      </c>
      <c r="E117">
        <v>158</v>
      </c>
      <c r="F117">
        <v>78</v>
      </c>
      <c r="G117">
        <v>3</v>
      </c>
      <c r="H117" t="s">
        <v>590</v>
      </c>
      <c r="I117" t="s">
        <v>5</v>
      </c>
      <c r="J117" t="s">
        <v>36</v>
      </c>
      <c r="K117" t="s">
        <v>7</v>
      </c>
      <c r="L117" t="s">
        <v>8</v>
      </c>
      <c r="M117" t="s">
        <v>9</v>
      </c>
      <c r="N117" t="s">
        <v>31</v>
      </c>
      <c r="O117" t="s">
        <v>46</v>
      </c>
      <c r="P117" t="s">
        <v>12</v>
      </c>
      <c r="Q117" t="s">
        <v>23</v>
      </c>
      <c r="R117" t="s">
        <v>33</v>
      </c>
      <c r="S117" t="s">
        <v>47</v>
      </c>
      <c r="T117" t="s">
        <v>25</v>
      </c>
      <c r="U117" t="s">
        <v>29</v>
      </c>
      <c r="V117" s="3" t="s">
        <v>722</v>
      </c>
      <c r="W117" t="s">
        <v>34</v>
      </c>
    </row>
    <row r="118" spans="1:23" ht="12.75">
      <c r="A118" s="1">
        <v>45728.418692129628</v>
      </c>
      <c r="C118" t="s">
        <v>98</v>
      </c>
      <c r="D118">
        <v>36</v>
      </c>
      <c r="E118">
        <v>189</v>
      </c>
      <c r="F118">
        <v>87</v>
      </c>
      <c r="G118">
        <v>2.5</v>
      </c>
      <c r="H118" t="s">
        <v>591</v>
      </c>
      <c r="I118" t="s">
        <v>5</v>
      </c>
      <c r="J118" t="s">
        <v>36</v>
      </c>
      <c r="K118" t="s">
        <v>19</v>
      </c>
      <c r="L118" t="s">
        <v>40</v>
      </c>
      <c r="M118" t="s">
        <v>21</v>
      </c>
      <c r="N118" t="s">
        <v>10</v>
      </c>
      <c r="O118" t="s">
        <v>44</v>
      </c>
      <c r="P118" t="s">
        <v>40</v>
      </c>
      <c r="Q118" t="s">
        <v>23</v>
      </c>
      <c r="R118" t="s">
        <v>33</v>
      </c>
      <c r="S118" t="s">
        <v>15</v>
      </c>
      <c r="T118" t="s">
        <v>25</v>
      </c>
      <c r="U118" t="s">
        <v>5</v>
      </c>
      <c r="V118" s="3" t="s">
        <v>723</v>
      </c>
      <c r="W118" t="s">
        <v>26</v>
      </c>
    </row>
    <row r="119" spans="1:23" ht="12.75">
      <c r="A119" s="1">
        <v>45730.000231481485</v>
      </c>
      <c r="C119" t="s">
        <v>147</v>
      </c>
      <c r="D119">
        <v>22</v>
      </c>
      <c r="E119">
        <v>169</v>
      </c>
      <c r="F119">
        <v>102</v>
      </c>
      <c r="G119">
        <v>2</v>
      </c>
      <c r="H119" t="s">
        <v>592</v>
      </c>
      <c r="I119" t="s">
        <v>5</v>
      </c>
      <c r="J119" t="s">
        <v>36</v>
      </c>
      <c r="K119" t="s">
        <v>7</v>
      </c>
      <c r="L119" t="s">
        <v>10</v>
      </c>
      <c r="M119" t="s">
        <v>38</v>
      </c>
      <c r="N119" t="s">
        <v>40</v>
      </c>
      <c r="O119" t="s">
        <v>46</v>
      </c>
      <c r="P119" t="s">
        <v>40</v>
      </c>
      <c r="Q119" t="s">
        <v>13</v>
      </c>
      <c r="R119" t="s">
        <v>33</v>
      </c>
      <c r="S119" t="s">
        <v>24</v>
      </c>
      <c r="T119" t="s">
        <v>25</v>
      </c>
      <c r="U119" t="s">
        <v>5</v>
      </c>
      <c r="V119" s="3" t="s">
        <v>724</v>
      </c>
      <c r="W119" t="s">
        <v>26</v>
      </c>
    </row>
    <row r="120" spans="1:23" ht="12.75">
      <c r="A120" s="1">
        <v>45726.986655092594</v>
      </c>
      <c r="C120" t="s">
        <v>148</v>
      </c>
      <c r="D120">
        <v>58</v>
      </c>
      <c r="E120">
        <v>189</v>
      </c>
      <c r="F120">
        <v>57</v>
      </c>
      <c r="G120">
        <v>3</v>
      </c>
      <c r="H120" t="s">
        <v>28</v>
      </c>
      <c r="I120" t="s">
        <v>29</v>
      </c>
      <c r="J120" t="s">
        <v>6</v>
      </c>
      <c r="K120" t="s">
        <v>30</v>
      </c>
      <c r="L120" t="s">
        <v>10</v>
      </c>
      <c r="M120" t="s">
        <v>21</v>
      </c>
      <c r="N120" t="s">
        <v>40</v>
      </c>
      <c r="O120" t="s">
        <v>22</v>
      </c>
      <c r="P120" t="s">
        <v>40</v>
      </c>
      <c r="Q120" t="s">
        <v>55</v>
      </c>
      <c r="R120" t="s">
        <v>14</v>
      </c>
      <c r="S120" t="s">
        <v>15</v>
      </c>
      <c r="T120" t="s">
        <v>24</v>
      </c>
      <c r="U120" t="s">
        <v>29</v>
      </c>
      <c r="V120" s="3" t="s">
        <v>725</v>
      </c>
      <c r="W120" t="s">
        <v>16</v>
      </c>
    </row>
    <row r="121" spans="1:23" ht="12.75">
      <c r="A121" s="1">
        <v>45661.610393518517</v>
      </c>
      <c r="C121" t="s">
        <v>149</v>
      </c>
      <c r="D121">
        <v>23</v>
      </c>
      <c r="E121">
        <v>170</v>
      </c>
      <c r="F121">
        <v>76</v>
      </c>
      <c r="G121">
        <v>1</v>
      </c>
      <c r="H121" t="s">
        <v>28</v>
      </c>
      <c r="I121" t="s">
        <v>29</v>
      </c>
      <c r="J121" t="s">
        <v>36</v>
      </c>
      <c r="K121" t="s">
        <v>60</v>
      </c>
      <c r="L121" t="s">
        <v>12</v>
      </c>
      <c r="M121" t="s">
        <v>52</v>
      </c>
      <c r="N121" t="s">
        <v>20</v>
      </c>
      <c r="O121" t="s">
        <v>44</v>
      </c>
      <c r="P121" t="s">
        <v>10</v>
      </c>
      <c r="Q121" t="s">
        <v>13</v>
      </c>
      <c r="R121" t="s">
        <v>14</v>
      </c>
      <c r="S121" t="s">
        <v>15</v>
      </c>
      <c r="T121" t="s">
        <v>47</v>
      </c>
      <c r="U121" t="s">
        <v>5</v>
      </c>
      <c r="V121" s="3" t="s">
        <v>726</v>
      </c>
      <c r="W121" t="s">
        <v>34</v>
      </c>
    </row>
    <row r="122" spans="1:23" ht="12.75">
      <c r="A122" s="1">
        <v>45663.817280092589</v>
      </c>
      <c r="C122" t="s">
        <v>150</v>
      </c>
      <c r="D122">
        <v>32</v>
      </c>
      <c r="E122">
        <v>173</v>
      </c>
      <c r="F122">
        <v>52</v>
      </c>
      <c r="G122">
        <v>3</v>
      </c>
      <c r="H122" t="s">
        <v>592</v>
      </c>
      <c r="I122" t="s">
        <v>5</v>
      </c>
      <c r="J122" t="s">
        <v>6</v>
      </c>
      <c r="K122" t="s">
        <v>19</v>
      </c>
      <c r="L122" t="s">
        <v>8</v>
      </c>
      <c r="M122" t="s">
        <v>9</v>
      </c>
      <c r="N122" t="s">
        <v>40</v>
      </c>
      <c r="O122" t="s">
        <v>11</v>
      </c>
      <c r="P122" t="s">
        <v>10</v>
      </c>
      <c r="Q122" t="s">
        <v>55</v>
      </c>
      <c r="R122" t="s">
        <v>33</v>
      </c>
      <c r="S122" t="s">
        <v>15</v>
      </c>
      <c r="T122" t="s">
        <v>24</v>
      </c>
      <c r="U122" t="s">
        <v>29</v>
      </c>
      <c r="V122" s="3" t="s">
        <v>727</v>
      </c>
      <c r="W122" t="s">
        <v>16</v>
      </c>
    </row>
    <row r="123" spans="1:23" ht="12.75">
      <c r="A123" s="1">
        <v>45714.303020833337</v>
      </c>
      <c r="C123" t="s">
        <v>71</v>
      </c>
      <c r="D123">
        <v>44</v>
      </c>
      <c r="E123">
        <v>188</v>
      </c>
      <c r="F123">
        <v>105</v>
      </c>
      <c r="G123">
        <v>3</v>
      </c>
      <c r="H123" t="s">
        <v>591</v>
      </c>
      <c r="I123" t="s">
        <v>29</v>
      </c>
      <c r="J123" t="s">
        <v>36</v>
      </c>
      <c r="K123" t="s">
        <v>30</v>
      </c>
      <c r="L123" t="s">
        <v>10</v>
      </c>
      <c r="M123" t="s">
        <v>38</v>
      </c>
      <c r="N123" t="s">
        <v>40</v>
      </c>
      <c r="O123" t="s">
        <v>11</v>
      </c>
      <c r="P123" t="s">
        <v>8</v>
      </c>
      <c r="Q123" t="s">
        <v>32</v>
      </c>
      <c r="R123" t="s">
        <v>14</v>
      </c>
      <c r="S123" t="s">
        <v>15</v>
      </c>
      <c r="T123" t="s">
        <v>15</v>
      </c>
      <c r="U123" t="s">
        <v>5</v>
      </c>
      <c r="V123" s="3" t="s">
        <v>728</v>
      </c>
      <c r="W123" t="s">
        <v>34</v>
      </c>
    </row>
    <row r="124" spans="1:23" ht="12.75">
      <c r="A124" s="1">
        <v>45767.622627314813</v>
      </c>
      <c r="C124" t="s">
        <v>151</v>
      </c>
      <c r="D124">
        <v>22</v>
      </c>
      <c r="E124">
        <v>156</v>
      </c>
      <c r="F124">
        <v>74</v>
      </c>
      <c r="G124">
        <v>2.5</v>
      </c>
      <c r="H124" t="s">
        <v>590</v>
      </c>
      <c r="I124" t="s">
        <v>5</v>
      </c>
      <c r="J124" t="s">
        <v>36</v>
      </c>
      <c r="K124" t="s">
        <v>30</v>
      </c>
      <c r="L124" t="s">
        <v>12</v>
      </c>
      <c r="M124" t="s">
        <v>21</v>
      </c>
      <c r="N124" t="s">
        <v>10</v>
      </c>
      <c r="O124" t="s">
        <v>46</v>
      </c>
      <c r="P124" t="s">
        <v>20</v>
      </c>
      <c r="Q124" t="s">
        <v>13</v>
      </c>
      <c r="R124" t="s">
        <v>50</v>
      </c>
      <c r="S124" t="s">
        <v>25</v>
      </c>
      <c r="T124" t="s">
        <v>15</v>
      </c>
      <c r="U124" t="s">
        <v>29</v>
      </c>
      <c r="V124" s="3" t="s">
        <v>729</v>
      </c>
      <c r="W124" t="s">
        <v>39</v>
      </c>
    </row>
    <row r="125" spans="1:23" ht="12.75">
      <c r="A125" s="1">
        <v>45658.445196759261</v>
      </c>
      <c r="C125" t="s">
        <v>152</v>
      </c>
      <c r="D125">
        <v>46</v>
      </c>
      <c r="E125">
        <v>162</v>
      </c>
      <c r="F125">
        <v>63</v>
      </c>
      <c r="G125">
        <v>1.5</v>
      </c>
      <c r="H125" t="s">
        <v>591</v>
      </c>
      <c r="I125" t="s">
        <v>29</v>
      </c>
      <c r="J125" t="s">
        <v>6</v>
      </c>
      <c r="K125" t="s">
        <v>7</v>
      </c>
      <c r="L125" t="s">
        <v>20</v>
      </c>
      <c r="M125" t="s">
        <v>21</v>
      </c>
      <c r="N125" t="s">
        <v>20</v>
      </c>
      <c r="O125" t="s">
        <v>11</v>
      </c>
      <c r="P125" t="s">
        <v>12</v>
      </c>
      <c r="Q125" t="s">
        <v>55</v>
      </c>
      <c r="R125" t="s">
        <v>14</v>
      </c>
      <c r="S125" t="s">
        <v>15</v>
      </c>
      <c r="T125" t="s">
        <v>15</v>
      </c>
      <c r="U125" t="s">
        <v>5</v>
      </c>
      <c r="V125" s="3" t="s">
        <v>730</v>
      </c>
      <c r="W125" t="s">
        <v>16</v>
      </c>
    </row>
    <row r="126" spans="1:23" ht="12.75">
      <c r="A126" s="1">
        <v>45747.799178240741</v>
      </c>
      <c r="C126" t="s">
        <v>111</v>
      </c>
      <c r="D126">
        <v>36</v>
      </c>
      <c r="E126">
        <v>185</v>
      </c>
      <c r="F126">
        <v>74</v>
      </c>
      <c r="G126">
        <v>2.5</v>
      </c>
      <c r="H126" t="s">
        <v>28</v>
      </c>
      <c r="I126" t="s">
        <v>5</v>
      </c>
      <c r="J126" t="s">
        <v>36</v>
      </c>
      <c r="K126" t="s">
        <v>7</v>
      </c>
      <c r="L126" t="s">
        <v>12</v>
      </c>
      <c r="M126" t="s">
        <v>9</v>
      </c>
      <c r="N126" t="s">
        <v>8</v>
      </c>
      <c r="O126" t="s">
        <v>22</v>
      </c>
      <c r="P126" t="s">
        <v>40</v>
      </c>
      <c r="Q126" t="s">
        <v>13</v>
      </c>
      <c r="R126" t="s">
        <v>33</v>
      </c>
      <c r="S126" t="s">
        <v>24</v>
      </c>
      <c r="T126" t="s">
        <v>15</v>
      </c>
      <c r="U126" t="s">
        <v>29</v>
      </c>
      <c r="V126" s="3" t="s">
        <v>731</v>
      </c>
      <c r="W126" t="s">
        <v>16</v>
      </c>
    </row>
    <row r="127" spans="1:23" ht="12.75">
      <c r="A127" s="1">
        <v>45769.60665509259</v>
      </c>
      <c r="C127" t="s">
        <v>153</v>
      </c>
      <c r="D127">
        <v>29</v>
      </c>
      <c r="E127">
        <v>184</v>
      </c>
      <c r="F127">
        <v>96</v>
      </c>
      <c r="G127">
        <v>3</v>
      </c>
      <c r="H127" t="s">
        <v>592</v>
      </c>
      <c r="I127" t="s">
        <v>5</v>
      </c>
      <c r="J127" t="s">
        <v>6</v>
      </c>
      <c r="K127" t="s">
        <v>60</v>
      </c>
      <c r="L127" t="s">
        <v>10</v>
      </c>
      <c r="M127" t="s">
        <v>21</v>
      </c>
      <c r="N127" t="s">
        <v>10</v>
      </c>
      <c r="O127" t="s">
        <v>46</v>
      </c>
      <c r="P127" t="s">
        <v>12</v>
      </c>
      <c r="Q127" t="s">
        <v>23</v>
      </c>
      <c r="R127" t="s">
        <v>50</v>
      </c>
      <c r="S127" t="s">
        <v>15</v>
      </c>
      <c r="T127" t="s">
        <v>24</v>
      </c>
      <c r="U127" t="s">
        <v>5</v>
      </c>
      <c r="V127" s="3" t="s">
        <v>732</v>
      </c>
      <c r="W127" t="s">
        <v>26</v>
      </c>
    </row>
    <row r="128" spans="1:23" ht="12.75">
      <c r="A128" s="1">
        <v>45696.769016203703</v>
      </c>
      <c r="C128" t="s">
        <v>154</v>
      </c>
      <c r="D128">
        <v>22</v>
      </c>
      <c r="E128">
        <v>172</v>
      </c>
      <c r="F128">
        <v>55</v>
      </c>
      <c r="G128">
        <v>1</v>
      </c>
      <c r="H128" t="s">
        <v>590</v>
      </c>
      <c r="I128" t="s">
        <v>29</v>
      </c>
      <c r="J128" t="s">
        <v>6</v>
      </c>
      <c r="K128" t="s">
        <v>60</v>
      </c>
      <c r="L128" t="s">
        <v>31</v>
      </c>
      <c r="M128" t="s">
        <v>9</v>
      </c>
      <c r="N128" t="s">
        <v>20</v>
      </c>
      <c r="O128" t="s">
        <v>22</v>
      </c>
      <c r="P128" t="s">
        <v>8</v>
      </c>
      <c r="Q128" t="s">
        <v>55</v>
      </c>
      <c r="R128" t="s">
        <v>50</v>
      </c>
      <c r="S128" t="s">
        <v>47</v>
      </c>
      <c r="T128" t="s">
        <v>15</v>
      </c>
      <c r="U128" t="s">
        <v>29</v>
      </c>
      <c r="V128" s="3" t="s">
        <v>733</v>
      </c>
      <c r="W128" t="s">
        <v>39</v>
      </c>
    </row>
    <row r="129" spans="1:23" ht="12.75">
      <c r="A129" s="1">
        <v>45722.606469907405</v>
      </c>
      <c r="C129" t="s">
        <v>155</v>
      </c>
      <c r="D129">
        <v>49</v>
      </c>
      <c r="E129">
        <v>180</v>
      </c>
      <c r="F129">
        <v>82</v>
      </c>
      <c r="G129">
        <v>2</v>
      </c>
      <c r="H129" t="s">
        <v>590</v>
      </c>
      <c r="I129" t="s">
        <v>29</v>
      </c>
      <c r="J129" t="s">
        <v>6</v>
      </c>
      <c r="K129" t="s">
        <v>60</v>
      </c>
      <c r="L129" t="s">
        <v>40</v>
      </c>
      <c r="M129" t="s">
        <v>38</v>
      </c>
      <c r="N129" t="s">
        <v>10</v>
      </c>
      <c r="O129" t="s">
        <v>46</v>
      </c>
      <c r="P129" t="s">
        <v>20</v>
      </c>
      <c r="Q129" t="s">
        <v>23</v>
      </c>
      <c r="R129" t="s">
        <v>14</v>
      </c>
      <c r="S129" t="s">
        <v>25</v>
      </c>
      <c r="T129" t="s">
        <v>24</v>
      </c>
      <c r="U129" t="s">
        <v>5</v>
      </c>
      <c r="V129" s="3" t="s">
        <v>734</v>
      </c>
      <c r="W129" t="s">
        <v>26</v>
      </c>
    </row>
    <row r="130" spans="1:23" ht="12.75">
      <c r="A130" s="1">
        <v>45789.38417824074</v>
      </c>
      <c r="C130" t="s">
        <v>67</v>
      </c>
      <c r="D130">
        <v>42</v>
      </c>
      <c r="E130">
        <v>177</v>
      </c>
      <c r="F130">
        <v>68</v>
      </c>
      <c r="G130">
        <v>1.5</v>
      </c>
      <c r="H130" t="s">
        <v>591</v>
      </c>
      <c r="I130" t="s">
        <v>29</v>
      </c>
      <c r="J130" t="s">
        <v>6</v>
      </c>
      <c r="K130" t="s">
        <v>7</v>
      </c>
      <c r="L130" t="s">
        <v>12</v>
      </c>
      <c r="M130" t="s">
        <v>52</v>
      </c>
      <c r="N130" t="s">
        <v>12</v>
      </c>
      <c r="O130" t="s">
        <v>44</v>
      </c>
      <c r="P130" t="s">
        <v>31</v>
      </c>
      <c r="Q130" t="s">
        <v>55</v>
      </c>
      <c r="R130" t="s">
        <v>50</v>
      </c>
      <c r="S130" t="s">
        <v>25</v>
      </c>
      <c r="T130" t="s">
        <v>25</v>
      </c>
      <c r="U130" t="s">
        <v>5</v>
      </c>
      <c r="V130" s="3" t="s">
        <v>735</v>
      </c>
      <c r="W130" t="s">
        <v>26</v>
      </c>
    </row>
    <row r="131" spans="1:23" ht="12.75">
      <c r="A131" s="1">
        <v>45669.434687499997</v>
      </c>
      <c r="C131" t="s">
        <v>156</v>
      </c>
      <c r="D131">
        <v>34</v>
      </c>
      <c r="E131">
        <v>162</v>
      </c>
      <c r="F131">
        <v>87</v>
      </c>
      <c r="G131">
        <v>1</v>
      </c>
      <c r="H131" t="s">
        <v>590</v>
      </c>
      <c r="I131" t="s">
        <v>5</v>
      </c>
      <c r="J131" t="s">
        <v>36</v>
      </c>
      <c r="K131" t="s">
        <v>60</v>
      </c>
      <c r="L131" t="s">
        <v>31</v>
      </c>
      <c r="M131" t="s">
        <v>52</v>
      </c>
      <c r="N131" t="s">
        <v>40</v>
      </c>
      <c r="O131" t="s">
        <v>22</v>
      </c>
      <c r="P131" t="s">
        <v>8</v>
      </c>
      <c r="Q131" t="s">
        <v>13</v>
      </c>
      <c r="R131" t="s">
        <v>33</v>
      </c>
      <c r="S131" t="s">
        <v>24</v>
      </c>
      <c r="T131" t="s">
        <v>25</v>
      </c>
      <c r="U131" t="s">
        <v>29</v>
      </c>
      <c r="V131" s="3" t="s">
        <v>736</v>
      </c>
      <c r="W131" t="s">
        <v>26</v>
      </c>
    </row>
    <row r="132" spans="1:23" ht="12.75">
      <c r="A132" s="1">
        <v>45769.588194444441</v>
      </c>
      <c r="C132" t="s">
        <v>157</v>
      </c>
      <c r="D132">
        <v>58</v>
      </c>
      <c r="E132">
        <v>160</v>
      </c>
      <c r="F132">
        <v>58</v>
      </c>
      <c r="G132">
        <v>1.5</v>
      </c>
      <c r="H132" t="s">
        <v>28</v>
      </c>
      <c r="I132" t="s">
        <v>29</v>
      </c>
      <c r="J132" t="s">
        <v>36</v>
      </c>
      <c r="K132" t="s">
        <v>30</v>
      </c>
      <c r="L132" t="s">
        <v>20</v>
      </c>
      <c r="M132" t="s">
        <v>21</v>
      </c>
      <c r="N132" t="s">
        <v>12</v>
      </c>
      <c r="O132" t="s">
        <v>11</v>
      </c>
      <c r="P132" t="s">
        <v>20</v>
      </c>
      <c r="Q132" t="s">
        <v>13</v>
      </c>
      <c r="R132" t="s">
        <v>50</v>
      </c>
      <c r="S132" t="s">
        <v>47</v>
      </c>
      <c r="T132" t="s">
        <v>24</v>
      </c>
      <c r="U132" t="s">
        <v>5</v>
      </c>
      <c r="V132" s="3" t="s">
        <v>737</v>
      </c>
      <c r="W132" t="s">
        <v>16</v>
      </c>
    </row>
    <row r="133" spans="1:23" ht="12.75">
      <c r="A133" s="1">
        <v>45686.940081018518</v>
      </c>
      <c r="C133" t="s">
        <v>158</v>
      </c>
      <c r="D133">
        <v>24</v>
      </c>
      <c r="E133">
        <v>168</v>
      </c>
      <c r="F133">
        <v>70</v>
      </c>
      <c r="G133">
        <v>1</v>
      </c>
      <c r="H133" t="s">
        <v>28</v>
      </c>
      <c r="I133" t="s">
        <v>29</v>
      </c>
      <c r="J133" t="s">
        <v>6</v>
      </c>
      <c r="K133" t="s">
        <v>30</v>
      </c>
      <c r="L133" t="s">
        <v>12</v>
      </c>
      <c r="M133" t="s">
        <v>21</v>
      </c>
      <c r="N133" t="s">
        <v>12</v>
      </c>
      <c r="O133" t="s">
        <v>46</v>
      </c>
      <c r="P133" t="s">
        <v>8</v>
      </c>
      <c r="Q133" t="s">
        <v>32</v>
      </c>
      <c r="R133" t="s">
        <v>50</v>
      </c>
      <c r="S133" t="s">
        <v>15</v>
      </c>
      <c r="T133" t="s">
        <v>15</v>
      </c>
      <c r="U133" t="s">
        <v>5</v>
      </c>
      <c r="V133" s="3" t="s">
        <v>738</v>
      </c>
      <c r="W133" t="s">
        <v>16</v>
      </c>
    </row>
    <row r="134" spans="1:23" ht="12.75">
      <c r="A134" s="1">
        <v>45674.042638888888</v>
      </c>
      <c r="C134" t="s">
        <v>49</v>
      </c>
      <c r="D134">
        <v>58</v>
      </c>
      <c r="E134">
        <v>172</v>
      </c>
      <c r="F134">
        <v>73</v>
      </c>
      <c r="G134">
        <v>1</v>
      </c>
      <c r="H134" t="s">
        <v>28</v>
      </c>
      <c r="I134" t="s">
        <v>29</v>
      </c>
      <c r="J134" t="s">
        <v>36</v>
      </c>
      <c r="K134" t="s">
        <v>19</v>
      </c>
      <c r="L134" t="s">
        <v>10</v>
      </c>
      <c r="M134" t="s">
        <v>52</v>
      </c>
      <c r="N134" t="s">
        <v>40</v>
      </c>
      <c r="O134" t="s">
        <v>11</v>
      </c>
      <c r="P134" t="s">
        <v>10</v>
      </c>
      <c r="Q134" t="s">
        <v>13</v>
      </c>
      <c r="R134" t="s">
        <v>14</v>
      </c>
      <c r="S134" t="s">
        <v>25</v>
      </c>
      <c r="T134" t="s">
        <v>25</v>
      </c>
      <c r="U134" t="s">
        <v>29</v>
      </c>
      <c r="V134" s="3" t="s">
        <v>739</v>
      </c>
      <c r="W134" t="s">
        <v>26</v>
      </c>
    </row>
    <row r="135" spans="1:23" ht="12.75">
      <c r="A135" s="1">
        <v>45784.098530092589</v>
      </c>
      <c r="C135" t="s">
        <v>159</v>
      </c>
      <c r="D135">
        <v>21</v>
      </c>
      <c r="E135">
        <v>171</v>
      </c>
      <c r="F135">
        <v>59</v>
      </c>
      <c r="G135">
        <v>1.5</v>
      </c>
      <c r="H135" t="s">
        <v>28</v>
      </c>
      <c r="I135" t="s">
        <v>5</v>
      </c>
      <c r="J135" t="s">
        <v>6</v>
      </c>
      <c r="K135" t="s">
        <v>37</v>
      </c>
      <c r="L135" t="s">
        <v>31</v>
      </c>
      <c r="M135" t="s">
        <v>9</v>
      </c>
      <c r="N135" t="s">
        <v>20</v>
      </c>
      <c r="O135" t="s">
        <v>11</v>
      </c>
      <c r="P135" t="s">
        <v>40</v>
      </c>
      <c r="Q135" t="s">
        <v>32</v>
      </c>
      <c r="R135" t="s">
        <v>50</v>
      </c>
      <c r="S135" t="s">
        <v>47</v>
      </c>
      <c r="T135" t="s">
        <v>15</v>
      </c>
      <c r="U135" t="s">
        <v>29</v>
      </c>
      <c r="V135" s="3" t="s">
        <v>740</v>
      </c>
      <c r="W135" t="s">
        <v>34</v>
      </c>
    </row>
    <row r="136" spans="1:23" ht="12.75">
      <c r="A136" s="1">
        <v>45758.371678240743</v>
      </c>
      <c r="C136" t="s">
        <v>113</v>
      </c>
      <c r="D136">
        <v>25</v>
      </c>
      <c r="E136">
        <v>187</v>
      </c>
      <c r="F136">
        <v>61</v>
      </c>
      <c r="G136">
        <v>2.5</v>
      </c>
      <c r="H136" t="s">
        <v>591</v>
      </c>
      <c r="I136" t="s">
        <v>29</v>
      </c>
      <c r="J136" t="s">
        <v>6</v>
      </c>
      <c r="K136" t="s">
        <v>19</v>
      </c>
      <c r="L136" t="s">
        <v>8</v>
      </c>
      <c r="M136" t="s">
        <v>21</v>
      </c>
      <c r="N136" t="s">
        <v>12</v>
      </c>
      <c r="O136" t="s">
        <v>46</v>
      </c>
      <c r="P136" t="s">
        <v>40</v>
      </c>
      <c r="Q136" t="s">
        <v>13</v>
      </c>
      <c r="R136" t="s">
        <v>50</v>
      </c>
      <c r="S136" t="s">
        <v>47</v>
      </c>
      <c r="T136" t="s">
        <v>24</v>
      </c>
      <c r="U136" t="s">
        <v>29</v>
      </c>
      <c r="V136" s="3" t="s">
        <v>741</v>
      </c>
      <c r="W136" t="s">
        <v>26</v>
      </c>
    </row>
    <row r="137" spans="1:23" ht="12.75">
      <c r="A137" s="1">
        <v>45723.199780092589</v>
      </c>
      <c r="C137" t="s">
        <v>160</v>
      </c>
      <c r="D137">
        <v>21</v>
      </c>
      <c r="E137">
        <v>184</v>
      </c>
      <c r="F137">
        <v>91</v>
      </c>
      <c r="G137">
        <v>2</v>
      </c>
      <c r="H137" t="s">
        <v>590</v>
      </c>
      <c r="I137" t="s">
        <v>5</v>
      </c>
      <c r="J137" t="s">
        <v>6</v>
      </c>
      <c r="K137" t="s">
        <v>19</v>
      </c>
      <c r="L137" t="s">
        <v>31</v>
      </c>
      <c r="M137" t="s">
        <v>38</v>
      </c>
      <c r="N137" t="s">
        <v>20</v>
      </c>
      <c r="O137" t="s">
        <v>22</v>
      </c>
      <c r="P137" t="s">
        <v>20</v>
      </c>
      <c r="Q137" t="s">
        <v>23</v>
      </c>
      <c r="R137" t="s">
        <v>33</v>
      </c>
      <c r="S137" t="s">
        <v>24</v>
      </c>
      <c r="T137" t="s">
        <v>15</v>
      </c>
      <c r="U137" t="s">
        <v>5</v>
      </c>
      <c r="V137" s="3" t="s">
        <v>742</v>
      </c>
      <c r="W137" t="s">
        <v>39</v>
      </c>
    </row>
    <row r="138" spans="1:23" ht="12.75">
      <c r="A138" s="1">
        <v>45776.394016203703</v>
      </c>
      <c r="C138" t="s">
        <v>161</v>
      </c>
      <c r="D138">
        <v>45</v>
      </c>
      <c r="E138">
        <v>169</v>
      </c>
      <c r="F138">
        <v>99</v>
      </c>
      <c r="G138">
        <v>1</v>
      </c>
      <c r="H138" t="s">
        <v>592</v>
      </c>
      <c r="I138" t="s">
        <v>5</v>
      </c>
      <c r="J138" t="s">
        <v>36</v>
      </c>
      <c r="K138" t="s">
        <v>63</v>
      </c>
      <c r="L138" t="s">
        <v>40</v>
      </c>
      <c r="M138" t="s">
        <v>9</v>
      </c>
      <c r="N138" t="s">
        <v>20</v>
      </c>
      <c r="O138" t="s">
        <v>22</v>
      </c>
      <c r="P138" t="s">
        <v>40</v>
      </c>
      <c r="Q138" t="s">
        <v>55</v>
      </c>
      <c r="R138" t="s">
        <v>33</v>
      </c>
      <c r="S138" t="s">
        <v>24</v>
      </c>
      <c r="T138" t="s">
        <v>25</v>
      </c>
      <c r="U138" t="s">
        <v>29</v>
      </c>
      <c r="V138" s="3" t="s">
        <v>743</v>
      </c>
      <c r="W138" t="s">
        <v>26</v>
      </c>
    </row>
    <row r="139" spans="1:23" ht="12.75">
      <c r="A139" s="1">
        <v>45793.246006944442</v>
      </c>
      <c r="C139" t="s">
        <v>162</v>
      </c>
      <c r="D139">
        <v>28</v>
      </c>
      <c r="E139">
        <v>158</v>
      </c>
      <c r="F139">
        <v>76</v>
      </c>
      <c r="G139">
        <v>2</v>
      </c>
      <c r="H139" t="s">
        <v>592</v>
      </c>
      <c r="I139" t="s">
        <v>29</v>
      </c>
      <c r="J139" t="s">
        <v>6</v>
      </c>
      <c r="K139" t="s">
        <v>19</v>
      </c>
      <c r="L139" t="s">
        <v>31</v>
      </c>
      <c r="M139" t="s">
        <v>52</v>
      </c>
      <c r="N139" t="s">
        <v>20</v>
      </c>
      <c r="O139" t="s">
        <v>22</v>
      </c>
      <c r="P139" t="s">
        <v>40</v>
      </c>
      <c r="Q139" t="s">
        <v>55</v>
      </c>
      <c r="R139" t="s">
        <v>50</v>
      </c>
      <c r="S139" t="s">
        <v>25</v>
      </c>
      <c r="T139" t="s">
        <v>25</v>
      </c>
      <c r="U139" t="s">
        <v>29</v>
      </c>
      <c r="V139" s="3" t="s">
        <v>744</v>
      </c>
      <c r="W139" t="s">
        <v>39</v>
      </c>
    </row>
    <row r="140" spans="1:23" ht="12.75">
      <c r="A140" s="1">
        <v>45776.94222222222</v>
      </c>
      <c r="C140" t="s">
        <v>70</v>
      </c>
      <c r="D140">
        <v>59</v>
      </c>
      <c r="E140">
        <v>167</v>
      </c>
      <c r="F140">
        <v>102</v>
      </c>
      <c r="G140">
        <v>1.5</v>
      </c>
      <c r="H140" t="s">
        <v>592</v>
      </c>
      <c r="I140" t="s">
        <v>5</v>
      </c>
      <c r="J140" t="s">
        <v>6</v>
      </c>
      <c r="K140" t="s">
        <v>30</v>
      </c>
      <c r="L140" t="s">
        <v>40</v>
      </c>
      <c r="M140" t="s">
        <v>21</v>
      </c>
      <c r="N140" t="s">
        <v>12</v>
      </c>
      <c r="O140" t="s">
        <v>46</v>
      </c>
      <c r="P140" t="s">
        <v>20</v>
      </c>
      <c r="Q140" t="s">
        <v>23</v>
      </c>
      <c r="R140" t="s">
        <v>14</v>
      </c>
      <c r="S140" t="s">
        <v>15</v>
      </c>
      <c r="T140" t="s">
        <v>25</v>
      </c>
      <c r="U140" t="s">
        <v>5</v>
      </c>
      <c r="V140" s="3" t="s">
        <v>745</v>
      </c>
      <c r="W140" t="s">
        <v>16</v>
      </c>
    </row>
    <row r="141" spans="1:23" ht="12.75">
      <c r="A141" s="1">
        <v>45751.57</v>
      </c>
      <c r="C141" t="s">
        <v>163</v>
      </c>
      <c r="D141">
        <v>52</v>
      </c>
      <c r="E141">
        <v>187</v>
      </c>
      <c r="F141">
        <v>91</v>
      </c>
      <c r="G141">
        <v>2</v>
      </c>
      <c r="H141" t="s">
        <v>592</v>
      </c>
      <c r="I141" t="s">
        <v>29</v>
      </c>
      <c r="J141" t="s">
        <v>6</v>
      </c>
      <c r="K141" t="s">
        <v>19</v>
      </c>
      <c r="L141" t="s">
        <v>20</v>
      </c>
      <c r="M141" t="s">
        <v>21</v>
      </c>
      <c r="N141" t="s">
        <v>40</v>
      </c>
      <c r="O141" t="s">
        <v>22</v>
      </c>
      <c r="P141" t="s">
        <v>10</v>
      </c>
      <c r="Q141" t="s">
        <v>23</v>
      </c>
      <c r="R141" t="s">
        <v>14</v>
      </c>
      <c r="S141" t="s">
        <v>24</v>
      </c>
      <c r="T141" t="s">
        <v>15</v>
      </c>
      <c r="U141" t="s">
        <v>29</v>
      </c>
      <c r="V141" s="3" t="s">
        <v>746</v>
      </c>
      <c r="W141" t="s">
        <v>16</v>
      </c>
    </row>
    <row r="142" spans="1:23" ht="12.75">
      <c r="A142" s="1">
        <v>45765.789861111109</v>
      </c>
      <c r="C142" t="s">
        <v>164</v>
      </c>
      <c r="D142">
        <v>46</v>
      </c>
      <c r="E142">
        <v>182</v>
      </c>
      <c r="F142">
        <v>70</v>
      </c>
      <c r="G142">
        <v>2.5</v>
      </c>
      <c r="H142" t="s">
        <v>28</v>
      </c>
      <c r="I142" t="s">
        <v>29</v>
      </c>
      <c r="J142" t="s">
        <v>6</v>
      </c>
      <c r="K142" t="s">
        <v>63</v>
      </c>
      <c r="L142" t="s">
        <v>10</v>
      </c>
      <c r="M142" t="s">
        <v>9</v>
      </c>
      <c r="N142" t="s">
        <v>31</v>
      </c>
      <c r="O142" t="s">
        <v>44</v>
      </c>
      <c r="P142" t="s">
        <v>10</v>
      </c>
      <c r="Q142" t="s">
        <v>23</v>
      </c>
      <c r="R142" t="s">
        <v>33</v>
      </c>
      <c r="S142" t="s">
        <v>15</v>
      </c>
      <c r="T142" t="s">
        <v>15</v>
      </c>
      <c r="U142" t="s">
        <v>5</v>
      </c>
      <c r="V142" s="3" t="s">
        <v>747</v>
      </c>
      <c r="W142" t="s">
        <v>26</v>
      </c>
    </row>
    <row r="143" spans="1:23" ht="12.75">
      <c r="A143" s="1">
        <v>45801.402581018519</v>
      </c>
      <c r="C143" t="s">
        <v>158</v>
      </c>
      <c r="D143">
        <v>55</v>
      </c>
      <c r="E143">
        <v>177</v>
      </c>
      <c r="F143">
        <v>103</v>
      </c>
      <c r="G143">
        <v>3</v>
      </c>
      <c r="H143" t="s">
        <v>28</v>
      </c>
      <c r="I143" t="s">
        <v>5</v>
      </c>
      <c r="J143" t="s">
        <v>36</v>
      </c>
      <c r="K143" t="s">
        <v>19</v>
      </c>
      <c r="L143" t="s">
        <v>12</v>
      </c>
      <c r="M143" t="s">
        <v>9</v>
      </c>
      <c r="N143" t="s">
        <v>20</v>
      </c>
      <c r="O143" t="s">
        <v>22</v>
      </c>
      <c r="P143" t="s">
        <v>8</v>
      </c>
      <c r="Q143" t="s">
        <v>23</v>
      </c>
      <c r="R143" t="s">
        <v>50</v>
      </c>
      <c r="S143" t="s">
        <v>25</v>
      </c>
      <c r="T143" t="s">
        <v>47</v>
      </c>
      <c r="U143" t="s">
        <v>29</v>
      </c>
      <c r="V143" s="3" t="s">
        <v>748</v>
      </c>
      <c r="W143" t="s">
        <v>26</v>
      </c>
    </row>
    <row r="144" spans="1:23" ht="12.75">
      <c r="A144" s="1">
        <v>45787.772476851853</v>
      </c>
      <c r="C144" t="s">
        <v>165</v>
      </c>
      <c r="D144">
        <v>28</v>
      </c>
      <c r="E144">
        <v>188</v>
      </c>
      <c r="F144">
        <v>99</v>
      </c>
      <c r="G144">
        <v>1</v>
      </c>
      <c r="H144" t="s">
        <v>590</v>
      </c>
      <c r="I144" t="s">
        <v>5</v>
      </c>
      <c r="J144" t="s">
        <v>36</v>
      </c>
      <c r="K144" t="s">
        <v>37</v>
      </c>
      <c r="L144" t="s">
        <v>10</v>
      </c>
      <c r="M144" t="s">
        <v>21</v>
      </c>
      <c r="N144" t="s">
        <v>20</v>
      </c>
      <c r="O144" t="s">
        <v>44</v>
      </c>
      <c r="P144" t="s">
        <v>20</v>
      </c>
      <c r="Q144" t="s">
        <v>13</v>
      </c>
      <c r="R144" t="s">
        <v>33</v>
      </c>
      <c r="S144" t="s">
        <v>24</v>
      </c>
      <c r="T144" t="s">
        <v>47</v>
      </c>
      <c r="U144" t="s">
        <v>29</v>
      </c>
      <c r="V144" s="3" t="s">
        <v>749</v>
      </c>
      <c r="W144" t="s">
        <v>39</v>
      </c>
    </row>
    <row r="145" spans="1:23" ht="12.75">
      <c r="A145" s="1">
        <v>45763.204375000001</v>
      </c>
      <c r="C145" t="s">
        <v>163</v>
      </c>
      <c r="D145">
        <v>29</v>
      </c>
      <c r="E145">
        <v>167</v>
      </c>
      <c r="F145">
        <v>73</v>
      </c>
      <c r="G145">
        <v>2</v>
      </c>
      <c r="H145" t="s">
        <v>591</v>
      </c>
      <c r="I145" t="s">
        <v>29</v>
      </c>
      <c r="J145" t="s">
        <v>36</v>
      </c>
      <c r="K145" t="s">
        <v>37</v>
      </c>
      <c r="L145" t="s">
        <v>12</v>
      </c>
      <c r="M145" t="s">
        <v>21</v>
      </c>
      <c r="N145" t="s">
        <v>40</v>
      </c>
      <c r="O145" t="s">
        <v>44</v>
      </c>
      <c r="P145" t="s">
        <v>20</v>
      </c>
      <c r="Q145" t="s">
        <v>32</v>
      </c>
      <c r="R145" t="s">
        <v>14</v>
      </c>
      <c r="S145" t="s">
        <v>25</v>
      </c>
      <c r="T145" t="s">
        <v>15</v>
      </c>
      <c r="U145" t="s">
        <v>29</v>
      </c>
      <c r="V145" s="3" t="s">
        <v>750</v>
      </c>
      <c r="W145" t="s">
        <v>34</v>
      </c>
    </row>
    <row r="146" spans="1:23" ht="12.75">
      <c r="A146" s="1">
        <v>45780.549340277779</v>
      </c>
      <c r="C146" t="s">
        <v>166</v>
      </c>
      <c r="D146">
        <v>48</v>
      </c>
      <c r="E146">
        <v>178</v>
      </c>
      <c r="F146">
        <v>93</v>
      </c>
      <c r="G146">
        <v>2</v>
      </c>
      <c r="H146" t="s">
        <v>590</v>
      </c>
      <c r="I146" t="s">
        <v>29</v>
      </c>
      <c r="J146" t="s">
        <v>6</v>
      </c>
      <c r="K146" t="s">
        <v>37</v>
      </c>
      <c r="L146" t="s">
        <v>31</v>
      </c>
      <c r="M146" t="s">
        <v>38</v>
      </c>
      <c r="N146" t="s">
        <v>12</v>
      </c>
      <c r="O146" t="s">
        <v>46</v>
      </c>
      <c r="P146" t="s">
        <v>8</v>
      </c>
      <c r="Q146" t="s">
        <v>23</v>
      </c>
      <c r="R146" t="s">
        <v>33</v>
      </c>
      <c r="S146" t="s">
        <v>25</v>
      </c>
      <c r="T146" t="s">
        <v>25</v>
      </c>
      <c r="U146" t="s">
        <v>5</v>
      </c>
      <c r="V146" s="3" t="s">
        <v>751</v>
      </c>
      <c r="W146" t="s">
        <v>34</v>
      </c>
    </row>
    <row r="147" spans="1:23" ht="12.75">
      <c r="A147" s="1">
        <v>45674.051377314812</v>
      </c>
      <c r="C147" t="s">
        <v>167</v>
      </c>
      <c r="D147">
        <v>53</v>
      </c>
      <c r="E147">
        <v>177</v>
      </c>
      <c r="F147">
        <v>52</v>
      </c>
      <c r="G147">
        <v>2</v>
      </c>
      <c r="H147" t="s">
        <v>592</v>
      </c>
      <c r="I147" t="s">
        <v>29</v>
      </c>
      <c r="J147" t="s">
        <v>36</v>
      </c>
      <c r="K147" t="s">
        <v>7</v>
      </c>
      <c r="L147" t="s">
        <v>10</v>
      </c>
      <c r="M147" t="s">
        <v>38</v>
      </c>
      <c r="N147" t="s">
        <v>31</v>
      </c>
      <c r="O147" t="s">
        <v>11</v>
      </c>
      <c r="P147" t="s">
        <v>8</v>
      </c>
      <c r="Q147" t="s">
        <v>23</v>
      </c>
      <c r="R147" t="s">
        <v>33</v>
      </c>
      <c r="S147" t="s">
        <v>24</v>
      </c>
      <c r="T147" t="s">
        <v>47</v>
      </c>
      <c r="U147" t="s">
        <v>29</v>
      </c>
      <c r="V147" s="3" t="s">
        <v>752</v>
      </c>
      <c r="W147" t="s">
        <v>34</v>
      </c>
    </row>
    <row r="148" spans="1:23" ht="12.75">
      <c r="A148" s="1">
        <v>45704.386921296296</v>
      </c>
      <c r="C148" t="s">
        <v>168</v>
      </c>
      <c r="D148">
        <v>42</v>
      </c>
      <c r="E148">
        <v>179</v>
      </c>
      <c r="F148">
        <v>60</v>
      </c>
      <c r="G148">
        <v>3</v>
      </c>
      <c r="H148" t="s">
        <v>28</v>
      </c>
      <c r="I148" t="s">
        <v>29</v>
      </c>
      <c r="J148" t="s">
        <v>36</v>
      </c>
      <c r="K148" t="s">
        <v>30</v>
      </c>
      <c r="L148" t="s">
        <v>40</v>
      </c>
      <c r="M148" t="s">
        <v>9</v>
      </c>
      <c r="N148" t="s">
        <v>8</v>
      </c>
      <c r="O148" t="s">
        <v>11</v>
      </c>
      <c r="P148" t="s">
        <v>31</v>
      </c>
      <c r="Q148" t="s">
        <v>55</v>
      </c>
      <c r="R148" t="s">
        <v>33</v>
      </c>
      <c r="S148" t="s">
        <v>47</v>
      </c>
      <c r="T148" t="s">
        <v>25</v>
      </c>
      <c r="U148" t="s">
        <v>29</v>
      </c>
      <c r="V148" s="3" t="s">
        <v>753</v>
      </c>
      <c r="W148" t="s">
        <v>39</v>
      </c>
    </row>
    <row r="149" spans="1:23" ht="12.75">
      <c r="A149" s="1">
        <v>45714.187013888892</v>
      </c>
      <c r="C149" t="s">
        <v>57</v>
      </c>
      <c r="D149">
        <v>47</v>
      </c>
      <c r="E149">
        <v>176</v>
      </c>
      <c r="F149">
        <v>54</v>
      </c>
      <c r="G149">
        <v>1.5</v>
      </c>
      <c r="H149" t="s">
        <v>28</v>
      </c>
      <c r="I149" t="s">
        <v>29</v>
      </c>
      <c r="J149" t="s">
        <v>6</v>
      </c>
      <c r="K149" t="s">
        <v>30</v>
      </c>
      <c r="L149" t="s">
        <v>10</v>
      </c>
      <c r="M149" t="s">
        <v>21</v>
      </c>
      <c r="N149" t="s">
        <v>40</v>
      </c>
      <c r="O149" t="s">
        <v>11</v>
      </c>
      <c r="P149" t="s">
        <v>20</v>
      </c>
      <c r="Q149" t="s">
        <v>13</v>
      </c>
      <c r="R149" t="s">
        <v>50</v>
      </c>
      <c r="S149" t="s">
        <v>25</v>
      </c>
      <c r="T149" t="s">
        <v>25</v>
      </c>
      <c r="U149" t="s">
        <v>5</v>
      </c>
      <c r="V149" s="3" t="s">
        <v>754</v>
      </c>
      <c r="W149" t="s">
        <v>26</v>
      </c>
    </row>
    <row r="150" spans="1:23" ht="12.75">
      <c r="A150" s="1">
        <v>45776.484594907408</v>
      </c>
      <c r="C150" t="s">
        <v>169</v>
      </c>
      <c r="D150">
        <v>44</v>
      </c>
      <c r="E150">
        <v>180</v>
      </c>
      <c r="F150">
        <v>100</v>
      </c>
      <c r="G150">
        <v>2.5</v>
      </c>
      <c r="H150" t="s">
        <v>28</v>
      </c>
      <c r="I150" t="s">
        <v>5</v>
      </c>
      <c r="J150" t="s">
        <v>36</v>
      </c>
      <c r="K150" t="s">
        <v>30</v>
      </c>
      <c r="L150" t="s">
        <v>10</v>
      </c>
      <c r="M150" t="s">
        <v>9</v>
      </c>
      <c r="N150" t="s">
        <v>8</v>
      </c>
      <c r="O150" t="s">
        <v>44</v>
      </c>
      <c r="P150" t="s">
        <v>10</v>
      </c>
      <c r="Q150" t="s">
        <v>55</v>
      </c>
      <c r="R150" t="s">
        <v>14</v>
      </c>
      <c r="S150" t="s">
        <v>15</v>
      </c>
      <c r="T150" t="s">
        <v>25</v>
      </c>
      <c r="U150" t="s">
        <v>5</v>
      </c>
      <c r="V150" s="3" t="s">
        <v>755</v>
      </c>
      <c r="W150" t="s">
        <v>34</v>
      </c>
    </row>
    <row r="151" spans="1:23" ht="12.75">
      <c r="A151" s="1">
        <v>45735.753900462965</v>
      </c>
      <c r="C151" t="s">
        <v>170</v>
      </c>
      <c r="D151">
        <v>27</v>
      </c>
      <c r="E151">
        <v>182</v>
      </c>
      <c r="F151">
        <v>53</v>
      </c>
      <c r="G151">
        <v>2</v>
      </c>
      <c r="H151" t="s">
        <v>590</v>
      </c>
      <c r="I151" t="s">
        <v>29</v>
      </c>
      <c r="J151" t="s">
        <v>6</v>
      </c>
      <c r="K151" t="s">
        <v>7</v>
      </c>
      <c r="L151" t="s">
        <v>8</v>
      </c>
      <c r="M151" t="s">
        <v>38</v>
      </c>
      <c r="N151" t="s">
        <v>31</v>
      </c>
      <c r="O151" t="s">
        <v>22</v>
      </c>
      <c r="P151" t="s">
        <v>12</v>
      </c>
      <c r="Q151" t="s">
        <v>55</v>
      </c>
      <c r="R151" t="s">
        <v>33</v>
      </c>
      <c r="S151" t="s">
        <v>15</v>
      </c>
      <c r="T151" t="s">
        <v>24</v>
      </c>
      <c r="U151" t="s">
        <v>29</v>
      </c>
      <c r="V151" s="3" t="s">
        <v>756</v>
      </c>
      <c r="W151" t="s">
        <v>34</v>
      </c>
    </row>
    <row r="152" spans="1:23" ht="12.75">
      <c r="A152" s="1">
        <v>45787.794027777774</v>
      </c>
      <c r="C152" t="s">
        <v>171</v>
      </c>
      <c r="D152">
        <v>24</v>
      </c>
      <c r="E152">
        <v>168</v>
      </c>
      <c r="F152">
        <v>56</v>
      </c>
      <c r="G152">
        <v>2</v>
      </c>
      <c r="H152" t="s">
        <v>28</v>
      </c>
      <c r="I152" t="s">
        <v>5</v>
      </c>
      <c r="J152" t="s">
        <v>36</v>
      </c>
      <c r="K152" t="s">
        <v>30</v>
      </c>
      <c r="L152" t="s">
        <v>8</v>
      </c>
      <c r="M152" t="s">
        <v>9</v>
      </c>
      <c r="N152" t="s">
        <v>20</v>
      </c>
      <c r="O152" t="s">
        <v>46</v>
      </c>
      <c r="P152" t="s">
        <v>40</v>
      </c>
      <c r="Q152" t="s">
        <v>32</v>
      </c>
      <c r="R152" t="s">
        <v>50</v>
      </c>
      <c r="S152" t="s">
        <v>15</v>
      </c>
      <c r="T152" t="s">
        <v>25</v>
      </c>
      <c r="U152" t="s">
        <v>5</v>
      </c>
      <c r="V152" s="3" t="s">
        <v>757</v>
      </c>
      <c r="W152" t="s">
        <v>34</v>
      </c>
    </row>
    <row r="153" spans="1:23" ht="12.75">
      <c r="A153" s="1">
        <v>45755.074780092589</v>
      </c>
      <c r="C153" t="s">
        <v>53</v>
      </c>
      <c r="D153">
        <v>28</v>
      </c>
      <c r="E153">
        <v>155</v>
      </c>
      <c r="F153">
        <v>55</v>
      </c>
      <c r="G153">
        <v>3</v>
      </c>
      <c r="H153" t="s">
        <v>592</v>
      </c>
      <c r="I153" t="s">
        <v>5</v>
      </c>
      <c r="J153" t="s">
        <v>36</v>
      </c>
      <c r="K153" t="s">
        <v>60</v>
      </c>
      <c r="L153" t="s">
        <v>20</v>
      </c>
      <c r="M153" t="s">
        <v>21</v>
      </c>
      <c r="N153" t="s">
        <v>20</v>
      </c>
      <c r="O153" t="s">
        <v>11</v>
      </c>
      <c r="P153" t="s">
        <v>20</v>
      </c>
      <c r="Q153" t="s">
        <v>23</v>
      </c>
      <c r="R153" t="s">
        <v>33</v>
      </c>
      <c r="S153" t="s">
        <v>15</v>
      </c>
      <c r="T153" t="s">
        <v>25</v>
      </c>
      <c r="U153" t="s">
        <v>5</v>
      </c>
      <c r="V153" s="3" t="s">
        <v>758</v>
      </c>
      <c r="W153" t="s">
        <v>39</v>
      </c>
    </row>
    <row r="154" spans="1:23" ht="12.75">
      <c r="A154" s="1">
        <v>45792.257534722223</v>
      </c>
      <c r="C154" t="s">
        <v>172</v>
      </c>
      <c r="D154">
        <v>55</v>
      </c>
      <c r="E154">
        <v>165</v>
      </c>
      <c r="F154">
        <v>92</v>
      </c>
      <c r="G154">
        <v>1</v>
      </c>
      <c r="H154" t="s">
        <v>590</v>
      </c>
      <c r="I154" t="s">
        <v>5</v>
      </c>
      <c r="J154" t="s">
        <v>6</v>
      </c>
      <c r="K154" t="s">
        <v>63</v>
      </c>
      <c r="L154" t="s">
        <v>31</v>
      </c>
      <c r="M154" t="s">
        <v>52</v>
      </c>
      <c r="N154" t="s">
        <v>31</v>
      </c>
      <c r="O154" t="s">
        <v>22</v>
      </c>
      <c r="P154" t="s">
        <v>10</v>
      </c>
      <c r="Q154" t="s">
        <v>32</v>
      </c>
      <c r="R154" t="s">
        <v>50</v>
      </c>
      <c r="S154" t="s">
        <v>15</v>
      </c>
      <c r="T154" t="s">
        <v>24</v>
      </c>
      <c r="U154" t="s">
        <v>5</v>
      </c>
      <c r="V154" s="3" t="s">
        <v>759</v>
      </c>
      <c r="W154" t="s">
        <v>39</v>
      </c>
    </row>
    <row r="155" spans="1:23" ht="12.75">
      <c r="A155" s="1">
        <v>45705.294803240744</v>
      </c>
      <c r="C155" t="s">
        <v>43</v>
      </c>
      <c r="D155">
        <v>41</v>
      </c>
      <c r="E155">
        <v>171</v>
      </c>
      <c r="F155">
        <v>77</v>
      </c>
      <c r="G155">
        <v>2.5</v>
      </c>
      <c r="H155" t="s">
        <v>28</v>
      </c>
      <c r="I155" t="s">
        <v>5</v>
      </c>
      <c r="J155" t="s">
        <v>6</v>
      </c>
      <c r="K155" t="s">
        <v>60</v>
      </c>
      <c r="L155" t="s">
        <v>31</v>
      </c>
      <c r="M155" t="s">
        <v>21</v>
      </c>
      <c r="N155" t="s">
        <v>20</v>
      </c>
      <c r="O155" t="s">
        <v>22</v>
      </c>
      <c r="P155" t="s">
        <v>40</v>
      </c>
      <c r="Q155" t="s">
        <v>32</v>
      </c>
      <c r="R155" t="s">
        <v>50</v>
      </c>
      <c r="S155" t="s">
        <v>24</v>
      </c>
      <c r="T155" t="s">
        <v>15</v>
      </c>
      <c r="U155" t="s">
        <v>5</v>
      </c>
      <c r="V155" s="3" t="s">
        <v>760</v>
      </c>
      <c r="W155" t="s">
        <v>39</v>
      </c>
    </row>
    <row r="156" spans="1:23" ht="12.75">
      <c r="A156" s="1">
        <v>45782.182743055557</v>
      </c>
      <c r="C156" t="s">
        <v>173</v>
      </c>
      <c r="D156">
        <v>46</v>
      </c>
      <c r="E156">
        <v>166</v>
      </c>
      <c r="F156">
        <v>101</v>
      </c>
      <c r="G156">
        <v>2</v>
      </c>
      <c r="H156" t="s">
        <v>591</v>
      </c>
      <c r="I156" t="s">
        <v>5</v>
      </c>
      <c r="J156" t="s">
        <v>36</v>
      </c>
      <c r="K156" t="s">
        <v>19</v>
      </c>
      <c r="L156" t="s">
        <v>20</v>
      </c>
      <c r="M156" t="s">
        <v>38</v>
      </c>
      <c r="N156" t="s">
        <v>8</v>
      </c>
      <c r="O156" t="s">
        <v>22</v>
      </c>
      <c r="P156" t="s">
        <v>8</v>
      </c>
      <c r="Q156" t="s">
        <v>32</v>
      </c>
      <c r="R156" t="s">
        <v>33</v>
      </c>
      <c r="S156" t="s">
        <v>15</v>
      </c>
      <c r="T156" t="s">
        <v>15</v>
      </c>
      <c r="U156" t="s">
        <v>29</v>
      </c>
      <c r="V156" s="3" t="s">
        <v>761</v>
      </c>
      <c r="W156" t="s">
        <v>39</v>
      </c>
    </row>
    <row r="157" spans="1:23" ht="12.75">
      <c r="A157" s="1">
        <v>45733.203530092593</v>
      </c>
      <c r="C157" t="s">
        <v>174</v>
      </c>
      <c r="D157">
        <v>46</v>
      </c>
      <c r="E157">
        <v>187</v>
      </c>
      <c r="F157">
        <v>58</v>
      </c>
      <c r="G157">
        <v>2</v>
      </c>
      <c r="H157" t="s">
        <v>590</v>
      </c>
      <c r="I157" t="s">
        <v>5</v>
      </c>
      <c r="J157" t="s">
        <v>36</v>
      </c>
      <c r="K157" t="s">
        <v>30</v>
      </c>
      <c r="L157" t="s">
        <v>10</v>
      </c>
      <c r="M157" t="s">
        <v>38</v>
      </c>
      <c r="N157" t="s">
        <v>31</v>
      </c>
      <c r="O157" t="s">
        <v>46</v>
      </c>
      <c r="P157" t="s">
        <v>8</v>
      </c>
      <c r="Q157" t="s">
        <v>23</v>
      </c>
      <c r="R157" t="s">
        <v>33</v>
      </c>
      <c r="S157" t="s">
        <v>47</v>
      </c>
      <c r="T157" t="s">
        <v>15</v>
      </c>
      <c r="U157" t="s">
        <v>5</v>
      </c>
      <c r="V157" s="3" t="s">
        <v>762</v>
      </c>
      <c r="W157" t="s">
        <v>26</v>
      </c>
    </row>
    <row r="158" spans="1:23" ht="12.75">
      <c r="A158" s="1">
        <v>45669.008576388886</v>
      </c>
      <c r="C158" t="s">
        <v>175</v>
      </c>
      <c r="D158">
        <v>23</v>
      </c>
      <c r="E158">
        <v>188</v>
      </c>
      <c r="F158">
        <v>72</v>
      </c>
      <c r="G158">
        <v>2.5</v>
      </c>
      <c r="H158" t="s">
        <v>591</v>
      </c>
      <c r="I158" t="s">
        <v>5</v>
      </c>
      <c r="J158" t="s">
        <v>6</v>
      </c>
      <c r="K158" t="s">
        <v>30</v>
      </c>
      <c r="L158" t="s">
        <v>20</v>
      </c>
      <c r="M158" t="s">
        <v>9</v>
      </c>
      <c r="N158" t="s">
        <v>40</v>
      </c>
      <c r="O158" t="s">
        <v>22</v>
      </c>
      <c r="P158" t="s">
        <v>40</v>
      </c>
      <c r="Q158" t="s">
        <v>55</v>
      </c>
      <c r="R158" t="s">
        <v>14</v>
      </c>
      <c r="S158" t="s">
        <v>25</v>
      </c>
      <c r="T158" t="s">
        <v>15</v>
      </c>
      <c r="U158" t="s">
        <v>5</v>
      </c>
      <c r="V158" s="3" t="s">
        <v>763</v>
      </c>
      <c r="W158" t="s">
        <v>26</v>
      </c>
    </row>
    <row r="159" spans="1:23" ht="12.75">
      <c r="A159" s="1">
        <v>45665.843506944446</v>
      </c>
      <c r="C159" t="s">
        <v>54</v>
      </c>
      <c r="D159">
        <v>37</v>
      </c>
      <c r="E159">
        <v>164</v>
      </c>
      <c r="F159">
        <v>65</v>
      </c>
      <c r="G159">
        <v>2.5</v>
      </c>
      <c r="H159" t="s">
        <v>592</v>
      </c>
      <c r="I159" t="s">
        <v>5</v>
      </c>
      <c r="J159" t="s">
        <v>36</v>
      </c>
      <c r="K159" t="s">
        <v>30</v>
      </c>
      <c r="L159" t="s">
        <v>10</v>
      </c>
      <c r="M159" t="s">
        <v>52</v>
      </c>
      <c r="N159" t="s">
        <v>10</v>
      </c>
      <c r="O159" t="s">
        <v>22</v>
      </c>
      <c r="P159" t="s">
        <v>40</v>
      </c>
      <c r="Q159" t="s">
        <v>55</v>
      </c>
      <c r="R159" t="s">
        <v>50</v>
      </c>
      <c r="S159" t="s">
        <v>25</v>
      </c>
      <c r="T159" t="s">
        <v>47</v>
      </c>
      <c r="U159" t="s">
        <v>29</v>
      </c>
      <c r="V159" s="3" t="s">
        <v>764</v>
      </c>
      <c r="W159" t="s">
        <v>26</v>
      </c>
    </row>
    <row r="160" spans="1:23" ht="12.75">
      <c r="A160" s="1">
        <v>45705.671354166669</v>
      </c>
      <c r="C160" t="s">
        <v>176</v>
      </c>
      <c r="D160">
        <v>21</v>
      </c>
      <c r="E160">
        <v>183</v>
      </c>
      <c r="F160">
        <v>53</v>
      </c>
      <c r="G160">
        <v>2.5</v>
      </c>
      <c r="H160" t="s">
        <v>592</v>
      </c>
      <c r="I160" t="s">
        <v>5</v>
      </c>
      <c r="J160" t="s">
        <v>6</v>
      </c>
      <c r="K160" t="s">
        <v>7</v>
      </c>
      <c r="L160" t="s">
        <v>10</v>
      </c>
      <c r="M160" t="s">
        <v>9</v>
      </c>
      <c r="N160" t="s">
        <v>20</v>
      </c>
      <c r="O160" t="s">
        <v>44</v>
      </c>
      <c r="P160" t="s">
        <v>20</v>
      </c>
      <c r="Q160" t="s">
        <v>13</v>
      </c>
      <c r="R160" t="s">
        <v>14</v>
      </c>
      <c r="S160" t="s">
        <v>47</v>
      </c>
      <c r="T160" t="s">
        <v>47</v>
      </c>
      <c r="U160" t="s">
        <v>5</v>
      </c>
      <c r="V160" s="3" t="s">
        <v>765</v>
      </c>
      <c r="W160" t="s">
        <v>26</v>
      </c>
    </row>
    <row r="161" spans="1:23" ht="12.75">
      <c r="A161" s="1">
        <v>45747.959641203706</v>
      </c>
      <c r="C161" t="s">
        <v>148</v>
      </c>
      <c r="D161">
        <v>56</v>
      </c>
      <c r="E161">
        <v>168</v>
      </c>
      <c r="F161">
        <v>85</v>
      </c>
      <c r="G161">
        <v>1</v>
      </c>
      <c r="H161" t="s">
        <v>591</v>
      </c>
      <c r="I161" t="s">
        <v>29</v>
      </c>
      <c r="J161" t="s">
        <v>6</v>
      </c>
      <c r="K161" t="s">
        <v>60</v>
      </c>
      <c r="L161" t="s">
        <v>8</v>
      </c>
      <c r="M161" t="s">
        <v>52</v>
      </c>
      <c r="N161" t="s">
        <v>12</v>
      </c>
      <c r="O161" t="s">
        <v>44</v>
      </c>
      <c r="P161" t="s">
        <v>8</v>
      </c>
      <c r="Q161" t="s">
        <v>13</v>
      </c>
      <c r="R161" t="s">
        <v>50</v>
      </c>
      <c r="S161" t="s">
        <v>15</v>
      </c>
      <c r="T161" t="s">
        <v>24</v>
      </c>
      <c r="U161" t="s">
        <v>29</v>
      </c>
      <c r="V161" s="3" t="s">
        <v>766</v>
      </c>
      <c r="W161" t="s">
        <v>34</v>
      </c>
    </row>
    <row r="162" spans="1:23" ht="12.75">
      <c r="A162" s="1">
        <v>45690.986932870372</v>
      </c>
      <c r="C162" t="s">
        <v>159</v>
      </c>
      <c r="D162">
        <v>52</v>
      </c>
      <c r="E162">
        <v>177</v>
      </c>
      <c r="F162">
        <v>87</v>
      </c>
      <c r="G162">
        <v>2.5</v>
      </c>
      <c r="H162" t="s">
        <v>592</v>
      </c>
      <c r="I162" t="s">
        <v>5</v>
      </c>
      <c r="J162" t="s">
        <v>6</v>
      </c>
      <c r="K162" t="s">
        <v>63</v>
      </c>
      <c r="L162" t="s">
        <v>10</v>
      </c>
      <c r="M162" t="s">
        <v>52</v>
      </c>
      <c r="N162" t="s">
        <v>40</v>
      </c>
      <c r="O162" t="s">
        <v>46</v>
      </c>
      <c r="P162" t="s">
        <v>10</v>
      </c>
      <c r="Q162" t="s">
        <v>32</v>
      </c>
      <c r="R162" t="s">
        <v>33</v>
      </c>
      <c r="S162" t="s">
        <v>25</v>
      </c>
      <c r="T162" t="s">
        <v>25</v>
      </c>
      <c r="U162" t="s">
        <v>5</v>
      </c>
      <c r="V162" s="3" t="s">
        <v>767</v>
      </c>
      <c r="W162" t="s">
        <v>39</v>
      </c>
    </row>
    <row r="163" spans="1:23" ht="12.75">
      <c r="A163" s="1">
        <v>45728.231574074074</v>
      </c>
      <c r="C163" t="s">
        <v>177</v>
      </c>
      <c r="D163">
        <v>37</v>
      </c>
      <c r="E163">
        <v>178</v>
      </c>
      <c r="F163">
        <v>60</v>
      </c>
      <c r="G163">
        <v>3</v>
      </c>
      <c r="H163" t="s">
        <v>591</v>
      </c>
      <c r="I163" t="s">
        <v>5</v>
      </c>
      <c r="J163" t="s">
        <v>6</v>
      </c>
      <c r="K163" t="s">
        <v>37</v>
      </c>
      <c r="L163" t="s">
        <v>10</v>
      </c>
      <c r="M163" t="s">
        <v>52</v>
      </c>
      <c r="N163" t="s">
        <v>20</v>
      </c>
      <c r="O163" t="s">
        <v>11</v>
      </c>
      <c r="P163" t="s">
        <v>12</v>
      </c>
      <c r="Q163" t="s">
        <v>32</v>
      </c>
      <c r="R163" t="s">
        <v>14</v>
      </c>
      <c r="S163" t="s">
        <v>47</v>
      </c>
      <c r="T163" t="s">
        <v>24</v>
      </c>
      <c r="U163" t="s">
        <v>5</v>
      </c>
      <c r="V163" s="3" t="s">
        <v>768</v>
      </c>
      <c r="W163" t="s">
        <v>39</v>
      </c>
    </row>
    <row r="164" spans="1:23" ht="12.75">
      <c r="A164" s="1">
        <v>45812.097118055557</v>
      </c>
      <c r="C164" t="s">
        <v>57</v>
      </c>
      <c r="D164">
        <v>23</v>
      </c>
      <c r="E164">
        <v>155</v>
      </c>
      <c r="F164">
        <v>93</v>
      </c>
      <c r="G164">
        <v>2</v>
      </c>
      <c r="H164" t="s">
        <v>591</v>
      </c>
      <c r="I164" t="s">
        <v>5</v>
      </c>
      <c r="J164" t="s">
        <v>6</v>
      </c>
      <c r="K164" t="s">
        <v>63</v>
      </c>
      <c r="L164" t="s">
        <v>8</v>
      </c>
      <c r="M164" t="s">
        <v>52</v>
      </c>
      <c r="N164" t="s">
        <v>40</v>
      </c>
      <c r="O164" t="s">
        <v>22</v>
      </c>
      <c r="P164" t="s">
        <v>40</v>
      </c>
      <c r="Q164" t="s">
        <v>23</v>
      </c>
      <c r="R164" t="s">
        <v>33</v>
      </c>
      <c r="S164" t="s">
        <v>25</v>
      </c>
      <c r="T164" t="s">
        <v>25</v>
      </c>
      <c r="U164" t="s">
        <v>29</v>
      </c>
      <c r="V164" s="3" t="s">
        <v>769</v>
      </c>
      <c r="W164" t="s">
        <v>26</v>
      </c>
    </row>
    <row r="165" spans="1:23" ht="12.75">
      <c r="A165" s="1">
        <v>45736.407280092593</v>
      </c>
      <c r="C165" t="s">
        <v>178</v>
      </c>
      <c r="D165">
        <v>35</v>
      </c>
      <c r="E165">
        <v>169</v>
      </c>
      <c r="F165">
        <v>75</v>
      </c>
      <c r="G165">
        <v>1.5</v>
      </c>
      <c r="H165" t="s">
        <v>28</v>
      </c>
      <c r="I165" t="s">
        <v>29</v>
      </c>
      <c r="J165" t="s">
        <v>36</v>
      </c>
      <c r="K165" t="s">
        <v>19</v>
      </c>
      <c r="L165" t="s">
        <v>12</v>
      </c>
      <c r="M165" t="s">
        <v>9</v>
      </c>
      <c r="N165" t="s">
        <v>12</v>
      </c>
      <c r="O165" t="s">
        <v>44</v>
      </c>
      <c r="P165" t="s">
        <v>31</v>
      </c>
      <c r="Q165" t="s">
        <v>13</v>
      </c>
      <c r="R165" t="s">
        <v>50</v>
      </c>
      <c r="S165" t="s">
        <v>24</v>
      </c>
      <c r="T165" t="s">
        <v>25</v>
      </c>
      <c r="U165" t="s">
        <v>5</v>
      </c>
      <c r="V165" s="3" t="s">
        <v>770</v>
      </c>
      <c r="W165" t="s">
        <v>26</v>
      </c>
    </row>
    <row r="166" spans="1:23" ht="12.75">
      <c r="A166" s="1">
        <v>45733.743657407409</v>
      </c>
      <c r="C166" t="s">
        <v>152</v>
      </c>
      <c r="D166">
        <v>45</v>
      </c>
      <c r="E166">
        <v>166</v>
      </c>
      <c r="F166">
        <v>108</v>
      </c>
      <c r="G166">
        <v>1</v>
      </c>
      <c r="H166" t="s">
        <v>591</v>
      </c>
      <c r="I166" t="s">
        <v>29</v>
      </c>
      <c r="J166" t="s">
        <v>6</v>
      </c>
      <c r="K166" t="s">
        <v>19</v>
      </c>
      <c r="L166" t="s">
        <v>40</v>
      </c>
      <c r="M166" t="s">
        <v>21</v>
      </c>
      <c r="N166" t="s">
        <v>20</v>
      </c>
      <c r="O166" t="s">
        <v>22</v>
      </c>
      <c r="P166" t="s">
        <v>10</v>
      </c>
      <c r="Q166" t="s">
        <v>55</v>
      </c>
      <c r="R166" t="s">
        <v>14</v>
      </c>
      <c r="S166" t="s">
        <v>25</v>
      </c>
      <c r="T166" t="s">
        <v>47</v>
      </c>
      <c r="U166" t="s">
        <v>29</v>
      </c>
      <c r="V166" s="3" t="s">
        <v>771</v>
      </c>
      <c r="W166" t="s">
        <v>34</v>
      </c>
    </row>
    <row r="167" spans="1:23" ht="12.75">
      <c r="A167" s="1">
        <v>45766.912812499999</v>
      </c>
      <c r="C167" t="s">
        <v>75</v>
      </c>
      <c r="D167">
        <v>58</v>
      </c>
      <c r="E167">
        <v>178</v>
      </c>
      <c r="F167">
        <v>88</v>
      </c>
      <c r="G167">
        <v>1.5</v>
      </c>
      <c r="H167" t="s">
        <v>590</v>
      </c>
      <c r="I167" t="s">
        <v>29</v>
      </c>
      <c r="J167" t="s">
        <v>36</v>
      </c>
      <c r="K167" t="s">
        <v>60</v>
      </c>
      <c r="L167" t="s">
        <v>31</v>
      </c>
      <c r="M167" t="s">
        <v>38</v>
      </c>
      <c r="N167" t="s">
        <v>10</v>
      </c>
      <c r="O167" t="s">
        <v>44</v>
      </c>
      <c r="P167" t="s">
        <v>8</v>
      </c>
      <c r="Q167" t="s">
        <v>55</v>
      </c>
      <c r="R167" t="s">
        <v>50</v>
      </c>
      <c r="S167" t="s">
        <v>24</v>
      </c>
      <c r="T167" t="s">
        <v>47</v>
      </c>
      <c r="U167" t="s">
        <v>5</v>
      </c>
      <c r="V167" s="3" t="s">
        <v>772</v>
      </c>
      <c r="W167" t="s">
        <v>26</v>
      </c>
    </row>
    <row r="168" spans="1:23" ht="12.75">
      <c r="A168" s="1">
        <v>45768.274988425925</v>
      </c>
      <c r="C168" t="s">
        <v>65</v>
      </c>
      <c r="D168">
        <v>49</v>
      </c>
      <c r="E168">
        <v>171</v>
      </c>
      <c r="F168">
        <v>109</v>
      </c>
      <c r="G168">
        <v>1</v>
      </c>
      <c r="H168" t="s">
        <v>592</v>
      </c>
      <c r="I168" t="s">
        <v>29</v>
      </c>
      <c r="J168" t="s">
        <v>6</v>
      </c>
      <c r="K168" t="s">
        <v>30</v>
      </c>
      <c r="L168" t="s">
        <v>12</v>
      </c>
      <c r="M168" t="s">
        <v>38</v>
      </c>
      <c r="N168" t="s">
        <v>20</v>
      </c>
      <c r="O168" t="s">
        <v>22</v>
      </c>
      <c r="P168" t="s">
        <v>12</v>
      </c>
      <c r="Q168" t="s">
        <v>55</v>
      </c>
      <c r="R168" t="s">
        <v>33</v>
      </c>
      <c r="S168" t="s">
        <v>47</v>
      </c>
      <c r="T168" t="s">
        <v>15</v>
      </c>
      <c r="U168" t="s">
        <v>5</v>
      </c>
      <c r="V168" s="3" t="s">
        <v>773</v>
      </c>
      <c r="W168" t="s">
        <v>26</v>
      </c>
    </row>
    <row r="169" spans="1:23" ht="12.75">
      <c r="A169" s="1">
        <v>45808.1096412037</v>
      </c>
      <c r="C169" t="s">
        <v>162</v>
      </c>
      <c r="D169">
        <v>51</v>
      </c>
      <c r="E169">
        <v>177</v>
      </c>
      <c r="F169">
        <v>103</v>
      </c>
      <c r="G169">
        <v>2.5</v>
      </c>
      <c r="H169" t="s">
        <v>28</v>
      </c>
      <c r="I169" t="s">
        <v>29</v>
      </c>
      <c r="J169" t="s">
        <v>6</v>
      </c>
      <c r="K169" t="s">
        <v>7</v>
      </c>
      <c r="L169" t="s">
        <v>8</v>
      </c>
      <c r="M169" t="s">
        <v>52</v>
      </c>
      <c r="N169" t="s">
        <v>40</v>
      </c>
      <c r="O169" t="s">
        <v>46</v>
      </c>
      <c r="P169" t="s">
        <v>10</v>
      </c>
      <c r="Q169" t="s">
        <v>55</v>
      </c>
      <c r="R169" t="s">
        <v>14</v>
      </c>
      <c r="S169" t="s">
        <v>15</v>
      </c>
      <c r="T169" t="s">
        <v>25</v>
      </c>
      <c r="U169" t="s">
        <v>5</v>
      </c>
      <c r="V169" s="3" t="s">
        <v>774</v>
      </c>
      <c r="W169" t="s">
        <v>34</v>
      </c>
    </row>
    <row r="170" spans="1:23" ht="12.75">
      <c r="A170" s="1">
        <v>45792.25540509259</v>
      </c>
      <c r="C170" t="s">
        <v>179</v>
      </c>
      <c r="D170">
        <v>47</v>
      </c>
      <c r="E170">
        <v>179</v>
      </c>
      <c r="F170">
        <v>106</v>
      </c>
      <c r="G170">
        <v>2</v>
      </c>
      <c r="H170" t="s">
        <v>28</v>
      </c>
      <c r="I170" t="s">
        <v>5</v>
      </c>
      <c r="J170" t="s">
        <v>6</v>
      </c>
      <c r="K170" t="s">
        <v>37</v>
      </c>
      <c r="L170" t="s">
        <v>8</v>
      </c>
      <c r="M170" t="s">
        <v>9</v>
      </c>
      <c r="N170" t="s">
        <v>12</v>
      </c>
      <c r="O170" t="s">
        <v>44</v>
      </c>
      <c r="P170" t="s">
        <v>10</v>
      </c>
      <c r="Q170" t="s">
        <v>32</v>
      </c>
      <c r="R170" t="s">
        <v>14</v>
      </c>
      <c r="S170" t="s">
        <v>47</v>
      </c>
      <c r="T170" t="s">
        <v>15</v>
      </c>
      <c r="U170" t="s">
        <v>29</v>
      </c>
      <c r="V170" s="3" t="s">
        <v>775</v>
      </c>
      <c r="W170" t="s">
        <v>34</v>
      </c>
    </row>
    <row r="171" spans="1:23" ht="12.75">
      <c r="A171" s="1">
        <v>45684.237847222219</v>
      </c>
      <c r="C171" t="s">
        <v>161</v>
      </c>
      <c r="D171">
        <v>29</v>
      </c>
      <c r="E171">
        <v>166</v>
      </c>
      <c r="F171">
        <v>107</v>
      </c>
      <c r="G171">
        <v>1</v>
      </c>
      <c r="H171" t="s">
        <v>590</v>
      </c>
      <c r="I171" t="s">
        <v>29</v>
      </c>
      <c r="J171" t="s">
        <v>6</v>
      </c>
      <c r="K171" t="s">
        <v>60</v>
      </c>
      <c r="L171" t="s">
        <v>20</v>
      </c>
      <c r="M171" t="s">
        <v>52</v>
      </c>
      <c r="N171" t="s">
        <v>40</v>
      </c>
      <c r="O171" t="s">
        <v>22</v>
      </c>
      <c r="P171" t="s">
        <v>12</v>
      </c>
      <c r="Q171" t="s">
        <v>23</v>
      </c>
      <c r="R171" t="s">
        <v>50</v>
      </c>
      <c r="S171" t="s">
        <v>15</v>
      </c>
      <c r="T171" t="s">
        <v>25</v>
      </c>
      <c r="U171" t="s">
        <v>5</v>
      </c>
      <c r="V171" s="3" t="s">
        <v>776</v>
      </c>
      <c r="W171" t="s">
        <v>34</v>
      </c>
    </row>
    <row r="172" spans="1:23" ht="12.75">
      <c r="A172" s="1">
        <v>45695.966180555559</v>
      </c>
      <c r="C172" t="s">
        <v>180</v>
      </c>
      <c r="D172">
        <v>40</v>
      </c>
      <c r="E172">
        <v>157</v>
      </c>
      <c r="F172">
        <v>80</v>
      </c>
      <c r="G172">
        <v>2</v>
      </c>
      <c r="H172" t="s">
        <v>592</v>
      </c>
      <c r="I172" t="s">
        <v>5</v>
      </c>
      <c r="J172" t="s">
        <v>36</v>
      </c>
      <c r="K172" t="s">
        <v>60</v>
      </c>
      <c r="L172" t="s">
        <v>8</v>
      </c>
      <c r="M172" t="s">
        <v>21</v>
      </c>
      <c r="N172" t="s">
        <v>40</v>
      </c>
      <c r="O172" t="s">
        <v>11</v>
      </c>
      <c r="P172" t="s">
        <v>8</v>
      </c>
      <c r="Q172" t="s">
        <v>23</v>
      </c>
      <c r="R172" t="s">
        <v>33</v>
      </c>
      <c r="S172" t="s">
        <v>15</v>
      </c>
      <c r="T172" t="s">
        <v>47</v>
      </c>
      <c r="U172" t="s">
        <v>5</v>
      </c>
      <c r="V172" s="3" t="s">
        <v>777</v>
      </c>
      <c r="W172" t="s">
        <v>39</v>
      </c>
    </row>
    <row r="173" spans="1:23" ht="12.75">
      <c r="A173" s="1">
        <v>45793.922546296293</v>
      </c>
      <c r="C173" t="s">
        <v>163</v>
      </c>
      <c r="D173">
        <v>57</v>
      </c>
      <c r="E173">
        <v>176</v>
      </c>
      <c r="F173">
        <v>84</v>
      </c>
      <c r="G173">
        <v>2.5</v>
      </c>
      <c r="H173" t="s">
        <v>28</v>
      </c>
      <c r="I173" t="s">
        <v>29</v>
      </c>
      <c r="J173" t="s">
        <v>36</v>
      </c>
      <c r="K173" t="s">
        <v>37</v>
      </c>
      <c r="L173" t="s">
        <v>40</v>
      </c>
      <c r="M173" t="s">
        <v>38</v>
      </c>
      <c r="N173" t="s">
        <v>31</v>
      </c>
      <c r="O173" t="s">
        <v>46</v>
      </c>
      <c r="P173" t="s">
        <v>8</v>
      </c>
      <c r="Q173" t="s">
        <v>55</v>
      </c>
      <c r="R173" t="s">
        <v>14</v>
      </c>
      <c r="S173" t="s">
        <v>24</v>
      </c>
      <c r="T173" t="s">
        <v>24</v>
      </c>
      <c r="U173" t="s">
        <v>5</v>
      </c>
      <c r="V173" s="3" t="s">
        <v>778</v>
      </c>
      <c r="W173" t="s">
        <v>26</v>
      </c>
    </row>
    <row r="174" spans="1:23" ht="12.75">
      <c r="A174" s="1">
        <v>45680.497708333336</v>
      </c>
      <c r="C174" t="s">
        <v>181</v>
      </c>
      <c r="D174">
        <v>26</v>
      </c>
      <c r="E174">
        <v>185</v>
      </c>
      <c r="F174">
        <v>55</v>
      </c>
      <c r="G174">
        <v>2</v>
      </c>
      <c r="H174" t="s">
        <v>28</v>
      </c>
      <c r="I174" t="s">
        <v>5</v>
      </c>
      <c r="J174" t="s">
        <v>36</v>
      </c>
      <c r="K174" t="s">
        <v>7</v>
      </c>
      <c r="L174" t="s">
        <v>31</v>
      </c>
      <c r="M174" t="s">
        <v>38</v>
      </c>
      <c r="N174" t="s">
        <v>10</v>
      </c>
      <c r="O174" t="s">
        <v>46</v>
      </c>
      <c r="P174" t="s">
        <v>10</v>
      </c>
      <c r="Q174" t="s">
        <v>23</v>
      </c>
      <c r="R174" t="s">
        <v>33</v>
      </c>
      <c r="S174" t="s">
        <v>25</v>
      </c>
      <c r="T174" t="s">
        <v>47</v>
      </c>
      <c r="U174" t="s">
        <v>5</v>
      </c>
      <c r="V174" s="3" t="s">
        <v>779</v>
      </c>
      <c r="W174" t="s">
        <v>34</v>
      </c>
    </row>
    <row r="175" spans="1:23" ht="12.75">
      <c r="A175" s="1">
        <v>45764.588738425926</v>
      </c>
      <c r="C175" t="s">
        <v>182</v>
      </c>
      <c r="D175">
        <v>33</v>
      </c>
      <c r="E175">
        <v>182</v>
      </c>
      <c r="F175">
        <v>79</v>
      </c>
      <c r="G175">
        <v>2.5</v>
      </c>
      <c r="H175" t="s">
        <v>592</v>
      </c>
      <c r="I175" t="s">
        <v>5</v>
      </c>
      <c r="J175" t="s">
        <v>36</v>
      </c>
      <c r="K175" t="s">
        <v>30</v>
      </c>
      <c r="L175" t="s">
        <v>40</v>
      </c>
      <c r="M175" t="s">
        <v>52</v>
      </c>
      <c r="N175" t="s">
        <v>31</v>
      </c>
      <c r="O175" t="s">
        <v>22</v>
      </c>
      <c r="P175" t="s">
        <v>40</v>
      </c>
      <c r="Q175" t="s">
        <v>55</v>
      </c>
      <c r="R175" t="s">
        <v>14</v>
      </c>
      <c r="S175" t="s">
        <v>15</v>
      </c>
      <c r="T175" t="s">
        <v>15</v>
      </c>
      <c r="U175" t="s">
        <v>5</v>
      </c>
      <c r="V175" s="3" t="s">
        <v>780</v>
      </c>
      <c r="W175" t="s">
        <v>39</v>
      </c>
    </row>
    <row r="176" spans="1:23" ht="12.75">
      <c r="A176" s="1">
        <v>45719.899050925924</v>
      </c>
      <c r="C176" t="s">
        <v>146</v>
      </c>
      <c r="D176">
        <v>54</v>
      </c>
      <c r="E176">
        <v>158</v>
      </c>
      <c r="F176">
        <v>67</v>
      </c>
      <c r="G176">
        <v>1</v>
      </c>
      <c r="H176" t="s">
        <v>590</v>
      </c>
      <c r="I176" t="s">
        <v>29</v>
      </c>
      <c r="J176" t="s">
        <v>36</v>
      </c>
      <c r="K176" t="s">
        <v>37</v>
      </c>
      <c r="L176" t="s">
        <v>8</v>
      </c>
      <c r="M176" t="s">
        <v>9</v>
      </c>
      <c r="N176" t="s">
        <v>10</v>
      </c>
      <c r="O176" t="s">
        <v>11</v>
      </c>
      <c r="P176" t="s">
        <v>8</v>
      </c>
      <c r="Q176" t="s">
        <v>23</v>
      </c>
      <c r="R176" t="s">
        <v>14</v>
      </c>
      <c r="S176" t="s">
        <v>25</v>
      </c>
      <c r="T176" t="s">
        <v>25</v>
      </c>
      <c r="U176" t="s">
        <v>5</v>
      </c>
      <c r="V176" s="3" t="s">
        <v>781</v>
      </c>
      <c r="W176" t="s">
        <v>16</v>
      </c>
    </row>
    <row r="177" spans="1:23" ht="12.75">
      <c r="A177" s="1">
        <v>45730.923796296294</v>
      </c>
      <c r="C177" t="s">
        <v>183</v>
      </c>
      <c r="D177">
        <v>39</v>
      </c>
      <c r="E177">
        <v>160</v>
      </c>
      <c r="F177">
        <v>64</v>
      </c>
      <c r="G177">
        <v>1</v>
      </c>
      <c r="H177" t="s">
        <v>590</v>
      </c>
      <c r="I177" t="s">
        <v>29</v>
      </c>
      <c r="J177" t="s">
        <v>36</v>
      </c>
      <c r="K177" t="s">
        <v>60</v>
      </c>
      <c r="L177" t="s">
        <v>12</v>
      </c>
      <c r="M177" t="s">
        <v>21</v>
      </c>
      <c r="N177" t="s">
        <v>31</v>
      </c>
      <c r="O177" t="s">
        <v>46</v>
      </c>
      <c r="P177" t="s">
        <v>20</v>
      </c>
      <c r="Q177" t="s">
        <v>55</v>
      </c>
      <c r="R177" t="s">
        <v>33</v>
      </c>
      <c r="S177" t="s">
        <v>47</v>
      </c>
      <c r="T177" t="s">
        <v>24</v>
      </c>
      <c r="U177" t="s">
        <v>5</v>
      </c>
      <c r="V177" s="3" t="s">
        <v>782</v>
      </c>
      <c r="W177" t="s">
        <v>16</v>
      </c>
    </row>
    <row r="178" spans="1:23" ht="12.75">
      <c r="A178" s="1">
        <v>45719.164768518516</v>
      </c>
      <c r="C178" t="s">
        <v>180</v>
      </c>
      <c r="D178">
        <v>22</v>
      </c>
      <c r="E178">
        <v>188</v>
      </c>
      <c r="F178">
        <v>62</v>
      </c>
      <c r="G178">
        <v>2.5</v>
      </c>
      <c r="H178" t="s">
        <v>592</v>
      </c>
      <c r="I178" t="s">
        <v>5</v>
      </c>
      <c r="J178" t="s">
        <v>6</v>
      </c>
      <c r="K178" t="s">
        <v>60</v>
      </c>
      <c r="L178" t="s">
        <v>40</v>
      </c>
      <c r="M178" t="s">
        <v>21</v>
      </c>
      <c r="N178" t="s">
        <v>40</v>
      </c>
      <c r="O178" t="s">
        <v>44</v>
      </c>
      <c r="P178" t="s">
        <v>10</v>
      </c>
      <c r="Q178" t="s">
        <v>13</v>
      </c>
      <c r="R178" t="s">
        <v>50</v>
      </c>
      <c r="S178" t="s">
        <v>25</v>
      </c>
      <c r="T178" t="s">
        <v>24</v>
      </c>
      <c r="U178" t="s">
        <v>5</v>
      </c>
      <c r="V178" s="3" t="s">
        <v>783</v>
      </c>
      <c r="W178" t="s">
        <v>39</v>
      </c>
    </row>
    <row r="179" spans="1:23" ht="12.75">
      <c r="A179" s="1">
        <v>45809.667268518519</v>
      </c>
      <c r="C179" t="s">
        <v>184</v>
      </c>
      <c r="D179">
        <v>54</v>
      </c>
      <c r="E179">
        <v>174</v>
      </c>
      <c r="F179">
        <v>73</v>
      </c>
      <c r="G179">
        <v>1.5</v>
      </c>
      <c r="H179" t="s">
        <v>590</v>
      </c>
      <c r="I179" t="s">
        <v>5</v>
      </c>
      <c r="J179" t="s">
        <v>36</v>
      </c>
      <c r="K179" t="s">
        <v>63</v>
      </c>
      <c r="L179" t="s">
        <v>10</v>
      </c>
      <c r="M179" t="s">
        <v>21</v>
      </c>
      <c r="N179" t="s">
        <v>10</v>
      </c>
      <c r="O179" t="s">
        <v>44</v>
      </c>
      <c r="P179" t="s">
        <v>31</v>
      </c>
      <c r="Q179" t="s">
        <v>13</v>
      </c>
      <c r="R179" t="s">
        <v>14</v>
      </c>
      <c r="S179" t="s">
        <v>47</v>
      </c>
      <c r="T179" t="s">
        <v>24</v>
      </c>
      <c r="U179" t="s">
        <v>29</v>
      </c>
      <c r="V179" s="3" t="s">
        <v>784</v>
      </c>
      <c r="W179" t="s">
        <v>34</v>
      </c>
    </row>
    <row r="180" spans="1:23" ht="12.75">
      <c r="A180" s="1">
        <v>45741.719942129632</v>
      </c>
      <c r="C180" t="s">
        <v>179</v>
      </c>
      <c r="D180">
        <v>48</v>
      </c>
      <c r="E180">
        <v>158</v>
      </c>
      <c r="F180">
        <v>66</v>
      </c>
      <c r="G180">
        <v>1</v>
      </c>
      <c r="H180" t="s">
        <v>590</v>
      </c>
      <c r="I180" t="s">
        <v>5</v>
      </c>
      <c r="J180" t="s">
        <v>6</v>
      </c>
      <c r="K180" t="s">
        <v>7</v>
      </c>
      <c r="L180" t="s">
        <v>10</v>
      </c>
      <c r="M180" t="s">
        <v>38</v>
      </c>
      <c r="N180" t="s">
        <v>10</v>
      </c>
      <c r="O180" t="s">
        <v>46</v>
      </c>
      <c r="P180" t="s">
        <v>20</v>
      </c>
      <c r="Q180" t="s">
        <v>32</v>
      </c>
      <c r="R180" t="s">
        <v>14</v>
      </c>
      <c r="S180" t="s">
        <v>47</v>
      </c>
      <c r="T180" t="s">
        <v>25</v>
      </c>
      <c r="U180" t="s">
        <v>29</v>
      </c>
      <c r="V180" s="3" t="s">
        <v>785</v>
      </c>
      <c r="W180" t="s">
        <v>26</v>
      </c>
    </row>
    <row r="181" spans="1:23" ht="12.75">
      <c r="A181" s="1">
        <v>45668.481111111112</v>
      </c>
      <c r="C181" t="s">
        <v>59</v>
      </c>
      <c r="D181">
        <v>33</v>
      </c>
      <c r="E181">
        <v>158</v>
      </c>
      <c r="F181">
        <v>78</v>
      </c>
      <c r="G181">
        <v>2</v>
      </c>
      <c r="H181" t="s">
        <v>592</v>
      </c>
      <c r="I181" t="s">
        <v>29</v>
      </c>
      <c r="J181" t="s">
        <v>6</v>
      </c>
      <c r="K181" t="s">
        <v>60</v>
      </c>
      <c r="L181" t="s">
        <v>40</v>
      </c>
      <c r="M181" t="s">
        <v>38</v>
      </c>
      <c r="N181" t="s">
        <v>40</v>
      </c>
      <c r="O181" t="s">
        <v>22</v>
      </c>
      <c r="P181" t="s">
        <v>31</v>
      </c>
      <c r="Q181" t="s">
        <v>55</v>
      </c>
      <c r="R181" t="s">
        <v>14</v>
      </c>
      <c r="S181" t="s">
        <v>25</v>
      </c>
      <c r="T181" t="s">
        <v>24</v>
      </c>
      <c r="U181" t="s">
        <v>29</v>
      </c>
      <c r="V181" s="3" t="s">
        <v>786</v>
      </c>
      <c r="W181" t="s">
        <v>26</v>
      </c>
    </row>
    <row r="182" spans="1:23" ht="12.75">
      <c r="A182" s="1">
        <v>45703.097337962965</v>
      </c>
      <c r="C182" t="s">
        <v>185</v>
      </c>
      <c r="D182">
        <v>57</v>
      </c>
      <c r="E182">
        <v>168</v>
      </c>
      <c r="F182">
        <v>65</v>
      </c>
      <c r="G182">
        <v>2</v>
      </c>
      <c r="H182" t="s">
        <v>591</v>
      </c>
      <c r="I182" t="s">
        <v>29</v>
      </c>
      <c r="J182" t="s">
        <v>6</v>
      </c>
      <c r="K182" t="s">
        <v>7</v>
      </c>
      <c r="L182" t="s">
        <v>20</v>
      </c>
      <c r="M182" t="s">
        <v>52</v>
      </c>
      <c r="N182" t="s">
        <v>20</v>
      </c>
      <c r="O182" t="s">
        <v>46</v>
      </c>
      <c r="P182" t="s">
        <v>20</v>
      </c>
      <c r="Q182" t="s">
        <v>13</v>
      </c>
      <c r="R182" t="s">
        <v>14</v>
      </c>
      <c r="S182" t="s">
        <v>24</v>
      </c>
      <c r="T182" t="s">
        <v>24</v>
      </c>
      <c r="U182" t="s">
        <v>5</v>
      </c>
      <c r="V182" s="3" t="s">
        <v>787</v>
      </c>
      <c r="W182" t="s">
        <v>39</v>
      </c>
    </row>
    <row r="183" spans="1:23" ht="12.75">
      <c r="A183" s="1">
        <v>45778.238796296297</v>
      </c>
      <c r="C183" t="s">
        <v>186</v>
      </c>
      <c r="D183">
        <v>28</v>
      </c>
      <c r="E183">
        <v>181</v>
      </c>
      <c r="F183">
        <v>60</v>
      </c>
      <c r="G183">
        <v>1</v>
      </c>
      <c r="H183" t="s">
        <v>592</v>
      </c>
      <c r="I183" t="s">
        <v>29</v>
      </c>
      <c r="J183" t="s">
        <v>36</v>
      </c>
      <c r="K183" t="s">
        <v>63</v>
      </c>
      <c r="L183" t="s">
        <v>31</v>
      </c>
      <c r="M183" t="s">
        <v>52</v>
      </c>
      <c r="N183" t="s">
        <v>10</v>
      </c>
      <c r="O183" t="s">
        <v>22</v>
      </c>
      <c r="P183" t="s">
        <v>8</v>
      </c>
      <c r="Q183" t="s">
        <v>55</v>
      </c>
      <c r="R183" t="s">
        <v>14</v>
      </c>
      <c r="S183" t="s">
        <v>25</v>
      </c>
      <c r="T183" t="s">
        <v>15</v>
      </c>
      <c r="U183" t="s">
        <v>5</v>
      </c>
      <c r="V183" s="3" t="s">
        <v>788</v>
      </c>
      <c r="W183" t="s">
        <v>39</v>
      </c>
    </row>
    <row r="184" spans="1:23" ht="12.75">
      <c r="A184" s="1">
        <v>45689.127280092594</v>
      </c>
      <c r="C184" t="s">
        <v>70</v>
      </c>
      <c r="D184">
        <v>31</v>
      </c>
      <c r="E184">
        <v>182</v>
      </c>
      <c r="F184">
        <v>78</v>
      </c>
      <c r="G184">
        <v>1</v>
      </c>
      <c r="H184" t="s">
        <v>592</v>
      </c>
      <c r="I184" t="s">
        <v>5</v>
      </c>
      <c r="J184" t="s">
        <v>6</v>
      </c>
      <c r="K184" t="s">
        <v>30</v>
      </c>
      <c r="L184" t="s">
        <v>40</v>
      </c>
      <c r="M184" t="s">
        <v>9</v>
      </c>
      <c r="N184" t="s">
        <v>12</v>
      </c>
      <c r="O184" t="s">
        <v>11</v>
      </c>
      <c r="P184" t="s">
        <v>31</v>
      </c>
      <c r="Q184" t="s">
        <v>23</v>
      </c>
      <c r="R184" t="s">
        <v>14</v>
      </c>
      <c r="S184" t="s">
        <v>15</v>
      </c>
      <c r="T184" t="s">
        <v>15</v>
      </c>
      <c r="U184" t="s">
        <v>29</v>
      </c>
      <c r="V184" s="3" t="s">
        <v>789</v>
      </c>
      <c r="W184" t="s">
        <v>26</v>
      </c>
    </row>
    <row r="185" spans="1:23" ht="12.75">
      <c r="A185" s="1">
        <v>45775.292337962965</v>
      </c>
      <c r="C185" t="s">
        <v>136</v>
      </c>
      <c r="D185">
        <v>45</v>
      </c>
      <c r="E185">
        <v>163</v>
      </c>
      <c r="F185">
        <v>82</v>
      </c>
      <c r="G185">
        <v>1</v>
      </c>
      <c r="H185" t="s">
        <v>28</v>
      </c>
      <c r="I185" t="s">
        <v>29</v>
      </c>
      <c r="J185" t="s">
        <v>6</v>
      </c>
      <c r="K185" t="s">
        <v>60</v>
      </c>
      <c r="L185" t="s">
        <v>10</v>
      </c>
      <c r="M185" t="s">
        <v>9</v>
      </c>
      <c r="N185" t="s">
        <v>10</v>
      </c>
      <c r="O185" t="s">
        <v>46</v>
      </c>
      <c r="P185" t="s">
        <v>31</v>
      </c>
      <c r="Q185" t="s">
        <v>55</v>
      </c>
      <c r="R185" t="s">
        <v>50</v>
      </c>
      <c r="S185" t="s">
        <v>25</v>
      </c>
      <c r="T185" t="s">
        <v>24</v>
      </c>
      <c r="U185" t="s">
        <v>29</v>
      </c>
      <c r="V185" s="3" t="s">
        <v>790</v>
      </c>
      <c r="W185" t="s">
        <v>39</v>
      </c>
    </row>
    <row r="186" spans="1:23" ht="12.75">
      <c r="A186" s="1">
        <v>45771.525763888887</v>
      </c>
      <c r="C186" t="s">
        <v>48</v>
      </c>
      <c r="D186">
        <v>29</v>
      </c>
      <c r="E186">
        <v>167</v>
      </c>
      <c r="F186">
        <v>82</v>
      </c>
      <c r="G186">
        <v>2</v>
      </c>
      <c r="H186" t="s">
        <v>590</v>
      </c>
      <c r="I186" t="s">
        <v>5</v>
      </c>
      <c r="J186" t="s">
        <v>6</v>
      </c>
      <c r="K186" t="s">
        <v>7</v>
      </c>
      <c r="L186" t="s">
        <v>20</v>
      </c>
      <c r="M186" t="s">
        <v>9</v>
      </c>
      <c r="N186" t="s">
        <v>20</v>
      </c>
      <c r="O186" t="s">
        <v>22</v>
      </c>
      <c r="P186" t="s">
        <v>8</v>
      </c>
      <c r="Q186" t="s">
        <v>55</v>
      </c>
      <c r="R186" t="s">
        <v>50</v>
      </c>
      <c r="S186" t="s">
        <v>24</v>
      </c>
      <c r="T186" t="s">
        <v>47</v>
      </c>
      <c r="U186" t="s">
        <v>5</v>
      </c>
      <c r="V186" s="3" t="s">
        <v>791</v>
      </c>
      <c r="W186" t="s">
        <v>34</v>
      </c>
    </row>
    <row r="187" spans="1:23" ht="12.75">
      <c r="A187" s="1">
        <v>45808.936076388891</v>
      </c>
      <c r="C187" t="s">
        <v>187</v>
      </c>
      <c r="D187">
        <v>33</v>
      </c>
      <c r="E187">
        <v>188</v>
      </c>
      <c r="F187">
        <v>54</v>
      </c>
      <c r="G187">
        <v>2.5</v>
      </c>
      <c r="H187" t="s">
        <v>591</v>
      </c>
      <c r="I187" t="s">
        <v>5</v>
      </c>
      <c r="J187" t="s">
        <v>6</v>
      </c>
      <c r="K187" t="s">
        <v>7</v>
      </c>
      <c r="L187" t="s">
        <v>12</v>
      </c>
      <c r="M187" t="s">
        <v>9</v>
      </c>
      <c r="N187" t="s">
        <v>8</v>
      </c>
      <c r="O187" t="s">
        <v>44</v>
      </c>
      <c r="P187" t="s">
        <v>10</v>
      </c>
      <c r="Q187" t="s">
        <v>55</v>
      </c>
      <c r="R187" t="s">
        <v>14</v>
      </c>
      <c r="S187" t="s">
        <v>24</v>
      </c>
      <c r="T187" t="s">
        <v>15</v>
      </c>
      <c r="U187" t="s">
        <v>29</v>
      </c>
      <c r="V187" s="3" t="s">
        <v>792</v>
      </c>
      <c r="W187" t="s">
        <v>16</v>
      </c>
    </row>
    <row r="188" spans="1:23" ht="12.75">
      <c r="A188" s="1">
        <v>45797.619768518518</v>
      </c>
      <c r="C188" t="s">
        <v>112</v>
      </c>
      <c r="D188">
        <v>52</v>
      </c>
      <c r="E188">
        <v>162</v>
      </c>
      <c r="F188">
        <v>98</v>
      </c>
      <c r="G188">
        <v>2</v>
      </c>
      <c r="H188" t="s">
        <v>590</v>
      </c>
      <c r="I188" t="s">
        <v>5</v>
      </c>
      <c r="J188" t="s">
        <v>36</v>
      </c>
      <c r="K188" t="s">
        <v>19</v>
      </c>
      <c r="L188" t="s">
        <v>31</v>
      </c>
      <c r="M188" t="s">
        <v>38</v>
      </c>
      <c r="N188" t="s">
        <v>12</v>
      </c>
      <c r="O188" t="s">
        <v>44</v>
      </c>
      <c r="P188" t="s">
        <v>31</v>
      </c>
      <c r="Q188" t="s">
        <v>32</v>
      </c>
      <c r="R188" t="s">
        <v>50</v>
      </c>
      <c r="S188" t="s">
        <v>47</v>
      </c>
      <c r="T188" t="s">
        <v>15</v>
      </c>
      <c r="U188" t="s">
        <v>5</v>
      </c>
      <c r="V188" s="3" t="s">
        <v>793</v>
      </c>
      <c r="W188" t="s">
        <v>26</v>
      </c>
    </row>
    <row r="189" spans="1:23" ht="12.75">
      <c r="A189" s="1">
        <v>45782.517199074071</v>
      </c>
      <c r="C189" t="s">
        <v>165</v>
      </c>
      <c r="D189">
        <v>20</v>
      </c>
      <c r="E189">
        <v>160</v>
      </c>
      <c r="F189">
        <v>105</v>
      </c>
      <c r="G189">
        <v>2</v>
      </c>
      <c r="H189" t="s">
        <v>28</v>
      </c>
      <c r="I189" t="s">
        <v>29</v>
      </c>
      <c r="J189" t="s">
        <v>36</v>
      </c>
      <c r="K189" t="s">
        <v>63</v>
      </c>
      <c r="L189" t="s">
        <v>8</v>
      </c>
      <c r="M189" t="s">
        <v>9</v>
      </c>
      <c r="N189" t="s">
        <v>10</v>
      </c>
      <c r="O189" t="s">
        <v>44</v>
      </c>
      <c r="P189" t="s">
        <v>10</v>
      </c>
      <c r="Q189" t="s">
        <v>55</v>
      </c>
      <c r="R189" t="s">
        <v>50</v>
      </c>
      <c r="S189" t="s">
        <v>15</v>
      </c>
      <c r="T189" t="s">
        <v>24</v>
      </c>
      <c r="U189" t="s">
        <v>29</v>
      </c>
      <c r="V189" s="3" t="s">
        <v>794</v>
      </c>
      <c r="W189" t="s">
        <v>26</v>
      </c>
    </row>
    <row r="190" spans="1:23" ht="12.75">
      <c r="A190" s="1">
        <v>45750.76122685185</v>
      </c>
      <c r="C190" t="s">
        <v>108</v>
      </c>
      <c r="D190">
        <v>46</v>
      </c>
      <c r="E190">
        <v>161</v>
      </c>
      <c r="F190">
        <v>102</v>
      </c>
      <c r="G190">
        <v>1.5</v>
      </c>
      <c r="H190" t="s">
        <v>592</v>
      </c>
      <c r="I190" t="s">
        <v>29</v>
      </c>
      <c r="J190" t="s">
        <v>36</v>
      </c>
      <c r="K190" t="s">
        <v>7</v>
      </c>
      <c r="L190" t="s">
        <v>40</v>
      </c>
      <c r="M190" t="s">
        <v>9</v>
      </c>
      <c r="N190" t="s">
        <v>8</v>
      </c>
      <c r="O190" t="s">
        <v>44</v>
      </c>
      <c r="P190" t="s">
        <v>8</v>
      </c>
      <c r="Q190" t="s">
        <v>23</v>
      </c>
      <c r="R190" t="s">
        <v>14</v>
      </c>
      <c r="S190" t="s">
        <v>25</v>
      </c>
      <c r="T190" t="s">
        <v>47</v>
      </c>
      <c r="U190" t="s">
        <v>29</v>
      </c>
      <c r="V190" s="3" t="s">
        <v>795</v>
      </c>
      <c r="W190" t="s">
        <v>39</v>
      </c>
    </row>
    <row r="191" spans="1:23" ht="12.75">
      <c r="A191" s="1">
        <v>45739.263425925928</v>
      </c>
      <c r="C191" t="s">
        <v>87</v>
      </c>
      <c r="D191">
        <v>39</v>
      </c>
      <c r="E191">
        <v>166</v>
      </c>
      <c r="F191">
        <v>73</v>
      </c>
      <c r="G191">
        <v>1.5</v>
      </c>
      <c r="H191" t="s">
        <v>591</v>
      </c>
      <c r="I191" t="s">
        <v>5</v>
      </c>
      <c r="J191" t="s">
        <v>36</v>
      </c>
      <c r="K191" t="s">
        <v>60</v>
      </c>
      <c r="L191" t="s">
        <v>10</v>
      </c>
      <c r="M191" t="s">
        <v>21</v>
      </c>
      <c r="N191" t="s">
        <v>10</v>
      </c>
      <c r="O191" t="s">
        <v>46</v>
      </c>
      <c r="P191" t="s">
        <v>31</v>
      </c>
      <c r="Q191" t="s">
        <v>23</v>
      </c>
      <c r="R191" t="s">
        <v>14</v>
      </c>
      <c r="S191" t="s">
        <v>25</v>
      </c>
      <c r="T191" t="s">
        <v>25</v>
      </c>
      <c r="U191" t="s">
        <v>29</v>
      </c>
      <c r="V191" s="3" t="s">
        <v>796</v>
      </c>
      <c r="W191" t="s">
        <v>26</v>
      </c>
    </row>
    <row r="192" spans="1:23" ht="12.75">
      <c r="A192" s="1">
        <v>45677.122615740744</v>
      </c>
      <c r="C192" t="s">
        <v>188</v>
      </c>
      <c r="D192">
        <v>51</v>
      </c>
      <c r="E192">
        <v>173</v>
      </c>
      <c r="F192">
        <v>91</v>
      </c>
      <c r="G192">
        <v>3</v>
      </c>
      <c r="H192" t="s">
        <v>591</v>
      </c>
      <c r="I192" t="s">
        <v>29</v>
      </c>
      <c r="J192" t="s">
        <v>36</v>
      </c>
      <c r="K192" t="s">
        <v>60</v>
      </c>
      <c r="L192" t="s">
        <v>31</v>
      </c>
      <c r="M192" t="s">
        <v>21</v>
      </c>
      <c r="N192" t="s">
        <v>8</v>
      </c>
      <c r="O192" t="s">
        <v>11</v>
      </c>
      <c r="P192" t="s">
        <v>20</v>
      </c>
      <c r="Q192" t="s">
        <v>55</v>
      </c>
      <c r="R192" t="s">
        <v>33</v>
      </c>
      <c r="S192" t="s">
        <v>25</v>
      </c>
      <c r="T192" t="s">
        <v>47</v>
      </c>
      <c r="U192" t="s">
        <v>5</v>
      </c>
      <c r="V192" s="3" t="s">
        <v>797</v>
      </c>
      <c r="W192" t="s">
        <v>39</v>
      </c>
    </row>
    <row r="193" spans="1:23" ht="12.75">
      <c r="A193" s="1">
        <v>45702.319386574076</v>
      </c>
      <c r="C193" t="s">
        <v>163</v>
      </c>
      <c r="D193">
        <v>20</v>
      </c>
      <c r="E193">
        <v>161</v>
      </c>
      <c r="F193">
        <v>69</v>
      </c>
      <c r="G193">
        <v>2</v>
      </c>
      <c r="H193" t="s">
        <v>28</v>
      </c>
      <c r="I193" t="s">
        <v>29</v>
      </c>
      <c r="J193" t="s">
        <v>36</v>
      </c>
      <c r="K193" t="s">
        <v>19</v>
      </c>
      <c r="L193" t="s">
        <v>40</v>
      </c>
      <c r="M193" t="s">
        <v>38</v>
      </c>
      <c r="N193" t="s">
        <v>20</v>
      </c>
      <c r="O193" t="s">
        <v>46</v>
      </c>
      <c r="P193" t="s">
        <v>40</v>
      </c>
      <c r="Q193" t="s">
        <v>55</v>
      </c>
      <c r="R193" t="s">
        <v>33</v>
      </c>
      <c r="S193" t="s">
        <v>25</v>
      </c>
      <c r="T193" t="s">
        <v>15</v>
      </c>
      <c r="U193" t="s">
        <v>5</v>
      </c>
      <c r="V193" s="3" t="s">
        <v>798</v>
      </c>
      <c r="W193" t="s">
        <v>26</v>
      </c>
    </row>
    <row r="194" spans="1:23" ht="12.75">
      <c r="A194" s="1">
        <v>45749.591099537036</v>
      </c>
      <c r="C194" t="s">
        <v>122</v>
      </c>
      <c r="D194">
        <v>27</v>
      </c>
      <c r="E194">
        <v>188</v>
      </c>
      <c r="F194">
        <v>101</v>
      </c>
      <c r="G194">
        <v>3</v>
      </c>
      <c r="H194" t="s">
        <v>591</v>
      </c>
      <c r="I194" t="s">
        <v>29</v>
      </c>
      <c r="J194" t="s">
        <v>6</v>
      </c>
      <c r="K194" t="s">
        <v>19</v>
      </c>
      <c r="L194" t="s">
        <v>40</v>
      </c>
      <c r="M194" t="s">
        <v>52</v>
      </c>
      <c r="N194" t="s">
        <v>31</v>
      </c>
      <c r="O194" t="s">
        <v>11</v>
      </c>
      <c r="P194" t="s">
        <v>8</v>
      </c>
      <c r="Q194" t="s">
        <v>32</v>
      </c>
      <c r="R194" t="s">
        <v>14</v>
      </c>
      <c r="S194" t="s">
        <v>15</v>
      </c>
      <c r="T194" t="s">
        <v>24</v>
      </c>
      <c r="U194" t="s">
        <v>29</v>
      </c>
      <c r="V194" s="3" t="s">
        <v>799</v>
      </c>
      <c r="W194" t="s">
        <v>26</v>
      </c>
    </row>
    <row r="195" spans="1:23" ht="12.75">
      <c r="A195" s="1">
        <v>45714.644386574073</v>
      </c>
      <c r="C195" t="s">
        <v>68</v>
      </c>
      <c r="D195">
        <v>52</v>
      </c>
      <c r="E195">
        <v>177</v>
      </c>
      <c r="F195">
        <v>74</v>
      </c>
      <c r="G195">
        <v>3</v>
      </c>
      <c r="H195" t="s">
        <v>592</v>
      </c>
      <c r="I195" t="s">
        <v>5</v>
      </c>
      <c r="J195" t="s">
        <v>6</v>
      </c>
      <c r="K195" t="s">
        <v>7</v>
      </c>
      <c r="L195" t="s">
        <v>8</v>
      </c>
      <c r="M195" t="s">
        <v>52</v>
      </c>
      <c r="N195" t="s">
        <v>8</v>
      </c>
      <c r="O195" t="s">
        <v>11</v>
      </c>
      <c r="P195" t="s">
        <v>31</v>
      </c>
      <c r="Q195" t="s">
        <v>32</v>
      </c>
      <c r="R195" t="s">
        <v>14</v>
      </c>
      <c r="S195" t="s">
        <v>15</v>
      </c>
      <c r="T195" t="s">
        <v>47</v>
      </c>
      <c r="U195" t="s">
        <v>5</v>
      </c>
      <c r="V195" s="3" t="s">
        <v>800</v>
      </c>
      <c r="W195" t="s">
        <v>39</v>
      </c>
    </row>
    <row r="196" spans="1:23" ht="12.75">
      <c r="A196" s="1">
        <v>45739.032268518517</v>
      </c>
      <c r="C196" t="s">
        <v>159</v>
      </c>
      <c r="D196">
        <v>48</v>
      </c>
      <c r="E196">
        <v>160</v>
      </c>
      <c r="F196">
        <v>62</v>
      </c>
      <c r="G196">
        <v>2</v>
      </c>
      <c r="H196" t="s">
        <v>590</v>
      </c>
      <c r="I196" t="s">
        <v>29</v>
      </c>
      <c r="J196" t="s">
        <v>36</v>
      </c>
      <c r="K196" t="s">
        <v>60</v>
      </c>
      <c r="L196" t="s">
        <v>12</v>
      </c>
      <c r="M196" t="s">
        <v>9</v>
      </c>
      <c r="N196" t="s">
        <v>20</v>
      </c>
      <c r="O196" t="s">
        <v>11</v>
      </c>
      <c r="P196" t="s">
        <v>31</v>
      </c>
      <c r="Q196" t="s">
        <v>55</v>
      </c>
      <c r="R196" t="s">
        <v>14</v>
      </c>
      <c r="S196" t="s">
        <v>25</v>
      </c>
      <c r="T196" t="s">
        <v>15</v>
      </c>
      <c r="U196" t="s">
        <v>29</v>
      </c>
      <c r="V196" s="3" t="s">
        <v>801</v>
      </c>
      <c r="W196" t="s">
        <v>39</v>
      </c>
    </row>
    <row r="197" spans="1:23" ht="12.75">
      <c r="A197" s="1">
        <v>45664.672465277778</v>
      </c>
      <c r="C197" t="s">
        <v>189</v>
      </c>
      <c r="D197">
        <v>24</v>
      </c>
      <c r="E197">
        <v>187</v>
      </c>
      <c r="F197">
        <v>90</v>
      </c>
      <c r="G197">
        <v>2.5</v>
      </c>
      <c r="H197" t="s">
        <v>592</v>
      </c>
      <c r="I197" t="s">
        <v>29</v>
      </c>
      <c r="J197" t="s">
        <v>36</v>
      </c>
      <c r="K197" t="s">
        <v>19</v>
      </c>
      <c r="L197" t="s">
        <v>8</v>
      </c>
      <c r="M197" t="s">
        <v>52</v>
      </c>
      <c r="N197" t="s">
        <v>12</v>
      </c>
      <c r="O197" t="s">
        <v>46</v>
      </c>
      <c r="P197" t="s">
        <v>10</v>
      </c>
      <c r="Q197" t="s">
        <v>23</v>
      </c>
      <c r="R197" t="s">
        <v>50</v>
      </c>
      <c r="S197" t="s">
        <v>15</v>
      </c>
      <c r="T197" t="s">
        <v>47</v>
      </c>
      <c r="U197" t="s">
        <v>5</v>
      </c>
      <c r="V197" s="3" t="s">
        <v>802</v>
      </c>
      <c r="W197" t="s">
        <v>16</v>
      </c>
    </row>
    <row r="198" spans="1:23" ht="12.75">
      <c r="A198" s="1">
        <v>45756.240451388891</v>
      </c>
      <c r="C198" t="s">
        <v>190</v>
      </c>
      <c r="D198">
        <v>52</v>
      </c>
      <c r="E198">
        <v>160</v>
      </c>
      <c r="F198">
        <v>106</v>
      </c>
      <c r="G198">
        <v>1</v>
      </c>
      <c r="H198" t="s">
        <v>590</v>
      </c>
      <c r="I198" t="s">
        <v>29</v>
      </c>
      <c r="J198" t="s">
        <v>36</v>
      </c>
      <c r="K198" t="s">
        <v>30</v>
      </c>
      <c r="L198" t="s">
        <v>12</v>
      </c>
      <c r="M198" t="s">
        <v>38</v>
      </c>
      <c r="N198" t="s">
        <v>40</v>
      </c>
      <c r="O198" t="s">
        <v>44</v>
      </c>
      <c r="P198" t="s">
        <v>40</v>
      </c>
      <c r="Q198" t="s">
        <v>23</v>
      </c>
      <c r="R198" t="s">
        <v>14</v>
      </c>
      <c r="S198" t="s">
        <v>25</v>
      </c>
      <c r="T198" t="s">
        <v>24</v>
      </c>
      <c r="U198" t="s">
        <v>29</v>
      </c>
      <c r="V198" s="3" t="s">
        <v>803</v>
      </c>
      <c r="W198" t="s">
        <v>16</v>
      </c>
    </row>
    <row r="199" spans="1:23" ht="12.75">
      <c r="A199" s="1">
        <v>45740.824097222219</v>
      </c>
      <c r="C199" t="s">
        <v>171</v>
      </c>
      <c r="D199">
        <v>59</v>
      </c>
      <c r="E199">
        <v>158</v>
      </c>
      <c r="F199">
        <v>93</v>
      </c>
      <c r="G199">
        <v>1.5</v>
      </c>
      <c r="H199" t="s">
        <v>28</v>
      </c>
      <c r="I199" t="s">
        <v>5</v>
      </c>
      <c r="J199" t="s">
        <v>36</v>
      </c>
      <c r="K199" t="s">
        <v>7</v>
      </c>
      <c r="L199" t="s">
        <v>31</v>
      </c>
      <c r="M199" t="s">
        <v>21</v>
      </c>
      <c r="N199" t="s">
        <v>40</v>
      </c>
      <c r="O199" t="s">
        <v>44</v>
      </c>
      <c r="P199" t="s">
        <v>12</v>
      </c>
      <c r="Q199" t="s">
        <v>13</v>
      </c>
      <c r="R199" t="s">
        <v>14</v>
      </c>
      <c r="S199" t="s">
        <v>47</v>
      </c>
      <c r="T199" t="s">
        <v>25</v>
      </c>
      <c r="U199" t="s">
        <v>5</v>
      </c>
      <c r="V199" s="3" t="s">
        <v>804</v>
      </c>
      <c r="W199" t="s">
        <v>39</v>
      </c>
    </row>
    <row r="200" spans="1:23" ht="12.75">
      <c r="A200" s="1">
        <v>45673.929351851853</v>
      </c>
      <c r="C200" t="s">
        <v>81</v>
      </c>
      <c r="D200">
        <v>25</v>
      </c>
      <c r="E200">
        <v>176</v>
      </c>
      <c r="F200">
        <v>50</v>
      </c>
      <c r="G200">
        <v>3</v>
      </c>
      <c r="H200" t="s">
        <v>592</v>
      </c>
      <c r="I200" t="s">
        <v>29</v>
      </c>
      <c r="J200" t="s">
        <v>6</v>
      </c>
      <c r="K200" t="s">
        <v>37</v>
      </c>
      <c r="L200" t="s">
        <v>8</v>
      </c>
      <c r="M200" t="s">
        <v>9</v>
      </c>
      <c r="N200" t="s">
        <v>20</v>
      </c>
      <c r="O200" t="s">
        <v>22</v>
      </c>
      <c r="P200" t="s">
        <v>40</v>
      </c>
      <c r="Q200" t="s">
        <v>55</v>
      </c>
      <c r="R200" t="s">
        <v>50</v>
      </c>
      <c r="S200" t="s">
        <v>15</v>
      </c>
      <c r="T200" t="s">
        <v>15</v>
      </c>
      <c r="U200" t="s">
        <v>5</v>
      </c>
      <c r="V200" s="3" t="s">
        <v>805</v>
      </c>
      <c r="W200" t="s">
        <v>34</v>
      </c>
    </row>
    <row r="201" spans="1:23" ht="12.75">
      <c r="A201" s="1">
        <v>45673.101643518516</v>
      </c>
      <c r="C201" t="s">
        <v>191</v>
      </c>
      <c r="D201">
        <v>30</v>
      </c>
      <c r="E201">
        <v>181</v>
      </c>
      <c r="F201">
        <v>89</v>
      </c>
      <c r="G201">
        <v>1</v>
      </c>
      <c r="H201" t="s">
        <v>28</v>
      </c>
      <c r="I201" t="s">
        <v>29</v>
      </c>
      <c r="J201" t="s">
        <v>36</v>
      </c>
      <c r="K201" t="s">
        <v>60</v>
      </c>
      <c r="L201" t="s">
        <v>12</v>
      </c>
      <c r="M201" t="s">
        <v>21</v>
      </c>
      <c r="N201" t="s">
        <v>12</v>
      </c>
      <c r="O201" t="s">
        <v>11</v>
      </c>
      <c r="P201" t="s">
        <v>8</v>
      </c>
      <c r="Q201" t="s">
        <v>23</v>
      </c>
      <c r="R201" t="s">
        <v>14</v>
      </c>
      <c r="S201" t="s">
        <v>25</v>
      </c>
      <c r="T201" t="s">
        <v>24</v>
      </c>
      <c r="U201" t="s">
        <v>5</v>
      </c>
      <c r="V201" s="3" t="s">
        <v>806</v>
      </c>
      <c r="W201" t="s">
        <v>34</v>
      </c>
    </row>
    <row r="202" spans="1:23" ht="12.75">
      <c r="A202" s="1">
        <v>45753.67496527778</v>
      </c>
      <c r="C202" t="s">
        <v>192</v>
      </c>
      <c r="D202">
        <v>44</v>
      </c>
      <c r="E202">
        <v>184</v>
      </c>
      <c r="F202">
        <v>57</v>
      </c>
      <c r="G202">
        <v>2</v>
      </c>
      <c r="H202" t="s">
        <v>590</v>
      </c>
      <c r="I202" t="s">
        <v>29</v>
      </c>
      <c r="J202" t="s">
        <v>36</v>
      </c>
      <c r="K202" t="s">
        <v>7</v>
      </c>
      <c r="L202" t="s">
        <v>31</v>
      </c>
      <c r="M202" t="s">
        <v>38</v>
      </c>
      <c r="N202" t="s">
        <v>8</v>
      </c>
      <c r="O202" t="s">
        <v>11</v>
      </c>
      <c r="P202" t="s">
        <v>31</v>
      </c>
      <c r="Q202" t="s">
        <v>13</v>
      </c>
      <c r="R202" t="s">
        <v>33</v>
      </c>
      <c r="S202" t="s">
        <v>47</v>
      </c>
      <c r="T202" t="s">
        <v>25</v>
      </c>
      <c r="U202" t="s">
        <v>29</v>
      </c>
      <c r="V202" s="3" t="s">
        <v>807</v>
      </c>
      <c r="W202" t="s">
        <v>26</v>
      </c>
    </row>
    <row r="203" spans="1:23" ht="12.75">
      <c r="A203" s="1">
        <v>45780.698587962965</v>
      </c>
      <c r="C203" t="s">
        <v>167</v>
      </c>
      <c r="D203">
        <v>59</v>
      </c>
      <c r="E203">
        <v>175</v>
      </c>
      <c r="F203">
        <v>73</v>
      </c>
      <c r="G203">
        <v>3</v>
      </c>
      <c r="H203" t="s">
        <v>591</v>
      </c>
      <c r="I203" t="s">
        <v>5</v>
      </c>
      <c r="J203" t="s">
        <v>6</v>
      </c>
      <c r="K203" t="s">
        <v>37</v>
      </c>
      <c r="L203" t="s">
        <v>20</v>
      </c>
      <c r="M203" t="s">
        <v>21</v>
      </c>
      <c r="N203" t="s">
        <v>20</v>
      </c>
      <c r="O203" t="s">
        <v>44</v>
      </c>
      <c r="P203" t="s">
        <v>40</v>
      </c>
      <c r="Q203" t="s">
        <v>55</v>
      </c>
      <c r="R203" t="s">
        <v>50</v>
      </c>
      <c r="S203" t="s">
        <v>24</v>
      </c>
      <c r="T203" t="s">
        <v>15</v>
      </c>
      <c r="U203" t="s">
        <v>5</v>
      </c>
      <c r="V203" s="3" t="s">
        <v>808</v>
      </c>
      <c r="W203" t="s">
        <v>39</v>
      </c>
    </row>
    <row r="204" spans="1:23" ht="12.75">
      <c r="A204" s="1">
        <v>45690.87122685185</v>
      </c>
      <c r="C204" t="s">
        <v>193</v>
      </c>
      <c r="D204">
        <v>41</v>
      </c>
      <c r="E204">
        <v>162</v>
      </c>
      <c r="F204">
        <v>54</v>
      </c>
      <c r="G204">
        <v>3</v>
      </c>
      <c r="H204" t="s">
        <v>591</v>
      </c>
      <c r="I204" t="s">
        <v>29</v>
      </c>
      <c r="J204" t="s">
        <v>6</v>
      </c>
      <c r="K204" t="s">
        <v>19</v>
      </c>
      <c r="L204" t="s">
        <v>8</v>
      </c>
      <c r="M204" t="s">
        <v>21</v>
      </c>
      <c r="N204" t="s">
        <v>8</v>
      </c>
      <c r="O204" t="s">
        <v>11</v>
      </c>
      <c r="P204" t="s">
        <v>8</v>
      </c>
      <c r="Q204" t="s">
        <v>13</v>
      </c>
      <c r="R204" t="s">
        <v>33</v>
      </c>
      <c r="S204" t="s">
        <v>15</v>
      </c>
      <c r="T204" t="s">
        <v>47</v>
      </c>
      <c r="U204" t="s">
        <v>29</v>
      </c>
      <c r="V204" s="3" t="s">
        <v>809</v>
      </c>
      <c r="W204" t="s">
        <v>34</v>
      </c>
    </row>
    <row r="205" spans="1:23" ht="12.75">
      <c r="A205" s="1">
        <v>45686.197893518518</v>
      </c>
      <c r="C205" t="s">
        <v>194</v>
      </c>
      <c r="D205">
        <v>48</v>
      </c>
      <c r="E205">
        <v>182</v>
      </c>
      <c r="F205">
        <v>99</v>
      </c>
      <c r="G205">
        <v>2.5</v>
      </c>
      <c r="H205" t="s">
        <v>591</v>
      </c>
      <c r="I205" t="s">
        <v>5</v>
      </c>
      <c r="J205" t="s">
        <v>36</v>
      </c>
      <c r="K205" t="s">
        <v>7</v>
      </c>
      <c r="L205" t="s">
        <v>20</v>
      </c>
      <c r="M205" t="s">
        <v>52</v>
      </c>
      <c r="N205" t="s">
        <v>10</v>
      </c>
      <c r="O205" t="s">
        <v>11</v>
      </c>
      <c r="P205" t="s">
        <v>8</v>
      </c>
      <c r="Q205" t="s">
        <v>13</v>
      </c>
      <c r="R205" t="s">
        <v>33</v>
      </c>
      <c r="S205" t="s">
        <v>25</v>
      </c>
      <c r="T205" t="s">
        <v>25</v>
      </c>
      <c r="U205" t="s">
        <v>29</v>
      </c>
      <c r="V205" s="3" t="s">
        <v>810</v>
      </c>
      <c r="W205" t="s">
        <v>34</v>
      </c>
    </row>
    <row r="206" spans="1:23" ht="12.75">
      <c r="A206" s="1">
        <v>45703.593958333331</v>
      </c>
      <c r="C206" t="s">
        <v>195</v>
      </c>
      <c r="D206">
        <v>42</v>
      </c>
      <c r="E206">
        <v>166</v>
      </c>
      <c r="F206">
        <v>69</v>
      </c>
      <c r="G206">
        <v>2</v>
      </c>
      <c r="H206" t="s">
        <v>591</v>
      </c>
      <c r="I206" t="s">
        <v>29</v>
      </c>
      <c r="J206" t="s">
        <v>6</v>
      </c>
      <c r="K206" t="s">
        <v>30</v>
      </c>
      <c r="L206" t="s">
        <v>40</v>
      </c>
      <c r="M206" t="s">
        <v>9</v>
      </c>
      <c r="N206" t="s">
        <v>12</v>
      </c>
      <c r="O206" t="s">
        <v>11</v>
      </c>
      <c r="P206" t="s">
        <v>12</v>
      </c>
      <c r="Q206" t="s">
        <v>13</v>
      </c>
      <c r="R206" t="s">
        <v>33</v>
      </c>
      <c r="S206" t="s">
        <v>24</v>
      </c>
      <c r="T206" t="s">
        <v>47</v>
      </c>
      <c r="U206" t="s">
        <v>29</v>
      </c>
      <c r="V206" s="3" t="s">
        <v>811</v>
      </c>
      <c r="W206" t="s">
        <v>26</v>
      </c>
    </row>
    <row r="207" spans="1:23" ht="12.75">
      <c r="A207" s="1">
        <v>45713.448634259257</v>
      </c>
      <c r="C207" t="s">
        <v>99</v>
      </c>
      <c r="D207">
        <v>33</v>
      </c>
      <c r="E207">
        <v>180</v>
      </c>
      <c r="F207">
        <v>69</v>
      </c>
      <c r="G207">
        <v>3</v>
      </c>
      <c r="H207" t="s">
        <v>592</v>
      </c>
      <c r="I207" t="s">
        <v>29</v>
      </c>
      <c r="J207" t="s">
        <v>36</v>
      </c>
      <c r="K207" t="s">
        <v>37</v>
      </c>
      <c r="L207" t="s">
        <v>10</v>
      </c>
      <c r="M207" t="s">
        <v>38</v>
      </c>
      <c r="N207" t="s">
        <v>20</v>
      </c>
      <c r="O207" t="s">
        <v>46</v>
      </c>
      <c r="P207" t="s">
        <v>40</v>
      </c>
      <c r="Q207" t="s">
        <v>32</v>
      </c>
      <c r="R207" t="s">
        <v>33</v>
      </c>
      <c r="S207" t="s">
        <v>47</v>
      </c>
      <c r="T207" t="s">
        <v>25</v>
      </c>
      <c r="U207" t="s">
        <v>29</v>
      </c>
      <c r="V207" s="3" t="s">
        <v>812</v>
      </c>
      <c r="W207" t="s">
        <v>26</v>
      </c>
    </row>
    <row r="208" spans="1:23" ht="12.75">
      <c r="A208" s="1">
        <v>45730.283564814818</v>
      </c>
      <c r="C208" t="s">
        <v>93</v>
      </c>
      <c r="D208">
        <v>48</v>
      </c>
      <c r="E208">
        <v>159</v>
      </c>
      <c r="F208">
        <v>58</v>
      </c>
      <c r="G208">
        <v>3</v>
      </c>
      <c r="H208" t="s">
        <v>590</v>
      </c>
      <c r="I208" t="s">
        <v>29</v>
      </c>
      <c r="J208" t="s">
        <v>6</v>
      </c>
      <c r="K208" t="s">
        <v>19</v>
      </c>
      <c r="L208" t="s">
        <v>12</v>
      </c>
      <c r="M208" t="s">
        <v>52</v>
      </c>
      <c r="N208" t="s">
        <v>20</v>
      </c>
      <c r="O208" t="s">
        <v>46</v>
      </c>
      <c r="P208" t="s">
        <v>31</v>
      </c>
      <c r="Q208" t="s">
        <v>13</v>
      </c>
      <c r="R208" t="s">
        <v>14</v>
      </c>
      <c r="S208" t="s">
        <v>25</v>
      </c>
      <c r="T208" t="s">
        <v>47</v>
      </c>
      <c r="U208" t="s">
        <v>29</v>
      </c>
      <c r="V208" s="3" t="s">
        <v>813</v>
      </c>
      <c r="W208" t="s">
        <v>34</v>
      </c>
    </row>
    <row r="209" spans="1:23" ht="12.75">
      <c r="A209" s="1">
        <v>45696.448067129626</v>
      </c>
      <c r="C209" t="s">
        <v>115</v>
      </c>
      <c r="D209">
        <v>22</v>
      </c>
      <c r="E209">
        <v>158</v>
      </c>
      <c r="F209">
        <v>65</v>
      </c>
      <c r="G209">
        <v>2.5</v>
      </c>
      <c r="H209" t="s">
        <v>591</v>
      </c>
      <c r="I209" t="s">
        <v>29</v>
      </c>
      <c r="J209" t="s">
        <v>6</v>
      </c>
      <c r="K209" t="s">
        <v>30</v>
      </c>
      <c r="L209" t="s">
        <v>8</v>
      </c>
      <c r="M209" t="s">
        <v>9</v>
      </c>
      <c r="N209" t="s">
        <v>20</v>
      </c>
      <c r="O209" t="s">
        <v>11</v>
      </c>
      <c r="P209" t="s">
        <v>31</v>
      </c>
      <c r="Q209" t="s">
        <v>13</v>
      </c>
      <c r="R209" t="s">
        <v>50</v>
      </c>
      <c r="S209" t="s">
        <v>24</v>
      </c>
      <c r="T209" t="s">
        <v>47</v>
      </c>
      <c r="U209" t="s">
        <v>5</v>
      </c>
      <c r="V209" s="3" t="s">
        <v>814</v>
      </c>
      <c r="W209" t="s">
        <v>16</v>
      </c>
    </row>
    <row r="210" spans="1:23" ht="12.75">
      <c r="A210" s="1">
        <v>45799.246238425927</v>
      </c>
      <c r="C210" t="s">
        <v>61</v>
      </c>
      <c r="D210">
        <v>34</v>
      </c>
      <c r="E210">
        <v>159</v>
      </c>
      <c r="F210">
        <v>62</v>
      </c>
      <c r="G210">
        <v>1.5</v>
      </c>
      <c r="H210" t="s">
        <v>592</v>
      </c>
      <c r="I210" t="s">
        <v>5</v>
      </c>
      <c r="J210" t="s">
        <v>6</v>
      </c>
      <c r="K210" t="s">
        <v>19</v>
      </c>
      <c r="L210" t="s">
        <v>8</v>
      </c>
      <c r="M210" t="s">
        <v>52</v>
      </c>
      <c r="N210" t="s">
        <v>31</v>
      </c>
      <c r="O210" t="s">
        <v>46</v>
      </c>
      <c r="P210" t="s">
        <v>20</v>
      </c>
      <c r="Q210" t="s">
        <v>13</v>
      </c>
      <c r="R210" t="s">
        <v>50</v>
      </c>
      <c r="S210" t="s">
        <v>47</v>
      </c>
      <c r="T210" t="s">
        <v>24</v>
      </c>
      <c r="U210" t="s">
        <v>5</v>
      </c>
      <c r="V210" s="3" t="s">
        <v>815</v>
      </c>
      <c r="W210" t="s">
        <v>16</v>
      </c>
    </row>
    <row r="211" spans="1:23" ht="12.75">
      <c r="A211" s="1">
        <v>45760.565682870372</v>
      </c>
      <c r="C211" t="s">
        <v>196</v>
      </c>
      <c r="D211">
        <v>35</v>
      </c>
      <c r="E211">
        <v>173</v>
      </c>
      <c r="F211">
        <v>86</v>
      </c>
      <c r="G211">
        <v>1.5</v>
      </c>
      <c r="H211" t="s">
        <v>592</v>
      </c>
      <c r="I211" t="s">
        <v>5</v>
      </c>
      <c r="J211" t="s">
        <v>6</v>
      </c>
      <c r="K211" t="s">
        <v>37</v>
      </c>
      <c r="L211" t="s">
        <v>12</v>
      </c>
      <c r="M211" t="s">
        <v>9</v>
      </c>
      <c r="N211" t="s">
        <v>40</v>
      </c>
      <c r="O211" t="s">
        <v>22</v>
      </c>
      <c r="P211" t="s">
        <v>10</v>
      </c>
      <c r="Q211" t="s">
        <v>23</v>
      </c>
      <c r="R211" t="s">
        <v>33</v>
      </c>
      <c r="S211" t="s">
        <v>24</v>
      </c>
      <c r="T211" t="s">
        <v>15</v>
      </c>
      <c r="U211" t="s">
        <v>29</v>
      </c>
      <c r="V211" s="3" t="s">
        <v>816</v>
      </c>
      <c r="W211" t="s">
        <v>39</v>
      </c>
    </row>
    <row r="212" spans="1:23" ht="12.75">
      <c r="A212" s="1">
        <v>45672.145543981482</v>
      </c>
      <c r="C212" t="s">
        <v>197</v>
      </c>
      <c r="D212">
        <v>21</v>
      </c>
      <c r="E212">
        <v>163</v>
      </c>
      <c r="F212">
        <v>96</v>
      </c>
      <c r="G212">
        <v>1.5</v>
      </c>
      <c r="H212" t="s">
        <v>28</v>
      </c>
      <c r="I212" t="s">
        <v>5</v>
      </c>
      <c r="J212" t="s">
        <v>6</v>
      </c>
      <c r="K212" t="s">
        <v>30</v>
      </c>
      <c r="L212" t="s">
        <v>8</v>
      </c>
      <c r="M212" t="s">
        <v>38</v>
      </c>
      <c r="N212" t="s">
        <v>31</v>
      </c>
      <c r="O212" t="s">
        <v>22</v>
      </c>
      <c r="P212" t="s">
        <v>31</v>
      </c>
      <c r="Q212" t="s">
        <v>13</v>
      </c>
      <c r="R212" t="s">
        <v>50</v>
      </c>
      <c r="S212" t="s">
        <v>15</v>
      </c>
      <c r="T212" t="s">
        <v>24</v>
      </c>
      <c r="U212" t="s">
        <v>5</v>
      </c>
      <c r="V212" s="3" t="s">
        <v>817</v>
      </c>
      <c r="W212" t="s">
        <v>39</v>
      </c>
    </row>
    <row r="213" spans="1:23" ht="12.75">
      <c r="A213" s="1">
        <v>45674.241527777776</v>
      </c>
      <c r="C213" t="s">
        <v>189</v>
      </c>
      <c r="D213">
        <v>37</v>
      </c>
      <c r="E213">
        <v>183</v>
      </c>
      <c r="F213">
        <v>108</v>
      </c>
      <c r="G213">
        <v>2.5</v>
      </c>
      <c r="H213" t="s">
        <v>28</v>
      </c>
      <c r="I213" t="s">
        <v>5</v>
      </c>
      <c r="J213" t="s">
        <v>6</v>
      </c>
      <c r="K213" t="s">
        <v>7</v>
      </c>
      <c r="L213" t="s">
        <v>40</v>
      </c>
      <c r="M213" t="s">
        <v>9</v>
      </c>
      <c r="N213" t="s">
        <v>8</v>
      </c>
      <c r="O213" t="s">
        <v>46</v>
      </c>
      <c r="P213" t="s">
        <v>31</v>
      </c>
      <c r="Q213" t="s">
        <v>23</v>
      </c>
      <c r="R213" t="s">
        <v>50</v>
      </c>
      <c r="S213" t="s">
        <v>15</v>
      </c>
      <c r="T213" t="s">
        <v>24</v>
      </c>
      <c r="U213" t="s">
        <v>29</v>
      </c>
      <c r="V213" s="3" t="s">
        <v>818</v>
      </c>
      <c r="W213" t="s">
        <v>26</v>
      </c>
    </row>
    <row r="214" spans="1:23" ht="12.75">
      <c r="A214" s="1">
        <v>45662.309907407405</v>
      </c>
      <c r="C214" t="s">
        <v>178</v>
      </c>
      <c r="D214">
        <v>57</v>
      </c>
      <c r="E214">
        <v>169</v>
      </c>
      <c r="F214">
        <v>95</v>
      </c>
      <c r="G214">
        <v>1</v>
      </c>
      <c r="H214" t="s">
        <v>28</v>
      </c>
      <c r="I214" t="s">
        <v>29</v>
      </c>
      <c r="J214" t="s">
        <v>36</v>
      </c>
      <c r="K214" t="s">
        <v>7</v>
      </c>
      <c r="L214" t="s">
        <v>10</v>
      </c>
      <c r="M214" t="s">
        <v>21</v>
      </c>
      <c r="N214" t="s">
        <v>20</v>
      </c>
      <c r="O214" t="s">
        <v>44</v>
      </c>
      <c r="P214" t="s">
        <v>31</v>
      </c>
      <c r="Q214" t="s">
        <v>55</v>
      </c>
      <c r="R214" t="s">
        <v>33</v>
      </c>
      <c r="S214" t="s">
        <v>15</v>
      </c>
      <c r="T214" t="s">
        <v>47</v>
      </c>
      <c r="U214" t="s">
        <v>29</v>
      </c>
      <c r="V214" s="3" t="s">
        <v>819</v>
      </c>
      <c r="W214" t="s">
        <v>16</v>
      </c>
    </row>
    <row r="215" spans="1:23" ht="12.75">
      <c r="A215" s="1">
        <v>45744.331064814818</v>
      </c>
      <c r="C215" t="s">
        <v>74</v>
      </c>
      <c r="D215">
        <v>54</v>
      </c>
      <c r="E215">
        <v>177</v>
      </c>
      <c r="F215">
        <v>95</v>
      </c>
      <c r="G215">
        <v>2</v>
      </c>
      <c r="H215" t="s">
        <v>591</v>
      </c>
      <c r="I215" t="s">
        <v>29</v>
      </c>
      <c r="J215" t="s">
        <v>36</v>
      </c>
      <c r="K215" t="s">
        <v>63</v>
      </c>
      <c r="L215" t="s">
        <v>8</v>
      </c>
      <c r="M215" t="s">
        <v>38</v>
      </c>
      <c r="N215" t="s">
        <v>40</v>
      </c>
      <c r="O215" t="s">
        <v>22</v>
      </c>
      <c r="P215" t="s">
        <v>8</v>
      </c>
      <c r="Q215" t="s">
        <v>55</v>
      </c>
      <c r="R215" t="s">
        <v>14</v>
      </c>
      <c r="S215" t="s">
        <v>25</v>
      </c>
      <c r="T215" t="s">
        <v>15</v>
      </c>
      <c r="U215" t="s">
        <v>29</v>
      </c>
      <c r="V215" s="3" t="s">
        <v>820</v>
      </c>
      <c r="W215" t="s">
        <v>26</v>
      </c>
    </row>
    <row r="216" spans="1:23" ht="12.75">
      <c r="A216" s="1">
        <v>45730.74150462963</v>
      </c>
      <c r="C216" t="s">
        <v>170</v>
      </c>
      <c r="D216">
        <v>44</v>
      </c>
      <c r="E216">
        <v>162</v>
      </c>
      <c r="F216">
        <v>99</v>
      </c>
      <c r="G216">
        <v>2.5</v>
      </c>
      <c r="H216" t="s">
        <v>591</v>
      </c>
      <c r="I216" t="s">
        <v>5</v>
      </c>
      <c r="J216" t="s">
        <v>36</v>
      </c>
      <c r="K216" t="s">
        <v>30</v>
      </c>
      <c r="L216" t="s">
        <v>10</v>
      </c>
      <c r="M216" t="s">
        <v>52</v>
      </c>
      <c r="N216" t="s">
        <v>10</v>
      </c>
      <c r="O216" t="s">
        <v>46</v>
      </c>
      <c r="P216" t="s">
        <v>12</v>
      </c>
      <c r="Q216" t="s">
        <v>55</v>
      </c>
      <c r="R216" t="s">
        <v>50</v>
      </c>
      <c r="S216" t="s">
        <v>25</v>
      </c>
      <c r="T216" t="s">
        <v>15</v>
      </c>
      <c r="U216" t="s">
        <v>29</v>
      </c>
      <c r="V216" s="3" t="s">
        <v>821</v>
      </c>
      <c r="W216" t="s">
        <v>34</v>
      </c>
    </row>
    <row r="217" spans="1:23" ht="12.75">
      <c r="A217" s="1">
        <v>45779.523576388892</v>
      </c>
      <c r="C217" t="s">
        <v>187</v>
      </c>
      <c r="D217">
        <v>45</v>
      </c>
      <c r="E217">
        <v>172</v>
      </c>
      <c r="F217">
        <v>89</v>
      </c>
      <c r="G217">
        <v>2.5</v>
      </c>
      <c r="H217" t="s">
        <v>592</v>
      </c>
      <c r="I217" t="s">
        <v>29</v>
      </c>
      <c r="J217" t="s">
        <v>36</v>
      </c>
      <c r="K217" t="s">
        <v>60</v>
      </c>
      <c r="L217" t="s">
        <v>8</v>
      </c>
      <c r="M217" t="s">
        <v>38</v>
      </c>
      <c r="N217" t="s">
        <v>31</v>
      </c>
      <c r="O217" t="s">
        <v>22</v>
      </c>
      <c r="P217" t="s">
        <v>40</v>
      </c>
      <c r="Q217" t="s">
        <v>32</v>
      </c>
      <c r="R217" t="s">
        <v>14</v>
      </c>
      <c r="S217" t="s">
        <v>15</v>
      </c>
      <c r="T217" t="s">
        <v>47</v>
      </c>
      <c r="U217" t="s">
        <v>29</v>
      </c>
      <c r="V217" s="3" t="s">
        <v>822</v>
      </c>
      <c r="W217" t="s">
        <v>26</v>
      </c>
    </row>
    <row r="218" spans="1:23" ht="12.75">
      <c r="A218" s="1">
        <v>45740.31144675926</v>
      </c>
      <c r="C218" t="s">
        <v>198</v>
      </c>
      <c r="D218">
        <v>56</v>
      </c>
      <c r="E218">
        <v>168</v>
      </c>
      <c r="F218">
        <v>108</v>
      </c>
      <c r="G218">
        <v>1</v>
      </c>
      <c r="H218" t="s">
        <v>592</v>
      </c>
      <c r="I218" t="s">
        <v>5</v>
      </c>
      <c r="J218" t="s">
        <v>6</v>
      </c>
      <c r="K218" t="s">
        <v>37</v>
      </c>
      <c r="L218" t="s">
        <v>20</v>
      </c>
      <c r="M218" t="s">
        <v>38</v>
      </c>
      <c r="N218" t="s">
        <v>12</v>
      </c>
      <c r="O218" t="s">
        <v>22</v>
      </c>
      <c r="P218" t="s">
        <v>8</v>
      </c>
      <c r="Q218" t="s">
        <v>32</v>
      </c>
      <c r="R218" t="s">
        <v>14</v>
      </c>
      <c r="S218" t="s">
        <v>24</v>
      </c>
      <c r="T218" t="s">
        <v>25</v>
      </c>
      <c r="U218" t="s">
        <v>5</v>
      </c>
      <c r="V218" s="3" t="s">
        <v>823</v>
      </c>
      <c r="W218" t="s">
        <v>34</v>
      </c>
    </row>
    <row r="219" spans="1:23" ht="12.75">
      <c r="A219" s="1">
        <v>45712.140752314815</v>
      </c>
      <c r="C219" t="s">
        <v>154</v>
      </c>
      <c r="D219">
        <v>55</v>
      </c>
      <c r="E219">
        <v>172</v>
      </c>
      <c r="F219">
        <v>80</v>
      </c>
      <c r="G219">
        <v>1</v>
      </c>
      <c r="H219" t="s">
        <v>590</v>
      </c>
      <c r="I219" t="s">
        <v>5</v>
      </c>
      <c r="J219" t="s">
        <v>36</v>
      </c>
      <c r="K219" t="s">
        <v>7</v>
      </c>
      <c r="L219" t="s">
        <v>31</v>
      </c>
      <c r="M219" t="s">
        <v>9</v>
      </c>
      <c r="N219" t="s">
        <v>12</v>
      </c>
      <c r="O219" t="s">
        <v>46</v>
      </c>
      <c r="P219" t="s">
        <v>10</v>
      </c>
      <c r="Q219" t="s">
        <v>55</v>
      </c>
      <c r="R219" t="s">
        <v>14</v>
      </c>
      <c r="S219" t="s">
        <v>24</v>
      </c>
      <c r="T219" t="s">
        <v>25</v>
      </c>
      <c r="U219" t="s">
        <v>29</v>
      </c>
      <c r="V219" s="3" t="s">
        <v>824</v>
      </c>
      <c r="W219" t="s">
        <v>16</v>
      </c>
    </row>
    <row r="220" spans="1:23" ht="12.75">
      <c r="A220" s="1">
        <v>45737.017291666663</v>
      </c>
      <c r="C220" t="s">
        <v>199</v>
      </c>
      <c r="D220">
        <v>53</v>
      </c>
      <c r="E220">
        <v>158</v>
      </c>
      <c r="F220">
        <v>96</v>
      </c>
      <c r="G220">
        <v>2</v>
      </c>
      <c r="H220" t="s">
        <v>591</v>
      </c>
      <c r="I220" t="s">
        <v>29</v>
      </c>
      <c r="J220" t="s">
        <v>6</v>
      </c>
      <c r="K220" t="s">
        <v>30</v>
      </c>
      <c r="L220" t="s">
        <v>10</v>
      </c>
      <c r="M220" t="s">
        <v>38</v>
      </c>
      <c r="N220" t="s">
        <v>10</v>
      </c>
      <c r="O220" t="s">
        <v>11</v>
      </c>
      <c r="P220" t="s">
        <v>10</v>
      </c>
      <c r="Q220" t="s">
        <v>55</v>
      </c>
      <c r="R220" t="s">
        <v>14</v>
      </c>
      <c r="S220" t="s">
        <v>47</v>
      </c>
      <c r="T220" t="s">
        <v>25</v>
      </c>
      <c r="U220" t="s">
        <v>5</v>
      </c>
      <c r="V220" s="3" t="s">
        <v>825</v>
      </c>
      <c r="W220" t="s">
        <v>34</v>
      </c>
    </row>
    <row r="221" spans="1:23" ht="12.75">
      <c r="A221" s="1">
        <v>45682.326550925929</v>
      </c>
      <c r="C221" t="s">
        <v>200</v>
      </c>
      <c r="D221">
        <v>40</v>
      </c>
      <c r="E221">
        <v>184</v>
      </c>
      <c r="F221">
        <v>59</v>
      </c>
      <c r="G221">
        <v>1.5</v>
      </c>
      <c r="H221" t="s">
        <v>590</v>
      </c>
      <c r="I221" t="s">
        <v>29</v>
      </c>
      <c r="J221" t="s">
        <v>6</v>
      </c>
      <c r="K221" t="s">
        <v>37</v>
      </c>
      <c r="L221" t="s">
        <v>20</v>
      </c>
      <c r="M221" t="s">
        <v>9</v>
      </c>
      <c r="N221" t="s">
        <v>12</v>
      </c>
      <c r="O221" t="s">
        <v>44</v>
      </c>
      <c r="P221" t="s">
        <v>8</v>
      </c>
      <c r="Q221" t="s">
        <v>32</v>
      </c>
      <c r="R221" t="s">
        <v>50</v>
      </c>
      <c r="S221" t="s">
        <v>15</v>
      </c>
      <c r="T221" t="s">
        <v>24</v>
      </c>
      <c r="U221" t="s">
        <v>29</v>
      </c>
      <c r="V221" s="3" t="s">
        <v>826</v>
      </c>
      <c r="W221" t="s">
        <v>39</v>
      </c>
    </row>
    <row r="222" spans="1:23" ht="12.75">
      <c r="A222" s="1">
        <v>45809.230219907404</v>
      </c>
      <c r="C222" t="s">
        <v>66</v>
      </c>
      <c r="D222">
        <v>24</v>
      </c>
      <c r="E222">
        <v>186</v>
      </c>
      <c r="F222">
        <v>108</v>
      </c>
      <c r="G222">
        <v>1</v>
      </c>
      <c r="H222" t="s">
        <v>28</v>
      </c>
      <c r="I222" t="s">
        <v>5</v>
      </c>
      <c r="J222" t="s">
        <v>6</v>
      </c>
      <c r="K222" t="s">
        <v>30</v>
      </c>
      <c r="L222" t="s">
        <v>20</v>
      </c>
      <c r="M222" t="s">
        <v>52</v>
      </c>
      <c r="N222" t="s">
        <v>31</v>
      </c>
      <c r="O222" t="s">
        <v>22</v>
      </c>
      <c r="P222" t="s">
        <v>20</v>
      </c>
      <c r="Q222" t="s">
        <v>23</v>
      </c>
      <c r="R222" t="s">
        <v>50</v>
      </c>
      <c r="S222" t="s">
        <v>24</v>
      </c>
      <c r="T222" t="s">
        <v>25</v>
      </c>
      <c r="U222" t="s">
        <v>5</v>
      </c>
      <c r="V222" s="3" t="s">
        <v>827</v>
      </c>
      <c r="W222" t="s">
        <v>39</v>
      </c>
    </row>
    <row r="223" spans="1:23" ht="12.75">
      <c r="A223" s="1">
        <v>45729.260046296295</v>
      </c>
      <c r="C223" t="s">
        <v>201</v>
      </c>
      <c r="D223">
        <v>31</v>
      </c>
      <c r="E223">
        <v>177</v>
      </c>
      <c r="F223">
        <v>80</v>
      </c>
      <c r="G223">
        <v>1</v>
      </c>
      <c r="H223" t="s">
        <v>591</v>
      </c>
      <c r="I223" t="s">
        <v>29</v>
      </c>
      <c r="J223" t="s">
        <v>36</v>
      </c>
      <c r="K223" t="s">
        <v>19</v>
      </c>
      <c r="L223" t="s">
        <v>20</v>
      </c>
      <c r="M223" t="s">
        <v>38</v>
      </c>
      <c r="N223" t="s">
        <v>10</v>
      </c>
      <c r="O223" t="s">
        <v>11</v>
      </c>
      <c r="P223" t="s">
        <v>20</v>
      </c>
      <c r="Q223" t="s">
        <v>32</v>
      </c>
      <c r="R223" t="s">
        <v>33</v>
      </c>
      <c r="S223" t="s">
        <v>47</v>
      </c>
      <c r="T223" t="s">
        <v>15</v>
      </c>
      <c r="U223" t="s">
        <v>29</v>
      </c>
      <c r="V223" s="3" t="s">
        <v>828</v>
      </c>
      <c r="W223" t="s">
        <v>26</v>
      </c>
    </row>
    <row r="224" spans="1:23" ht="12.75">
      <c r="A224" s="1">
        <v>45696.276412037034</v>
      </c>
      <c r="C224" t="s">
        <v>181</v>
      </c>
      <c r="D224">
        <v>40</v>
      </c>
      <c r="E224">
        <v>174</v>
      </c>
      <c r="F224">
        <v>74</v>
      </c>
      <c r="G224">
        <v>3</v>
      </c>
      <c r="H224" t="s">
        <v>591</v>
      </c>
      <c r="I224" t="s">
        <v>29</v>
      </c>
      <c r="J224" t="s">
        <v>6</v>
      </c>
      <c r="K224" t="s">
        <v>37</v>
      </c>
      <c r="L224" t="s">
        <v>12</v>
      </c>
      <c r="M224" t="s">
        <v>21</v>
      </c>
      <c r="N224" t="s">
        <v>8</v>
      </c>
      <c r="O224" t="s">
        <v>44</v>
      </c>
      <c r="P224" t="s">
        <v>10</v>
      </c>
      <c r="Q224" t="s">
        <v>13</v>
      </c>
      <c r="R224" t="s">
        <v>14</v>
      </c>
      <c r="S224" t="s">
        <v>47</v>
      </c>
      <c r="T224" t="s">
        <v>47</v>
      </c>
      <c r="U224" t="s">
        <v>5</v>
      </c>
      <c r="V224" s="3" t="s">
        <v>829</v>
      </c>
      <c r="W224" t="s">
        <v>34</v>
      </c>
    </row>
    <row r="225" spans="1:23" ht="12.75">
      <c r="A225" s="1">
        <v>45693.475717592592</v>
      </c>
      <c r="C225" t="s">
        <v>202</v>
      </c>
      <c r="D225">
        <v>39</v>
      </c>
      <c r="E225">
        <v>176</v>
      </c>
      <c r="F225">
        <v>69</v>
      </c>
      <c r="G225">
        <v>1</v>
      </c>
      <c r="H225" t="s">
        <v>592</v>
      </c>
      <c r="I225" t="s">
        <v>5</v>
      </c>
      <c r="J225" t="s">
        <v>36</v>
      </c>
      <c r="K225" t="s">
        <v>37</v>
      </c>
      <c r="L225" t="s">
        <v>8</v>
      </c>
      <c r="M225" t="s">
        <v>52</v>
      </c>
      <c r="N225" t="s">
        <v>12</v>
      </c>
      <c r="O225" t="s">
        <v>22</v>
      </c>
      <c r="P225" t="s">
        <v>20</v>
      </c>
      <c r="Q225" t="s">
        <v>13</v>
      </c>
      <c r="R225" t="s">
        <v>50</v>
      </c>
      <c r="S225" t="s">
        <v>24</v>
      </c>
      <c r="T225" t="s">
        <v>47</v>
      </c>
      <c r="U225" t="s">
        <v>5</v>
      </c>
      <c r="V225" s="3" t="s">
        <v>830</v>
      </c>
      <c r="W225" t="s">
        <v>34</v>
      </c>
    </row>
    <row r="226" spans="1:23" ht="12.75">
      <c r="A226" s="1">
        <v>45690.93136574074</v>
      </c>
      <c r="C226" t="s">
        <v>41</v>
      </c>
      <c r="D226">
        <v>34</v>
      </c>
      <c r="E226">
        <v>159</v>
      </c>
      <c r="F226">
        <v>100</v>
      </c>
      <c r="G226">
        <v>1</v>
      </c>
      <c r="H226" t="s">
        <v>28</v>
      </c>
      <c r="I226" t="s">
        <v>5</v>
      </c>
      <c r="J226" t="s">
        <v>6</v>
      </c>
      <c r="K226" t="s">
        <v>7</v>
      </c>
      <c r="L226" t="s">
        <v>10</v>
      </c>
      <c r="M226" t="s">
        <v>21</v>
      </c>
      <c r="N226" t="s">
        <v>10</v>
      </c>
      <c r="O226" t="s">
        <v>46</v>
      </c>
      <c r="P226" t="s">
        <v>40</v>
      </c>
      <c r="Q226" t="s">
        <v>13</v>
      </c>
      <c r="R226" t="s">
        <v>14</v>
      </c>
      <c r="S226" t="s">
        <v>24</v>
      </c>
      <c r="T226" t="s">
        <v>15</v>
      </c>
      <c r="U226" t="s">
        <v>5</v>
      </c>
      <c r="V226" s="3" t="s">
        <v>831</v>
      </c>
      <c r="W226" t="s">
        <v>16</v>
      </c>
    </row>
    <row r="227" spans="1:23" ht="12.75">
      <c r="A227" s="1">
        <v>45750.161898148152</v>
      </c>
      <c r="C227" t="s">
        <v>203</v>
      </c>
      <c r="D227">
        <v>37</v>
      </c>
      <c r="E227">
        <v>155</v>
      </c>
      <c r="F227">
        <v>102</v>
      </c>
      <c r="G227">
        <v>2</v>
      </c>
      <c r="H227" t="s">
        <v>28</v>
      </c>
      <c r="I227" t="s">
        <v>5</v>
      </c>
      <c r="J227" t="s">
        <v>6</v>
      </c>
      <c r="K227" t="s">
        <v>60</v>
      </c>
      <c r="L227" t="s">
        <v>8</v>
      </c>
      <c r="M227" t="s">
        <v>52</v>
      </c>
      <c r="N227" t="s">
        <v>8</v>
      </c>
      <c r="O227" t="s">
        <v>44</v>
      </c>
      <c r="P227" t="s">
        <v>12</v>
      </c>
      <c r="Q227" t="s">
        <v>32</v>
      </c>
      <c r="R227" t="s">
        <v>33</v>
      </c>
      <c r="S227" t="s">
        <v>47</v>
      </c>
      <c r="T227" t="s">
        <v>24</v>
      </c>
      <c r="U227" t="s">
        <v>5</v>
      </c>
      <c r="V227" s="3" t="s">
        <v>832</v>
      </c>
      <c r="W227" t="s">
        <v>34</v>
      </c>
    </row>
    <row r="228" spans="1:23" ht="12.75">
      <c r="A228" s="1">
        <v>45665.985636574071</v>
      </c>
      <c r="C228" t="s">
        <v>180</v>
      </c>
      <c r="D228">
        <v>33</v>
      </c>
      <c r="E228">
        <v>169</v>
      </c>
      <c r="F228">
        <v>80</v>
      </c>
      <c r="G228">
        <v>1.5</v>
      </c>
      <c r="H228" t="s">
        <v>28</v>
      </c>
      <c r="I228" t="s">
        <v>29</v>
      </c>
      <c r="J228" t="s">
        <v>6</v>
      </c>
      <c r="K228" t="s">
        <v>37</v>
      </c>
      <c r="L228" t="s">
        <v>20</v>
      </c>
      <c r="M228" t="s">
        <v>52</v>
      </c>
      <c r="N228" t="s">
        <v>12</v>
      </c>
      <c r="O228" t="s">
        <v>11</v>
      </c>
      <c r="P228" t="s">
        <v>12</v>
      </c>
      <c r="Q228" t="s">
        <v>23</v>
      </c>
      <c r="R228" t="s">
        <v>50</v>
      </c>
      <c r="S228" t="s">
        <v>15</v>
      </c>
      <c r="T228" t="s">
        <v>25</v>
      </c>
      <c r="U228" t="s">
        <v>29</v>
      </c>
      <c r="V228" s="3" t="s">
        <v>833</v>
      </c>
      <c r="W228" t="s">
        <v>34</v>
      </c>
    </row>
    <row r="229" spans="1:23" ht="12.75">
      <c r="A229" s="1">
        <v>45809.839363425926</v>
      </c>
      <c r="C229" t="s">
        <v>164</v>
      </c>
      <c r="D229">
        <v>39</v>
      </c>
      <c r="E229">
        <v>168</v>
      </c>
      <c r="F229">
        <v>103</v>
      </c>
      <c r="G229">
        <v>1</v>
      </c>
      <c r="H229" t="s">
        <v>590</v>
      </c>
      <c r="I229" t="s">
        <v>29</v>
      </c>
      <c r="J229" t="s">
        <v>36</v>
      </c>
      <c r="K229" t="s">
        <v>30</v>
      </c>
      <c r="L229" t="s">
        <v>20</v>
      </c>
      <c r="M229" t="s">
        <v>9</v>
      </c>
      <c r="N229" t="s">
        <v>10</v>
      </c>
      <c r="O229" t="s">
        <v>44</v>
      </c>
      <c r="P229" t="s">
        <v>12</v>
      </c>
      <c r="Q229" t="s">
        <v>32</v>
      </c>
      <c r="R229" t="s">
        <v>14</v>
      </c>
      <c r="S229" t="s">
        <v>24</v>
      </c>
      <c r="T229" t="s">
        <v>47</v>
      </c>
      <c r="U229" t="s">
        <v>29</v>
      </c>
      <c r="V229" s="3" t="s">
        <v>834</v>
      </c>
      <c r="W229" t="s">
        <v>34</v>
      </c>
    </row>
    <row r="230" spans="1:23" ht="12.75">
      <c r="A230" s="1">
        <v>45795.755798611113</v>
      </c>
      <c r="C230" t="s">
        <v>106</v>
      </c>
      <c r="D230">
        <v>42</v>
      </c>
      <c r="E230">
        <v>166</v>
      </c>
      <c r="F230">
        <v>101</v>
      </c>
      <c r="G230">
        <v>1.5</v>
      </c>
      <c r="H230" t="s">
        <v>590</v>
      </c>
      <c r="I230" t="s">
        <v>5</v>
      </c>
      <c r="J230" t="s">
        <v>36</v>
      </c>
      <c r="K230" t="s">
        <v>37</v>
      </c>
      <c r="L230" t="s">
        <v>40</v>
      </c>
      <c r="M230" t="s">
        <v>52</v>
      </c>
      <c r="N230" t="s">
        <v>8</v>
      </c>
      <c r="O230" t="s">
        <v>44</v>
      </c>
      <c r="P230" t="s">
        <v>40</v>
      </c>
      <c r="Q230" t="s">
        <v>55</v>
      </c>
      <c r="R230" t="s">
        <v>14</v>
      </c>
      <c r="S230" t="s">
        <v>15</v>
      </c>
      <c r="T230" t="s">
        <v>47</v>
      </c>
      <c r="U230" t="s">
        <v>29</v>
      </c>
      <c r="V230" s="3" t="s">
        <v>835</v>
      </c>
      <c r="W230" t="s">
        <v>34</v>
      </c>
    </row>
    <row r="231" spans="1:23" ht="12.75">
      <c r="A231" s="1">
        <v>45691.308969907404</v>
      </c>
      <c r="C231" t="s">
        <v>27</v>
      </c>
      <c r="D231">
        <v>30</v>
      </c>
      <c r="E231">
        <v>174</v>
      </c>
      <c r="F231">
        <v>107</v>
      </c>
      <c r="G231">
        <v>1.5</v>
      </c>
      <c r="H231" t="s">
        <v>591</v>
      </c>
      <c r="I231" t="s">
        <v>5</v>
      </c>
      <c r="J231" t="s">
        <v>6</v>
      </c>
      <c r="K231" t="s">
        <v>7</v>
      </c>
      <c r="L231" t="s">
        <v>10</v>
      </c>
      <c r="M231" t="s">
        <v>9</v>
      </c>
      <c r="N231" t="s">
        <v>20</v>
      </c>
      <c r="O231" t="s">
        <v>46</v>
      </c>
      <c r="P231" t="s">
        <v>31</v>
      </c>
      <c r="Q231" t="s">
        <v>55</v>
      </c>
      <c r="R231" t="s">
        <v>14</v>
      </c>
      <c r="S231" t="s">
        <v>24</v>
      </c>
      <c r="T231" t="s">
        <v>47</v>
      </c>
      <c r="U231" t="s">
        <v>29</v>
      </c>
      <c r="V231" s="3" t="s">
        <v>836</v>
      </c>
      <c r="W231" t="s">
        <v>34</v>
      </c>
    </row>
    <row r="232" spans="1:23" ht="12.75">
      <c r="A232" s="1">
        <v>45711.500289351854</v>
      </c>
      <c r="C232" t="s">
        <v>151</v>
      </c>
      <c r="D232">
        <v>33</v>
      </c>
      <c r="E232">
        <v>162</v>
      </c>
      <c r="F232">
        <v>103</v>
      </c>
      <c r="G232">
        <v>2</v>
      </c>
      <c r="H232" t="s">
        <v>591</v>
      </c>
      <c r="I232" t="s">
        <v>29</v>
      </c>
      <c r="J232" t="s">
        <v>6</v>
      </c>
      <c r="K232" t="s">
        <v>37</v>
      </c>
      <c r="L232" t="s">
        <v>20</v>
      </c>
      <c r="M232" t="s">
        <v>9</v>
      </c>
      <c r="N232" t="s">
        <v>20</v>
      </c>
      <c r="O232" t="s">
        <v>11</v>
      </c>
      <c r="P232" t="s">
        <v>20</v>
      </c>
      <c r="Q232" t="s">
        <v>55</v>
      </c>
      <c r="R232" t="s">
        <v>14</v>
      </c>
      <c r="S232" t="s">
        <v>25</v>
      </c>
      <c r="T232" t="s">
        <v>24</v>
      </c>
      <c r="U232" t="s">
        <v>29</v>
      </c>
      <c r="V232" s="3" t="s">
        <v>837</v>
      </c>
      <c r="W232" t="s">
        <v>34</v>
      </c>
    </row>
    <row r="233" spans="1:23" ht="12.75">
      <c r="A233" s="1">
        <v>45773.221944444442</v>
      </c>
      <c r="C233" t="s">
        <v>86</v>
      </c>
      <c r="D233">
        <v>32</v>
      </c>
      <c r="E233">
        <v>157</v>
      </c>
      <c r="F233">
        <v>92</v>
      </c>
      <c r="G233">
        <v>3</v>
      </c>
      <c r="H233" t="s">
        <v>591</v>
      </c>
      <c r="I233" t="s">
        <v>5</v>
      </c>
      <c r="J233" t="s">
        <v>6</v>
      </c>
      <c r="K233" t="s">
        <v>60</v>
      </c>
      <c r="L233" t="s">
        <v>31</v>
      </c>
      <c r="M233" t="s">
        <v>21</v>
      </c>
      <c r="N233" t="s">
        <v>10</v>
      </c>
      <c r="O233" t="s">
        <v>22</v>
      </c>
      <c r="P233" t="s">
        <v>31</v>
      </c>
      <c r="Q233" t="s">
        <v>13</v>
      </c>
      <c r="R233" t="s">
        <v>50</v>
      </c>
      <c r="S233" t="s">
        <v>47</v>
      </c>
      <c r="T233" t="s">
        <v>24</v>
      </c>
      <c r="U233" t="s">
        <v>5</v>
      </c>
      <c r="V233" s="3" t="s">
        <v>838</v>
      </c>
      <c r="W233" t="s">
        <v>26</v>
      </c>
    </row>
    <row r="234" spans="1:23" ht="12.75">
      <c r="A234" s="1">
        <v>45756.754108796296</v>
      </c>
      <c r="C234" t="s">
        <v>204</v>
      </c>
      <c r="D234">
        <v>34</v>
      </c>
      <c r="E234">
        <v>176</v>
      </c>
      <c r="F234">
        <v>52</v>
      </c>
      <c r="G234">
        <v>2</v>
      </c>
      <c r="H234" t="s">
        <v>590</v>
      </c>
      <c r="I234" t="s">
        <v>5</v>
      </c>
      <c r="J234" t="s">
        <v>6</v>
      </c>
      <c r="K234" t="s">
        <v>30</v>
      </c>
      <c r="L234" t="s">
        <v>20</v>
      </c>
      <c r="M234" t="s">
        <v>52</v>
      </c>
      <c r="N234" t="s">
        <v>31</v>
      </c>
      <c r="O234" t="s">
        <v>46</v>
      </c>
      <c r="P234" t="s">
        <v>8</v>
      </c>
      <c r="Q234" t="s">
        <v>55</v>
      </c>
      <c r="R234" t="s">
        <v>50</v>
      </c>
      <c r="S234" t="s">
        <v>47</v>
      </c>
      <c r="T234" t="s">
        <v>15</v>
      </c>
      <c r="U234" t="s">
        <v>29</v>
      </c>
      <c r="V234" s="3" t="s">
        <v>839</v>
      </c>
      <c r="W234" t="s">
        <v>34</v>
      </c>
    </row>
    <row r="235" spans="1:23" ht="12.75">
      <c r="A235" s="1">
        <v>45809.33326388889</v>
      </c>
      <c r="C235" t="s">
        <v>171</v>
      </c>
      <c r="D235">
        <v>24</v>
      </c>
      <c r="E235">
        <v>179</v>
      </c>
      <c r="F235">
        <v>71</v>
      </c>
      <c r="G235">
        <v>1</v>
      </c>
      <c r="H235" t="s">
        <v>592</v>
      </c>
      <c r="I235" t="s">
        <v>5</v>
      </c>
      <c r="J235" t="s">
        <v>36</v>
      </c>
      <c r="K235" t="s">
        <v>30</v>
      </c>
      <c r="L235" t="s">
        <v>31</v>
      </c>
      <c r="M235" t="s">
        <v>21</v>
      </c>
      <c r="N235" t="s">
        <v>10</v>
      </c>
      <c r="O235" t="s">
        <v>46</v>
      </c>
      <c r="P235" t="s">
        <v>31</v>
      </c>
      <c r="Q235" t="s">
        <v>13</v>
      </c>
      <c r="R235" t="s">
        <v>14</v>
      </c>
      <c r="S235" t="s">
        <v>25</v>
      </c>
      <c r="T235" t="s">
        <v>24</v>
      </c>
      <c r="U235" t="s">
        <v>5</v>
      </c>
      <c r="V235" s="3" t="s">
        <v>840</v>
      </c>
      <c r="W235" t="s">
        <v>26</v>
      </c>
    </row>
    <row r="236" spans="1:23" ht="12.75">
      <c r="A236" s="1">
        <v>45722.076319444444</v>
      </c>
      <c r="C236" t="s">
        <v>205</v>
      </c>
      <c r="D236">
        <v>42</v>
      </c>
      <c r="E236">
        <v>163</v>
      </c>
      <c r="F236">
        <v>90</v>
      </c>
      <c r="G236">
        <v>2</v>
      </c>
      <c r="H236" t="s">
        <v>28</v>
      </c>
      <c r="I236" t="s">
        <v>29</v>
      </c>
      <c r="J236" t="s">
        <v>6</v>
      </c>
      <c r="K236" t="s">
        <v>7</v>
      </c>
      <c r="L236" t="s">
        <v>10</v>
      </c>
      <c r="M236" t="s">
        <v>9</v>
      </c>
      <c r="N236" t="s">
        <v>40</v>
      </c>
      <c r="O236" t="s">
        <v>46</v>
      </c>
      <c r="P236" t="s">
        <v>10</v>
      </c>
      <c r="Q236" t="s">
        <v>32</v>
      </c>
      <c r="R236" t="s">
        <v>33</v>
      </c>
      <c r="S236" t="s">
        <v>24</v>
      </c>
      <c r="T236" t="s">
        <v>25</v>
      </c>
      <c r="U236" t="s">
        <v>5</v>
      </c>
      <c r="V236" s="3" t="s">
        <v>841</v>
      </c>
      <c r="W236" t="s">
        <v>26</v>
      </c>
    </row>
    <row r="237" spans="1:23" ht="12.75">
      <c r="A237" s="1">
        <v>45697.291759259257</v>
      </c>
      <c r="C237" t="s">
        <v>154</v>
      </c>
      <c r="D237">
        <v>31</v>
      </c>
      <c r="E237">
        <v>172</v>
      </c>
      <c r="F237">
        <v>87</v>
      </c>
      <c r="G237">
        <v>1</v>
      </c>
      <c r="H237" t="s">
        <v>28</v>
      </c>
      <c r="I237" t="s">
        <v>5</v>
      </c>
      <c r="J237" t="s">
        <v>36</v>
      </c>
      <c r="K237" t="s">
        <v>63</v>
      </c>
      <c r="L237" t="s">
        <v>10</v>
      </c>
      <c r="M237" t="s">
        <v>9</v>
      </c>
      <c r="N237" t="s">
        <v>40</v>
      </c>
      <c r="O237" t="s">
        <v>44</v>
      </c>
      <c r="P237" t="s">
        <v>12</v>
      </c>
      <c r="Q237" t="s">
        <v>13</v>
      </c>
      <c r="R237" t="s">
        <v>14</v>
      </c>
      <c r="S237" t="s">
        <v>24</v>
      </c>
      <c r="T237" t="s">
        <v>47</v>
      </c>
      <c r="U237" t="s">
        <v>5</v>
      </c>
      <c r="V237" s="3" t="s">
        <v>842</v>
      </c>
      <c r="W237" t="s">
        <v>26</v>
      </c>
    </row>
    <row r="238" spans="1:23" ht="12.75">
      <c r="A238" s="1">
        <v>45729.160324074073</v>
      </c>
      <c r="C238" t="s">
        <v>195</v>
      </c>
      <c r="D238">
        <v>47</v>
      </c>
      <c r="E238">
        <v>180</v>
      </c>
      <c r="F238">
        <v>60</v>
      </c>
      <c r="G238">
        <v>1.5</v>
      </c>
      <c r="H238" t="s">
        <v>591</v>
      </c>
      <c r="I238" t="s">
        <v>5</v>
      </c>
      <c r="J238" t="s">
        <v>36</v>
      </c>
      <c r="K238" t="s">
        <v>30</v>
      </c>
      <c r="L238" t="s">
        <v>20</v>
      </c>
      <c r="M238" t="s">
        <v>9</v>
      </c>
      <c r="N238" t="s">
        <v>8</v>
      </c>
      <c r="O238" t="s">
        <v>22</v>
      </c>
      <c r="P238" t="s">
        <v>20</v>
      </c>
      <c r="Q238" t="s">
        <v>55</v>
      </c>
      <c r="R238" t="s">
        <v>14</v>
      </c>
      <c r="S238" t="s">
        <v>47</v>
      </c>
      <c r="T238" t="s">
        <v>47</v>
      </c>
      <c r="U238" t="s">
        <v>5</v>
      </c>
      <c r="V238" s="3" t="s">
        <v>843</v>
      </c>
      <c r="W238" t="s">
        <v>26</v>
      </c>
    </row>
    <row r="239" spans="1:23" ht="12.75">
      <c r="A239" s="1">
        <v>45709.551435185182</v>
      </c>
      <c r="C239" t="s">
        <v>206</v>
      </c>
      <c r="D239">
        <v>58</v>
      </c>
      <c r="E239">
        <v>160</v>
      </c>
      <c r="F239">
        <v>106</v>
      </c>
      <c r="G239">
        <v>2.5</v>
      </c>
      <c r="H239" t="s">
        <v>28</v>
      </c>
      <c r="I239" t="s">
        <v>29</v>
      </c>
      <c r="J239" t="s">
        <v>6</v>
      </c>
      <c r="K239" t="s">
        <v>37</v>
      </c>
      <c r="L239" t="s">
        <v>10</v>
      </c>
      <c r="M239" t="s">
        <v>21</v>
      </c>
      <c r="N239" t="s">
        <v>31</v>
      </c>
      <c r="O239" t="s">
        <v>46</v>
      </c>
      <c r="P239" t="s">
        <v>10</v>
      </c>
      <c r="Q239" t="s">
        <v>23</v>
      </c>
      <c r="R239" t="s">
        <v>14</v>
      </c>
      <c r="S239" t="s">
        <v>15</v>
      </c>
      <c r="T239" t="s">
        <v>15</v>
      </c>
      <c r="U239" t="s">
        <v>29</v>
      </c>
      <c r="V239" s="3" t="s">
        <v>844</v>
      </c>
      <c r="W239" t="s">
        <v>34</v>
      </c>
    </row>
    <row r="240" spans="1:23" ht="12.75">
      <c r="A240" s="1">
        <v>45697.136967592596</v>
      </c>
      <c r="C240" t="s">
        <v>85</v>
      </c>
      <c r="D240">
        <v>35</v>
      </c>
      <c r="E240">
        <v>181</v>
      </c>
      <c r="F240">
        <v>98</v>
      </c>
      <c r="G240">
        <v>2.5</v>
      </c>
      <c r="H240" t="s">
        <v>591</v>
      </c>
      <c r="I240" t="s">
        <v>5</v>
      </c>
      <c r="J240" t="s">
        <v>36</v>
      </c>
      <c r="K240" t="s">
        <v>30</v>
      </c>
      <c r="L240" t="s">
        <v>8</v>
      </c>
      <c r="M240" t="s">
        <v>38</v>
      </c>
      <c r="N240" t="s">
        <v>10</v>
      </c>
      <c r="O240" t="s">
        <v>46</v>
      </c>
      <c r="P240" t="s">
        <v>31</v>
      </c>
      <c r="Q240" t="s">
        <v>55</v>
      </c>
      <c r="R240" t="s">
        <v>14</v>
      </c>
      <c r="S240" t="s">
        <v>47</v>
      </c>
      <c r="T240" t="s">
        <v>25</v>
      </c>
      <c r="U240" t="s">
        <v>5</v>
      </c>
      <c r="V240" s="3" t="s">
        <v>845</v>
      </c>
      <c r="W240" t="s">
        <v>34</v>
      </c>
    </row>
    <row r="241" spans="1:23" ht="12.75">
      <c r="A241" s="1">
        <v>45757.763310185182</v>
      </c>
      <c r="C241" t="s">
        <v>195</v>
      </c>
      <c r="D241">
        <v>25</v>
      </c>
      <c r="E241">
        <v>177</v>
      </c>
      <c r="F241">
        <v>58</v>
      </c>
      <c r="G241">
        <v>2</v>
      </c>
      <c r="H241" t="s">
        <v>28</v>
      </c>
      <c r="I241" t="s">
        <v>29</v>
      </c>
      <c r="J241" t="s">
        <v>36</v>
      </c>
      <c r="K241" t="s">
        <v>7</v>
      </c>
      <c r="L241" t="s">
        <v>8</v>
      </c>
      <c r="M241" t="s">
        <v>52</v>
      </c>
      <c r="N241" t="s">
        <v>20</v>
      </c>
      <c r="O241" t="s">
        <v>22</v>
      </c>
      <c r="P241" t="s">
        <v>31</v>
      </c>
      <c r="Q241" t="s">
        <v>32</v>
      </c>
      <c r="R241" t="s">
        <v>50</v>
      </c>
      <c r="S241" t="s">
        <v>25</v>
      </c>
      <c r="T241" t="s">
        <v>47</v>
      </c>
      <c r="U241" t="s">
        <v>29</v>
      </c>
      <c r="V241" s="3" t="s">
        <v>846</v>
      </c>
      <c r="W241" t="s">
        <v>26</v>
      </c>
    </row>
    <row r="242" spans="1:23" ht="12.75">
      <c r="A242" s="1">
        <v>45786.770590277774</v>
      </c>
      <c r="C242" t="s">
        <v>207</v>
      </c>
      <c r="D242">
        <v>55</v>
      </c>
      <c r="E242">
        <v>186</v>
      </c>
      <c r="F242">
        <v>52</v>
      </c>
      <c r="G242">
        <v>1</v>
      </c>
      <c r="H242" t="s">
        <v>591</v>
      </c>
      <c r="I242" t="s">
        <v>5</v>
      </c>
      <c r="J242" t="s">
        <v>36</v>
      </c>
      <c r="K242" t="s">
        <v>63</v>
      </c>
      <c r="L242" t="s">
        <v>12</v>
      </c>
      <c r="M242" t="s">
        <v>21</v>
      </c>
      <c r="N242" t="s">
        <v>10</v>
      </c>
      <c r="O242" t="s">
        <v>44</v>
      </c>
      <c r="P242" t="s">
        <v>31</v>
      </c>
      <c r="Q242" t="s">
        <v>55</v>
      </c>
      <c r="R242" t="s">
        <v>33</v>
      </c>
      <c r="S242" t="s">
        <v>15</v>
      </c>
      <c r="T242" t="s">
        <v>15</v>
      </c>
      <c r="U242" t="s">
        <v>5</v>
      </c>
      <c r="V242" s="3" t="s">
        <v>847</v>
      </c>
      <c r="W242" t="s">
        <v>26</v>
      </c>
    </row>
    <row r="243" spans="1:23" ht="12.75">
      <c r="A243" s="1">
        <v>45740.552245370367</v>
      </c>
      <c r="C243" t="s">
        <v>208</v>
      </c>
      <c r="D243">
        <v>59</v>
      </c>
      <c r="E243">
        <v>166</v>
      </c>
      <c r="F243">
        <v>67</v>
      </c>
      <c r="G243">
        <v>2.5</v>
      </c>
      <c r="H243" t="s">
        <v>591</v>
      </c>
      <c r="I243" t="s">
        <v>29</v>
      </c>
      <c r="J243" t="s">
        <v>36</v>
      </c>
      <c r="K243" t="s">
        <v>60</v>
      </c>
      <c r="L243" t="s">
        <v>40</v>
      </c>
      <c r="M243" t="s">
        <v>52</v>
      </c>
      <c r="N243" t="s">
        <v>40</v>
      </c>
      <c r="O243" t="s">
        <v>22</v>
      </c>
      <c r="P243" t="s">
        <v>12</v>
      </c>
      <c r="Q243" t="s">
        <v>13</v>
      </c>
      <c r="R243" t="s">
        <v>33</v>
      </c>
      <c r="S243" t="s">
        <v>25</v>
      </c>
      <c r="T243" t="s">
        <v>47</v>
      </c>
      <c r="U243" t="s">
        <v>5</v>
      </c>
      <c r="V243" s="3" t="s">
        <v>848</v>
      </c>
      <c r="W243" t="s">
        <v>39</v>
      </c>
    </row>
    <row r="244" spans="1:23" ht="12.75">
      <c r="A244" s="1">
        <v>45683.434224537035</v>
      </c>
      <c r="C244" t="s">
        <v>57</v>
      </c>
      <c r="D244">
        <v>22</v>
      </c>
      <c r="E244">
        <v>174</v>
      </c>
      <c r="F244">
        <v>94</v>
      </c>
      <c r="G244">
        <v>1.5</v>
      </c>
      <c r="H244" t="s">
        <v>591</v>
      </c>
      <c r="I244" t="s">
        <v>29</v>
      </c>
      <c r="J244" t="s">
        <v>6</v>
      </c>
      <c r="K244" t="s">
        <v>63</v>
      </c>
      <c r="L244" t="s">
        <v>12</v>
      </c>
      <c r="M244" t="s">
        <v>21</v>
      </c>
      <c r="N244" t="s">
        <v>20</v>
      </c>
      <c r="O244" t="s">
        <v>46</v>
      </c>
      <c r="P244" t="s">
        <v>31</v>
      </c>
      <c r="Q244" t="s">
        <v>23</v>
      </c>
      <c r="R244" t="s">
        <v>50</v>
      </c>
      <c r="S244" t="s">
        <v>15</v>
      </c>
      <c r="T244" t="s">
        <v>25</v>
      </c>
      <c r="U244" t="s">
        <v>5</v>
      </c>
      <c r="V244" s="3" t="s">
        <v>849</v>
      </c>
      <c r="W244" t="s">
        <v>39</v>
      </c>
    </row>
    <row r="245" spans="1:23" ht="12.75">
      <c r="A245" s="1">
        <v>45740.207546296297</v>
      </c>
      <c r="C245" t="s">
        <v>161</v>
      </c>
      <c r="D245">
        <v>31</v>
      </c>
      <c r="E245">
        <v>183</v>
      </c>
      <c r="F245">
        <v>107</v>
      </c>
      <c r="G245">
        <v>1</v>
      </c>
      <c r="H245" t="s">
        <v>591</v>
      </c>
      <c r="I245" t="s">
        <v>5</v>
      </c>
      <c r="J245" t="s">
        <v>6</v>
      </c>
      <c r="K245" t="s">
        <v>37</v>
      </c>
      <c r="L245" t="s">
        <v>40</v>
      </c>
      <c r="M245" t="s">
        <v>52</v>
      </c>
      <c r="N245" t="s">
        <v>40</v>
      </c>
      <c r="O245" t="s">
        <v>44</v>
      </c>
      <c r="P245" t="s">
        <v>20</v>
      </c>
      <c r="Q245" t="s">
        <v>32</v>
      </c>
      <c r="R245" t="s">
        <v>14</v>
      </c>
      <c r="S245" t="s">
        <v>47</v>
      </c>
      <c r="T245" t="s">
        <v>24</v>
      </c>
      <c r="U245" t="s">
        <v>5</v>
      </c>
      <c r="V245" s="3" t="s">
        <v>850</v>
      </c>
      <c r="W245" t="s">
        <v>16</v>
      </c>
    </row>
    <row r="246" spans="1:23" ht="12.75">
      <c r="A246" s="1">
        <v>45702.847256944442</v>
      </c>
      <c r="C246" t="s">
        <v>209</v>
      </c>
      <c r="D246">
        <v>22</v>
      </c>
      <c r="E246">
        <v>169</v>
      </c>
      <c r="F246">
        <v>102</v>
      </c>
      <c r="G246">
        <v>3</v>
      </c>
      <c r="H246" t="s">
        <v>591</v>
      </c>
      <c r="I246" t="s">
        <v>5</v>
      </c>
      <c r="J246" t="s">
        <v>6</v>
      </c>
      <c r="K246" t="s">
        <v>19</v>
      </c>
      <c r="L246" t="s">
        <v>31</v>
      </c>
      <c r="M246" t="s">
        <v>52</v>
      </c>
      <c r="N246" t="s">
        <v>10</v>
      </c>
      <c r="O246" t="s">
        <v>44</v>
      </c>
      <c r="P246" t="s">
        <v>20</v>
      </c>
      <c r="Q246" t="s">
        <v>23</v>
      </c>
      <c r="R246" t="s">
        <v>50</v>
      </c>
      <c r="S246" t="s">
        <v>15</v>
      </c>
      <c r="T246" t="s">
        <v>25</v>
      </c>
      <c r="U246" t="s">
        <v>5</v>
      </c>
      <c r="V246" s="3" t="s">
        <v>851</v>
      </c>
      <c r="W246" t="s">
        <v>16</v>
      </c>
    </row>
    <row r="247" spans="1:23" ht="12.75">
      <c r="A247" s="1">
        <v>45666.612696759257</v>
      </c>
      <c r="C247" t="s">
        <v>196</v>
      </c>
      <c r="D247">
        <v>40</v>
      </c>
      <c r="E247">
        <v>168</v>
      </c>
      <c r="F247">
        <v>54</v>
      </c>
      <c r="G247">
        <v>1</v>
      </c>
      <c r="H247" t="s">
        <v>591</v>
      </c>
      <c r="I247" t="s">
        <v>5</v>
      </c>
      <c r="J247" t="s">
        <v>6</v>
      </c>
      <c r="K247" t="s">
        <v>19</v>
      </c>
      <c r="L247" t="s">
        <v>40</v>
      </c>
      <c r="M247" t="s">
        <v>9</v>
      </c>
      <c r="N247" t="s">
        <v>20</v>
      </c>
      <c r="O247" t="s">
        <v>22</v>
      </c>
      <c r="P247" t="s">
        <v>12</v>
      </c>
      <c r="Q247" t="s">
        <v>55</v>
      </c>
      <c r="R247" t="s">
        <v>14</v>
      </c>
      <c r="S247" t="s">
        <v>47</v>
      </c>
      <c r="T247" t="s">
        <v>15</v>
      </c>
      <c r="U247" t="s">
        <v>29</v>
      </c>
      <c r="V247" s="3" t="s">
        <v>852</v>
      </c>
      <c r="W247" t="s">
        <v>39</v>
      </c>
    </row>
    <row r="248" spans="1:23" ht="12.75">
      <c r="A248" s="1">
        <v>45672.47859953704</v>
      </c>
      <c r="C248" t="s">
        <v>187</v>
      </c>
      <c r="D248">
        <v>45</v>
      </c>
      <c r="E248">
        <v>170</v>
      </c>
      <c r="F248">
        <v>65</v>
      </c>
      <c r="G248">
        <v>2</v>
      </c>
      <c r="H248" t="s">
        <v>591</v>
      </c>
      <c r="I248" t="s">
        <v>29</v>
      </c>
      <c r="J248" t="s">
        <v>6</v>
      </c>
      <c r="K248" t="s">
        <v>30</v>
      </c>
      <c r="L248" t="s">
        <v>20</v>
      </c>
      <c r="M248" t="s">
        <v>9</v>
      </c>
      <c r="N248" t="s">
        <v>8</v>
      </c>
      <c r="O248" t="s">
        <v>46</v>
      </c>
      <c r="P248" t="s">
        <v>40</v>
      </c>
      <c r="Q248" t="s">
        <v>13</v>
      </c>
      <c r="R248" t="s">
        <v>33</v>
      </c>
      <c r="S248" t="s">
        <v>24</v>
      </c>
      <c r="T248" t="s">
        <v>47</v>
      </c>
      <c r="U248" t="s">
        <v>29</v>
      </c>
      <c r="V248" s="3" t="s">
        <v>853</v>
      </c>
      <c r="W248" t="s">
        <v>34</v>
      </c>
    </row>
    <row r="249" spans="1:23" ht="12.75">
      <c r="A249" s="1">
        <v>45659.117037037038</v>
      </c>
      <c r="C249" t="s">
        <v>210</v>
      </c>
      <c r="D249">
        <v>55</v>
      </c>
      <c r="E249">
        <v>182</v>
      </c>
      <c r="F249">
        <v>58</v>
      </c>
      <c r="G249">
        <v>2</v>
      </c>
      <c r="H249" t="s">
        <v>591</v>
      </c>
      <c r="I249" t="s">
        <v>5</v>
      </c>
      <c r="J249" t="s">
        <v>6</v>
      </c>
      <c r="K249" t="s">
        <v>30</v>
      </c>
      <c r="L249" t="s">
        <v>12</v>
      </c>
      <c r="M249" t="s">
        <v>52</v>
      </c>
      <c r="N249" t="s">
        <v>10</v>
      </c>
      <c r="O249" t="s">
        <v>44</v>
      </c>
      <c r="P249" t="s">
        <v>31</v>
      </c>
      <c r="Q249" t="s">
        <v>32</v>
      </c>
      <c r="R249" t="s">
        <v>14</v>
      </c>
      <c r="S249" t="s">
        <v>47</v>
      </c>
      <c r="T249" t="s">
        <v>47</v>
      </c>
      <c r="U249" t="s">
        <v>5</v>
      </c>
      <c r="V249" s="3" t="s">
        <v>854</v>
      </c>
      <c r="W249" t="s">
        <v>16</v>
      </c>
    </row>
    <row r="250" spans="1:23" ht="12.75">
      <c r="A250" s="1">
        <v>45725.759189814817</v>
      </c>
      <c r="C250" t="s">
        <v>196</v>
      </c>
      <c r="D250">
        <v>45</v>
      </c>
      <c r="E250">
        <v>160</v>
      </c>
      <c r="F250">
        <v>71</v>
      </c>
      <c r="G250">
        <v>2</v>
      </c>
      <c r="H250" t="s">
        <v>590</v>
      </c>
      <c r="I250" t="s">
        <v>29</v>
      </c>
      <c r="J250" t="s">
        <v>36</v>
      </c>
      <c r="K250" t="s">
        <v>19</v>
      </c>
      <c r="L250" t="s">
        <v>12</v>
      </c>
      <c r="M250" t="s">
        <v>52</v>
      </c>
      <c r="N250" t="s">
        <v>31</v>
      </c>
      <c r="O250" t="s">
        <v>22</v>
      </c>
      <c r="P250" t="s">
        <v>20</v>
      </c>
      <c r="Q250" t="s">
        <v>23</v>
      </c>
      <c r="R250" t="s">
        <v>33</v>
      </c>
      <c r="S250" t="s">
        <v>24</v>
      </c>
      <c r="T250" t="s">
        <v>24</v>
      </c>
      <c r="U250" t="s">
        <v>5</v>
      </c>
      <c r="V250" s="3" t="s">
        <v>855</v>
      </c>
      <c r="W250" t="s">
        <v>16</v>
      </c>
    </row>
    <row r="251" spans="1:23" ht="12.75">
      <c r="A251" s="1">
        <v>45674.698587962965</v>
      </c>
      <c r="C251" t="s">
        <v>102</v>
      </c>
      <c r="D251">
        <v>51</v>
      </c>
      <c r="E251">
        <v>166</v>
      </c>
      <c r="F251">
        <v>50</v>
      </c>
      <c r="G251">
        <v>2</v>
      </c>
      <c r="H251" t="s">
        <v>592</v>
      </c>
      <c r="I251" t="s">
        <v>5</v>
      </c>
      <c r="J251" t="s">
        <v>36</v>
      </c>
      <c r="K251" t="s">
        <v>60</v>
      </c>
      <c r="L251" t="s">
        <v>40</v>
      </c>
      <c r="M251" t="s">
        <v>52</v>
      </c>
      <c r="N251" t="s">
        <v>8</v>
      </c>
      <c r="O251" t="s">
        <v>22</v>
      </c>
      <c r="P251" t="s">
        <v>40</v>
      </c>
      <c r="Q251" t="s">
        <v>32</v>
      </c>
      <c r="R251" t="s">
        <v>14</v>
      </c>
      <c r="S251" t="s">
        <v>25</v>
      </c>
      <c r="T251" t="s">
        <v>24</v>
      </c>
      <c r="U251" t="s">
        <v>5</v>
      </c>
      <c r="V251" s="3" t="s">
        <v>856</v>
      </c>
      <c r="W251" t="s">
        <v>26</v>
      </c>
    </row>
    <row r="252" spans="1:23" ht="12.75">
      <c r="A252" s="1">
        <v>45738.461770833332</v>
      </c>
      <c r="C252" t="s">
        <v>211</v>
      </c>
      <c r="D252">
        <v>51</v>
      </c>
      <c r="E252">
        <v>185</v>
      </c>
      <c r="F252">
        <v>69</v>
      </c>
      <c r="G252">
        <v>1.5</v>
      </c>
      <c r="H252" t="s">
        <v>590</v>
      </c>
      <c r="I252" t="s">
        <v>5</v>
      </c>
      <c r="J252" t="s">
        <v>6</v>
      </c>
      <c r="K252" t="s">
        <v>60</v>
      </c>
      <c r="L252" t="s">
        <v>10</v>
      </c>
      <c r="M252" t="s">
        <v>52</v>
      </c>
      <c r="N252" t="s">
        <v>31</v>
      </c>
      <c r="O252" t="s">
        <v>22</v>
      </c>
      <c r="P252" t="s">
        <v>8</v>
      </c>
      <c r="Q252" t="s">
        <v>55</v>
      </c>
      <c r="R252" t="s">
        <v>50</v>
      </c>
      <c r="S252" t="s">
        <v>25</v>
      </c>
      <c r="T252" t="s">
        <v>24</v>
      </c>
      <c r="U252" t="s">
        <v>5</v>
      </c>
      <c r="V252" s="3" t="s">
        <v>857</v>
      </c>
      <c r="W252" t="s">
        <v>34</v>
      </c>
    </row>
    <row r="253" spans="1:23" ht="12.75">
      <c r="A253" s="1">
        <v>45743.429594907408</v>
      </c>
      <c r="C253" t="s">
        <v>188</v>
      </c>
      <c r="D253">
        <v>34</v>
      </c>
      <c r="E253">
        <v>169</v>
      </c>
      <c r="F253">
        <v>51</v>
      </c>
      <c r="G253">
        <v>2.5</v>
      </c>
      <c r="H253" t="s">
        <v>592</v>
      </c>
      <c r="I253" t="s">
        <v>29</v>
      </c>
      <c r="J253" t="s">
        <v>6</v>
      </c>
      <c r="K253" t="s">
        <v>60</v>
      </c>
      <c r="L253" t="s">
        <v>20</v>
      </c>
      <c r="M253" t="s">
        <v>38</v>
      </c>
      <c r="N253" t="s">
        <v>31</v>
      </c>
      <c r="O253" t="s">
        <v>22</v>
      </c>
      <c r="P253" t="s">
        <v>10</v>
      </c>
      <c r="Q253" t="s">
        <v>55</v>
      </c>
      <c r="R253" t="s">
        <v>33</v>
      </c>
      <c r="S253" t="s">
        <v>24</v>
      </c>
      <c r="T253" t="s">
        <v>24</v>
      </c>
      <c r="U253" t="s">
        <v>5</v>
      </c>
      <c r="V253" s="3" t="s">
        <v>858</v>
      </c>
      <c r="W253" t="s">
        <v>39</v>
      </c>
    </row>
    <row r="254" spans="1:23" ht="12.75">
      <c r="A254" s="1">
        <v>45751.514108796298</v>
      </c>
      <c r="C254" t="s">
        <v>212</v>
      </c>
      <c r="D254">
        <v>23</v>
      </c>
      <c r="E254">
        <v>184</v>
      </c>
      <c r="F254">
        <v>65</v>
      </c>
      <c r="G254">
        <v>1.5</v>
      </c>
      <c r="H254" t="s">
        <v>592</v>
      </c>
      <c r="I254" t="s">
        <v>29</v>
      </c>
      <c r="J254" t="s">
        <v>36</v>
      </c>
      <c r="K254" t="s">
        <v>19</v>
      </c>
      <c r="L254" t="s">
        <v>20</v>
      </c>
      <c r="M254" t="s">
        <v>9</v>
      </c>
      <c r="N254" t="s">
        <v>20</v>
      </c>
      <c r="O254" t="s">
        <v>11</v>
      </c>
      <c r="P254" t="s">
        <v>31</v>
      </c>
      <c r="Q254" t="s">
        <v>55</v>
      </c>
      <c r="R254" t="s">
        <v>50</v>
      </c>
      <c r="S254" t="s">
        <v>24</v>
      </c>
      <c r="T254" t="s">
        <v>47</v>
      </c>
      <c r="U254" t="s">
        <v>5</v>
      </c>
      <c r="V254" s="3" t="s">
        <v>859</v>
      </c>
      <c r="W254" t="s">
        <v>39</v>
      </c>
    </row>
    <row r="255" spans="1:23" ht="12.75">
      <c r="A255" s="1">
        <v>45778.159270833334</v>
      </c>
      <c r="C255" t="s">
        <v>83</v>
      </c>
      <c r="D255">
        <v>58</v>
      </c>
      <c r="E255">
        <v>160</v>
      </c>
      <c r="F255">
        <v>102</v>
      </c>
      <c r="G255">
        <v>1.5</v>
      </c>
      <c r="H255" t="s">
        <v>592</v>
      </c>
      <c r="I255" t="s">
        <v>29</v>
      </c>
      <c r="J255" t="s">
        <v>36</v>
      </c>
      <c r="K255" t="s">
        <v>30</v>
      </c>
      <c r="L255" t="s">
        <v>40</v>
      </c>
      <c r="M255" t="s">
        <v>9</v>
      </c>
      <c r="N255" t="s">
        <v>12</v>
      </c>
      <c r="O255" t="s">
        <v>44</v>
      </c>
      <c r="P255" t="s">
        <v>10</v>
      </c>
      <c r="Q255" t="s">
        <v>32</v>
      </c>
      <c r="R255" t="s">
        <v>14</v>
      </c>
      <c r="S255" t="s">
        <v>25</v>
      </c>
      <c r="T255" t="s">
        <v>15</v>
      </c>
      <c r="U255" t="s">
        <v>5</v>
      </c>
      <c r="V255" s="3" t="s">
        <v>860</v>
      </c>
      <c r="W255" t="s">
        <v>34</v>
      </c>
    </row>
    <row r="256" spans="1:23" ht="12.75">
      <c r="A256" s="1">
        <v>45769.930300925924</v>
      </c>
      <c r="C256" t="s">
        <v>213</v>
      </c>
      <c r="D256">
        <v>58</v>
      </c>
      <c r="E256">
        <v>178</v>
      </c>
      <c r="F256">
        <v>61</v>
      </c>
      <c r="G256">
        <v>1</v>
      </c>
      <c r="H256" t="s">
        <v>590</v>
      </c>
      <c r="I256" t="s">
        <v>5</v>
      </c>
      <c r="J256" t="s">
        <v>36</v>
      </c>
      <c r="K256" t="s">
        <v>37</v>
      </c>
      <c r="L256" t="s">
        <v>20</v>
      </c>
      <c r="M256" t="s">
        <v>21</v>
      </c>
      <c r="N256" t="s">
        <v>20</v>
      </c>
      <c r="O256" t="s">
        <v>22</v>
      </c>
      <c r="P256" t="s">
        <v>31</v>
      </c>
      <c r="Q256" t="s">
        <v>32</v>
      </c>
      <c r="R256" t="s">
        <v>50</v>
      </c>
      <c r="S256" t="s">
        <v>15</v>
      </c>
      <c r="T256" t="s">
        <v>24</v>
      </c>
      <c r="U256" t="s">
        <v>29</v>
      </c>
      <c r="V256" s="3" t="s">
        <v>861</v>
      </c>
      <c r="W256" t="s">
        <v>34</v>
      </c>
    </row>
    <row r="257" spans="1:23" ht="12.75">
      <c r="A257" s="1">
        <v>45662.315925925926</v>
      </c>
      <c r="C257" t="s">
        <v>41</v>
      </c>
      <c r="D257">
        <v>44</v>
      </c>
      <c r="E257">
        <v>179</v>
      </c>
      <c r="F257">
        <v>60</v>
      </c>
      <c r="G257">
        <v>2</v>
      </c>
      <c r="H257" t="s">
        <v>591</v>
      </c>
      <c r="I257" t="s">
        <v>5</v>
      </c>
      <c r="J257" t="s">
        <v>6</v>
      </c>
      <c r="K257" t="s">
        <v>63</v>
      </c>
      <c r="L257" t="s">
        <v>8</v>
      </c>
      <c r="M257" t="s">
        <v>52</v>
      </c>
      <c r="N257" t="s">
        <v>10</v>
      </c>
      <c r="O257" t="s">
        <v>44</v>
      </c>
      <c r="P257" t="s">
        <v>12</v>
      </c>
      <c r="Q257" t="s">
        <v>23</v>
      </c>
      <c r="R257" t="s">
        <v>50</v>
      </c>
      <c r="S257" t="s">
        <v>15</v>
      </c>
      <c r="T257" t="s">
        <v>15</v>
      </c>
      <c r="U257" t="s">
        <v>5</v>
      </c>
      <c r="V257" s="3" t="s">
        <v>862</v>
      </c>
      <c r="W257" t="s">
        <v>16</v>
      </c>
    </row>
    <row r="258" spans="1:23" ht="12.75">
      <c r="A258" s="1">
        <v>45681.964861111112</v>
      </c>
      <c r="C258" t="s">
        <v>113</v>
      </c>
      <c r="D258">
        <v>25</v>
      </c>
      <c r="E258">
        <v>160</v>
      </c>
      <c r="F258">
        <v>87</v>
      </c>
      <c r="G258">
        <v>1</v>
      </c>
      <c r="H258" t="s">
        <v>28</v>
      </c>
      <c r="I258" t="s">
        <v>5</v>
      </c>
      <c r="J258" t="s">
        <v>36</v>
      </c>
      <c r="K258" t="s">
        <v>63</v>
      </c>
      <c r="L258" t="s">
        <v>12</v>
      </c>
      <c r="M258" t="s">
        <v>21</v>
      </c>
      <c r="N258" t="s">
        <v>40</v>
      </c>
      <c r="O258" t="s">
        <v>11</v>
      </c>
      <c r="P258" t="s">
        <v>12</v>
      </c>
      <c r="Q258" t="s">
        <v>32</v>
      </c>
      <c r="R258" t="s">
        <v>50</v>
      </c>
      <c r="S258" t="s">
        <v>15</v>
      </c>
      <c r="T258" t="s">
        <v>25</v>
      </c>
      <c r="U258" t="s">
        <v>29</v>
      </c>
      <c r="V258" s="3" t="s">
        <v>863</v>
      </c>
      <c r="W258" t="s">
        <v>26</v>
      </c>
    </row>
    <row r="259" spans="1:23" ht="12.75">
      <c r="A259" s="1">
        <v>45744.927800925929</v>
      </c>
      <c r="C259" t="s">
        <v>87</v>
      </c>
      <c r="D259">
        <v>21</v>
      </c>
      <c r="E259">
        <v>177</v>
      </c>
      <c r="F259">
        <v>107</v>
      </c>
      <c r="G259">
        <v>3</v>
      </c>
      <c r="H259" t="s">
        <v>592</v>
      </c>
      <c r="I259" t="s">
        <v>29</v>
      </c>
      <c r="J259" t="s">
        <v>6</v>
      </c>
      <c r="K259" t="s">
        <v>60</v>
      </c>
      <c r="L259" t="s">
        <v>10</v>
      </c>
      <c r="M259" t="s">
        <v>52</v>
      </c>
      <c r="N259" t="s">
        <v>8</v>
      </c>
      <c r="O259" t="s">
        <v>46</v>
      </c>
      <c r="P259" t="s">
        <v>20</v>
      </c>
      <c r="Q259" t="s">
        <v>13</v>
      </c>
      <c r="R259" t="s">
        <v>33</v>
      </c>
      <c r="S259" t="s">
        <v>15</v>
      </c>
      <c r="T259" t="s">
        <v>47</v>
      </c>
      <c r="U259" t="s">
        <v>29</v>
      </c>
      <c r="V259" s="3" t="s">
        <v>864</v>
      </c>
      <c r="W259" t="s">
        <v>39</v>
      </c>
    </row>
    <row r="260" spans="1:23" ht="12.75">
      <c r="A260" s="1">
        <v>45784.186921296299</v>
      </c>
      <c r="C260" t="s">
        <v>111</v>
      </c>
      <c r="D260">
        <v>51</v>
      </c>
      <c r="E260">
        <v>156</v>
      </c>
      <c r="F260">
        <v>50</v>
      </c>
      <c r="G260">
        <v>2.5</v>
      </c>
      <c r="H260" t="s">
        <v>591</v>
      </c>
      <c r="I260" t="s">
        <v>5</v>
      </c>
      <c r="J260" t="s">
        <v>6</v>
      </c>
      <c r="K260" t="s">
        <v>60</v>
      </c>
      <c r="L260" t="s">
        <v>20</v>
      </c>
      <c r="M260" t="s">
        <v>38</v>
      </c>
      <c r="N260" t="s">
        <v>12</v>
      </c>
      <c r="O260" t="s">
        <v>44</v>
      </c>
      <c r="P260" t="s">
        <v>12</v>
      </c>
      <c r="Q260" t="s">
        <v>13</v>
      </c>
      <c r="R260" t="s">
        <v>14</v>
      </c>
      <c r="S260" t="s">
        <v>47</v>
      </c>
      <c r="T260" t="s">
        <v>47</v>
      </c>
      <c r="U260" t="s">
        <v>5</v>
      </c>
      <c r="V260" s="3" t="s">
        <v>865</v>
      </c>
      <c r="W260" t="s">
        <v>34</v>
      </c>
    </row>
    <row r="261" spans="1:23" ht="12.75">
      <c r="A261" s="1">
        <v>45728.902083333334</v>
      </c>
      <c r="C261" t="s">
        <v>214</v>
      </c>
      <c r="D261">
        <v>28</v>
      </c>
      <c r="E261">
        <v>160</v>
      </c>
      <c r="F261">
        <v>73</v>
      </c>
      <c r="G261">
        <v>1</v>
      </c>
      <c r="H261" t="s">
        <v>591</v>
      </c>
      <c r="I261" t="s">
        <v>5</v>
      </c>
      <c r="J261" t="s">
        <v>36</v>
      </c>
      <c r="K261" t="s">
        <v>19</v>
      </c>
      <c r="L261" t="s">
        <v>20</v>
      </c>
      <c r="M261" t="s">
        <v>52</v>
      </c>
      <c r="N261" t="s">
        <v>31</v>
      </c>
      <c r="O261" t="s">
        <v>44</v>
      </c>
      <c r="P261" t="s">
        <v>31</v>
      </c>
      <c r="Q261" t="s">
        <v>55</v>
      </c>
      <c r="R261" t="s">
        <v>33</v>
      </c>
      <c r="S261" t="s">
        <v>24</v>
      </c>
      <c r="T261" t="s">
        <v>15</v>
      </c>
      <c r="U261" t="s">
        <v>29</v>
      </c>
      <c r="V261" s="3" t="s">
        <v>866</v>
      </c>
      <c r="W261" t="s">
        <v>39</v>
      </c>
    </row>
    <row r="262" spans="1:23" ht="12.75">
      <c r="A262" s="1">
        <v>45756.257152777776</v>
      </c>
      <c r="C262" t="s">
        <v>215</v>
      </c>
      <c r="D262">
        <v>39</v>
      </c>
      <c r="E262">
        <v>186</v>
      </c>
      <c r="F262">
        <v>84</v>
      </c>
      <c r="G262">
        <v>1.5</v>
      </c>
      <c r="H262" t="s">
        <v>590</v>
      </c>
      <c r="I262" t="s">
        <v>29</v>
      </c>
      <c r="J262" t="s">
        <v>36</v>
      </c>
      <c r="K262" t="s">
        <v>63</v>
      </c>
      <c r="L262" t="s">
        <v>20</v>
      </c>
      <c r="M262" t="s">
        <v>21</v>
      </c>
      <c r="N262" t="s">
        <v>12</v>
      </c>
      <c r="O262" t="s">
        <v>11</v>
      </c>
      <c r="P262" t="s">
        <v>31</v>
      </c>
      <c r="Q262" t="s">
        <v>23</v>
      </c>
      <c r="R262" t="s">
        <v>33</v>
      </c>
      <c r="S262" t="s">
        <v>47</v>
      </c>
      <c r="T262" t="s">
        <v>24</v>
      </c>
      <c r="U262" t="s">
        <v>29</v>
      </c>
      <c r="V262" s="3" t="s">
        <v>867</v>
      </c>
      <c r="W262" t="s">
        <v>26</v>
      </c>
    </row>
    <row r="263" spans="1:23" ht="12.75">
      <c r="A263" s="1">
        <v>45763.404537037037</v>
      </c>
      <c r="C263" t="s">
        <v>216</v>
      </c>
      <c r="D263">
        <v>39</v>
      </c>
      <c r="E263">
        <v>167</v>
      </c>
      <c r="F263">
        <v>66</v>
      </c>
      <c r="G263">
        <v>2.5</v>
      </c>
      <c r="H263" t="s">
        <v>28</v>
      </c>
      <c r="I263" t="s">
        <v>29</v>
      </c>
      <c r="J263" t="s">
        <v>36</v>
      </c>
      <c r="K263" t="s">
        <v>19</v>
      </c>
      <c r="L263" t="s">
        <v>10</v>
      </c>
      <c r="M263" t="s">
        <v>52</v>
      </c>
      <c r="N263" t="s">
        <v>20</v>
      </c>
      <c r="O263" t="s">
        <v>46</v>
      </c>
      <c r="P263" t="s">
        <v>20</v>
      </c>
      <c r="Q263" t="s">
        <v>32</v>
      </c>
      <c r="R263" t="s">
        <v>50</v>
      </c>
      <c r="S263" t="s">
        <v>15</v>
      </c>
      <c r="T263" t="s">
        <v>25</v>
      </c>
      <c r="U263" t="s">
        <v>5</v>
      </c>
      <c r="V263" s="3" t="s">
        <v>868</v>
      </c>
      <c r="W263" t="s">
        <v>16</v>
      </c>
    </row>
    <row r="264" spans="1:23" ht="12.75">
      <c r="A264" s="1">
        <v>45806.761365740742</v>
      </c>
      <c r="C264" t="s">
        <v>217</v>
      </c>
      <c r="D264">
        <v>45</v>
      </c>
      <c r="E264">
        <v>172</v>
      </c>
      <c r="F264">
        <v>77</v>
      </c>
      <c r="G264">
        <v>2.5</v>
      </c>
      <c r="H264" t="s">
        <v>28</v>
      </c>
      <c r="I264" t="s">
        <v>5</v>
      </c>
      <c r="J264" t="s">
        <v>6</v>
      </c>
      <c r="K264" t="s">
        <v>63</v>
      </c>
      <c r="L264" t="s">
        <v>12</v>
      </c>
      <c r="M264" t="s">
        <v>38</v>
      </c>
      <c r="N264" t="s">
        <v>10</v>
      </c>
      <c r="O264" t="s">
        <v>46</v>
      </c>
      <c r="P264" t="s">
        <v>12</v>
      </c>
      <c r="Q264" t="s">
        <v>13</v>
      </c>
      <c r="R264" t="s">
        <v>14</v>
      </c>
      <c r="S264" t="s">
        <v>25</v>
      </c>
      <c r="T264" t="s">
        <v>15</v>
      </c>
      <c r="U264" t="s">
        <v>5</v>
      </c>
      <c r="V264" s="3" t="s">
        <v>869</v>
      </c>
      <c r="W264" t="s">
        <v>34</v>
      </c>
    </row>
    <row r="265" spans="1:23" ht="12.75">
      <c r="A265" s="1">
        <v>45792.686145833337</v>
      </c>
      <c r="C265" t="s">
        <v>41</v>
      </c>
      <c r="D265">
        <v>51</v>
      </c>
      <c r="E265">
        <v>174</v>
      </c>
      <c r="F265">
        <v>101</v>
      </c>
      <c r="G265">
        <v>3</v>
      </c>
      <c r="H265" t="s">
        <v>591</v>
      </c>
      <c r="I265" t="s">
        <v>5</v>
      </c>
      <c r="J265" t="s">
        <v>6</v>
      </c>
      <c r="K265" t="s">
        <v>63</v>
      </c>
      <c r="L265" t="s">
        <v>10</v>
      </c>
      <c r="M265" t="s">
        <v>21</v>
      </c>
      <c r="N265" t="s">
        <v>31</v>
      </c>
      <c r="O265" t="s">
        <v>44</v>
      </c>
      <c r="P265" t="s">
        <v>20</v>
      </c>
      <c r="Q265" t="s">
        <v>13</v>
      </c>
      <c r="R265" t="s">
        <v>50</v>
      </c>
      <c r="S265" t="s">
        <v>24</v>
      </c>
      <c r="T265" t="s">
        <v>15</v>
      </c>
      <c r="U265" t="s">
        <v>29</v>
      </c>
      <c r="V265" s="3" t="s">
        <v>870</v>
      </c>
      <c r="W265" t="s">
        <v>26</v>
      </c>
    </row>
    <row r="266" spans="1:23" ht="12.75">
      <c r="A266" s="1">
        <v>45809.930081018516</v>
      </c>
      <c r="C266" t="s">
        <v>111</v>
      </c>
      <c r="D266">
        <v>49</v>
      </c>
      <c r="E266">
        <v>169</v>
      </c>
      <c r="F266">
        <v>98</v>
      </c>
      <c r="G266">
        <v>3</v>
      </c>
      <c r="H266" t="s">
        <v>592</v>
      </c>
      <c r="I266" t="s">
        <v>29</v>
      </c>
      <c r="J266" t="s">
        <v>6</v>
      </c>
      <c r="K266" t="s">
        <v>37</v>
      </c>
      <c r="L266" t="s">
        <v>31</v>
      </c>
      <c r="M266" t="s">
        <v>9</v>
      </c>
      <c r="N266" t="s">
        <v>8</v>
      </c>
      <c r="O266" t="s">
        <v>44</v>
      </c>
      <c r="P266" t="s">
        <v>40</v>
      </c>
      <c r="Q266" t="s">
        <v>13</v>
      </c>
      <c r="R266" t="s">
        <v>14</v>
      </c>
      <c r="S266" t="s">
        <v>15</v>
      </c>
      <c r="T266" t="s">
        <v>24</v>
      </c>
      <c r="U266" t="s">
        <v>5</v>
      </c>
      <c r="V266" s="3" t="s">
        <v>871</v>
      </c>
      <c r="W266" t="s">
        <v>16</v>
      </c>
    </row>
    <row r="267" spans="1:23" ht="12.75">
      <c r="A267" s="1">
        <v>45709.567361111112</v>
      </c>
      <c r="C267" t="s">
        <v>163</v>
      </c>
      <c r="D267">
        <v>40</v>
      </c>
      <c r="E267">
        <v>179</v>
      </c>
      <c r="F267">
        <v>54</v>
      </c>
      <c r="G267">
        <v>1.5</v>
      </c>
      <c r="H267" t="s">
        <v>590</v>
      </c>
      <c r="I267" t="s">
        <v>29</v>
      </c>
      <c r="J267" t="s">
        <v>6</v>
      </c>
      <c r="K267" t="s">
        <v>7</v>
      </c>
      <c r="L267" t="s">
        <v>12</v>
      </c>
      <c r="M267" t="s">
        <v>38</v>
      </c>
      <c r="N267" t="s">
        <v>12</v>
      </c>
      <c r="O267" t="s">
        <v>46</v>
      </c>
      <c r="P267" t="s">
        <v>12</v>
      </c>
      <c r="Q267" t="s">
        <v>23</v>
      </c>
      <c r="R267" t="s">
        <v>50</v>
      </c>
      <c r="S267" t="s">
        <v>15</v>
      </c>
      <c r="T267" t="s">
        <v>15</v>
      </c>
      <c r="U267" t="s">
        <v>5</v>
      </c>
      <c r="V267" s="3" t="s">
        <v>872</v>
      </c>
      <c r="W267" t="s">
        <v>26</v>
      </c>
    </row>
    <row r="268" spans="1:23" ht="12.75">
      <c r="A268" s="1">
        <v>45733.021608796298</v>
      </c>
      <c r="C268" t="s">
        <v>218</v>
      </c>
      <c r="D268">
        <v>31</v>
      </c>
      <c r="E268">
        <v>167</v>
      </c>
      <c r="F268">
        <v>58</v>
      </c>
      <c r="G268">
        <v>2</v>
      </c>
      <c r="H268" t="s">
        <v>591</v>
      </c>
      <c r="I268" t="s">
        <v>5</v>
      </c>
      <c r="J268" t="s">
        <v>36</v>
      </c>
      <c r="K268" t="s">
        <v>7</v>
      </c>
      <c r="L268" t="s">
        <v>40</v>
      </c>
      <c r="M268" t="s">
        <v>38</v>
      </c>
      <c r="N268" t="s">
        <v>40</v>
      </c>
      <c r="O268" t="s">
        <v>46</v>
      </c>
      <c r="P268" t="s">
        <v>8</v>
      </c>
      <c r="Q268" t="s">
        <v>23</v>
      </c>
      <c r="R268" t="s">
        <v>50</v>
      </c>
      <c r="S268" t="s">
        <v>47</v>
      </c>
      <c r="T268" t="s">
        <v>24</v>
      </c>
      <c r="U268" t="s">
        <v>5</v>
      </c>
      <c r="V268" s="3" t="s">
        <v>873</v>
      </c>
      <c r="W268" t="s">
        <v>39</v>
      </c>
    </row>
    <row r="269" spans="1:23" ht="12.75">
      <c r="A269" s="1">
        <v>45688.2655787037</v>
      </c>
      <c r="C269" t="s">
        <v>219</v>
      </c>
      <c r="D269">
        <v>22</v>
      </c>
      <c r="E269">
        <v>157</v>
      </c>
      <c r="F269">
        <v>64</v>
      </c>
      <c r="G269">
        <v>1</v>
      </c>
      <c r="H269" t="s">
        <v>590</v>
      </c>
      <c r="I269" t="s">
        <v>29</v>
      </c>
      <c r="J269" t="s">
        <v>36</v>
      </c>
      <c r="K269" t="s">
        <v>30</v>
      </c>
      <c r="L269" t="s">
        <v>10</v>
      </c>
      <c r="M269" t="s">
        <v>21</v>
      </c>
      <c r="N269" t="s">
        <v>12</v>
      </c>
      <c r="O269" t="s">
        <v>22</v>
      </c>
      <c r="P269" t="s">
        <v>12</v>
      </c>
      <c r="Q269" t="s">
        <v>23</v>
      </c>
      <c r="R269" t="s">
        <v>50</v>
      </c>
      <c r="S269" t="s">
        <v>15</v>
      </c>
      <c r="T269" t="s">
        <v>24</v>
      </c>
      <c r="U269" t="s">
        <v>29</v>
      </c>
      <c r="V269" s="3" t="s">
        <v>874</v>
      </c>
      <c r="W269" t="s">
        <v>34</v>
      </c>
    </row>
    <row r="270" spans="1:23" ht="12.75">
      <c r="A270" s="1">
        <v>45713.410370370373</v>
      </c>
      <c r="C270" t="s">
        <v>43</v>
      </c>
      <c r="D270">
        <v>42</v>
      </c>
      <c r="E270">
        <v>178</v>
      </c>
      <c r="F270">
        <v>88</v>
      </c>
      <c r="G270">
        <v>3</v>
      </c>
      <c r="H270" t="s">
        <v>592</v>
      </c>
      <c r="I270" t="s">
        <v>5</v>
      </c>
      <c r="J270" t="s">
        <v>6</v>
      </c>
      <c r="K270" t="s">
        <v>19</v>
      </c>
      <c r="L270" t="s">
        <v>12</v>
      </c>
      <c r="M270" t="s">
        <v>38</v>
      </c>
      <c r="N270" t="s">
        <v>12</v>
      </c>
      <c r="O270" t="s">
        <v>22</v>
      </c>
      <c r="P270" t="s">
        <v>10</v>
      </c>
      <c r="Q270" t="s">
        <v>32</v>
      </c>
      <c r="R270" t="s">
        <v>14</v>
      </c>
      <c r="S270" t="s">
        <v>24</v>
      </c>
      <c r="T270" t="s">
        <v>25</v>
      </c>
      <c r="U270" t="s">
        <v>5</v>
      </c>
      <c r="V270" s="3" t="s">
        <v>875</v>
      </c>
      <c r="W270" t="s">
        <v>34</v>
      </c>
    </row>
    <row r="271" spans="1:23" ht="12.75">
      <c r="A271" s="1">
        <v>45725.04283564815</v>
      </c>
      <c r="C271" t="s">
        <v>220</v>
      </c>
      <c r="D271">
        <v>39</v>
      </c>
      <c r="E271">
        <v>189</v>
      </c>
      <c r="F271">
        <v>92</v>
      </c>
      <c r="G271">
        <v>3</v>
      </c>
      <c r="H271" t="s">
        <v>592</v>
      </c>
      <c r="I271" t="s">
        <v>29</v>
      </c>
      <c r="J271" t="s">
        <v>6</v>
      </c>
      <c r="K271" t="s">
        <v>37</v>
      </c>
      <c r="L271" t="s">
        <v>40</v>
      </c>
      <c r="M271" t="s">
        <v>9</v>
      </c>
      <c r="N271" t="s">
        <v>10</v>
      </c>
      <c r="O271" t="s">
        <v>44</v>
      </c>
      <c r="P271" t="s">
        <v>40</v>
      </c>
      <c r="Q271" t="s">
        <v>32</v>
      </c>
      <c r="R271" t="s">
        <v>50</v>
      </c>
      <c r="S271" t="s">
        <v>47</v>
      </c>
      <c r="T271" t="s">
        <v>25</v>
      </c>
      <c r="U271" t="s">
        <v>29</v>
      </c>
      <c r="V271" s="3" t="s">
        <v>876</v>
      </c>
      <c r="W271" t="s">
        <v>26</v>
      </c>
    </row>
    <row r="272" spans="1:23" ht="12.75">
      <c r="A272" s="1">
        <v>45677.095023148147</v>
      </c>
      <c r="C272" t="s">
        <v>79</v>
      </c>
      <c r="D272">
        <v>40</v>
      </c>
      <c r="E272">
        <v>164</v>
      </c>
      <c r="F272">
        <v>101</v>
      </c>
      <c r="G272">
        <v>2</v>
      </c>
      <c r="H272" t="s">
        <v>590</v>
      </c>
      <c r="I272" t="s">
        <v>5</v>
      </c>
      <c r="J272" t="s">
        <v>36</v>
      </c>
      <c r="K272" t="s">
        <v>63</v>
      </c>
      <c r="L272" t="s">
        <v>20</v>
      </c>
      <c r="M272" t="s">
        <v>38</v>
      </c>
      <c r="N272" t="s">
        <v>10</v>
      </c>
      <c r="O272" t="s">
        <v>46</v>
      </c>
      <c r="P272" t="s">
        <v>31</v>
      </c>
      <c r="Q272" t="s">
        <v>13</v>
      </c>
      <c r="R272" t="s">
        <v>33</v>
      </c>
      <c r="S272" t="s">
        <v>15</v>
      </c>
      <c r="T272" t="s">
        <v>15</v>
      </c>
      <c r="U272" t="s">
        <v>5</v>
      </c>
      <c r="V272" s="3" t="s">
        <v>877</v>
      </c>
      <c r="W272" t="s">
        <v>39</v>
      </c>
    </row>
    <row r="273" spans="1:23" ht="12.75">
      <c r="A273" s="1">
        <v>45658.983587962961</v>
      </c>
      <c r="C273" t="s">
        <v>221</v>
      </c>
      <c r="D273">
        <v>29</v>
      </c>
      <c r="E273">
        <v>170</v>
      </c>
      <c r="F273">
        <v>78</v>
      </c>
      <c r="G273">
        <v>2</v>
      </c>
      <c r="H273" t="s">
        <v>590</v>
      </c>
      <c r="I273" t="s">
        <v>29</v>
      </c>
      <c r="J273" t="s">
        <v>36</v>
      </c>
      <c r="K273" t="s">
        <v>7</v>
      </c>
      <c r="L273" t="s">
        <v>20</v>
      </c>
      <c r="M273" t="s">
        <v>52</v>
      </c>
      <c r="N273" t="s">
        <v>20</v>
      </c>
      <c r="O273" t="s">
        <v>46</v>
      </c>
      <c r="P273" t="s">
        <v>12</v>
      </c>
      <c r="Q273" t="s">
        <v>13</v>
      </c>
      <c r="R273" t="s">
        <v>50</v>
      </c>
      <c r="S273" t="s">
        <v>25</v>
      </c>
      <c r="T273" t="s">
        <v>47</v>
      </c>
      <c r="U273" t="s">
        <v>29</v>
      </c>
      <c r="V273" s="3" t="s">
        <v>878</v>
      </c>
      <c r="W273" t="s">
        <v>16</v>
      </c>
    </row>
    <row r="274" spans="1:23" ht="12.75">
      <c r="A274" s="5">
        <v>45794.013460648152</v>
      </c>
      <c r="C274" t="s">
        <v>93</v>
      </c>
      <c r="D274">
        <v>30</v>
      </c>
      <c r="E274">
        <v>164</v>
      </c>
      <c r="F274">
        <v>69</v>
      </c>
      <c r="G274">
        <v>1.5</v>
      </c>
      <c r="H274" t="s">
        <v>28</v>
      </c>
      <c r="I274" t="s">
        <v>29</v>
      </c>
      <c r="J274" t="s">
        <v>36</v>
      </c>
      <c r="K274" t="s">
        <v>30</v>
      </c>
      <c r="L274" t="s">
        <v>20</v>
      </c>
      <c r="M274" t="s">
        <v>38</v>
      </c>
      <c r="N274" t="s">
        <v>12</v>
      </c>
      <c r="O274" t="s">
        <v>11</v>
      </c>
      <c r="P274" t="s">
        <v>12</v>
      </c>
      <c r="Q274" t="s">
        <v>13</v>
      </c>
      <c r="R274" t="s">
        <v>33</v>
      </c>
      <c r="S274" t="s">
        <v>15</v>
      </c>
      <c r="T274" t="s">
        <v>25</v>
      </c>
      <c r="U274" t="s">
        <v>5</v>
      </c>
      <c r="V274" s="3" t="s">
        <v>879</v>
      </c>
      <c r="W274" t="s">
        <v>34</v>
      </c>
    </row>
    <row r="275" spans="1:23" ht="12.75">
      <c r="A275" s="5">
        <v>45707.82539351852</v>
      </c>
      <c r="C275" t="s">
        <v>92</v>
      </c>
      <c r="D275">
        <v>55</v>
      </c>
      <c r="E275">
        <v>167</v>
      </c>
      <c r="F275">
        <v>86</v>
      </c>
      <c r="G275">
        <v>1.5</v>
      </c>
      <c r="H275" t="s">
        <v>592</v>
      </c>
      <c r="I275" t="s">
        <v>29</v>
      </c>
      <c r="J275" t="s">
        <v>36</v>
      </c>
      <c r="K275" t="s">
        <v>63</v>
      </c>
      <c r="L275" t="s">
        <v>31</v>
      </c>
      <c r="M275" t="s">
        <v>9</v>
      </c>
      <c r="N275" t="s">
        <v>20</v>
      </c>
      <c r="O275" t="s">
        <v>44</v>
      </c>
      <c r="P275" t="s">
        <v>12</v>
      </c>
      <c r="Q275" t="s">
        <v>55</v>
      </c>
      <c r="R275" t="s">
        <v>33</v>
      </c>
      <c r="S275" t="s">
        <v>15</v>
      </c>
      <c r="T275" t="s">
        <v>47</v>
      </c>
      <c r="U275" t="s">
        <v>5</v>
      </c>
      <c r="V275" s="3" t="s">
        <v>880</v>
      </c>
      <c r="W275" t="s">
        <v>26</v>
      </c>
    </row>
    <row r="276" spans="1:23" ht="12.75">
      <c r="A276" s="5">
        <v>45694.026655092595</v>
      </c>
      <c r="C276" t="s">
        <v>87</v>
      </c>
      <c r="D276">
        <v>59</v>
      </c>
      <c r="E276">
        <v>172</v>
      </c>
      <c r="F276">
        <v>73</v>
      </c>
      <c r="G276">
        <v>2</v>
      </c>
      <c r="H276" t="s">
        <v>590</v>
      </c>
      <c r="I276" t="s">
        <v>29</v>
      </c>
      <c r="J276" t="s">
        <v>6</v>
      </c>
      <c r="K276" t="s">
        <v>37</v>
      </c>
      <c r="L276" t="s">
        <v>8</v>
      </c>
      <c r="M276" t="s">
        <v>9</v>
      </c>
      <c r="N276" t="s">
        <v>20</v>
      </c>
      <c r="O276" t="s">
        <v>22</v>
      </c>
      <c r="P276" t="s">
        <v>8</v>
      </c>
      <c r="Q276" t="s">
        <v>13</v>
      </c>
      <c r="R276" t="s">
        <v>14</v>
      </c>
      <c r="S276" t="s">
        <v>24</v>
      </c>
      <c r="T276" t="s">
        <v>25</v>
      </c>
      <c r="U276" t="s">
        <v>5</v>
      </c>
      <c r="V276" s="3" t="s">
        <v>881</v>
      </c>
      <c r="W276" t="s">
        <v>16</v>
      </c>
    </row>
    <row r="277" spans="1:23" ht="25.5" customHeight="1">
      <c r="A277" s="1">
        <v>45803.684791666667</v>
      </c>
      <c r="C277" t="s">
        <v>48</v>
      </c>
      <c r="D277">
        <v>22</v>
      </c>
      <c r="E277">
        <v>175</v>
      </c>
      <c r="F277">
        <v>98</v>
      </c>
      <c r="G277">
        <v>1</v>
      </c>
      <c r="H277" t="s">
        <v>590</v>
      </c>
      <c r="I277" t="s">
        <v>29</v>
      </c>
      <c r="J277" t="s">
        <v>6</v>
      </c>
      <c r="K277" t="s">
        <v>30</v>
      </c>
      <c r="L277" t="s">
        <v>8</v>
      </c>
      <c r="M277" t="s">
        <v>21</v>
      </c>
      <c r="N277" t="s">
        <v>12</v>
      </c>
      <c r="O277" t="s">
        <v>44</v>
      </c>
      <c r="P277" t="s">
        <v>40</v>
      </c>
      <c r="Q277" t="s">
        <v>55</v>
      </c>
      <c r="R277" t="s">
        <v>33</v>
      </c>
      <c r="S277" t="s">
        <v>15</v>
      </c>
      <c r="T277" t="s">
        <v>24</v>
      </c>
      <c r="U277" t="s">
        <v>29</v>
      </c>
      <c r="V277" s="3" t="s">
        <v>882</v>
      </c>
      <c r="W277" t="s">
        <v>16</v>
      </c>
    </row>
    <row r="278" spans="1:23" ht="25.5" customHeight="1">
      <c r="A278" s="1">
        <v>45686.693819444445</v>
      </c>
      <c r="C278" t="s">
        <v>222</v>
      </c>
      <c r="D278">
        <v>32</v>
      </c>
      <c r="E278">
        <v>174</v>
      </c>
      <c r="F278">
        <v>62</v>
      </c>
      <c r="G278">
        <v>1</v>
      </c>
      <c r="H278" t="s">
        <v>592</v>
      </c>
      <c r="I278" t="s">
        <v>29</v>
      </c>
      <c r="J278" t="s">
        <v>6</v>
      </c>
      <c r="K278" t="s">
        <v>7</v>
      </c>
      <c r="L278" t="s">
        <v>10</v>
      </c>
      <c r="M278" t="s">
        <v>52</v>
      </c>
      <c r="N278" t="s">
        <v>12</v>
      </c>
      <c r="O278" t="s">
        <v>22</v>
      </c>
      <c r="P278" t="s">
        <v>40</v>
      </c>
      <c r="Q278" t="s">
        <v>13</v>
      </c>
      <c r="R278" t="s">
        <v>50</v>
      </c>
      <c r="S278" t="s">
        <v>15</v>
      </c>
      <c r="T278" t="s">
        <v>24</v>
      </c>
      <c r="U278" t="s">
        <v>5</v>
      </c>
      <c r="V278" s="3" t="s">
        <v>883</v>
      </c>
      <c r="W278" t="s">
        <v>39</v>
      </c>
    </row>
    <row r="279" spans="1:23" ht="25.5" customHeight="1">
      <c r="A279" s="1">
        <v>45799.427129629628</v>
      </c>
      <c r="C279" t="s">
        <v>223</v>
      </c>
      <c r="D279">
        <v>53</v>
      </c>
      <c r="E279">
        <v>178</v>
      </c>
      <c r="F279">
        <v>50</v>
      </c>
      <c r="G279">
        <v>1.5</v>
      </c>
      <c r="H279" t="s">
        <v>591</v>
      </c>
      <c r="I279" t="s">
        <v>5</v>
      </c>
      <c r="J279" t="s">
        <v>36</v>
      </c>
      <c r="K279" t="s">
        <v>60</v>
      </c>
      <c r="L279" t="s">
        <v>12</v>
      </c>
      <c r="M279" t="s">
        <v>38</v>
      </c>
      <c r="N279" t="s">
        <v>31</v>
      </c>
      <c r="O279" t="s">
        <v>22</v>
      </c>
      <c r="P279" t="s">
        <v>8</v>
      </c>
      <c r="Q279" t="s">
        <v>55</v>
      </c>
      <c r="R279" t="s">
        <v>14</v>
      </c>
      <c r="S279" t="s">
        <v>47</v>
      </c>
      <c r="T279" t="s">
        <v>24</v>
      </c>
      <c r="U279" t="s">
        <v>29</v>
      </c>
      <c r="V279" s="3" t="s">
        <v>884</v>
      </c>
      <c r="W279" t="s">
        <v>34</v>
      </c>
    </row>
    <row r="280" spans="1:23" ht="25.5" customHeight="1">
      <c r="A280" s="1">
        <v>45782.636840277781</v>
      </c>
      <c r="C280" t="s">
        <v>224</v>
      </c>
      <c r="D280">
        <v>24</v>
      </c>
      <c r="E280">
        <v>159</v>
      </c>
      <c r="F280">
        <v>85</v>
      </c>
      <c r="G280">
        <v>2</v>
      </c>
      <c r="H280" t="s">
        <v>28</v>
      </c>
      <c r="I280" t="s">
        <v>29</v>
      </c>
      <c r="J280" t="s">
        <v>6</v>
      </c>
      <c r="K280" t="s">
        <v>37</v>
      </c>
      <c r="L280" t="s">
        <v>8</v>
      </c>
      <c r="M280" t="s">
        <v>21</v>
      </c>
      <c r="N280" t="s">
        <v>20</v>
      </c>
      <c r="O280" t="s">
        <v>46</v>
      </c>
      <c r="P280" t="s">
        <v>8</v>
      </c>
      <c r="Q280" t="s">
        <v>13</v>
      </c>
      <c r="R280" t="s">
        <v>14</v>
      </c>
      <c r="S280" t="s">
        <v>24</v>
      </c>
      <c r="T280" t="s">
        <v>15</v>
      </c>
      <c r="U280" t="s">
        <v>29</v>
      </c>
      <c r="V280" s="3" t="s">
        <v>885</v>
      </c>
      <c r="W280" t="s">
        <v>39</v>
      </c>
    </row>
    <row r="281" spans="1:23" ht="38.25" customHeight="1">
      <c r="A281" s="1">
        <v>45722.394907407404</v>
      </c>
      <c r="C281" t="s">
        <v>170</v>
      </c>
      <c r="D281">
        <v>21</v>
      </c>
      <c r="E281">
        <v>163</v>
      </c>
      <c r="F281">
        <v>57</v>
      </c>
      <c r="G281">
        <v>1.5</v>
      </c>
      <c r="H281" t="s">
        <v>591</v>
      </c>
      <c r="I281" t="s">
        <v>29</v>
      </c>
      <c r="J281" t="s">
        <v>6</v>
      </c>
      <c r="K281" t="s">
        <v>37</v>
      </c>
      <c r="L281" t="s">
        <v>20</v>
      </c>
      <c r="M281" t="s">
        <v>38</v>
      </c>
      <c r="N281" t="s">
        <v>31</v>
      </c>
      <c r="O281" t="s">
        <v>22</v>
      </c>
      <c r="P281" t="s">
        <v>40</v>
      </c>
      <c r="Q281" t="s">
        <v>32</v>
      </c>
      <c r="R281" t="s">
        <v>14</v>
      </c>
      <c r="S281" t="s">
        <v>24</v>
      </c>
      <c r="T281" t="s">
        <v>15</v>
      </c>
      <c r="U281" t="s">
        <v>5</v>
      </c>
      <c r="V281" s="3" t="s">
        <v>886</v>
      </c>
      <c r="W281" t="s">
        <v>26</v>
      </c>
    </row>
    <row r="282" spans="1:23" ht="25.5" customHeight="1">
      <c r="A282" s="1">
        <v>45699.255023148151</v>
      </c>
      <c r="C282" t="s">
        <v>225</v>
      </c>
      <c r="D282">
        <v>46</v>
      </c>
      <c r="E282">
        <v>172</v>
      </c>
      <c r="F282">
        <v>70</v>
      </c>
      <c r="G282">
        <v>2.5</v>
      </c>
      <c r="H282" t="s">
        <v>28</v>
      </c>
      <c r="I282" t="s">
        <v>29</v>
      </c>
      <c r="J282" t="s">
        <v>36</v>
      </c>
      <c r="K282" t="s">
        <v>30</v>
      </c>
      <c r="L282" t="s">
        <v>31</v>
      </c>
      <c r="M282" t="s">
        <v>38</v>
      </c>
      <c r="N282" t="s">
        <v>31</v>
      </c>
      <c r="O282" t="s">
        <v>46</v>
      </c>
      <c r="P282" t="s">
        <v>8</v>
      </c>
      <c r="Q282" t="s">
        <v>13</v>
      </c>
      <c r="R282" t="s">
        <v>50</v>
      </c>
      <c r="S282" t="s">
        <v>25</v>
      </c>
      <c r="T282" t="s">
        <v>15</v>
      </c>
      <c r="U282" t="s">
        <v>29</v>
      </c>
      <c r="V282" s="3" t="s">
        <v>887</v>
      </c>
      <c r="W282" t="s">
        <v>39</v>
      </c>
    </row>
    <row r="283" spans="1:23" ht="25.5" customHeight="1">
      <c r="A283" s="1">
        <v>45669.739722222221</v>
      </c>
      <c r="C283" t="s">
        <v>175</v>
      </c>
      <c r="D283">
        <v>31</v>
      </c>
      <c r="E283">
        <v>160</v>
      </c>
      <c r="F283">
        <v>82</v>
      </c>
      <c r="G283">
        <v>2</v>
      </c>
      <c r="H283" t="s">
        <v>591</v>
      </c>
      <c r="I283" t="s">
        <v>29</v>
      </c>
      <c r="J283" t="s">
        <v>6</v>
      </c>
      <c r="K283" t="s">
        <v>60</v>
      </c>
      <c r="L283" t="s">
        <v>20</v>
      </c>
      <c r="M283" t="s">
        <v>21</v>
      </c>
      <c r="N283" t="s">
        <v>40</v>
      </c>
      <c r="O283" t="s">
        <v>11</v>
      </c>
      <c r="P283" t="s">
        <v>12</v>
      </c>
      <c r="Q283" t="s">
        <v>13</v>
      </c>
      <c r="R283" t="s">
        <v>50</v>
      </c>
      <c r="S283" t="s">
        <v>47</v>
      </c>
      <c r="T283" t="s">
        <v>24</v>
      </c>
      <c r="U283" t="s">
        <v>5</v>
      </c>
      <c r="V283" s="3" t="s">
        <v>888</v>
      </c>
      <c r="W283" t="s">
        <v>26</v>
      </c>
    </row>
    <row r="284" spans="1:23" ht="25.5" customHeight="1">
      <c r="A284" s="1">
        <v>45767.094004629631</v>
      </c>
      <c r="C284" t="s">
        <v>226</v>
      </c>
      <c r="D284">
        <v>40</v>
      </c>
      <c r="E284">
        <v>177</v>
      </c>
      <c r="F284">
        <v>107</v>
      </c>
      <c r="G284">
        <v>3</v>
      </c>
      <c r="H284" t="s">
        <v>28</v>
      </c>
      <c r="I284" t="s">
        <v>29</v>
      </c>
      <c r="J284" t="s">
        <v>36</v>
      </c>
      <c r="K284" t="s">
        <v>63</v>
      </c>
      <c r="L284" t="s">
        <v>12</v>
      </c>
      <c r="M284" t="s">
        <v>9</v>
      </c>
      <c r="N284" t="s">
        <v>31</v>
      </c>
      <c r="O284" t="s">
        <v>11</v>
      </c>
      <c r="P284" t="s">
        <v>40</v>
      </c>
      <c r="Q284" t="s">
        <v>55</v>
      </c>
      <c r="R284" t="s">
        <v>33</v>
      </c>
      <c r="S284" t="s">
        <v>15</v>
      </c>
      <c r="T284" t="s">
        <v>15</v>
      </c>
      <c r="U284" t="s">
        <v>29</v>
      </c>
      <c r="V284" s="3" t="s">
        <v>889</v>
      </c>
      <c r="W284" t="s">
        <v>39</v>
      </c>
    </row>
    <row r="285" spans="1:23" ht="25.5" customHeight="1">
      <c r="A285" s="1">
        <v>45794.64025462963</v>
      </c>
      <c r="C285" t="s">
        <v>102</v>
      </c>
      <c r="D285">
        <v>46</v>
      </c>
      <c r="E285">
        <v>184</v>
      </c>
      <c r="F285">
        <v>109</v>
      </c>
      <c r="G285">
        <v>2</v>
      </c>
      <c r="H285" t="s">
        <v>590</v>
      </c>
      <c r="I285" t="s">
        <v>29</v>
      </c>
      <c r="J285" t="s">
        <v>36</v>
      </c>
      <c r="K285" t="s">
        <v>19</v>
      </c>
      <c r="L285" t="s">
        <v>40</v>
      </c>
      <c r="M285" t="s">
        <v>21</v>
      </c>
      <c r="N285" t="s">
        <v>31</v>
      </c>
      <c r="O285" t="s">
        <v>44</v>
      </c>
      <c r="P285" t="s">
        <v>12</v>
      </c>
      <c r="Q285" t="s">
        <v>23</v>
      </c>
      <c r="R285" t="s">
        <v>50</v>
      </c>
      <c r="S285" t="s">
        <v>47</v>
      </c>
      <c r="T285" t="s">
        <v>15</v>
      </c>
      <c r="U285" t="s">
        <v>29</v>
      </c>
      <c r="V285" s="3" t="s">
        <v>890</v>
      </c>
      <c r="W285" t="s">
        <v>34</v>
      </c>
    </row>
    <row r="286" spans="1:23" ht="25.5" customHeight="1">
      <c r="A286" s="1">
        <v>45670.605439814812</v>
      </c>
      <c r="C286" t="s">
        <v>227</v>
      </c>
      <c r="D286">
        <v>52</v>
      </c>
      <c r="E286">
        <v>179</v>
      </c>
      <c r="F286">
        <v>100</v>
      </c>
      <c r="G286">
        <v>3</v>
      </c>
      <c r="H286" t="s">
        <v>592</v>
      </c>
      <c r="I286" t="s">
        <v>29</v>
      </c>
      <c r="J286" t="s">
        <v>6</v>
      </c>
      <c r="K286" t="s">
        <v>7</v>
      </c>
      <c r="L286" t="s">
        <v>8</v>
      </c>
      <c r="M286" t="s">
        <v>52</v>
      </c>
      <c r="N286" t="s">
        <v>8</v>
      </c>
      <c r="O286" t="s">
        <v>46</v>
      </c>
      <c r="P286" t="s">
        <v>12</v>
      </c>
      <c r="Q286" t="s">
        <v>23</v>
      </c>
      <c r="R286" t="s">
        <v>14</v>
      </c>
      <c r="S286" t="s">
        <v>25</v>
      </c>
      <c r="T286" t="s">
        <v>47</v>
      </c>
      <c r="U286" t="s">
        <v>29</v>
      </c>
      <c r="V286" s="3" t="s">
        <v>891</v>
      </c>
      <c r="W286" t="s">
        <v>39</v>
      </c>
    </row>
    <row r="287" spans="1:23" ht="25.5" customHeight="1">
      <c r="A287" s="1">
        <v>45801.705185185187</v>
      </c>
      <c r="C287" t="s">
        <v>48</v>
      </c>
      <c r="D287">
        <v>55</v>
      </c>
      <c r="E287">
        <v>188</v>
      </c>
      <c r="F287">
        <v>107</v>
      </c>
      <c r="G287">
        <v>1.5</v>
      </c>
      <c r="H287" t="s">
        <v>28</v>
      </c>
      <c r="I287" t="s">
        <v>5</v>
      </c>
      <c r="J287" t="s">
        <v>6</v>
      </c>
      <c r="K287" t="s">
        <v>60</v>
      </c>
      <c r="L287" t="s">
        <v>20</v>
      </c>
      <c r="M287" t="s">
        <v>21</v>
      </c>
      <c r="N287" t="s">
        <v>10</v>
      </c>
      <c r="O287" t="s">
        <v>22</v>
      </c>
      <c r="P287" t="s">
        <v>12</v>
      </c>
      <c r="Q287" t="s">
        <v>55</v>
      </c>
      <c r="R287" t="s">
        <v>50</v>
      </c>
      <c r="S287" t="s">
        <v>47</v>
      </c>
      <c r="T287" t="s">
        <v>15</v>
      </c>
      <c r="U287" t="s">
        <v>29</v>
      </c>
      <c r="V287" s="3" t="s">
        <v>892</v>
      </c>
      <c r="W287" t="s">
        <v>34</v>
      </c>
    </row>
    <row r="288" spans="1:23" ht="25.5" customHeight="1">
      <c r="A288" s="1">
        <v>45666.825428240743</v>
      </c>
      <c r="C288" t="s">
        <v>156</v>
      </c>
      <c r="D288">
        <v>41</v>
      </c>
      <c r="E288">
        <v>180</v>
      </c>
      <c r="F288">
        <v>91</v>
      </c>
      <c r="G288">
        <v>3</v>
      </c>
      <c r="H288" t="s">
        <v>591</v>
      </c>
      <c r="I288" t="s">
        <v>29</v>
      </c>
      <c r="J288" t="s">
        <v>6</v>
      </c>
      <c r="K288" t="s">
        <v>30</v>
      </c>
      <c r="L288" t="s">
        <v>31</v>
      </c>
      <c r="M288" t="s">
        <v>21</v>
      </c>
      <c r="N288" t="s">
        <v>8</v>
      </c>
      <c r="O288" t="s">
        <v>44</v>
      </c>
      <c r="P288" t="s">
        <v>10</v>
      </c>
      <c r="Q288" t="s">
        <v>13</v>
      </c>
      <c r="R288" t="s">
        <v>33</v>
      </c>
      <c r="S288" t="s">
        <v>24</v>
      </c>
      <c r="T288" t="s">
        <v>24</v>
      </c>
      <c r="U288" t="s">
        <v>5</v>
      </c>
      <c r="V288" s="3" t="s">
        <v>893</v>
      </c>
      <c r="W288" t="s">
        <v>34</v>
      </c>
    </row>
    <row r="289" spans="1:23" ht="25.5" customHeight="1">
      <c r="A289" s="1">
        <v>45679.817800925928</v>
      </c>
      <c r="C289" t="s">
        <v>228</v>
      </c>
      <c r="D289">
        <v>27</v>
      </c>
      <c r="E289">
        <v>187</v>
      </c>
      <c r="F289">
        <v>57</v>
      </c>
      <c r="G289">
        <v>2.5</v>
      </c>
      <c r="H289" t="s">
        <v>590</v>
      </c>
      <c r="I289" t="s">
        <v>29</v>
      </c>
      <c r="J289" t="s">
        <v>6</v>
      </c>
      <c r="K289" t="s">
        <v>60</v>
      </c>
      <c r="L289" t="s">
        <v>8</v>
      </c>
      <c r="M289" t="s">
        <v>21</v>
      </c>
      <c r="N289" t="s">
        <v>31</v>
      </c>
      <c r="O289" t="s">
        <v>44</v>
      </c>
      <c r="P289" t="s">
        <v>40</v>
      </c>
      <c r="Q289" t="s">
        <v>13</v>
      </c>
      <c r="R289" t="s">
        <v>14</v>
      </c>
      <c r="S289" t="s">
        <v>47</v>
      </c>
      <c r="T289" t="s">
        <v>25</v>
      </c>
      <c r="U289" t="s">
        <v>29</v>
      </c>
      <c r="V289" s="3" t="s">
        <v>894</v>
      </c>
      <c r="W289" t="s">
        <v>39</v>
      </c>
    </row>
    <row r="290" spans="1:23" ht="25.5" customHeight="1">
      <c r="A290" s="1">
        <v>45792.257754629631</v>
      </c>
      <c r="C290" t="s">
        <v>92</v>
      </c>
      <c r="D290">
        <v>47</v>
      </c>
      <c r="E290">
        <v>180</v>
      </c>
      <c r="F290">
        <v>109</v>
      </c>
      <c r="G290">
        <v>3</v>
      </c>
      <c r="H290" t="s">
        <v>590</v>
      </c>
      <c r="I290" t="s">
        <v>5</v>
      </c>
      <c r="J290" t="s">
        <v>6</v>
      </c>
      <c r="K290" t="s">
        <v>30</v>
      </c>
      <c r="L290" t="s">
        <v>40</v>
      </c>
      <c r="M290" t="s">
        <v>9</v>
      </c>
      <c r="N290" t="s">
        <v>10</v>
      </c>
      <c r="O290" t="s">
        <v>22</v>
      </c>
      <c r="P290" t="s">
        <v>10</v>
      </c>
      <c r="Q290" t="s">
        <v>13</v>
      </c>
      <c r="R290" t="s">
        <v>33</v>
      </c>
      <c r="S290" t="s">
        <v>47</v>
      </c>
      <c r="T290" t="s">
        <v>25</v>
      </c>
      <c r="U290" t="s">
        <v>5</v>
      </c>
      <c r="V290" s="3" t="s">
        <v>895</v>
      </c>
      <c r="W290" t="s">
        <v>34</v>
      </c>
    </row>
    <row r="291" spans="1:23" ht="25.5" customHeight="1">
      <c r="A291" s="1">
        <v>45660.598819444444</v>
      </c>
      <c r="C291" t="s">
        <v>171</v>
      </c>
      <c r="D291">
        <v>59</v>
      </c>
      <c r="E291">
        <v>162</v>
      </c>
      <c r="F291">
        <v>63</v>
      </c>
      <c r="G291">
        <v>1</v>
      </c>
      <c r="H291" t="s">
        <v>591</v>
      </c>
      <c r="I291" t="s">
        <v>5</v>
      </c>
      <c r="J291" t="s">
        <v>36</v>
      </c>
      <c r="K291" t="s">
        <v>7</v>
      </c>
      <c r="L291" t="s">
        <v>31</v>
      </c>
      <c r="M291" t="s">
        <v>38</v>
      </c>
      <c r="N291" t="s">
        <v>8</v>
      </c>
      <c r="O291" t="s">
        <v>46</v>
      </c>
      <c r="P291" t="s">
        <v>40</v>
      </c>
      <c r="Q291" t="s">
        <v>23</v>
      </c>
      <c r="R291" t="s">
        <v>14</v>
      </c>
      <c r="S291" t="s">
        <v>47</v>
      </c>
      <c r="T291" t="s">
        <v>24</v>
      </c>
      <c r="U291" t="s">
        <v>29</v>
      </c>
      <c r="V291" s="3" t="s">
        <v>896</v>
      </c>
      <c r="W291" t="s">
        <v>39</v>
      </c>
    </row>
    <row r="292" spans="1:23" ht="25.5" customHeight="1">
      <c r="A292" s="1">
        <v>45749.663888888892</v>
      </c>
      <c r="C292" t="s">
        <v>229</v>
      </c>
      <c r="D292">
        <v>22</v>
      </c>
      <c r="E292">
        <v>164</v>
      </c>
      <c r="F292">
        <v>63</v>
      </c>
      <c r="G292">
        <v>3</v>
      </c>
      <c r="H292" t="s">
        <v>590</v>
      </c>
      <c r="I292" t="s">
        <v>29</v>
      </c>
      <c r="J292" t="s">
        <v>6</v>
      </c>
      <c r="K292" t="s">
        <v>30</v>
      </c>
      <c r="L292" t="s">
        <v>20</v>
      </c>
      <c r="M292" t="s">
        <v>9</v>
      </c>
      <c r="N292" t="s">
        <v>8</v>
      </c>
      <c r="O292" t="s">
        <v>46</v>
      </c>
      <c r="P292" t="s">
        <v>20</v>
      </c>
      <c r="Q292" t="s">
        <v>23</v>
      </c>
      <c r="R292" t="s">
        <v>33</v>
      </c>
      <c r="S292" t="s">
        <v>25</v>
      </c>
      <c r="T292" t="s">
        <v>15</v>
      </c>
      <c r="U292" t="s">
        <v>29</v>
      </c>
      <c r="V292" s="3" t="s">
        <v>897</v>
      </c>
      <c r="W292" t="s">
        <v>34</v>
      </c>
    </row>
    <row r="293" spans="1:23" ht="25.5" customHeight="1">
      <c r="A293" s="1">
        <v>45806.295381944445</v>
      </c>
      <c r="C293" t="s">
        <v>80</v>
      </c>
      <c r="D293">
        <v>35</v>
      </c>
      <c r="E293">
        <v>178</v>
      </c>
      <c r="F293">
        <v>68</v>
      </c>
      <c r="G293">
        <v>2.5</v>
      </c>
      <c r="H293" t="s">
        <v>592</v>
      </c>
      <c r="I293" t="s">
        <v>5</v>
      </c>
      <c r="J293" t="s">
        <v>6</v>
      </c>
      <c r="K293" t="s">
        <v>60</v>
      </c>
      <c r="L293" t="s">
        <v>40</v>
      </c>
      <c r="M293" t="s">
        <v>9</v>
      </c>
      <c r="N293" t="s">
        <v>10</v>
      </c>
      <c r="O293" t="s">
        <v>46</v>
      </c>
      <c r="P293" t="s">
        <v>31</v>
      </c>
      <c r="Q293" t="s">
        <v>23</v>
      </c>
      <c r="R293" t="s">
        <v>33</v>
      </c>
      <c r="S293" t="s">
        <v>24</v>
      </c>
      <c r="T293" t="s">
        <v>24</v>
      </c>
      <c r="U293" t="s">
        <v>5</v>
      </c>
      <c r="V293" s="3" t="s">
        <v>898</v>
      </c>
      <c r="W293" t="s">
        <v>39</v>
      </c>
    </row>
    <row r="294" spans="1:23" ht="25.5" customHeight="1">
      <c r="A294" s="1">
        <v>45724.142627314817</v>
      </c>
      <c r="C294" t="s">
        <v>111</v>
      </c>
      <c r="D294">
        <v>30</v>
      </c>
      <c r="E294">
        <v>166</v>
      </c>
      <c r="F294">
        <v>92</v>
      </c>
      <c r="G294">
        <v>1</v>
      </c>
      <c r="H294" t="s">
        <v>28</v>
      </c>
      <c r="I294" t="s">
        <v>5</v>
      </c>
      <c r="J294" t="s">
        <v>6</v>
      </c>
      <c r="K294" t="s">
        <v>30</v>
      </c>
      <c r="L294" t="s">
        <v>8</v>
      </c>
      <c r="M294" t="s">
        <v>21</v>
      </c>
      <c r="N294" t="s">
        <v>40</v>
      </c>
      <c r="O294" t="s">
        <v>11</v>
      </c>
      <c r="P294" t="s">
        <v>12</v>
      </c>
      <c r="Q294" t="s">
        <v>13</v>
      </c>
      <c r="R294" t="s">
        <v>14</v>
      </c>
      <c r="S294" t="s">
        <v>47</v>
      </c>
      <c r="T294" t="s">
        <v>24</v>
      </c>
      <c r="U294" t="s">
        <v>29</v>
      </c>
      <c r="V294" s="3" t="s">
        <v>899</v>
      </c>
      <c r="W294" t="s">
        <v>34</v>
      </c>
    </row>
    <row r="295" spans="1:23" ht="25.5" customHeight="1">
      <c r="A295" s="1">
        <v>45724.898368055554</v>
      </c>
      <c r="C295" t="s">
        <v>196</v>
      </c>
      <c r="D295">
        <v>29</v>
      </c>
      <c r="E295">
        <v>161</v>
      </c>
      <c r="F295">
        <v>99</v>
      </c>
      <c r="G295">
        <v>1</v>
      </c>
      <c r="H295" t="s">
        <v>590</v>
      </c>
      <c r="I295" t="s">
        <v>5</v>
      </c>
      <c r="J295" t="s">
        <v>6</v>
      </c>
      <c r="K295" t="s">
        <v>30</v>
      </c>
      <c r="L295" t="s">
        <v>31</v>
      </c>
      <c r="M295" t="s">
        <v>21</v>
      </c>
      <c r="N295" t="s">
        <v>20</v>
      </c>
      <c r="O295" t="s">
        <v>46</v>
      </c>
      <c r="P295" t="s">
        <v>31</v>
      </c>
      <c r="Q295" t="s">
        <v>13</v>
      </c>
      <c r="R295" t="s">
        <v>50</v>
      </c>
      <c r="S295" t="s">
        <v>15</v>
      </c>
      <c r="T295" t="s">
        <v>25</v>
      </c>
      <c r="U295" t="s">
        <v>29</v>
      </c>
      <c r="V295" s="3" t="s">
        <v>900</v>
      </c>
      <c r="W295" t="s">
        <v>39</v>
      </c>
    </row>
    <row r="296" spans="1:23" ht="25.5" customHeight="1">
      <c r="A296" s="1">
        <v>45695.491377314815</v>
      </c>
      <c r="C296" t="s">
        <v>178</v>
      </c>
      <c r="D296">
        <v>42</v>
      </c>
      <c r="E296">
        <v>179</v>
      </c>
      <c r="F296">
        <v>83</v>
      </c>
      <c r="G296">
        <v>1</v>
      </c>
      <c r="H296" t="s">
        <v>28</v>
      </c>
      <c r="I296" t="s">
        <v>5</v>
      </c>
      <c r="J296" t="s">
        <v>36</v>
      </c>
      <c r="K296" t="s">
        <v>30</v>
      </c>
      <c r="L296" t="s">
        <v>20</v>
      </c>
      <c r="M296" t="s">
        <v>52</v>
      </c>
      <c r="N296" t="s">
        <v>20</v>
      </c>
      <c r="O296" t="s">
        <v>11</v>
      </c>
      <c r="P296" t="s">
        <v>20</v>
      </c>
      <c r="Q296" t="s">
        <v>13</v>
      </c>
      <c r="R296" t="s">
        <v>50</v>
      </c>
      <c r="S296" t="s">
        <v>15</v>
      </c>
      <c r="T296" t="s">
        <v>25</v>
      </c>
      <c r="U296" t="s">
        <v>5</v>
      </c>
      <c r="V296" s="3" t="s">
        <v>901</v>
      </c>
      <c r="W296" t="s">
        <v>26</v>
      </c>
    </row>
    <row r="297" spans="1:23" ht="25.5" customHeight="1">
      <c r="A297" s="1">
        <v>45678.143171296295</v>
      </c>
      <c r="C297" t="s">
        <v>151</v>
      </c>
      <c r="D297">
        <v>56</v>
      </c>
      <c r="E297">
        <v>174</v>
      </c>
      <c r="F297">
        <v>74</v>
      </c>
      <c r="G297">
        <v>3</v>
      </c>
      <c r="H297" t="s">
        <v>591</v>
      </c>
      <c r="I297" t="s">
        <v>29</v>
      </c>
      <c r="J297" t="s">
        <v>6</v>
      </c>
      <c r="K297" t="s">
        <v>30</v>
      </c>
      <c r="L297" t="s">
        <v>8</v>
      </c>
      <c r="M297" t="s">
        <v>9</v>
      </c>
      <c r="N297" t="s">
        <v>10</v>
      </c>
      <c r="O297" t="s">
        <v>46</v>
      </c>
      <c r="P297" t="s">
        <v>12</v>
      </c>
      <c r="Q297" t="s">
        <v>13</v>
      </c>
      <c r="R297" t="s">
        <v>50</v>
      </c>
      <c r="S297" t="s">
        <v>25</v>
      </c>
      <c r="T297" t="s">
        <v>24</v>
      </c>
      <c r="U297" t="s">
        <v>29</v>
      </c>
      <c r="V297" s="3" t="s">
        <v>902</v>
      </c>
      <c r="W297" t="s">
        <v>39</v>
      </c>
    </row>
    <row r="298" spans="1:23" ht="25.5" customHeight="1">
      <c r="A298" s="1">
        <v>45772.938668981478</v>
      </c>
      <c r="C298" t="s">
        <v>41</v>
      </c>
      <c r="D298">
        <v>20</v>
      </c>
      <c r="E298">
        <v>189</v>
      </c>
      <c r="F298">
        <v>106</v>
      </c>
      <c r="G298">
        <v>3</v>
      </c>
      <c r="H298" t="s">
        <v>592</v>
      </c>
      <c r="I298" t="s">
        <v>5</v>
      </c>
      <c r="J298" t="s">
        <v>36</v>
      </c>
      <c r="K298" t="s">
        <v>60</v>
      </c>
      <c r="L298" t="s">
        <v>10</v>
      </c>
      <c r="M298" t="s">
        <v>21</v>
      </c>
      <c r="N298" t="s">
        <v>31</v>
      </c>
      <c r="O298" t="s">
        <v>11</v>
      </c>
      <c r="P298" t="s">
        <v>8</v>
      </c>
      <c r="Q298" t="s">
        <v>13</v>
      </c>
      <c r="R298" t="s">
        <v>33</v>
      </c>
      <c r="S298" t="s">
        <v>24</v>
      </c>
      <c r="T298" t="s">
        <v>47</v>
      </c>
      <c r="U298" t="s">
        <v>5</v>
      </c>
      <c r="V298" s="3" t="s">
        <v>903</v>
      </c>
      <c r="W298" t="s">
        <v>39</v>
      </c>
    </row>
    <row r="299" spans="1:23" ht="25.5" customHeight="1">
      <c r="A299" s="1">
        <v>45680.842638888891</v>
      </c>
      <c r="C299" t="s">
        <v>230</v>
      </c>
      <c r="D299">
        <v>46</v>
      </c>
      <c r="E299">
        <v>186</v>
      </c>
      <c r="F299">
        <v>52</v>
      </c>
      <c r="G299">
        <v>2</v>
      </c>
      <c r="H299" t="s">
        <v>592</v>
      </c>
      <c r="I299" t="s">
        <v>29</v>
      </c>
      <c r="J299" t="s">
        <v>36</v>
      </c>
      <c r="K299" t="s">
        <v>7</v>
      </c>
      <c r="L299" t="s">
        <v>12</v>
      </c>
      <c r="M299" t="s">
        <v>38</v>
      </c>
      <c r="N299" t="s">
        <v>12</v>
      </c>
      <c r="O299" t="s">
        <v>22</v>
      </c>
      <c r="P299" t="s">
        <v>31</v>
      </c>
      <c r="Q299" t="s">
        <v>23</v>
      </c>
      <c r="R299" t="s">
        <v>14</v>
      </c>
      <c r="S299" t="s">
        <v>24</v>
      </c>
      <c r="T299" t="s">
        <v>47</v>
      </c>
      <c r="U299" t="s">
        <v>29</v>
      </c>
      <c r="V299" s="3" t="s">
        <v>904</v>
      </c>
      <c r="W299" t="s">
        <v>26</v>
      </c>
    </row>
    <row r="300" spans="1:23" ht="25.5" customHeight="1">
      <c r="A300" s="1">
        <v>45795.246435185189</v>
      </c>
      <c r="C300" t="s">
        <v>231</v>
      </c>
      <c r="D300">
        <v>49</v>
      </c>
      <c r="E300">
        <v>157</v>
      </c>
      <c r="F300">
        <v>66</v>
      </c>
      <c r="G300">
        <v>1.5</v>
      </c>
      <c r="H300" t="s">
        <v>591</v>
      </c>
      <c r="I300" t="s">
        <v>5</v>
      </c>
      <c r="J300" t="s">
        <v>6</v>
      </c>
      <c r="K300" t="s">
        <v>60</v>
      </c>
      <c r="L300" t="s">
        <v>10</v>
      </c>
      <c r="M300" t="s">
        <v>52</v>
      </c>
      <c r="N300" t="s">
        <v>8</v>
      </c>
      <c r="O300" t="s">
        <v>22</v>
      </c>
      <c r="P300" t="s">
        <v>20</v>
      </c>
      <c r="Q300" t="s">
        <v>13</v>
      </c>
      <c r="R300" t="s">
        <v>14</v>
      </c>
      <c r="S300" t="s">
        <v>24</v>
      </c>
      <c r="T300" t="s">
        <v>25</v>
      </c>
      <c r="U300" t="s">
        <v>5</v>
      </c>
      <c r="V300" s="3" t="s">
        <v>905</v>
      </c>
      <c r="W300" t="s">
        <v>26</v>
      </c>
    </row>
    <row r="301" spans="1:23" ht="25.5" customHeight="1">
      <c r="A301" s="1">
        <v>45727.729259259257</v>
      </c>
      <c r="C301" t="s">
        <v>232</v>
      </c>
      <c r="D301">
        <v>20</v>
      </c>
      <c r="E301">
        <v>183</v>
      </c>
      <c r="F301">
        <v>98</v>
      </c>
      <c r="G301">
        <v>2.5</v>
      </c>
      <c r="H301" t="s">
        <v>28</v>
      </c>
      <c r="I301" t="s">
        <v>29</v>
      </c>
      <c r="J301" t="s">
        <v>36</v>
      </c>
      <c r="K301" t="s">
        <v>63</v>
      </c>
      <c r="L301" t="s">
        <v>8</v>
      </c>
      <c r="M301" t="s">
        <v>38</v>
      </c>
      <c r="N301" t="s">
        <v>12</v>
      </c>
      <c r="O301" t="s">
        <v>44</v>
      </c>
      <c r="P301" t="s">
        <v>8</v>
      </c>
      <c r="Q301" t="s">
        <v>13</v>
      </c>
      <c r="R301" t="s">
        <v>50</v>
      </c>
      <c r="S301" t="s">
        <v>47</v>
      </c>
      <c r="T301" t="s">
        <v>47</v>
      </c>
      <c r="U301" t="s">
        <v>5</v>
      </c>
      <c r="V301" s="3" t="s">
        <v>906</v>
      </c>
      <c r="W301" t="s">
        <v>26</v>
      </c>
    </row>
    <row r="302" spans="1:23" ht="25.5" customHeight="1">
      <c r="A302" s="1">
        <v>45790.805659722224</v>
      </c>
      <c r="C302" t="s">
        <v>57</v>
      </c>
      <c r="D302">
        <v>40</v>
      </c>
      <c r="E302">
        <v>182</v>
      </c>
      <c r="F302">
        <v>93</v>
      </c>
      <c r="G302">
        <v>1</v>
      </c>
      <c r="H302" t="s">
        <v>591</v>
      </c>
      <c r="I302" t="s">
        <v>29</v>
      </c>
      <c r="J302" t="s">
        <v>6</v>
      </c>
      <c r="K302" t="s">
        <v>7</v>
      </c>
      <c r="L302" t="s">
        <v>20</v>
      </c>
      <c r="M302" t="s">
        <v>9</v>
      </c>
      <c r="N302" t="s">
        <v>8</v>
      </c>
      <c r="O302" t="s">
        <v>22</v>
      </c>
      <c r="P302" t="s">
        <v>31</v>
      </c>
      <c r="Q302" t="s">
        <v>13</v>
      </c>
      <c r="R302" t="s">
        <v>50</v>
      </c>
      <c r="S302" t="s">
        <v>47</v>
      </c>
      <c r="T302" t="s">
        <v>15</v>
      </c>
      <c r="U302" t="s">
        <v>5</v>
      </c>
      <c r="V302" s="3" t="s">
        <v>907</v>
      </c>
      <c r="W302" t="s">
        <v>26</v>
      </c>
    </row>
    <row r="303" spans="1:23" ht="25.5" customHeight="1">
      <c r="A303" s="1">
        <v>45781.238587962966</v>
      </c>
      <c r="C303" t="s">
        <v>233</v>
      </c>
      <c r="D303">
        <v>20</v>
      </c>
      <c r="E303">
        <v>177</v>
      </c>
      <c r="F303">
        <v>77</v>
      </c>
      <c r="G303">
        <v>1</v>
      </c>
      <c r="H303" t="s">
        <v>591</v>
      </c>
      <c r="I303" t="s">
        <v>29</v>
      </c>
      <c r="J303" t="s">
        <v>6</v>
      </c>
      <c r="K303" t="s">
        <v>30</v>
      </c>
      <c r="L303" t="s">
        <v>10</v>
      </c>
      <c r="M303" t="s">
        <v>52</v>
      </c>
      <c r="N303" t="s">
        <v>10</v>
      </c>
      <c r="O303" t="s">
        <v>11</v>
      </c>
      <c r="P303" t="s">
        <v>8</v>
      </c>
      <c r="Q303" t="s">
        <v>55</v>
      </c>
      <c r="R303" t="s">
        <v>50</v>
      </c>
      <c r="S303" t="s">
        <v>24</v>
      </c>
      <c r="T303" t="s">
        <v>24</v>
      </c>
      <c r="U303" t="s">
        <v>5</v>
      </c>
      <c r="V303" s="3" t="s">
        <v>908</v>
      </c>
      <c r="W303" t="s">
        <v>26</v>
      </c>
    </row>
    <row r="304" spans="1:23" ht="25.5" customHeight="1">
      <c r="A304" s="1">
        <v>45751.452222222222</v>
      </c>
      <c r="C304" t="s">
        <v>155</v>
      </c>
      <c r="D304">
        <v>20</v>
      </c>
      <c r="E304">
        <v>159</v>
      </c>
      <c r="F304">
        <v>106</v>
      </c>
      <c r="G304">
        <v>1.5</v>
      </c>
      <c r="H304" t="s">
        <v>590</v>
      </c>
      <c r="I304" t="s">
        <v>5</v>
      </c>
      <c r="J304" t="s">
        <v>36</v>
      </c>
      <c r="K304" t="s">
        <v>19</v>
      </c>
      <c r="L304" t="s">
        <v>8</v>
      </c>
      <c r="M304" t="s">
        <v>38</v>
      </c>
      <c r="N304" t="s">
        <v>10</v>
      </c>
      <c r="O304" t="s">
        <v>44</v>
      </c>
      <c r="P304" t="s">
        <v>12</v>
      </c>
      <c r="Q304" t="s">
        <v>32</v>
      </c>
      <c r="R304" t="s">
        <v>33</v>
      </c>
      <c r="S304" t="s">
        <v>25</v>
      </c>
      <c r="T304" t="s">
        <v>24</v>
      </c>
      <c r="U304" t="s">
        <v>29</v>
      </c>
      <c r="V304" s="3" t="s">
        <v>909</v>
      </c>
      <c r="W304" t="s">
        <v>26</v>
      </c>
    </row>
    <row r="305" spans="1:23" ht="25.5" customHeight="1">
      <c r="A305" s="1">
        <v>45781.339074074072</v>
      </c>
      <c r="C305" t="s">
        <v>68</v>
      </c>
      <c r="D305">
        <v>51</v>
      </c>
      <c r="E305">
        <v>175</v>
      </c>
      <c r="F305">
        <v>74</v>
      </c>
      <c r="G305">
        <v>2.5</v>
      </c>
      <c r="H305" t="s">
        <v>590</v>
      </c>
      <c r="I305" t="s">
        <v>5</v>
      </c>
      <c r="J305" t="s">
        <v>36</v>
      </c>
      <c r="K305" t="s">
        <v>63</v>
      </c>
      <c r="L305" t="s">
        <v>31</v>
      </c>
      <c r="M305" t="s">
        <v>9</v>
      </c>
      <c r="N305" t="s">
        <v>31</v>
      </c>
      <c r="O305" t="s">
        <v>46</v>
      </c>
      <c r="P305" t="s">
        <v>12</v>
      </c>
      <c r="Q305" t="s">
        <v>32</v>
      </c>
      <c r="R305" t="s">
        <v>50</v>
      </c>
      <c r="S305" t="s">
        <v>47</v>
      </c>
      <c r="T305" t="s">
        <v>15</v>
      </c>
      <c r="U305" t="s">
        <v>5</v>
      </c>
      <c r="V305" s="3" t="s">
        <v>910</v>
      </c>
      <c r="W305" t="s">
        <v>26</v>
      </c>
    </row>
    <row r="306" spans="1:23" ht="25.5" customHeight="1">
      <c r="A306" s="1">
        <v>45689.258923611109</v>
      </c>
      <c r="C306" t="s">
        <v>106</v>
      </c>
      <c r="D306">
        <v>23</v>
      </c>
      <c r="E306">
        <v>160</v>
      </c>
      <c r="F306">
        <v>94</v>
      </c>
      <c r="G306">
        <v>2.5</v>
      </c>
      <c r="H306" t="s">
        <v>592</v>
      </c>
      <c r="I306" t="s">
        <v>5</v>
      </c>
      <c r="J306" t="s">
        <v>6</v>
      </c>
      <c r="K306" t="s">
        <v>60</v>
      </c>
      <c r="L306" t="s">
        <v>20</v>
      </c>
      <c r="M306" t="s">
        <v>52</v>
      </c>
      <c r="N306" t="s">
        <v>8</v>
      </c>
      <c r="O306" t="s">
        <v>44</v>
      </c>
      <c r="P306" t="s">
        <v>12</v>
      </c>
      <c r="Q306" t="s">
        <v>23</v>
      </c>
      <c r="R306" t="s">
        <v>33</v>
      </c>
      <c r="S306" t="s">
        <v>15</v>
      </c>
      <c r="T306" t="s">
        <v>24</v>
      </c>
      <c r="U306" t="s">
        <v>29</v>
      </c>
      <c r="V306" s="3" t="s">
        <v>911</v>
      </c>
      <c r="W306" t="s">
        <v>39</v>
      </c>
    </row>
    <row r="307" spans="1:23" ht="25.5" customHeight="1">
      <c r="A307" s="1">
        <v>45722.384201388886</v>
      </c>
      <c r="C307" t="s">
        <v>234</v>
      </c>
      <c r="D307">
        <v>55</v>
      </c>
      <c r="E307">
        <v>156</v>
      </c>
      <c r="F307">
        <v>94</v>
      </c>
      <c r="G307">
        <v>3</v>
      </c>
      <c r="H307" t="s">
        <v>592</v>
      </c>
      <c r="I307" t="s">
        <v>29</v>
      </c>
      <c r="J307" t="s">
        <v>6</v>
      </c>
      <c r="K307" t="s">
        <v>60</v>
      </c>
      <c r="L307" t="s">
        <v>8</v>
      </c>
      <c r="M307" t="s">
        <v>38</v>
      </c>
      <c r="N307" t="s">
        <v>40</v>
      </c>
      <c r="O307" t="s">
        <v>22</v>
      </c>
      <c r="P307" t="s">
        <v>40</v>
      </c>
      <c r="Q307" t="s">
        <v>55</v>
      </c>
      <c r="R307" t="s">
        <v>14</v>
      </c>
      <c r="S307" t="s">
        <v>24</v>
      </c>
      <c r="T307" t="s">
        <v>47</v>
      </c>
      <c r="U307" t="s">
        <v>5</v>
      </c>
      <c r="V307" s="3" t="s">
        <v>912</v>
      </c>
      <c r="W307" t="s">
        <v>26</v>
      </c>
    </row>
    <row r="308" spans="1:23" ht="38.25" customHeight="1">
      <c r="A308" s="1">
        <v>45692.753796296296</v>
      </c>
      <c r="C308" t="s">
        <v>171</v>
      </c>
      <c r="D308">
        <v>55</v>
      </c>
      <c r="E308">
        <v>160</v>
      </c>
      <c r="F308">
        <v>94</v>
      </c>
      <c r="G308">
        <v>3</v>
      </c>
      <c r="H308" t="s">
        <v>592</v>
      </c>
      <c r="I308" t="s">
        <v>29</v>
      </c>
      <c r="J308" t="s">
        <v>36</v>
      </c>
      <c r="K308" t="s">
        <v>7</v>
      </c>
      <c r="L308" t="s">
        <v>31</v>
      </c>
      <c r="M308" t="s">
        <v>21</v>
      </c>
      <c r="N308" t="s">
        <v>20</v>
      </c>
      <c r="O308" t="s">
        <v>22</v>
      </c>
      <c r="P308" t="s">
        <v>20</v>
      </c>
      <c r="Q308" t="s">
        <v>55</v>
      </c>
      <c r="R308" t="s">
        <v>50</v>
      </c>
      <c r="S308" t="s">
        <v>47</v>
      </c>
      <c r="T308" t="s">
        <v>15</v>
      </c>
      <c r="U308" t="s">
        <v>5</v>
      </c>
      <c r="V308" s="3" t="s">
        <v>913</v>
      </c>
      <c r="W308" t="s">
        <v>34</v>
      </c>
    </row>
    <row r="309" spans="1:23" ht="25.5" customHeight="1">
      <c r="A309" s="1">
        <v>45708.800833333335</v>
      </c>
      <c r="C309" t="s">
        <v>95</v>
      </c>
      <c r="D309">
        <v>34</v>
      </c>
      <c r="E309">
        <v>167</v>
      </c>
      <c r="F309">
        <v>72</v>
      </c>
      <c r="G309">
        <v>2.5</v>
      </c>
      <c r="H309" t="s">
        <v>591</v>
      </c>
      <c r="I309" t="s">
        <v>5</v>
      </c>
      <c r="J309" t="s">
        <v>6</v>
      </c>
      <c r="K309" t="s">
        <v>63</v>
      </c>
      <c r="L309" t="s">
        <v>20</v>
      </c>
      <c r="M309" t="s">
        <v>9</v>
      </c>
      <c r="N309" t="s">
        <v>10</v>
      </c>
      <c r="O309" t="s">
        <v>46</v>
      </c>
      <c r="P309" t="s">
        <v>8</v>
      </c>
      <c r="Q309" t="s">
        <v>55</v>
      </c>
      <c r="R309" t="s">
        <v>50</v>
      </c>
      <c r="S309" t="s">
        <v>47</v>
      </c>
      <c r="T309" t="s">
        <v>47</v>
      </c>
      <c r="U309" t="s">
        <v>5</v>
      </c>
      <c r="V309" s="3" t="s">
        <v>914</v>
      </c>
      <c r="W309" t="s">
        <v>34</v>
      </c>
    </row>
    <row r="310" spans="1:23" ht="25.5" customHeight="1">
      <c r="A310" s="1">
        <v>45804.475972222222</v>
      </c>
      <c r="C310" t="s">
        <v>235</v>
      </c>
      <c r="D310">
        <v>34</v>
      </c>
      <c r="E310">
        <v>171</v>
      </c>
      <c r="F310">
        <v>85</v>
      </c>
      <c r="G310">
        <v>2</v>
      </c>
      <c r="H310" t="s">
        <v>592</v>
      </c>
      <c r="I310" t="s">
        <v>5</v>
      </c>
      <c r="J310" t="s">
        <v>36</v>
      </c>
      <c r="K310" t="s">
        <v>30</v>
      </c>
      <c r="L310" t="s">
        <v>31</v>
      </c>
      <c r="M310" t="s">
        <v>9</v>
      </c>
      <c r="N310" t="s">
        <v>8</v>
      </c>
      <c r="O310" t="s">
        <v>46</v>
      </c>
      <c r="P310" t="s">
        <v>12</v>
      </c>
      <c r="Q310" t="s">
        <v>55</v>
      </c>
      <c r="R310" t="s">
        <v>33</v>
      </c>
      <c r="S310" t="s">
        <v>25</v>
      </c>
      <c r="T310" t="s">
        <v>47</v>
      </c>
      <c r="U310" t="s">
        <v>29</v>
      </c>
      <c r="V310" s="3" t="s">
        <v>915</v>
      </c>
      <c r="W310" t="s">
        <v>26</v>
      </c>
    </row>
    <row r="311" spans="1:23" ht="25.5" customHeight="1">
      <c r="A311" s="1">
        <v>45719.829351851855</v>
      </c>
      <c r="C311" t="s">
        <v>141</v>
      </c>
      <c r="D311">
        <v>41</v>
      </c>
      <c r="E311">
        <v>161</v>
      </c>
      <c r="F311">
        <v>104</v>
      </c>
      <c r="G311">
        <v>2.5</v>
      </c>
      <c r="H311" t="s">
        <v>28</v>
      </c>
      <c r="I311" t="s">
        <v>29</v>
      </c>
      <c r="J311" t="s">
        <v>6</v>
      </c>
      <c r="K311" t="s">
        <v>7</v>
      </c>
      <c r="L311" t="s">
        <v>20</v>
      </c>
      <c r="M311" t="s">
        <v>52</v>
      </c>
      <c r="N311" t="s">
        <v>31</v>
      </c>
      <c r="O311" t="s">
        <v>46</v>
      </c>
      <c r="P311" t="s">
        <v>10</v>
      </c>
      <c r="Q311" t="s">
        <v>55</v>
      </c>
      <c r="R311" t="s">
        <v>50</v>
      </c>
      <c r="S311" t="s">
        <v>47</v>
      </c>
      <c r="T311" t="s">
        <v>24</v>
      </c>
      <c r="U311" t="s">
        <v>5</v>
      </c>
      <c r="V311" s="3" t="s">
        <v>916</v>
      </c>
      <c r="W311" t="s">
        <v>34</v>
      </c>
    </row>
    <row r="312" spans="1:23" ht="25.5" customHeight="1">
      <c r="A312" s="1">
        <v>45764.800104166665</v>
      </c>
      <c r="C312" t="s">
        <v>205</v>
      </c>
      <c r="D312">
        <v>43</v>
      </c>
      <c r="E312">
        <v>179</v>
      </c>
      <c r="F312">
        <v>50</v>
      </c>
      <c r="G312">
        <v>1</v>
      </c>
      <c r="H312" t="s">
        <v>592</v>
      </c>
      <c r="I312" t="s">
        <v>5</v>
      </c>
      <c r="J312" t="s">
        <v>36</v>
      </c>
      <c r="K312" t="s">
        <v>37</v>
      </c>
      <c r="L312" t="s">
        <v>20</v>
      </c>
      <c r="M312" t="s">
        <v>38</v>
      </c>
      <c r="N312" t="s">
        <v>31</v>
      </c>
      <c r="O312" t="s">
        <v>44</v>
      </c>
      <c r="P312" t="s">
        <v>31</v>
      </c>
      <c r="Q312" t="s">
        <v>23</v>
      </c>
      <c r="R312" t="s">
        <v>33</v>
      </c>
      <c r="S312" t="s">
        <v>47</v>
      </c>
      <c r="T312" t="s">
        <v>25</v>
      </c>
      <c r="U312" t="s">
        <v>29</v>
      </c>
      <c r="V312" s="3" t="s">
        <v>917</v>
      </c>
      <c r="W312" t="s">
        <v>26</v>
      </c>
    </row>
    <row r="313" spans="1:23" ht="25.5" customHeight="1">
      <c r="A313" s="1">
        <v>45712.233506944445</v>
      </c>
      <c r="C313" t="s">
        <v>116</v>
      </c>
      <c r="D313">
        <v>36</v>
      </c>
      <c r="E313">
        <v>171</v>
      </c>
      <c r="F313">
        <v>66</v>
      </c>
      <c r="G313">
        <v>1</v>
      </c>
      <c r="H313" t="s">
        <v>28</v>
      </c>
      <c r="I313" t="s">
        <v>29</v>
      </c>
      <c r="J313" t="s">
        <v>6</v>
      </c>
      <c r="K313" t="s">
        <v>30</v>
      </c>
      <c r="L313" t="s">
        <v>40</v>
      </c>
      <c r="M313" t="s">
        <v>9</v>
      </c>
      <c r="N313" t="s">
        <v>20</v>
      </c>
      <c r="O313" t="s">
        <v>46</v>
      </c>
      <c r="P313" t="s">
        <v>40</v>
      </c>
      <c r="Q313" t="s">
        <v>32</v>
      </c>
      <c r="R313" t="s">
        <v>50</v>
      </c>
      <c r="S313" t="s">
        <v>47</v>
      </c>
      <c r="T313" t="s">
        <v>15</v>
      </c>
      <c r="U313" t="s">
        <v>29</v>
      </c>
      <c r="V313" s="3" t="s">
        <v>918</v>
      </c>
      <c r="W313" t="s">
        <v>39</v>
      </c>
    </row>
    <row r="314" spans="1:23" ht="25.5" customHeight="1">
      <c r="A314" s="1">
        <v>45724.634641203702</v>
      </c>
      <c r="C314" t="s">
        <v>203</v>
      </c>
      <c r="D314">
        <v>56</v>
      </c>
      <c r="E314">
        <v>186</v>
      </c>
      <c r="F314">
        <v>63</v>
      </c>
      <c r="G314">
        <v>1</v>
      </c>
      <c r="H314" t="s">
        <v>590</v>
      </c>
      <c r="I314" t="s">
        <v>5</v>
      </c>
      <c r="J314" t="s">
        <v>6</v>
      </c>
      <c r="K314" t="s">
        <v>60</v>
      </c>
      <c r="L314" t="s">
        <v>12</v>
      </c>
      <c r="M314" t="s">
        <v>38</v>
      </c>
      <c r="N314" t="s">
        <v>10</v>
      </c>
      <c r="O314" t="s">
        <v>46</v>
      </c>
      <c r="P314" t="s">
        <v>10</v>
      </c>
      <c r="Q314" t="s">
        <v>23</v>
      </c>
      <c r="R314" t="s">
        <v>50</v>
      </c>
      <c r="S314" t="s">
        <v>47</v>
      </c>
      <c r="T314" t="s">
        <v>24</v>
      </c>
      <c r="U314" t="s">
        <v>29</v>
      </c>
      <c r="V314" s="3" t="s">
        <v>919</v>
      </c>
      <c r="W314" t="s">
        <v>26</v>
      </c>
    </row>
    <row r="315" spans="1:23" ht="25.5" customHeight="1">
      <c r="A315" s="1">
        <v>45705.880972222221</v>
      </c>
      <c r="C315" t="s">
        <v>236</v>
      </c>
      <c r="D315">
        <v>45</v>
      </c>
      <c r="E315">
        <v>181</v>
      </c>
      <c r="F315">
        <v>95</v>
      </c>
      <c r="G315">
        <v>1.5</v>
      </c>
      <c r="H315" t="s">
        <v>590</v>
      </c>
      <c r="I315" t="s">
        <v>29</v>
      </c>
      <c r="J315" t="s">
        <v>6</v>
      </c>
      <c r="K315" t="s">
        <v>7</v>
      </c>
      <c r="L315" t="s">
        <v>31</v>
      </c>
      <c r="M315" t="s">
        <v>9</v>
      </c>
      <c r="N315" t="s">
        <v>40</v>
      </c>
      <c r="O315" t="s">
        <v>11</v>
      </c>
      <c r="P315" t="s">
        <v>10</v>
      </c>
      <c r="Q315" t="s">
        <v>32</v>
      </c>
      <c r="R315" t="s">
        <v>50</v>
      </c>
      <c r="S315" t="s">
        <v>15</v>
      </c>
      <c r="T315" t="s">
        <v>47</v>
      </c>
      <c r="U315" t="s">
        <v>29</v>
      </c>
      <c r="V315" s="3" t="s">
        <v>920</v>
      </c>
      <c r="W315" t="s">
        <v>16</v>
      </c>
    </row>
    <row r="316" spans="1:23" ht="25.5" customHeight="1">
      <c r="A316" s="1">
        <v>45699.834421296298</v>
      </c>
      <c r="C316" t="s">
        <v>237</v>
      </c>
      <c r="D316">
        <v>38</v>
      </c>
      <c r="E316">
        <v>160</v>
      </c>
      <c r="F316">
        <v>94</v>
      </c>
      <c r="G316">
        <v>2.5</v>
      </c>
      <c r="H316" t="s">
        <v>592</v>
      </c>
      <c r="I316" t="s">
        <v>5</v>
      </c>
      <c r="J316" t="s">
        <v>6</v>
      </c>
      <c r="K316" t="s">
        <v>30</v>
      </c>
      <c r="L316" t="s">
        <v>20</v>
      </c>
      <c r="M316" t="s">
        <v>9</v>
      </c>
      <c r="N316" t="s">
        <v>8</v>
      </c>
      <c r="O316" t="s">
        <v>44</v>
      </c>
      <c r="P316" t="s">
        <v>8</v>
      </c>
      <c r="Q316" t="s">
        <v>23</v>
      </c>
      <c r="R316" t="s">
        <v>50</v>
      </c>
      <c r="S316" t="s">
        <v>47</v>
      </c>
      <c r="T316" t="s">
        <v>25</v>
      </c>
      <c r="U316" t="s">
        <v>29</v>
      </c>
      <c r="V316" s="2" t="s">
        <v>921</v>
      </c>
      <c r="W316" t="s">
        <v>16</v>
      </c>
    </row>
    <row r="317" spans="1:23" ht="25.5" customHeight="1">
      <c r="A317" s="1">
        <v>45767.048333333332</v>
      </c>
      <c r="C317" t="s">
        <v>120</v>
      </c>
      <c r="D317">
        <v>41</v>
      </c>
      <c r="E317">
        <v>166</v>
      </c>
      <c r="F317">
        <v>103</v>
      </c>
      <c r="G317">
        <v>1.5</v>
      </c>
      <c r="H317" t="s">
        <v>590</v>
      </c>
      <c r="I317" t="s">
        <v>29</v>
      </c>
      <c r="J317" t="s">
        <v>6</v>
      </c>
      <c r="K317" t="s">
        <v>19</v>
      </c>
      <c r="L317" t="s">
        <v>10</v>
      </c>
      <c r="M317" t="s">
        <v>9</v>
      </c>
      <c r="N317" t="s">
        <v>10</v>
      </c>
      <c r="O317" t="s">
        <v>46</v>
      </c>
      <c r="P317" t="s">
        <v>31</v>
      </c>
      <c r="Q317" t="s">
        <v>32</v>
      </c>
      <c r="R317" t="s">
        <v>14</v>
      </c>
      <c r="S317" t="s">
        <v>25</v>
      </c>
      <c r="T317" t="s">
        <v>25</v>
      </c>
      <c r="U317" t="s">
        <v>29</v>
      </c>
      <c r="V317" s="3" t="s">
        <v>922</v>
      </c>
      <c r="W317" t="s">
        <v>16</v>
      </c>
    </row>
    <row r="318" spans="1:23" ht="25.5" customHeight="1">
      <c r="A318" s="1">
        <v>45706.900972222225</v>
      </c>
      <c r="C318" t="s">
        <v>238</v>
      </c>
      <c r="D318">
        <v>40</v>
      </c>
      <c r="E318">
        <v>184</v>
      </c>
      <c r="F318">
        <v>61</v>
      </c>
      <c r="G318">
        <v>2.5</v>
      </c>
      <c r="H318" t="s">
        <v>592</v>
      </c>
      <c r="I318" t="s">
        <v>5</v>
      </c>
      <c r="J318" t="s">
        <v>6</v>
      </c>
      <c r="K318" t="s">
        <v>63</v>
      </c>
      <c r="L318" t="s">
        <v>40</v>
      </c>
      <c r="M318" t="s">
        <v>52</v>
      </c>
      <c r="N318" t="s">
        <v>10</v>
      </c>
      <c r="O318" t="s">
        <v>46</v>
      </c>
      <c r="P318" t="s">
        <v>8</v>
      </c>
      <c r="Q318" t="s">
        <v>32</v>
      </c>
      <c r="R318" t="s">
        <v>50</v>
      </c>
      <c r="S318" t="s">
        <v>15</v>
      </c>
      <c r="T318" t="s">
        <v>25</v>
      </c>
      <c r="U318" t="s">
        <v>5</v>
      </c>
      <c r="V318" s="3" t="s">
        <v>923</v>
      </c>
      <c r="W318" t="s">
        <v>39</v>
      </c>
    </row>
    <row r="319" spans="1:23" ht="25.5" customHeight="1">
      <c r="A319" s="1">
        <v>45730.001620370371</v>
      </c>
      <c r="C319" t="s">
        <v>239</v>
      </c>
      <c r="D319">
        <v>20</v>
      </c>
      <c r="E319">
        <v>168</v>
      </c>
      <c r="F319">
        <v>64</v>
      </c>
      <c r="G319">
        <v>1</v>
      </c>
      <c r="H319" t="s">
        <v>591</v>
      </c>
      <c r="I319" t="s">
        <v>5</v>
      </c>
      <c r="J319" t="s">
        <v>36</v>
      </c>
      <c r="K319" t="s">
        <v>30</v>
      </c>
      <c r="L319" t="s">
        <v>20</v>
      </c>
      <c r="M319" t="s">
        <v>38</v>
      </c>
      <c r="N319" t="s">
        <v>31</v>
      </c>
      <c r="O319" t="s">
        <v>22</v>
      </c>
      <c r="P319" t="s">
        <v>20</v>
      </c>
      <c r="Q319" t="s">
        <v>23</v>
      </c>
      <c r="R319" t="s">
        <v>14</v>
      </c>
      <c r="S319" t="s">
        <v>15</v>
      </c>
      <c r="T319" t="s">
        <v>15</v>
      </c>
      <c r="U319" t="s">
        <v>5</v>
      </c>
      <c r="V319" s="3" t="s">
        <v>924</v>
      </c>
      <c r="W319" t="s">
        <v>39</v>
      </c>
    </row>
    <row r="320" spans="1:23" ht="25.5" customHeight="1">
      <c r="A320" s="1">
        <v>45668.662210648145</v>
      </c>
      <c r="C320" t="s">
        <v>189</v>
      </c>
      <c r="D320">
        <v>35</v>
      </c>
      <c r="E320">
        <v>170</v>
      </c>
      <c r="F320">
        <v>94</v>
      </c>
      <c r="G320">
        <v>1</v>
      </c>
      <c r="H320" t="s">
        <v>592</v>
      </c>
      <c r="I320" t="s">
        <v>29</v>
      </c>
      <c r="J320" t="s">
        <v>36</v>
      </c>
      <c r="K320" t="s">
        <v>37</v>
      </c>
      <c r="L320" t="s">
        <v>12</v>
      </c>
      <c r="M320" t="s">
        <v>52</v>
      </c>
      <c r="N320" t="s">
        <v>20</v>
      </c>
      <c r="O320" t="s">
        <v>22</v>
      </c>
      <c r="P320" t="s">
        <v>10</v>
      </c>
      <c r="Q320" t="s">
        <v>13</v>
      </c>
      <c r="R320" t="s">
        <v>33</v>
      </c>
      <c r="S320" t="s">
        <v>25</v>
      </c>
      <c r="T320" t="s">
        <v>15</v>
      </c>
      <c r="U320" t="s">
        <v>5</v>
      </c>
      <c r="V320" s="3" t="s">
        <v>925</v>
      </c>
      <c r="W320" t="s">
        <v>26</v>
      </c>
    </row>
    <row r="321" spans="1:23" ht="12.75">
      <c r="A321" s="1">
        <v>45749.24560185185</v>
      </c>
      <c r="C321" t="s">
        <v>114</v>
      </c>
      <c r="D321">
        <v>30</v>
      </c>
      <c r="E321">
        <v>161</v>
      </c>
      <c r="F321">
        <v>105</v>
      </c>
      <c r="G321">
        <v>3</v>
      </c>
      <c r="H321" t="s">
        <v>591</v>
      </c>
      <c r="I321" t="s">
        <v>5</v>
      </c>
      <c r="J321" t="s">
        <v>6</v>
      </c>
      <c r="K321" t="s">
        <v>7</v>
      </c>
      <c r="L321" t="s">
        <v>12</v>
      </c>
      <c r="M321" t="s">
        <v>21</v>
      </c>
      <c r="N321" t="s">
        <v>40</v>
      </c>
      <c r="O321" t="s">
        <v>44</v>
      </c>
      <c r="P321" t="s">
        <v>10</v>
      </c>
      <c r="Q321" t="s">
        <v>55</v>
      </c>
      <c r="R321" t="s">
        <v>50</v>
      </c>
      <c r="S321" t="s">
        <v>24</v>
      </c>
      <c r="T321" t="s">
        <v>15</v>
      </c>
      <c r="U321" t="s">
        <v>5</v>
      </c>
      <c r="V321" s="3" t="s">
        <v>926</v>
      </c>
      <c r="W321" t="s">
        <v>16</v>
      </c>
    </row>
    <row r="322" spans="1:23" ht="12.75">
      <c r="A322" s="1">
        <v>45785.106111111112</v>
      </c>
      <c r="C322" t="s">
        <v>45</v>
      </c>
      <c r="D322">
        <v>38</v>
      </c>
      <c r="E322">
        <v>172</v>
      </c>
      <c r="F322">
        <v>97</v>
      </c>
      <c r="G322">
        <v>1.5</v>
      </c>
      <c r="H322" t="s">
        <v>28</v>
      </c>
      <c r="I322" t="s">
        <v>5</v>
      </c>
      <c r="J322" t="s">
        <v>36</v>
      </c>
      <c r="K322" t="s">
        <v>63</v>
      </c>
      <c r="L322" t="s">
        <v>8</v>
      </c>
      <c r="M322" t="s">
        <v>9</v>
      </c>
      <c r="N322" t="s">
        <v>31</v>
      </c>
      <c r="O322" t="s">
        <v>22</v>
      </c>
      <c r="P322" t="s">
        <v>8</v>
      </c>
      <c r="Q322" t="s">
        <v>55</v>
      </c>
      <c r="R322" t="s">
        <v>14</v>
      </c>
      <c r="S322" t="s">
        <v>25</v>
      </c>
      <c r="T322" t="s">
        <v>24</v>
      </c>
      <c r="U322" t="s">
        <v>5</v>
      </c>
      <c r="V322" s="3" t="s">
        <v>927</v>
      </c>
      <c r="W322" t="s">
        <v>34</v>
      </c>
    </row>
    <row r="323" spans="1:23" ht="12.75">
      <c r="A323" s="1">
        <v>45773.855196759258</v>
      </c>
      <c r="C323" t="s">
        <v>240</v>
      </c>
      <c r="D323">
        <v>24</v>
      </c>
      <c r="E323">
        <v>159</v>
      </c>
      <c r="F323">
        <v>106</v>
      </c>
      <c r="G323">
        <v>2.5</v>
      </c>
      <c r="H323" t="s">
        <v>592</v>
      </c>
      <c r="I323" t="s">
        <v>29</v>
      </c>
      <c r="J323" t="s">
        <v>36</v>
      </c>
      <c r="K323" t="s">
        <v>37</v>
      </c>
      <c r="L323" t="s">
        <v>8</v>
      </c>
      <c r="M323" t="s">
        <v>38</v>
      </c>
      <c r="N323" t="s">
        <v>10</v>
      </c>
      <c r="O323" t="s">
        <v>44</v>
      </c>
      <c r="P323" t="s">
        <v>10</v>
      </c>
      <c r="Q323" t="s">
        <v>32</v>
      </c>
      <c r="R323" t="s">
        <v>14</v>
      </c>
      <c r="S323" t="s">
        <v>47</v>
      </c>
      <c r="T323" t="s">
        <v>15</v>
      </c>
      <c r="U323" t="s">
        <v>29</v>
      </c>
      <c r="V323" s="3" t="s">
        <v>928</v>
      </c>
      <c r="W323" t="s">
        <v>34</v>
      </c>
    </row>
    <row r="324" spans="1:23" ht="12.75">
      <c r="A324" s="1">
        <v>45691.305277777778</v>
      </c>
      <c r="C324" t="s">
        <v>102</v>
      </c>
      <c r="D324">
        <v>28</v>
      </c>
      <c r="E324">
        <v>176</v>
      </c>
      <c r="F324">
        <v>54</v>
      </c>
      <c r="G324">
        <v>3</v>
      </c>
      <c r="H324" t="s">
        <v>591</v>
      </c>
      <c r="I324" t="s">
        <v>5</v>
      </c>
      <c r="J324" t="s">
        <v>6</v>
      </c>
      <c r="K324" t="s">
        <v>30</v>
      </c>
      <c r="L324" t="s">
        <v>31</v>
      </c>
      <c r="M324" t="s">
        <v>52</v>
      </c>
      <c r="N324" t="s">
        <v>20</v>
      </c>
      <c r="O324" t="s">
        <v>46</v>
      </c>
      <c r="P324" t="s">
        <v>10</v>
      </c>
      <c r="Q324" t="s">
        <v>23</v>
      </c>
      <c r="R324" t="s">
        <v>33</v>
      </c>
      <c r="S324" t="s">
        <v>25</v>
      </c>
      <c r="T324" t="s">
        <v>15</v>
      </c>
      <c r="U324" t="s">
        <v>29</v>
      </c>
      <c r="V324" s="3" t="s">
        <v>929</v>
      </c>
      <c r="W324" t="s">
        <v>39</v>
      </c>
    </row>
    <row r="325" spans="1:23" ht="12.75">
      <c r="A325" s="1">
        <v>45811.491064814814</v>
      </c>
      <c r="C325" t="s">
        <v>85</v>
      </c>
      <c r="D325">
        <v>36</v>
      </c>
      <c r="E325">
        <v>165</v>
      </c>
      <c r="F325">
        <v>68</v>
      </c>
      <c r="G325">
        <v>1</v>
      </c>
      <c r="H325" t="s">
        <v>592</v>
      </c>
      <c r="I325" t="s">
        <v>29</v>
      </c>
      <c r="J325" t="s">
        <v>6</v>
      </c>
      <c r="K325" t="s">
        <v>30</v>
      </c>
      <c r="L325" t="s">
        <v>31</v>
      </c>
      <c r="M325" t="s">
        <v>52</v>
      </c>
      <c r="N325" t="s">
        <v>31</v>
      </c>
      <c r="O325" t="s">
        <v>44</v>
      </c>
      <c r="P325" t="s">
        <v>31</v>
      </c>
      <c r="Q325" t="s">
        <v>55</v>
      </c>
      <c r="R325" t="s">
        <v>33</v>
      </c>
      <c r="S325" t="s">
        <v>25</v>
      </c>
      <c r="T325" t="s">
        <v>15</v>
      </c>
      <c r="U325" t="s">
        <v>5</v>
      </c>
      <c r="V325" s="3" t="s">
        <v>930</v>
      </c>
      <c r="W325" t="s">
        <v>34</v>
      </c>
    </row>
    <row r="326" spans="1:23" ht="12.75">
      <c r="A326" s="1">
        <v>45675.971724537034</v>
      </c>
      <c r="C326" t="s">
        <v>241</v>
      </c>
      <c r="D326">
        <v>50</v>
      </c>
      <c r="E326">
        <v>182</v>
      </c>
      <c r="F326">
        <v>102</v>
      </c>
      <c r="G326">
        <v>2.5</v>
      </c>
      <c r="H326" t="s">
        <v>28</v>
      </c>
      <c r="I326" t="s">
        <v>29</v>
      </c>
      <c r="J326" t="s">
        <v>36</v>
      </c>
      <c r="K326" t="s">
        <v>37</v>
      </c>
      <c r="L326" t="s">
        <v>8</v>
      </c>
      <c r="M326" t="s">
        <v>52</v>
      </c>
      <c r="N326" t="s">
        <v>40</v>
      </c>
      <c r="O326" t="s">
        <v>22</v>
      </c>
      <c r="P326" t="s">
        <v>20</v>
      </c>
      <c r="Q326" t="s">
        <v>23</v>
      </c>
      <c r="R326" t="s">
        <v>14</v>
      </c>
      <c r="S326" t="s">
        <v>15</v>
      </c>
      <c r="T326" t="s">
        <v>25</v>
      </c>
      <c r="U326" t="s">
        <v>29</v>
      </c>
      <c r="V326" s="3" t="s">
        <v>931</v>
      </c>
      <c r="W326" t="s">
        <v>26</v>
      </c>
    </row>
    <row r="327" spans="1:23" ht="12.75">
      <c r="A327" s="1">
        <v>45740.81927083333</v>
      </c>
      <c r="C327" t="s">
        <v>153</v>
      </c>
      <c r="D327">
        <v>47</v>
      </c>
      <c r="E327">
        <v>166</v>
      </c>
      <c r="F327">
        <v>54</v>
      </c>
      <c r="G327">
        <v>1</v>
      </c>
      <c r="H327" t="s">
        <v>591</v>
      </c>
      <c r="I327" t="s">
        <v>5</v>
      </c>
      <c r="J327" t="s">
        <v>36</v>
      </c>
      <c r="K327" t="s">
        <v>60</v>
      </c>
      <c r="L327" t="s">
        <v>12</v>
      </c>
      <c r="M327" t="s">
        <v>52</v>
      </c>
      <c r="N327" t="s">
        <v>40</v>
      </c>
      <c r="O327" t="s">
        <v>46</v>
      </c>
      <c r="P327" t="s">
        <v>12</v>
      </c>
      <c r="Q327" t="s">
        <v>32</v>
      </c>
      <c r="R327" t="s">
        <v>50</v>
      </c>
      <c r="S327" t="s">
        <v>47</v>
      </c>
      <c r="T327" t="s">
        <v>47</v>
      </c>
      <c r="U327" t="s">
        <v>5</v>
      </c>
      <c r="V327" s="3" t="s">
        <v>932</v>
      </c>
      <c r="W327" t="s">
        <v>26</v>
      </c>
    </row>
    <row r="328" spans="1:23" ht="12.75">
      <c r="A328" s="1">
        <v>45807.175046296295</v>
      </c>
      <c r="C328" t="s">
        <v>111</v>
      </c>
      <c r="D328">
        <v>50</v>
      </c>
      <c r="E328">
        <v>167</v>
      </c>
      <c r="F328">
        <v>82</v>
      </c>
      <c r="G328">
        <v>2.5</v>
      </c>
      <c r="H328" t="s">
        <v>591</v>
      </c>
      <c r="I328" t="s">
        <v>29</v>
      </c>
      <c r="J328" t="s">
        <v>36</v>
      </c>
      <c r="K328" t="s">
        <v>19</v>
      </c>
      <c r="L328" t="s">
        <v>31</v>
      </c>
      <c r="M328" t="s">
        <v>21</v>
      </c>
      <c r="N328" t="s">
        <v>31</v>
      </c>
      <c r="O328" t="s">
        <v>46</v>
      </c>
      <c r="P328" t="s">
        <v>12</v>
      </c>
      <c r="Q328" t="s">
        <v>32</v>
      </c>
      <c r="R328" t="s">
        <v>50</v>
      </c>
      <c r="S328" t="s">
        <v>47</v>
      </c>
      <c r="T328" t="s">
        <v>25</v>
      </c>
      <c r="U328" t="s">
        <v>5</v>
      </c>
      <c r="V328" s="3" t="s">
        <v>933</v>
      </c>
      <c r="W328" t="s">
        <v>34</v>
      </c>
    </row>
    <row r="329" spans="1:23" ht="12.75">
      <c r="A329" s="1">
        <v>45684.640046296299</v>
      </c>
      <c r="C329" t="s">
        <v>172</v>
      </c>
      <c r="D329">
        <v>24</v>
      </c>
      <c r="E329">
        <v>182</v>
      </c>
      <c r="F329">
        <v>83</v>
      </c>
      <c r="G329">
        <v>2.5</v>
      </c>
      <c r="H329" t="s">
        <v>592</v>
      </c>
      <c r="I329" t="s">
        <v>5</v>
      </c>
      <c r="J329" t="s">
        <v>6</v>
      </c>
      <c r="K329" t="s">
        <v>63</v>
      </c>
      <c r="L329" t="s">
        <v>31</v>
      </c>
      <c r="M329" t="s">
        <v>9</v>
      </c>
      <c r="N329" t="s">
        <v>12</v>
      </c>
      <c r="O329" t="s">
        <v>46</v>
      </c>
      <c r="P329" t="s">
        <v>20</v>
      </c>
      <c r="Q329" t="s">
        <v>13</v>
      </c>
      <c r="R329" t="s">
        <v>33</v>
      </c>
      <c r="S329" t="s">
        <v>47</v>
      </c>
      <c r="T329" t="s">
        <v>25</v>
      </c>
      <c r="U329" t="s">
        <v>5</v>
      </c>
      <c r="V329" s="3" t="s">
        <v>934</v>
      </c>
      <c r="W329" t="s">
        <v>34</v>
      </c>
    </row>
    <row r="330" spans="1:23" ht="12.75">
      <c r="A330" s="1">
        <v>45722.135682870372</v>
      </c>
      <c r="C330" t="s">
        <v>41</v>
      </c>
      <c r="D330">
        <v>56</v>
      </c>
      <c r="E330">
        <v>184</v>
      </c>
      <c r="F330">
        <v>73</v>
      </c>
      <c r="G330">
        <v>2.5</v>
      </c>
      <c r="H330" t="s">
        <v>590</v>
      </c>
      <c r="I330" t="s">
        <v>29</v>
      </c>
      <c r="J330" t="s">
        <v>6</v>
      </c>
      <c r="K330" t="s">
        <v>37</v>
      </c>
      <c r="L330" t="s">
        <v>20</v>
      </c>
      <c r="M330" t="s">
        <v>9</v>
      </c>
      <c r="N330" t="s">
        <v>12</v>
      </c>
      <c r="O330" t="s">
        <v>44</v>
      </c>
      <c r="P330" t="s">
        <v>31</v>
      </c>
      <c r="Q330" t="s">
        <v>32</v>
      </c>
      <c r="R330" t="s">
        <v>50</v>
      </c>
      <c r="S330" t="s">
        <v>24</v>
      </c>
      <c r="T330" t="s">
        <v>15</v>
      </c>
      <c r="U330" t="s">
        <v>29</v>
      </c>
      <c r="V330" s="3" t="s">
        <v>935</v>
      </c>
      <c r="W330" t="s">
        <v>16</v>
      </c>
    </row>
    <row r="331" spans="1:23" ht="12.75">
      <c r="A331" s="1">
        <v>45740.540266203701</v>
      </c>
      <c r="C331" t="s">
        <v>187</v>
      </c>
      <c r="D331">
        <v>25</v>
      </c>
      <c r="E331">
        <v>185</v>
      </c>
      <c r="F331">
        <v>64</v>
      </c>
      <c r="G331">
        <v>2</v>
      </c>
      <c r="H331" t="s">
        <v>590</v>
      </c>
      <c r="I331" t="s">
        <v>29</v>
      </c>
      <c r="J331" t="s">
        <v>36</v>
      </c>
      <c r="K331" t="s">
        <v>19</v>
      </c>
      <c r="L331" t="s">
        <v>12</v>
      </c>
      <c r="M331" t="s">
        <v>9</v>
      </c>
      <c r="N331" t="s">
        <v>10</v>
      </c>
      <c r="O331" t="s">
        <v>11</v>
      </c>
      <c r="P331" t="s">
        <v>8</v>
      </c>
      <c r="Q331" t="s">
        <v>13</v>
      </c>
      <c r="R331" t="s">
        <v>33</v>
      </c>
      <c r="S331" t="s">
        <v>15</v>
      </c>
      <c r="T331" t="s">
        <v>25</v>
      </c>
      <c r="U331" t="s">
        <v>5</v>
      </c>
      <c r="V331" s="3" t="s">
        <v>936</v>
      </c>
      <c r="W331" t="s">
        <v>34</v>
      </c>
    </row>
    <row r="332" spans="1:23" ht="12.75">
      <c r="A332" s="1">
        <v>45804.185624999998</v>
      </c>
      <c r="C332" t="s">
        <v>242</v>
      </c>
      <c r="D332">
        <v>31</v>
      </c>
      <c r="E332">
        <v>171</v>
      </c>
      <c r="F332">
        <v>76</v>
      </c>
      <c r="G332">
        <v>1.5</v>
      </c>
      <c r="H332" t="s">
        <v>28</v>
      </c>
      <c r="I332" t="s">
        <v>29</v>
      </c>
      <c r="J332" t="s">
        <v>6</v>
      </c>
      <c r="K332" t="s">
        <v>37</v>
      </c>
      <c r="L332" t="s">
        <v>40</v>
      </c>
      <c r="M332" t="s">
        <v>38</v>
      </c>
      <c r="N332" t="s">
        <v>8</v>
      </c>
      <c r="O332" t="s">
        <v>44</v>
      </c>
      <c r="P332" t="s">
        <v>40</v>
      </c>
      <c r="Q332" t="s">
        <v>32</v>
      </c>
      <c r="R332" t="s">
        <v>14</v>
      </c>
      <c r="S332" t="s">
        <v>24</v>
      </c>
      <c r="T332" t="s">
        <v>47</v>
      </c>
      <c r="U332" t="s">
        <v>29</v>
      </c>
      <c r="V332" s="3" t="s">
        <v>937</v>
      </c>
      <c r="W332" t="s">
        <v>34</v>
      </c>
    </row>
    <row r="333" spans="1:23" ht="12.75">
      <c r="A333" s="1">
        <v>45776.893553240741</v>
      </c>
      <c r="C333" t="s">
        <v>154</v>
      </c>
      <c r="D333">
        <v>38</v>
      </c>
      <c r="E333">
        <v>172</v>
      </c>
      <c r="F333">
        <v>70</v>
      </c>
      <c r="G333">
        <v>2</v>
      </c>
      <c r="H333" t="s">
        <v>592</v>
      </c>
      <c r="I333" t="s">
        <v>29</v>
      </c>
      <c r="J333" t="s">
        <v>6</v>
      </c>
      <c r="K333" t="s">
        <v>37</v>
      </c>
      <c r="L333" t="s">
        <v>20</v>
      </c>
      <c r="M333" t="s">
        <v>9</v>
      </c>
      <c r="N333" t="s">
        <v>12</v>
      </c>
      <c r="O333" t="s">
        <v>11</v>
      </c>
      <c r="P333" t="s">
        <v>8</v>
      </c>
      <c r="Q333" t="s">
        <v>32</v>
      </c>
      <c r="R333" t="s">
        <v>14</v>
      </c>
      <c r="S333" t="s">
        <v>15</v>
      </c>
      <c r="T333" t="s">
        <v>24</v>
      </c>
      <c r="U333" t="s">
        <v>29</v>
      </c>
      <c r="V333" s="3" t="s">
        <v>938</v>
      </c>
      <c r="W333" t="s">
        <v>16</v>
      </c>
    </row>
    <row r="334" spans="1:23" ht="12.75">
      <c r="A334" s="1">
        <v>45789.690567129626</v>
      </c>
      <c r="C334" t="s">
        <v>152</v>
      </c>
      <c r="D334">
        <v>26</v>
      </c>
      <c r="E334">
        <v>162</v>
      </c>
      <c r="F334">
        <v>53</v>
      </c>
      <c r="G334">
        <v>3</v>
      </c>
      <c r="H334" t="s">
        <v>28</v>
      </c>
      <c r="I334" t="s">
        <v>29</v>
      </c>
      <c r="J334" t="s">
        <v>36</v>
      </c>
      <c r="K334" t="s">
        <v>19</v>
      </c>
      <c r="L334" t="s">
        <v>10</v>
      </c>
      <c r="M334" t="s">
        <v>21</v>
      </c>
      <c r="N334" t="s">
        <v>20</v>
      </c>
      <c r="O334" t="s">
        <v>46</v>
      </c>
      <c r="P334" t="s">
        <v>12</v>
      </c>
      <c r="Q334" t="s">
        <v>13</v>
      </c>
      <c r="R334" t="s">
        <v>14</v>
      </c>
      <c r="S334" t="s">
        <v>24</v>
      </c>
      <c r="T334" t="s">
        <v>47</v>
      </c>
      <c r="U334" t="s">
        <v>5</v>
      </c>
      <c r="V334" s="3" t="s">
        <v>939</v>
      </c>
      <c r="W334" t="s">
        <v>34</v>
      </c>
    </row>
    <row r="335" spans="1:23" ht="12.75">
      <c r="A335" s="1">
        <v>45726.182974537034</v>
      </c>
      <c r="C335" t="s">
        <v>243</v>
      </c>
      <c r="D335">
        <v>54</v>
      </c>
      <c r="E335">
        <v>165</v>
      </c>
      <c r="F335">
        <v>99</v>
      </c>
      <c r="G335">
        <v>1.5</v>
      </c>
      <c r="H335" t="s">
        <v>590</v>
      </c>
      <c r="I335" t="s">
        <v>29</v>
      </c>
      <c r="J335" t="s">
        <v>6</v>
      </c>
      <c r="K335" t="s">
        <v>30</v>
      </c>
      <c r="L335" t="s">
        <v>40</v>
      </c>
      <c r="M335" t="s">
        <v>52</v>
      </c>
      <c r="N335" t="s">
        <v>12</v>
      </c>
      <c r="O335" t="s">
        <v>11</v>
      </c>
      <c r="P335" t="s">
        <v>8</v>
      </c>
      <c r="Q335" t="s">
        <v>55</v>
      </c>
      <c r="R335" t="s">
        <v>33</v>
      </c>
      <c r="S335" t="s">
        <v>47</v>
      </c>
      <c r="T335" t="s">
        <v>15</v>
      </c>
      <c r="U335" t="s">
        <v>5</v>
      </c>
      <c r="V335" s="3" t="s">
        <v>940</v>
      </c>
      <c r="W335" t="s">
        <v>26</v>
      </c>
    </row>
    <row r="336" spans="1:23" ht="12.75">
      <c r="A336" s="1">
        <v>45751.529699074075</v>
      </c>
      <c r="C336" t="s">
        <v>86</v>
      </c>
      <c r="D336">
        <v>48</v>
      </c>
      <c r="E336">
        <v>187</v>
      </c>
      <c r="F336">
        <v>53</v>
      </c>
      <c r="G336">
        <v>2</v>
      </c>
      <c r="H336" t="s">
        <v>591</v>
      </c>
      <c r="I336" t="s">
        <v>5</v>
      </c>
      <c r="J336" t="s">
        <v>6</v>
      </c>
      <c r="K336" t="s">
        <v>7</v>
      </c>
      <c r="L336" t="s">
        <v>31</v>
      </c>
      <c r="M336" t="s">
        <v>52</v>
      </c>
      <c r="N336" t="s">
        <v>31</v>
      </c>
      <c r="O336" t="s">
        <v>22</v>
      </c>
      <c r="P336" t="s">
        <v>20</v>
      </c>
      <c r="Q336" t="s">
        <v>32</v>
      </c>
      <c r="R336" t="s">
        <v>33</v>
      </c>
      <c r="S336" t="s">
        <v>24</v>
      </c>
      <c r="T336" t="s">
        <v>24</v>
      </c>
      <c r="U336" t="s">
        <v>5</v>
      </c>
      <c r="V336" s="94" t="s">
        <v>941</v>
      </c>
      <c r="W336" t="s">
        <v>26</v>
      </c>
    </row>
    <row r="337" spans="1:23" ht="12.75">
      <c r="A337" s="1">
        <v>45710.769432870373</v>
      </c>
      <c r="C337" t="s">
        <v>182</v>
      </c>
      <c r="D337">
        <v>58</v>
      </c>
      <c r="E337">
        <v>181</v>
      </c>
      <c r="F337">
        <v>87</v>
      </c>
      <c r="G337">
        <v>1</v>
      </c>
      <c r="H337" t="s">
        <v>590</v>
      </c>
      <c r="I337" t="s">
        <v>5</v>
      </c>
      <c r="J337" t="s">
        <v>6</v>
      </c>
      <c r="K337" t="s">
        <v>19</v>
      </c>
      <c r="L337" t="s">
        <v>8</v>
      </c>
      <c r="M337" t="s">
        <v>52</v>
      </c>
      <c r="N337" t="s">
        <v>40</v>
      </c>
      <c r="O337" t="s">
        <v>44</v>
      </c>
      <c r="P337" t="s">
        <v>10</v>
      </c>
      <c r="Q337" t="s">
        <v>55</v>
      </c>
      <c r="R337" t="s">
        <v>50</v>
      </c>
      <c r="S337" t="s">
        <v>25</v>
      </c>
      <c r="T337" t="s">
        <v>24</v>
      </c>
      <c r="U337" t="s">
        <v>29</v>
      </c>
      <c r="V337" s="94" t="s">
        <v>942</v>
      </c>
      <c r="W337" t="s">
        <v>39</v>
      </c>
    </row>
    <row r="338" spans="1:23" ht="12.75">
      <c r="A338" s="1">
        <v>45702.428877314815</v>
      </c>
      <c r="C338" t="s">
        <v>57</v>
      </c>
      <c r="D338">
        <v>57</v>
      </c>
      <c r="E338">
        <v>183</v>
      </c>
      <c r="F338">
        <v>65</v>
      </c>
      <c r="G338">
        <v>1</v>
      </c>
      <c r="H338" t="s">
        <v>590</v>
      </c>
      <c r="I338" t="s">
        <v>29</v>
      </c>
      <c r="J338" t="s">
        <v>6</v>
      </c>
      <c r="K338" t="s">
        <v>7</v>
      </c>
      <c r="L338" t="s">
        <v>8</v>
      </c>
      <c r="M338" t="s">
        <v>52</v>
      </c>
      <c r="N338" t="s">
        <v>12</v>
      </c>
      <c r="O338" t="s">
        <v>46</v>
      </c>
      <c r="P338" t="s">
        <v>8</v>
      </c>
      <c r="Q338" t="s">
        <v>13</v>
      </c>
      <c r="R338" t="s">
        <v>33</v>
      </c>
      <c r="S338" t="s">
        <v>25</v>
      </c>
      <c r="T338" t="s">
        <v>47</v>
      </c>
      <c r="U338" t="s">
        <v>29</v>
      </c>
      <c r="V338" s="94" t="s">
        <v>943</v>
      </c>
      <c r="W338" t="s">
        <v>34</v>
      </c>
    </row>
    <row r="339" spans="1:23" ht="12.75">
      <c r="A339" s="1">
        <v>45671.284108796295</v>
      </c>
      <c r="C339" t="s">
        <v>241</v>
      </c>
      <c r="D339">
        <v>26</v>
      </c>
      <c r="E339">
        <v>181</v>
      </c>
      <c r="F339">
        <v>62</v>
      </c>
      <c r="G339">
        <v>2</v>
      </c>
      <c r="H339" t="s">
        <v>28</v>
      </c>
      <c r="I339" t="s">
        <v>5</v>
      </c>
      <c r="J339" t="s">
        <v>6</v>
      </c>
      <c r="K339" t="s">
        <v>60</v>
      </c>
      <c r="L339" t="s">
        <v>8</v>
      </c>
      <c r="M339" t="s">
        <v>38</v>
      </c>
      <c r="N339" t="s">
        <v>10</v>
      </c>
      <c r="O339" t="s">
        <v>46</v>
      </c>
      <c r="P339" t="s">
        <v>20</v>
      </c>
      <c r="Q339" t="s">
        <v>13</v>
      </c>
      <c r="R339" t="s">
        <v>33</v>
      </c>
      <c r="S339" t="s">
        <v>25</v>
      </c>
      <c r="T339" t="s">
        <v>47</v>
      </c>
      <c r="U339" t="s">
        <v>29</v>
      </c>
      <c r="V339" s="94" t="s">
        <v>944</v>
      </c>
      <c r="W339" t="s">
        <v>39</v>
      </c>
    </row>
    <row r="340" spans="1:23" ht="12.75">
      <c r="A340" s="1">
        <v>45677.722557870373</v>
      </c>
      <c r="C340" t="s">
        <v>178</v>
      </c>
      <c r="D340">
        <v>30</v>
      </c>
      <c r="E340">
        <v>161</v>
      </c>
      <c r="F340">
        <v>75</v>
      </c>
      <c r="G340">
        <v>3</v>
      </c>
      <c r="H340" t="s">
        <v>591</v>
      </c>
      <c r="I340" t="s">
        <v>29</v>
      </c>
      <c r="J340" t="s">
        <v>36</v>
      </c>
      <c r="K340" t="s">
        <v>7</v>
      </c>
      <c r="L340" t="s">
        <v>40</v>
      </c>
      <c r="M340" t="s">
        <v>21</v>
      </c>
      <c r="N340" t="s">
        <v>12</v>
      </c>
      <c r="O340" t="s">
        <v>44</v>
      </c>
      <c r="P340" t="s">
        <v>8</v>
      </c>
      <c r="Q340" t="s">
        <v>23</v>
      </c>
      <c r="R340" t="s">
        <v>14</v>
      </c>
      <c r="S340" t="s">
        <v>47</v>
      </c>
      <c r="T340" t="s">
        <v>47</v>
      </c>
      <c r="U340" t="s">
        <v>29</v>
      </c>
      <c r="V340" s="94" t="s">
        <v>945</v>
      </c>
      <c r="W340" t="s">
        <v>39</v>
      </c>
    </row>
    <row r="341" spans="1:23" ht="12.75">
      <c r="A341" s="1">
        <v>45689.348645833335</v>
      </c>
      <c r="C341" t="s">
        <v>244</v>
      </c>
      <c r="D341">
        <v>40</v>
      </c>
      <c r="E341">
        <v>185</v>
      </c>
      <c r="F341">
        <v>103</v>
      </c>
      <c r="G341">
        <v>2.5</v>
      </c>
      <c r="H341" t="s">
        <v>591</v>
      </c>
      <c r="I341" t="s">
        <v>5</v>
      </c>
      <c r="J341" t="s">
        <v>36</v>
      </c>
      <c r="K341" t="s">
        <v>60</v>
      </c>
      <c r="L341" t="s">
        <v>20</v>
      </c>
      <c r="M341" t="s">
        <v>21</v>
      </c>
      <c r="N341" t="s">
        <v>31</v>
      </c>
      <c r="O341" t="s">
        <v>44</v>
      </c>
      <c r="P341" t="s">
        <v>10</v>
      </c>
      <c r="Q341" t="s">
        <v>32</v>
      </c>
      <c r="R341" t="s">
        <v>33</v>
      </c>
      <c r="S341" t="s">
        <v>15</v>
      </c>
      <c r="T341" t="s">
        <v>25</v>
      </c>
      <c r="U341" t="s">
        <v>5</v>
      </c>
      <c r="V341" s="94" t="s">
        <v>946</v>
      </c>
      <c r="W341" t="s">
        <v>34</v>
      </c>
    </row>
    <row r="342" spans="1:23" ht="12.75">
      <c r="A342" s="1">
        <v>45731.631296296298</v>
      </c>
      <c r="C342" t="s">
        <v>57</v>
      </c>
      <c r="D342">
        <v>58</v>
      </c>
      <c r="E342">
        <v>186</v>
      </c>
      <c r="F342">
        <v>85</v>
      </c>
      <c r="G342">
        <v>1</v>
      </c>
      <c r="H342" t="s">
        <v>28</v>
      </c>
      <c r="I342" t="s">
        <v>29</v>
      </c>
      <c r="J342" t="s">
        <v>6</v>
      </c>
      <c r="K342" t="s">
        <v>7</v>
      </c>
      <c r="L342" t="s">
        <v>40</v>
      </c>
      <c r="M342" t="s">
        <v>52</v>
      </c>
      <c r="N342" t="s">
        <v>31</v>
      </c>
      <c r="O342" t="s">
        <v>11</v>
      </c>
      <c r="P342" t="s">
        <v>10</v>
      </c>
      <c r="Q342" t="s">
        <v>13</v>
      </c>
      <c r="R342" t="s">
        <v>33</v>
      </c>
      <c r="S342" t="s">
        <v>25</v>
      </c>
      <c r="T342" t="s">
        <v>15</v>
      </c>
      <c r="U342" t="s">
        <v>5</v>
      </c>
      <c r="V342" s="94" t="s">
        <v>947</v>
      </c>
      <c r="W342" t="s">
        <v>26</v>
      </c>
    </row>
    <row r="343" spans="1:23" ht="12.75">
      <c r="A343" s="1">
        <v>45777.758900462963</v>
      </c>
      <c r="C343" t="s">
        <v>245</v>
      </c>
      <c r="D343">
        <v>34</v>
      </c>
      <c r="E343">
        <v>187</v>
      </c>
      <c r="F343">
        <v>72</v>
      </c>
      <c r="G343">
        <v>2.5</v>
      </c>
      <c r="H343" t="s">
        <v>590</v>
      </c>
      <c r="I343" t="s">
        <v>5</v>
      </c>
      <c r="J343" t="s">
        <v>6</v>
      </c>
      <c r="K343" t="s">
        <v>60</v>
      </c>
      <c r="L343" t="s">
        <v>12</v>
      </c>
      <c r="M343" t="s">
        <v>38</v>
      </c>
      <c r="N343" t="s">
        <v>31</v>
      </c>
      <c r="O343" t="s">
        <v>44</v>
      </c>
      <c r="P343" t="s">
        <v>10</v>
      </c>
      <c r="Q343" t="s">
        <v>55</v>
      </c>
      <c r="R343" t="s">
        <v>50</v>
      </c>
      <c r="S343" t="s">
        <v>47</v>
      </c>
      <c r="T343" t="s">
        <v>24</v>
      </c>
      <c r="U343" t="s">
        <v>5</v>
      </c>
      <c r="V343" s="94" t="s">
        <v>948</v>
      </c>
      <c r="W343" t="s">
        <v>34</v>
      </c>
    </row>
    <row r="344" spans="1:23" ht="12.75">
      <c r="A344" s="1">
        <v>45734.216620370367</v>
      </c>
      <c r="C344" t="s">
        <v>59</v>
      </c>
      <c r="D344">
        <v>29</v>
      </c>
      <c r="E344">
        <v>189</v>
      </c>
      <c r="F344">
        <v>74</v>
      </c>
      <c r="G344">
        <v>2</v>
      </c>
      <c r="H344" t="s">
        <v>28</v>
      </c>
      <c r="I344" t="s">
        <v>5</v>
      </c>
      <c r="J344" t="s">
        <v>6</v>
      </c>
      <c r="K344" t="s">
        <v>63</v>
      </c>
      <c r="L344" t="s">
        <v>20</v>
      </c>
      <c r="M344" t="s">
        <v>52</v>
      </c>
      <c r="N344" t="s">
        <v>8</v>
      </c>
      <c r="O344" t="s">
        <v>22</v>
      </c>
      <c r="P344" t="s">
        <v>20</v>
      </c>
      <c r="Q344" t="s">
        <v>32</v>
      </c>
      <c r="R344" t="s">
        <v>50</v>
      </c>
      <c r="S344" t="s">
        <v>47</v>
      </c>
      <c r="T344" t="s">
        <v>25</v>
      </c>
      <c r="U344" t="s">
        <v>29</v>
      </c>
      <c r="V344" s="94" t="s">
        <v>949</v>
      </c>
      <c r="W344" t="s">
        <v>16</v>
      </c>
    </row>
    <row r="345" spans="1:23" ht="12.75">
      <c r="A345" s="1">
        <v>45728.099652777775</v>
      </c>
      <c r="C345" t="s">
        <v>123</v>
      </c>
      <c r="D345">
        <v>25</v>
      </c>
      <c r="E345">
        <v>156</v>
      </c>
      <c r="F345">
        <v>98</v>
      </c>
      <c r="G345">
        <v>2</v>
      </c>
      <c r="H345" t="s">
        <v>28</v>
      </c>
      <c r="I345" t="s">
        <v>29</v>
      </c>
      <c r="J345" t="s">
        <v>36</v>
      </c>
      <c r="K345" t="s">
        <v>30</v>
      </c>
      <c r="L345" t="s">
        <v>20</v>
      </c>
      <c r="M345" t="s">
        <v>52</v>
      </c>
      <c r="N345" t="s">
        <v>20</v>
      </c>
      <c r="O345" t="s">
        <v>46</v>
      </c>
      <c r="P345" t="s">
        <v>40</v>
      </c>
      <c r="Q345" t="s">
        <v>13</v>
      </c>
      <c r="R345" t="s">
        <v>33</v>
      </c>
      <c r="S345" t="s">
        <v>47</v>
      </c>
      <c r="T345" t="s">
        <v>15</v>
      </c>
      <c r="U345" t="s">
        <v>29</v>
      </c>
      <c r="V345" s="94" t="s">
        <v>950</v>
      </c>
      <c r="W345" t="s">
        <v>16</v>
      </c>
    </row>
    <row r="346" spans="1:23" ht="12.75">
      <c r="A346" s="1">
        <v>45758.161956018521</v>
      </c>
      <c r="C346" t="s">
        <v>164</v>
      </c>
      <c r="D346">
        <v>45</v>
      </c>
      <c r="E346">
        <v>172</v>
      </c>
      <c r="F346">
        <v>50</v>
      </c>
      <c r="G346">
        <v>1.5</v>
      </c>
      <c r="H346" t="s">
        <v>590</v>
      </c>
      <c r="I346" t="s">
        <v>5</v>
      </c>
      <c r="J346" t="s">
        <v>36</v>
      </c>
      <c r="K346" t="s">
        <v>60</v>
      </c>
      <c r="L346" t="s">
        <v>20</v>
      </c>
      <c r="M346" t="s">
        <v>38</v>
      </c>
      <c r="N346" t="s">
        <v>8</v>
      </c>
      <c r="O346" t="s">
        <v>11</v>
      </c>
      <c r="P346" t="s">
        <v>10</v>
      </c>
      <c r="Q346" t="s">
        <v>13</v>
      </c>
      <c r="R346" t="s">
        <v>14</v>
      </c>
      <c r="S346" t="s">
        <v>25</v>
      </c>
      <c r="T346" t="s">
        <v>25</v>
      </c>
      <c r="U346" t="s">
        <v>29</v>
      </c>
      <c r="V346" s="94" t="s">
        <v>951</v>
      </c>
      <c r="W346" t="s">
        <v>39</v>
      </c>
    </row>
    <row r="347" spans="1:23" ht="12.75">
      <c r="A347" s="1">
        <v>45743.838067129633</v>
      </c>
      <c r="C347" t="s">
        <v>54</v>
      </c>
      <c r="D347">
        <v>43</v>
      </c>
      <c r="E347">
        <v>171</v>
      </c>
      <c r="F347">
        <v>96</v>
      </c>
      <c r="G347">
        <v>2.5</v>
      </c>
      <c r="H347" t="s">
        <v>592</v>
      </c>
      <c r="I347" t="s">
        <v>29</v>
      </c>
      <c r="J347" t="s">
        <v>6</v>
      </c>
      <c r="K347" t="s">
        <v>60</v>
      </c>
      <c r="L347" t="s">
        <v>10</v>
      </c>
      <c r="M347" t="s">
        <v>9</v>
      </c>
      <c r="N347" t="s">
        <v>12</v>
      </c>
      <c r="O347" t="s">
        <v>11</v>
      </c>
      <c r="P347" t="s">
        <v>10</v>
      </c>
      <c r="Q347" t="s">
        <v>13</v>
      </c>
      <c r="R347" t="s">
        <v>50</v>
      </c>
      <c r="S347" t="s">
        <v>47</v>
      </c>
      <c r="T347" t="s">
        <v>24</v>
      </c>
      <c r="U347" t="s">
        <v>5</v>
      </c>
      <c r="V347" s="94" t="s">
        <v>952</v>
      </c>
      <c r="W347" t="s">
        <v>39</v>
      </c>
    </row>
    <row r="348" spans="1:23" ht="12.75">
      <c r="A348" s="1">
        <v>45762.778854166667</v>
      </c>
      <c r="C348" t="s">
        <v>74</v>
      </c>
      <c r="D348">
        <v>34</v>
      </c>
      <c r="E348">
        <v>174</v>
      </c>
      <c r="F348">
        <v>97</v>
      </c>
      <c r="G348">
        <v>3</v>
      </c>
      <c r="H348" t="s">
        <v>590</v>
      </c>
      <c r="I348" t="s">
        <v>29</v>
      </c>
      <c r="J348" t="s">
        <v>6</v>
      </c>
      <c r="K348" t="s">
        <v>19</v>
      </c>
      <c r="L348" t="s">
        <v>31</v>
      </c>
      <c r="M348" t="s">
        <v>21</v>
      </c>
      <c r="N348" t="s">
        <v>31</v>
      </c>
      <c r="O348" t="s">
        <v>46</v>
      </c>
      <c r="P348" t="s">
        <v>31</v>
      </c>
      <c r="Q348" t="s">
        <v>23</v>
      </c>
      <c r="R348" t="s">
        <v>50</v>
      </c>
      <c r="S348" t="s">
        <v>25</v>
      </c>
      <c r="T348" t="s">
        <v>15</v>
      </c>
      <c r="U348" t="s">
        <v>5</v>
      </c>
      <c r="V348" s="94" t="s">
        <v>953</v>
      </c>
      <c r="W348" t="s">
        <v>16</v>
      </c>
    </row>
    <row r="349" spans="1:23" ht="12.75">
      <c r="A349" s="1">
        <v>45710.112118055556</v>
      </c>
      <c r="C349" t="s">
        <v>154</v>
      </c>
      <c r="D349">
        <v>49</v>
      </c>
      <c r="E349">
        <v>164</v>
      </c>
      <c r="F349">
        <v>71</v>
      </c>
      <c r="G349">
        <v>2</v>
      </c>
      <c r="H349" t="s">
        <v>590</v>
      </c>
      <c r="I349" t="s">
        <v>29</v>
      </c>
      <c r="J349" t="s">
        <v>6</v>
      </c>
      <c r="K349" t="s">
        <v>7</v>
      </c>
      <c r="L349" t="s">
        <v>8</v>
      </c>
      <c r="M349" t="s">
        <v>9</v>
      </c>
      <c r="N349" t="s">
        <v>10</v>
      </c>
      <c r="O349" t="s">
        <v>22</v>
      </c>
      <c r="P349" t="s">
        <v>31</v>
      </c>
      <c r="Q349" t="s">
        <v>55</v>
      </c>
      <c r="R349" t="s">
        <v>50</v>
      </c>
      <c r="S349" t="s">
        <v>15</v>
      </c>
      <c r="T349" t="s">
        <v>47</v>
      </c>
      <c r="U349" t="s">
        <v>5</v>
      </c>
      <c r="V349" s="94" t="s">
        <v>954</v>
      </c>
      <c r="W349" t="s">
        <v>26</v>
      </c>
    </row>
    <row r="350" spans="1:23" ht="12.75">
      <c r="A350" s="1">
        <v>45720.696620370371</v>
      </c>
      <c r="C350" t="s">
        <v>220</v>
      </c>
      <c r="D350">
        <v>23</v>
      </c>
      <c r="E350">
        <v>187</v>
      </c>
      <c r="F350">
        <v>76</v>
      </c>
      <c r="G350">
        <v>1</v>
      </c>
      <c r="H350" t="s">
        <v>591</v>
      </c>
      <c r="I350" t="s">
        <v>29</v>
      </c>
      <c r="J350" t="s">
        <v>36</v>
      </c>
      <c r="K350" t="s">
        <v>30</v>
      </c>
      <c r="L350" t="s">
        <v>8</v>
      </c>
      <c r="M350" t="s">
        <v>52</v>
      </c>
      <c r="N350" t="s">
        <v>10</v>
      </c>
      <c r="O350" t="s">
        <v>44</v>
      </c>
      <c r="P350" t="s">
        <v>10</v>
      </c>
      <c r="Q350" t="s">
        <v>13</v>
      </c>
      <c r="R350" t="s">
        <v>50</v>
      </c>
      <c r="S350" t="s">
        <v>25</v>
      </c>
      <c r="T350" t="s">
        <v>25</v>
      </c>
      <c r="U350" t="s">
        <v>29</v>
      </c>
      <c r="V350" s="94" t="s">
        <v>955</v>
      </c>
      <c r="W350" t="s">
        <v>39</v>
      </c>
    </row>
    <row r="351" spans="1:23" ht="12.75">
      <c r="A351" s="1">
        <v>45761.49763888889</v>
      </c>
      <c r="C351" t="s">
        <v>196</v>
      </c>
      <c r="D351">
        <v>40</v>
      </c>
      <c r="E351">
        <v>164</v>
      </c>
      <c r="F351">
        <v>51</v>
      </c>
      <c r="G351">
        <v>3</v>
      </c>
      <c r="H351" t="s">
        <v>590</v>
      </c>
      <c r="I351" t="s">
        <v>29</v>
      </c>
      <c r="J351" t="s">
        <v>36</v>
      </c>
      <c r="K351" t="s">
        <v>7</v>
      </c>
      <c r="L351" t="s">
        <v>31</v>
      </c>
      <c r="M351" t="s">
        <v>38</v>
      </c>
      <c r="N351" t="s">
        <v>40</v>
      </c>
      <c r="O351" t="s">
        <v>22</v>
      </c>
      <c r="P351" t="s">
        <v>8</v>
      </c>
      <c r="Q351" t="s">
        <v>55</v>
      </c>
      <c r="R351" t="s">
        <v>14</v>
      </c>
      <c r="S351" t="s">
        <v>15</v>
      </c>
      <c r="T351" t="s">
        <v>25</v>
      </c>
      <c r="U351" t="s">
        <v>29</v>
      </c>
      <c r="V351" s="94" t="s">
        <v>956</v>
      </c>
      <c r="W351" t="s">
        <v>34</v>
      </c>
    </row>
    <row r="352" spans="1:23" ht="12.75">
      <c r="A352" s="1">
        <v>45724.268437500003</v>
      </c>
      <c r="C352" t="s">
        <v>246</v>
      </c>
      <c r="D352">
        <v>26</v>
      </c>
      <c r="E352">
        <v>186</v>
      </c>
      <c r="F352">
        <v>75</v>
      </c>
      <c r="G352">
        <v>1.5</v>
      </c>
      <c r="H352" t="s">
        <v>28</v>
      </c>
      <c r="I352" t="s">
        <v>29</v>
      </c>
      <c r="J352" t="s">
        <v>6</v>
      </c>
      <c r="K352" t="s">
        <v>63</v>
      </c>
      <c r="L352" t="s">
        <v>31</v>
      </c>
      <c r="M352" t="s">
        <v>38</v>
      </c>
      <c r="N352" t="s">
        <v>31</v>
      </c>
      <c r="O352" t="s">
        <v>44</v>
      </c>
      <c r="P352" t="s">
        <v>8</v>
      </c>
      <c r="Q352" t="s">
        <v>13</v>
      </c>
      <c r="R352" t="s">
        <v>33</v>
      </c>
      <c r="S352" t="s">
        <v>15</v>
      </c>
      <c r="T352" t="s">
        <v>25</v>
      </c>
      <c r="U352" t="s">
        <v>29</v>
      </c>
      <c r="V352" s="94" t="s">
        <v>957</v>
      </c>
      <c r="W352" t="s">
        <v>34</v>
      </c>
    </row>
    <row r="353" spans="1:23" ht="12.75">
      <c r="A353" s="1">
        <v>45671.77820601852</v>
      </c>
      <c r="C353" t="s">
        <v>92</v>
      </c>
      <c r="D353">
        <v>46</v>
      </c>
      <c r="E353">
        <v>161</v>
      </c>
      <c r="F353">
        <v>63</v>
      </c>
      <c r="G353">
        <v>1.5</v>
      </c>
      <c r="H353" t="s">
        <v>592</v>
      </c>
      <c r="I353" t="s">
        <v>29</v>
      </c>
      <c r="J353" t="s">
        <v>36</v>
      </c>
      <c r="K353" t="s">
        <v>30</v>
      </c>
      <c r="L353" t="s">
        <v>10</v>
      </c>
      <c r="M353" t="s">
        <v>9</v>
      </c>
      <c r="N353" t="s">
        <v>12</v>
      </c>
      <c r="O353" t="s">
        <v>11</v>
      </c>
      <c r="P353" t="s">
        <v>40</v>
      </c>
      <c r="Q353" t="s">
        <v>32</v>
      </c>
      <c r="R353" t="s">
        <v>14</v>
      </c>
      <c r="S353" t="s">
        <v>25</v>
      </c>
      <c r="T353" t="s">
        <v>25</v>
      </c>
      <c r="U353" t="s">
        <v>29</v>
      </c>
      <c r="V353" s="94" t="s">
        <v>958</v>
      </c>
      <c r="W353" t="s">
        <v>34</v>
      </c>
    </row>
    <row r="354" spans="1:23" ht="12.75">
      <c r="A354" s="1">
        <v>45806.411458333336</v>
      </c>
      <c r="C354" t="s">
        <v>247</v>
      </c>
      <c r="D354">
        <v>32</v>
      </c>
      <c r="E354">
        <v>173</v>
      </c>
      <c r="F354">
        <v>78</v>
      </c>
      <c r="G354">
        <v>1.5</v>
      </c>
      <c r="H354" t="s">
        <v>590</v>
      </c>
      <c r="I354" t="s">
        <v>5</v>
      </c>
      <c r="J354" t="s">
        <v>6</v>
      </c>
      <c r="K354" t="s">
        <v>37</v>
      </c>
      <c r="L354" t="s">
        <v>12</v>
      </c>
      <c r="M354" t="s">
        <v>21</v>
      </c>
      <c r="N354" t="s">
        <v>40</v>
      </c>
      <c r="O354" t="s">
        <v>11</v>
      </c>
      <c r="P354" t="s">
        <v>8</v>
      </c>
      <c r="Q354" t="s">
        <v>55</v>
      </c>
      <c r="R354" t="s">
        <v>33</v>
      </c>
      <c r="S354" t="s">
        <v>47</v>
      </c>
      <c r="T354" t="s">
        <v>25</v>
      </c>
      <c r="U354" t="s">
        <v>29</v>
      </c>
      <c r="V354" s="94" t="s">
        <v>959</v>
      </c>
      <c r="W354" t="s">
        <v>34</v>
      </c>
    </row>
    <row r="355" spans="1:23" ht="12.75">
      <c r="A355" s="1">
        <v>45768.238749999997</v>
      </c>
      <c r="C355" t="s">
        <v>57</v>
      </c>
      <c r="D355">
        <v>27</v>
      </c>
      <c r="E355">
        <v>158</v>
      </c>
      <c r="F355">
        <v>56</v>
      </c>
      <c r="G355">
        <v>2</v>
      </c>
      <c r="H355" t="s">
        <v>592</v>
      </c>
      <c r="I355" t="s">
        <v>5</v>
      </c>
      <c r="J355" t="s">
        <v>36</v>
      </c>
      <c r="K355" t="s">
        <v>19</v>
      </c>
      <c r="L355" t="s">
        <v>10</v>
      </c>
      <c r="M355" t="s">
        <v>9</v>
      </c>
      <c r="N355" t="s">
        <v>31</v>
      </c>
      <c r="O355" t="s">
        <v>44</v>
      </c>
      <c r="P355" t="s">
        <v>8</v>
      </c>
      <c r="Q355" t="s">
        <v>55</v>
      </c>
      <c r="R355" t="s">
        <v>33</v>
      </c>
      <c r="S355" t="s">
        <v>47</v>
      </c>
      <c r="T355" t="s">
        <v>24</v>
      </c>
      <c r="U355" t="s">
        <v>5</v>
      </c>
      <c r="V355" s="94" t="s">
        <v>960</v>
      </c>
      <c r="W355" t="s">
        <v>34</v>
      </c>
    </row>
    <row r="356" spans="1:23" ht="12.75">
      <c r="A356" s="1">
        <v>45722.704942129632</v>
      </c>
      <c r="C356" t="s">
        <v>248</v>
      </c>
      <c r="D356">
        <v>31</v>
      </c>
      <c r="E356">
        <v>158</v>
      </c>
      <c r="F356">
        <v>86</v>
      </c>
      <c r="G356">
        <v>1</v>
      </c>
      <c r="H356" t="s">
        <v>591</v>
      </c>
      <c r="I356" t="s">
        <v>29</v>
      </c>
      <c r="J356" t="s">
        <v>6</v>
      </c>
      <c r="K356" t="s">
        <v>37</v>
      </c>
      <c r="L356" t="s">
        <v>31</v>
      </c>
      <c r="M356" t="s">
        <v>9</v>
      </c>
      <c r="N356" t="s">
        <v>40</v>
      </c>
      <c r="O356" t="s">
        <v>46</v>
      </c>
      <c r="P356" t="s">
        <v>31</v>
      </c>
      <c r="Q356" t="s">
        <v>13</v>
      </c>
      <c r="R356" t="s">
        <v>33</v>
      </c>
      <c r="S356" t="s">
        <v>15</v>
      </c>
      <c r="T356" t="s">
        <v>24</v>
      </c>
      <c r="U356" t="s">
        <v>29</v>
      </c>
      <c r="V356" s="94" t="s">
        <v>961</v>
      </c>
      <c r="W356" t="s">
        <v>39</v>
      </c>
    </row>
    <row r="357" spans="1:23" ht="12.75">
      <c r="A357" s="1">
        <v>45754.046712962961</v>
      </c>
      <c r="C357" t="s">
        <v>163</v>
      </c>
      <c r="D357">
        <v>39</v>
      </c>
      <c r="E357">
        <v>183</v>
      </c>
      <c r="F357">
        <v>58</v>
      </c>
      <c r="G357">
        <v>3</v>
      </c>
      <c r="H357" t="s">
        <v>592</v>
      </c>
      <c r="I357" t="s">
        <v>5</v>
      </c>
      <c r="J357" t="s">
        <v>6</v>
      </c>
      <c r="K357" t="s">
        <v>37</v>
      </c>
      <c r="L357" t="s">
        <v>20</v>
      </c>
      <c r="M357" t="s">
        <v>21</v>
      </c>
      <c r="N357" t="s">
        <v>40</v>
      </c>
      <c r="O357" t="s">
        <v>11</v>
      </c>
      <c r="P357" t="s">
        <v>10</v>
      </c>
      <c r="Q357" t="s">
        <v>32</v>
      </c>
      <c r="R357" t="s">
        <v>14</v>
      </c>
      <c r="S357" t="s">
        <v>24</v>
      </c>
      <c r="T357" t="s">
        <v>24</v>
      </c>
      <c r="U357" t="s">
        <v>29</v>
      </c>
      <c r="V357" s="94" t="s">
        <v>962</v>
      </c>
      <c r="W357" t="s">
        <v>16</v>
      </c>
    </row>
    <row r="358" spans="1:23" ht="12.75">
      <c r="A358" s="1">
        <v>45732.047349537039</v>
      </c>
      <c r="C358" t="s">
        <v>249</v>
      </c>
      <c r="D358">
        <v>27</v>
      </c>
      <c r="E358">
        <v>167</v>
      </c>
      <c r="F358">
        <v>79</v>
      </c>
      <c r="G358">
        <v>3</v>
      </c>
      <c r="H358" t="s">
        <v>590</v>
      </c>
      <c r="I358" t="s">
        <v>5</v>
      </c>
      <c r="J358" t="s">
        <v>36</v>
      </c>
      <c r="K358" t="s">
        <v>63</v>
      </c>
      <c r="L358" t="s">
        <v>20</v>
      </c>
      <c r="M358" t="s">
        <v>38</v>
      </c>
      <c r="N358" t="s">
        <v>31</v>
      </c>
      <c r="O358" t="s">
        <v>44</v>
      </c>
      <c r="P358" t="s">
        <v>12</v>
      </c>
      <c r="Q358" t="s">
        <v>32</v>
      </c>
      <c r="R358" t="s">
        <v>14</v>
      </c>
      <c r="S358" t="s">
        <v>15</v>
      </c>
      <c r="T358" t="s">
        <v>47</v>
      </c>
      <c r="U358" t="s">
        <v>5</v>
      </c>
      <c r="V358" s="94" t="s">
        <v>963</v>
      </c>
      <c r="W358" t="s">
        <v>26</v>
      </c>
    </row>
    <row r="359" spans="1:23" ht="12.75">
      <c r="A359" s="1">
        <v>45802.990289351852</v>
      </c>
      <c r="C359" t="s">
        <v>59</v>
      </c>
      <c r="D359">
        <v>48</v>
      </c>
      <c r="E359">
        <v>171</v>
      </c>
      <c r="F359">
        <v>60</v>
      </c>
      <c r="G359">
        <v>1.5</v>
      </c>
      <c r="H359" t="s">
        <v>591</v>
      </c>
      <c r="I359" t="s">
        <v>29</v>
      </c>
      <c r="J359" t="s">
        <v>6</v>
      </c>
      <c r="K359" t="s">
        <v>37</v>
      </c>
      <c r="L359" t="s">
        <v>10</v>
      </c>
      <c r="M359" t="s">
        <v>21</v>
      </c>
      <c r="N359" t="s">
        <v>8</v>
      </c>
      <c r="O359" t="s">
        <v>22</v>
      </c>
      <c r="P359" t="s">
        <v>8</v>
      </c>
      <c r="Q359" t="s">
        <v>13</v>
      </c>
      <c r="R359" t="s">
        <v>33</v>
      </c>
      <c r="S359" t="s">
        <v>15</v>
      </c>
      <c r="T359" t="s">
        <v>24</v>
      </c>
      <c r="U359" t="s">
        <v>5</v>
      </c>
      <c r="V359" s="94" t="s">
        <v>964</v>
      </c>
      <c r="W359" t="s">
        <v>16</v>
      </c>
    </row>
    <row r="360" spans="1:23" ht="12.75">
      <c r="A360" s="1">
        <v>45800.08048611111</v>
      </c>
      <c r="C360" t="s">
        <v>41</v>
      </c>
      <c r="D360">
        <v>23</v>
      </c>
      <c r="E360">
        <v>183</v>
      </c>
      <c r="F360">
        <v>90</v>
      </c>
      <c r="G360">
        <v>2</v>
      </c>
      <c r="H360" t="s">
        <v>592</v>
      </c>
      <c r="I360" t="s">
        <v>29</v>
      </c>
      <c r="J360" t="s">
        <v>36</v>
      </c>
      <c r="K360" t="s">
        <v>19</v>
      </c>
      <c r="L360" t="s">
        <v>20</v>
      </c>
      <c r="M360" t="s">
        <v>21</v>
      </c>
      <c r="N360" t="s">
        <v>8</v>
      </c>
      <c r="O360" t="s">
        <v>44</v>
      </c>
      <c r="P360" t="s">
        <v>31</v>
      </c>
      <c r="Q360" t="s">
        <v>55</v>
      </c>
      <c r="R360" t="s">
        <v>50</v>
      </c>
      <c r="S360" t="s">
        <v>47</v>
      </c>
      <c r="T360" t="s">
        <v>25</v>
      </c>
      <c r="U360" t="s">
        <v>29</v>
      </c>
      <c r="V360" s="94" t="s">
        <v>965</v>
      </c>
      <c r="W360" t="s">
        <v>39</v>
      </c>
    </row>
    <row r="361" spans="1:23" ht="12.75">
      <c r="A361" s="1">
        <v>45786.160312499997</v>
      </c>
      <c r="C361" t="s">
        <v>208</v>
      </c>
      <c r="D361">
        <v>51</v>
      </c>
      <c r="E361">
        <v>167</v>
      </c>
      <c r="F361">
        <v>86</v>
      </c>
      <c r="G361">
        <v>3</v>
      </c>
      <c r="H361" t="s">
        <v>590</v>
      </c>
      <c r="I361" t="s">
        <v>29</v>
      </c>
      <c r="J361" t="s">
        <v>36</v>
      </c>
      <c r="K361" t="s">
        <v>30</v>
      </c>
      <c r="L361" t="s">
        <v>20</v>
      </c>
      <c r="M361" t="s">
        <v>38</v>
      </c>
      <c r="N361" t="s">
        <v>12</v>
      </c>
      <c r="O361" t="s">
        <v>46</v>
      </c>
      <c r="P361" t="s">
        <v>20</v>
      </c>
      <c r="Q361" t="s">
        <v>32</v>
      </c>
      <c r="R361" t="s">
        <v>50</v>
      </c>
      <c r="S361" t="s">
        <v>25</v>
      </c>
      <c r="T361" t="s">
        <v>25</v>
      </c>
      <c r="U361" t="s">
        <v>29</v>
      </c>
      <c r="V361" s="94" t="s">
        <v>966</v>
      </c>
      <c r="W361" t="s">
        <v>16</v>
      </c>
    </row>
    <row r="362" spans="1:23" ht="12.75">
      <c r="A362" s="1">
        <v>45738.170416666668</v>
      </c>
      <c r="C362" t="s">
        <v>242</v>
      </c>
      <c r="D362">
        <v>44</v>
      </c>
      <c r="E362">
        <v>186</v>
      </c>
      <c r="F362">
        <v>80</v>
      </c>
      <c r="G362">
        <v>1.5</v>
      </c>
      <c r="H362" t="s">
        <v>590</v>
      </c>
      <c r="I362" t="s">
        <v>5</v>
      </c>
      <c r="J362" t="s">
        <v>6</v>
      </c>
      <c r="K362" t="s">
        <v>63</v>
      </c>
      <c r="L362" t="s">
        <v>8</v>
      </c>
      <c r="M362" t="s">
        <v>21</v>
      </c>
      <c r="N362" t="s">
        <v>8</v>
      </c>
      <c r="O362" t="s">
        <v>11</v>
      </c>
      <c r="P362" t="s">
        <v>10</v>
      </c>
      <c r="Q362" t="s">
        <v>13</v>
      </c>
      <c r="R362" t="s">
        <v>33</v>
      </c>
      <c r="S362" t="s">
        <v>47</v>
      </c>
      <c r="T362" t="s">
        <v>24</v>
      </c>
      <c r="U362" t="s">
        <v>5</v>
      </c>
      <c r="V362" s="94" t="s">
        <v>967</v>
      </c>
      <c r="W362" t="s">
        <v>34</v>
      </c>
    </row>
    <row r="363" spans="1:23" ht="12.75">
      <c r="A363" s="1">
        <v>45711.447245370371</v>
      </c>
      <c r="C363" t="s">
        <v>250</v>
      </c>
      <c r="D363">
        <v>20</v>
      </c>
      <c r="E363">
        <v>161</v>
      </c>
      <c r="F363">
        <v>93</v>
      </c>
      <c r="G363">
        <v>3</v>
      </c>
      <c r="H363" t="s">
        <v>590</v>
      </c>
      <c r="I363" t="s">
        <v>29</v>
      </c>
      <c r="J363" t="s">
        <v>36</v>
      </c>
      <c r="K363" t="s">
        <v>60</v>
      </c>
      <c r="L363" t="s">
        <v>40</v>
      </c>
      <c r="M363" t="s">
        <v>52</v>
      </c>
      <c r="N363" t="s">
        <v>10</v>
      </c>
      <c r="O363" t="s">
        <v>11</v>
      </c>
      <c r="P363" t="s">
        <v>20</v>
      </c>
      <c r="Q363" t="s">
        <v>13</v>
      </c>
      <c r="R363" t="s">
        <v>33</v>
      </c>
      <c r="S363" t="s">
        <v>47</v>
      </c>
      <c r="T363" t="s">
        <v>25</v>
      </c>
      <c r="U363" t="s">
        <v>5</v>
      </c>
      <c r="V363" s="94" t="s">
        <v>968</v>
      </c>
      <c r="W363" t="s">
        <v>26</v>
      </c>
    </row>
    <row r="364" spans="1:23" ht="12.75">
      <c r="A364" s="1">
        <v>45800.070625</v>
      </c>
      <c r="C364" t="s">
        <v>126</v>
      </c>
      <c r="D364">
        <v>47</v>
      </c>
      <c r="E364">
        <v>184</v>
      </c>
      <c r="F364">
        <v>72</v>
      </c>
      <c r="G364">
        <v>2.5</v>
      </c>
      <c r="H364" t="s">
        <v>28</v>
      </c>
      <c r="I364" t="s">
        <v>29</v>
      </c>
      <c r="J364" t="s">
        <v>36</v>
      </c>
      <c r="K364" t="s">
        <v>7</v>
      </c>
      <c r="L364" t="s">
        <v>12</v>
      </c>
      <c r="M364" t="s">
        <v>9</v>
      </c>
      <c r="N364" t="s">
        <v>20</v>
      </c>
      <c r="O364" t="s">
        <v>22</v>
      </c>
      <c r="P364" t="s">
        <v>8</v>
      </c>
      <c r="Q364" t="s">
        <v>55</v>
      </c>
      <c r="R364" t="s">
        <v>33</v>
      </c>
      <c r="S364" t="s">
        <v>24</v>
      </c>
      <c r="T364" t="s">
        <v>47</v>
      </c>
      <c r="U364" t="s">
        <v>5</v>
      </c>
      <c r="V364" s="94" t="s">
        <v>969</v>
      </c>
      <c r="W364" t="s">
        <v>34</v>
      </c>
    </row>
    <row r="365" spans="1:23" ht="12.75">
      <c r="A365" s="1">
        <v>45718.705787037034</v>
      </c>
      <c r="C365" t="s">
        <v>249</v>
      </c>
      <c r="D365">
        <v>50</v>
      </c>
      <c r="E365">
        <v>169</v>
      </c>
      <c r="F365">
        <v>56</v>
      </c>
      <c r="G365">
        <v>1.5</v>
      </c>
      <c r="H365" t="s">
        <v>590</v>
      </c>
      <c r="I365" t="s">
        <v>5</v>
      </c>
      <c r="J365" t="s">
        <v>6</v>
      </c>
      <c r="K365" t="s">
        <v>7</v>
      </c>
      <c r="L365" t="s">
        <v>20</v>
      </c>
      <c r="M365" t="s">
        <v>52</v>
      </c>
      <c r="N365" t="s">
        <v>31</v>
      </c>
      <c r="O365" t="s">
        <v>46</v>
      </c>
      <c r="P365" t="s">
        <v>40</v>
      </c>
      <c r="Q365" t="s">
        <v>55</v>
      </c>
      <c r="R365" t="s">
        <v>33</v>
      </c>
      <c r="S365" t="s">
        <v>15</v>
      </c>
      <c r="T365" t="s">
        <v>24</v>
      </c>
      <c r="U365" t="s">
        <v>29</v>
      </c>
      <c r="V365" s="94" t="s">
        <v>970</v>
      </c>
      <c r="W365" t="s">
        <v>34</v>
      </c>
    </row>
    <row r="366" spans="1:23" ht="12.75">
      <c r="A366" s="1">
        <v>45687.168993055559</v>
      </c>
      <c r="C366" t="s">
        <v>57</v>
      </c>
      <c r="D366">
        <v>34</v>
      </c>
      <c r="E366">
        <v>175</v>
      </c>
      <c r="F366">
        <v>50</v>
      </c>
      <c r="G366">
        <v>2</v>
      </c>
      <c r="H366" t="s">
        <v>591</v>
      </c>
      <c r="I366" t="s">
        <v>29</v>
      </c>
      <c r="J366" t="s">
        <v>36</v>
      </c>
      <c r="K366" t="s">
        <v>60</v>
      </c>
      <c r="L366" t="s">
        <v>40</v>
      </c>
      <c r="M366" t="s">
        <v>52</v>
      </c>
      <c r="N366" t="s">
        <v>12</v>
      </c>
      <c r="O366" t="s">
        <v>11</v>
      </c>
      <c r="P366" t="s">
        <v>12</v>
      </c>
      <c r="Q366" t="s">
        <v>55</v>
      </c>
      <c r="R366" t="s">
        <v>14</v>
      </c>
      <c r="S366" t="s">
        <v>47</v>
      </c>
      <c r="T366" t="s">
        <v>47</v>
      </c>
      <c r="U366" t="s">
        <v>5</v>
      </c>
      <c r="V366" s="94" t="s">
        <v>971</v>
      </c>
      <c r="W366" t="s">
        <v>39</v>
      </c>
    </row>
    <row r="367" spans="1:23" ht="12.75">
      <c r="A367" s="1">
        <v>45763.845381944448</v>
      </c>
      <c r="C367" t="s">
        <v>251</v>
      </c>
      <c r="D367">
        <v>58</v>
      </c>
      <c r="E367">
        <v>186</v>
      </c>
      <c r="F367">
        <v>99</v>
      </c>
      <c r="G367">
        <v>2</v>
      </c>
      <c r="H367" t="s">
        <v>590</v>
      </c>
      <c r="I367" t="s">
        <v>5</v>
      </c>
      <c r="J367" t="s">
        <v>6</v>
      </c>
      <c r="K367" t="s">
        <v>30</v>
      </c>
      <c r="L367" t="s">
        <v>8</v>
      </c>
      <c r="M367" t="s">
        <v>52</v>
      </c>
      <c r="N367" t="s">
        <v>40</v>
      </c>
      <c r="O367" t="s">
        <v>44</v>
      </c>
      <c r="P367" t="s">
        <v>40</v>
      </c>
      <c r="Q367" t="s">
        <v>13</v>
      </c>
      <c r="R367" t="s">
        <v>50</v>
      </c>
      <c r="S367" t="s">
        <v>47</v>
      </c>
      <c r="T367" t="s">
        <v>25</v>
      </c>
      <c r="U367" t="s">
        <v>5</v>
      </c>
      <c r="V367" s="94" t="s">
        <v>972</v>
      </c>
      <c r="W367" t="s">
        <v>26</v>
      </c>
    </row>
    <row r="368" spans="1:23" ht="12.75">
      <c r="A368" s="1">
        <v>45729.963055555556</v>
      </c>
      <c r="C368" t="s">
        <v>252</v>
      </c>
      <c r="D368">
        <v>28</v>
      </c>
      <c r="E368">
        <v>161</v>
      </c>
      <c r="F368">
        <v>61</v>
      </c>
      <c r="G368">
        <v>2</v>
      </c>
      <c r="H368" t="s">
        <v>590</v>
      </c>
      <c r="I368" t="s">
        <v>5</v>
      </c>
      <c r="J368" t="s">
        <v>6</v>
      </c>
      <c r="K368" t="s">
        <v>37</v>
      </c>
      <c r="L368" t="s">
        <v>20</v>
      </c>
      <c r="M368" t="s">
        <v>9</v>
      </c>
      <c r="N368" t="s">
        <v>12</v>
      </c>
      <c r="O368" t="s">
        <v>46</v>
      </c>
      <c r="P368" t="s">
        <v>10</v>
      </c>
      <c r="Q368" t="s">
        <v>23</v>
      </c>
      <c r="R368" t="s">
        <v>50</v>
      </c>
      <c r="S368" t="s">
        <v>24</v>
      </c>
      <c r="T368" t="s">
        <v>24</v>
      </c>
      <c r="U368" t="s">
        <v>29</v>
      </c>
      <c r="V368" s="94" t="s">
        <v>973</v>
      </c>
      <c r="W368" t="s">
        <v>34</v>
      </c>
    </row>
    <row r="369" spans="1:23" ht="12.75">
      <c r="A369" s="1">
        <v>45807.130300925928</v>
      </c>
      <c r="C369" t="s">
        <v>253</v>
      </c>
      <c r="D369">
        <v>36</v>
      </c>
      <c r="E369">
        <v>170</v>
      </c>
      <c r="F369">
        <v>72</v>
      </c>
      <c r="G369">
        <v>2.5</v>
      </c>
      <c r="H369" t="s">
        <v>590</v>
      </c>
      <c r="I369" t="s">
        <v>5</v>
      </c>
      <c r="J369" t="s">
        <v>36</v>
      </c>
      <c r="K369" t="s">
        <v>63</v>
      </c>
      <c r="L369" t="s">
        <v>8</v>
      </c>
      <c r="M369" t="s">
        <v>52</v>
      </c>
      <c r="N369" t="s">
        <v>8</v>
      </c>
      <c r="O369" t="s">
        <v>11</v>
      </c>
      <c r="P369" t="s">
        <v>10</v>
      </c>
      <c r="Q369" t="s">
        <v>55</v>
      </c>
      <c r="R369" t="s">
        <v>33</v>
      </c>
      <c r="S369" t="s">
        <v>24</v>
      </c>
      <c r="T369" t="s">
        <v>25</v>
      </c>
      <c r="U369" t="s">
        <v>29</v>
      </c>
      <c r="V369" s="94" t="s">
        <v>974</v>
      </c>
      <c r="W369" t="s">
        <v>34</v>
      </c>
    </row>
    <row r="370" spans="1:23" ht="12.75">
      <c r="A370" s="1">
        <v>45773.479351851849</v>
      </c>
      <c r="C370" t="s">
        <v>221</v>
      </c>
      <c r="D370">
        <v>40</v>
      </c>
      <c r="E370">
        <v>177</v>
      </c>
      <c r="F370">
        <v>97</v>
      </c>
      <c r="G370">
        <v>3</v>
      </c>
      <c r="H370" t="s">
        <v>28</v>
      </c>
      <c r="I370" t="s">
        <v>5</v>
      </c>
      <c r="J370" t="s">
        <v>6</v>
      </c>
      <c r="K370" t="s">
        <v>37</v>
      </c>
      <c r="L370" t="s">
        <v>40</v>
      </c>
      <c r="M370" t="s">
        <v>38</v>
      </c>
      <c r="N370" t="s">
        <v>40</v>
      </c>
      <c r="O370" t="s">
        <v>44</v>
      </c>
      <c r="P370" t="s">
        <v>12</v>
      </c>
      <c r="Q370" t="s">
        <v>55</v>
      </c>
      <c r="R370" t="s">
        <v>14</v>
      </c>
      <c r="S370" t="s">
        <v>25</v>
      </c>
      <c r="T370" t="s">
        <v>47</v>
      </c>
      <c r="U370" t="s">
        <v>29</v>
      </c>
      <c r="V370" s="94" t="s">
        <v>975</v>
      </c>
      <c r="W370" t="s">
        <v>16</v>
      </c>
    </row>
    <row r="371" spans="1:23" ht="12.75">
      <c r="A371" s="1">
        <v>45747.56627314815</v>
      </c>
      <c r="C371" t="s">
        <v>67</v>
      </c>
      <c r="D371">
        <v>25</v>
      </c>
      <c r="E371">
        <v>174</v>
      </c>
      <c r="F371">
        <v>78</v>
      </c>
      <c r="G371">
        <v>1.5</v>
      </c>
      <c r="H371" t="s">
        <v>28</v>
      </c>
      <c r="I371" t="s">
        <v>5</v>
      </c>
      <c r="J371" t="s">
        <v>36</v>
      </c>
      <c r="K371" t="s">
        <v>19</v>
      </c>
      <c r="L371" t="s">
        <v>10</v>
      </c>
      <c r="M371" t="s">
        <v>52</v>
      </c>
      <c r="N371" t="s">
        <v>12</v>
      </c>
      <c r="O371" t="s">
        <v>44</v>
      </c>
      <c r="P371" t="s">
        <v>40</v>
      </c>
      <c r="Q371" t="s">
        <v>55</v>
      </c>
      <c r="R371" t="s">
        <v>14</v>
      </c>
      <c r="S371" t="s">
        <v>25</v>
      </c>
      <c r="T371" t="s">
        <v>47</v>
      </c>
      <c r="U371" t="s">
        <v>29</v>
      </c>
      <c r="V371" s="94" t="s">
        <v>976</v>
      </c>
      <c r="W371" t="s">
        <v>34</v>
      </c>
    </row>
    <row r="372" spans="1:23" ht="12.75">
      <c r="A372" s="1">
        <v>45682.724456018521</v>
      </c>
      <c r="C372" t="s">
        <v>137</v>
      </c>
      <c r="D372">
        <v>35</v>
      </c>
      <c r="E372">
        <v>167</v>
      </c>
      <c r="F372">
        <v>82</v>
      </c>
      <c r="G372">
        <v>3</v>
      </c>
      <c r="H372" t="s">
        <v>592</v>
      </c>
      <c r="I372" t="s">
        <v>29</v>
      </c>
      <c r="J372" t="s">
        <v>36</v>
      </c>
      <c r="K372" t="s">
        <v>63</v>
      </c>
      <c r="L372" t="s">
        <v>31</v>
      </c>
      <c r="M372" t="s">
        <v>52</v>
      </c>
      <c r="N372" t="s">
        <v>12</v>
      </c>
      <c r="O372" t="s">
        <v>11</v>
      </c>
      <c r="P372" t="s">
        <v>8</v>
      </c>
      <c r="Q372" t="s">
        <v>55</v>
      </c>
      <c r="R372" t="s">
        <v>14</v>
      </c>
      <c r="S372" t="s">
        <v>25</v>
      </c>
      <c r="T372" t="s">
        <v>24</v>
      </c>
      <c r="U372" t="s">
        <v>29</v>
      </c>
      <c r="V372" s="94" t="s">
        <v>977</v>
      </c>
      <c r="W372" t="s">
        <v>26</v>
      </c>
    </row>
    <row r="373" spans="1:23" ht="12.75">
      <c r="A373" s="1">
        <v>45788.164178240739</v>
      </c>
      <c r="C373" t="s">
        <v>57</v>
      </c>
      <c r="D373">
        <v>38</v>
      </c>
      <c r="E373">
        <v>181</v>
      </c>
      <c r="F373">
        <v>64</v>
      </c>
      <c r="G373">
        <v>1.5</v>
      </c>
      <c r="H373" t="s">
        <v>592</v>
      </c>
      <c r="I373" t="s">
        <v>5</v>
      </c>
      <c r="J373" t="s">
        <v>6</v>
      </c>
      <c r="K373" t="s">
        <v>60</v>
      </c>
      <c r="L373" t="s">
        <v>31</v>
      </c>
      <c r="M373" t="s">
        <v>9</v>
      </c>
      <c r="N373" t="s">
        <v>12</v>
      </c>
      <c r="O373" t="s">
        <v>22</v>
      </c>
      <c r="P373" t="s">
        <v>40</v>
      </c>
      <c r="Q373" t="s">
        <v>32</v>
      </c>
      <c r="R373" t="s">
        <v>33</v>
      </c>
      <c r="S373" t="s">
        <v>24</v>
      </c>
      <c r="T373" t="s">
        <v>25</v>
      </c>
      <c r="U373" t="s">
        <v>29</v>
      </c>
      <c r="V373" s="94" t="s">
        <v>978</v>
      </c>
      <c r="W373" t="s">
        <v>16</v>
      </c>
    </row>
    <row r="374" spans="1:23" ht="12.75">
      <c r="A374" s="1">
        <v>45690.252997685187</v>
      </c>
      <c r="C374" t="s">
        <v>43</v>
      </c>
      <c r="D374">
        <v>31</v>
      </c>
      <c r="E374">
        <v>160</v>
      </c>
      <c r="F374">
        <v>70</v>
      </c>
      <c r="G374">
        <v>3</v>
      </c>
      <c r="H374" t="s">
        <v>28</v>
      </c>
      <c r="I374" t="s">
        <v>5</v>
      </c>
      <c r="J374" t="s">
        <v>6</v>
      </c>
      <c r="K374" t="s">
        <v>30</v>
      </c>
      <c r="L374" t="s">
        <v>20</v>
      </c>
      <c r="M374" t="s">
        <v>38</v>
      </c>
      <c r="N374" t="s">
        <v>20</v>
      </c>
      <c r="O374" t="s">
        <v>22</v>
      </c>
      <c r="P374" t="s">
        <v>31</v>
      </c>
      <c r="Q374" t="s">
        <v>32</v>
      </c>
      <c r="R374" t="s">
        <v>14</v>
      </c>
      <c r="S374" t="s">
        <v>24</v>
      </c>
      <c r="T374" t="s">
        <v>25</v>
      </c>
      <c r="U374" t="s">
        <v>29</v>
      </c>
      <c r="V374" s="94" t="s">
        <v>979</v>
      </c>
      <c r="W374" t="s">
        <v>26</v>
      </c>
    </row>
    <row r="375" spans="1:23" ht="12.75">
      <c r="A375" s="1">
        <v>45658.754791666666</v>
      </c>
      <c r="C375" t="s">
        <v>112</v>
      </c>
      <c r="D375">
        <v>50</v>
      </c>
      <c r="E375">
        <v>155</v>
      </c>
      <c r="F375">
        <v>104</v>
      </c>
      <c r="G375">
        <v>2</v>
      </c>
      <c r="H375" t="s">
        <v>592</v>
      </c>
      <c r="I375" t="s">
        <v>29</v>
      </c>
      <c r="J375" t="s">
        <v>36</v>
      </c>
      <c r="K375" t="s">
        <v>7</v>
      </c>
      <c r="L375" t="s">
        <v>20</v>
      </c>
      <c r="M375" t="s">
        <v>38</v>
      </c>
      <c r="N375" t="s">
        <v>40</v>
      </c>
      <c r="O375" t="s">
        <v>22</v>
      </c>
      <c r="P375" t="s">
        <v>31</v>
      </c>
      <c r="Q375" t="s">
        <v>32</v>
      </c>
      <c r="R375" t="s">
        <v>14</v>
      </c>
      <c r="S375" t="s">
        <v>25</v>
      </c>
      <c r="T375" t="s">
        <v>25</v>
      </c>
      <c r="U375" t="s">
        <v>29</v>
      </c>
      <c r="V375" s="94" t="s">
        <v>980</v>
      </c>
      <c r="W375" t="s">
        <v>39</v>
      </c>
    </row>
    <row r="376" spans="1:23" ht="12.75">
      <c r="A376" s="1">
        <v>45694.443368055552</v>
      </c>
      <c r="C376" t="s">
        <v>106</v>
      </c>
      <c r="D376">
        <v>36</v>
      </c>
      <c r="E376">
        <v>181</v>
      </c>
      <c r="F376">
        <v>108</v>
      </c>
      <c r="G376">
        <v>2.5</v>
      </c>
      <c r="H376" t="s">
        <v>591</v>
      </c>
      <c r="I376" t="s">
        <v>5</v>
      </c>
      <c r="J376" t="s">
        <v>6</v>
      </c>
      <c r="K376" t="s">
        <v>60</v>
      </c>
      <c r="L376" t="s">
        <v>8</v>
      </c>
      <c r="M376" t="s">
        <v>38</v>
      </c>
      <c r="N376" t="s">
        <v>31</v>
      </c>
      <c r="O376" t="s">
        <v>22</v>
      </c>
      <c r="P376" t="s">
        <v>31</v>
      </c>
      <c r="Q376" t="s">
        <v>23</v>
      </c>
      <c r="R376" t="s">
        <v>14</v>
      </c>
      <c r="S376" t="s">
        <v>15</v>
      </c>
      <c r="T376" t="s">
        <v>24</v>
      </c>
      <c r="U376" t="s">
        <v>5</v>
      </c>
      <c r="V376" s="94" t="s">
        <v>981</v>
      </c>
      <c r="W376" t="s">
        <v>39</v>
      </c>
    </row>
    <row r="377" spans="1:23" ht="12.75">
      <c r="A377" s="1">
        <v>45680.381111111114</v>
      </c>
      <c r="C377" t="s">
        <v>126</v>
      </c>
      <c r="D377">
        <v>37</v>
      </c>
      <c r="E377">
        <v>183</v>
      </c>
      <c r="F377">
        <v>86</v>
      </c>
      <c r="G377">
        <v>1</v>
      </c>
      <c r="H377" t="s">
        <v>592</v>
      </c>
      <c r="I377" t="s">
        <v>5</v>
      </c>
      <c r="J377" t="s">
        <v>6</v>
      </c>
      <c r="K377" t="s">
        <v>7</v>
      </c>
      <c r="L377" t="s">
        <v>31</v>
      </c>
      <c r="M377" t="s">
        <v>38</v>
      </c>
      <c r="N377" t="s">
        <v>40</v>
      </c>
      <c r="O377" t="s">
        <v>11</v>
      </c>
      <c r="P377" t="s">
        <v>8</v>
      </c>
      <c r="Q377" t="s">
        <v>23</v>
      </c>
      <c r="R377" t="s">
        <v>50</v>
      </c>
      <c r="S377" t="s">
        <v>47</v>
      </c>
      <c r="T377" t="s">
        <v>15</v>
      </c>
      <c r="U377" t="s">
        <v>29</v>
      </c>
      <c r="V377" s="94" t="s">
        <v>982</v>
      </c>
      <c r="W377" t="s">
        <v>26</v>
      </c>
    </row>
    <row r="378" spans="1:23" ht="12.75">
      <c r="A378" s="1">
        <v>45777.504027777781</v>
      </c>
      <c r="C378" t="s">
        <v>95</v>
      </c>
      <c r="D378">
        <v>44</v>
      </c>
      <c r="E378">
        <v>189</v>
      </c>
      <c r="F378">
        <v>106</v>
      </c>
      <c r="G378">
        <v>1.5</v>
      </c>
      <c r="H378" t="s">
        <v>592</v>
      </c>
      <c r="I378" t="s">
        <v>5</v>
      </c>
      <c r="J378" t="s">
        <v>6</v>
      </c>
      <c r="K378" t="s">
        <v>63</v>
      </c>
      <c r="L378" t="s">
        <v>10</v>
      </c>
      <c r="M378" t="s">
        <v>38</v>
      </c>
      <c r="N378" t="s">
        <v>20</v>
      </c>
      <c r="O378" t="s">
        <v>22</v>
      </c>
      <c r="P378" t="s">
        <v>20</v>
      </c>
      <c r="Q378" t="s">
        <v>32</v>
      </c>
      <c r="R378" t="s">
        <v>50</v>
      </c>
      <c r="S378" t="s">
        <v>25</v>
      </c>
      <c r="T378" t="s">
        <v>47</v>
      </c>
      <c r="U378" t="s">
        <v>29</v>
      </c>
      <c r="V378" s="94" t="s">
        <v>983</v>
      </c>
      <c r="W378" t="s">
        <v>34</v>
      </c>
    </row>
    <row r="379" spans="1:23" ht="12.75">
      <c r="A379" s="1">
        <v>45717.309236111112</v>
      </c>
      <c r="C379" t="s">
        <v>56</v>
      </c>
      <c r="D379">
        <v>34</v>
      </c>
      <c r="E379">
        <v>188</v>
      </c>
      <c r="F379">
        <v>73</v>
      </c>
      <c r="G379">
        <v>1.5</v>
      </c>
      <c r="H379" t="s">
        <v>592</v>
      </c>
      <c r="I379" t="s">
        <v>29</v>
      </c>
      <c r="J379" t="s">
        <v>6</v>
      </c>
      <c r="K379" t="s">
        <v>7</v>
      </c>
      <c r="L379" t="s">
        <v>10</v>
      </c>
      <c r="M379" t="s">
        <v>21</v>
      </c>
      <c r="N379" t="s">
        <v>40</v>
      </c>
      <c r="O379" t="s">
        <v>44</v>
      </c>
      <c r="P379" t="s">
        <v>12</v>
      </c>
      <c r="Q379" t="s">
        <v>32</v>
      </c>
      <c r="R379" t="s">
        <v>33</v>
      </c>
      <c r="S379" t="s">
        <v>47</v>
      </c>
      <c r="T379" t="s">
        <v>24</v>
      </c>
      <c r="U379" t="s">
        <v>29</v>
      </c>
      <c r="V379" s="94" t="s">
        <v>984</v>
      </c>
      <c r="W379" t="s">
        <v>34</v>
      </c>
    </row>
    <row r="380" spans="1:23" ht="12.75">
      <c r="A380" s="1">
        <v>45676.290300925924</v>
      </c>
      <c r="C380" t="s">
        <v>254</v>
      </c>
      <c r="D380">
        <v>54</v>
      </c>
      <c r="E380">
        <v>163</v>
      </c>
      <c r="F380">
        <v>51</v>
      </c>
      <c r="G380">
        <v>2</v>
      </c>
      <c r="H380" t="s">
        <v>28</v>
      </c>
      <c r="I380" t="s">
        <v>5</v>
      </c>
      <c r="J380" t="s">
        <v>36</v>
      </c>
      <c r="K380" t="s">
        <v>60</v>
      </c>
      <c r="L380" t="s">
        <v>10</v>
      </c>
      <c r="M380" t="s">
        <v>52</v>
      </c>
      <c r="N380" t="s">
        <v>8</v>
      </c>
      <c r="O380" t="s">
        <v>46</v>
      </c>
      <c r="P380" t="s">
        <v>31</v>
      </c>
      <c r="Q380" t="s">
        <v>13</v>
      </c>
      <c r="R380" t="s">
        <v>33</v>
      </c>
      <c r="S380" t="s">
        <v>15</v>
      </c>
      <c r="T380" t="s">
        <v>47</v>
      </c>
      <c r="U380" t="s">
        <v>29</v>
      </c>
      <c r="V380" s="94" t="s">
        <v>985</v>
      </c>
      <c r="W380" t="s">
        <v>34</v>
      </c>
    </row>
    <row r="381" spans="1:23" ht="12.75">
      <c r="A381" s="1">
        <v>45751.915405092594</v>
      </c>
      <c r="C381" t="s">
        <v>255</v>
      </c>
      <c r="D381">
        <v>30</v>
      </c>
      <c r="E381">
        <v>156</v>
      </c>
      <c r="F381">
        <v>51</v>
      </c>
      <c r="G381">
        <v>1</v>
      </c>
      <c r="H381" t="s">
        <v>592</v>
      </c>
      <c r="I381" t="s">
        <v>29</v>
      </c>
      <c r="J381" t="s">
        <v>6</v>
      </c>
      <c r="K381" t="s">
        <v>37</v>
      </c>
      <c r="L381" t="s">
        <v>20</v>
      </c>
      <c r="M381" t="s">
        <v>52</v>
      </c>
      <c r="N381" t="s">
        <v>8</v>
      </c>
      <c r="O381" t="s">
        <v>22</v>
      </c>
      <c r="P381" t="s">
        <v>8</v>
      </c>
      <c r="Q381" t="s">
        <v>55</v>
      </c>
      <c r="R381" t="s">
        <v>50</v>
      </c>
      <c r="S381" t="s">
        <v>47</v>
      </c>
      <c r="T381" t="s">
        <v>47</v>
      </c>
      <c r="U381" t="s">
        <v>29</v>
      </c>
      <c r="V381" s="94" t="s">
        <v>986</v>
      </c>
      <c r="W381" t="s">
        <v>34</v>
      </c>
    </row>
    <row r="382" spans="1:23" ht="12.75">
      <c r="A382" s="1">
        <v>45706.329664351855</v>
      </c>
      <c r="C382" t="s">
        <v>256</v>
      </c>
      <c r="D382">
        <v>39</v>
      </c>
      <c r="E382">
        <v>165</v>
      </c>
      <c r="F382">
        <v>85</v>
      </c>
      <c r="G382">
        <v>3</v>
      </c>
      <c r="H382" t="s">
        <v>592</v>
      </c>
      <c r="I382" t="s">
        <v>5</v>
      </c>
      <c r="J382" t="s">
        <v>36</v>
      </c>
      <c r="K382" t="s">
        <v>60</v>
      </c>
      <c r="L382" t="s">
        <v>10</v>
      </c>
      <c r="M382" t="s">
        <v>21</v>
      </c>
      <c r="N382" t="s">
        <v>40</v>
      </c>
      <c r="O382" t="s">
        <v>22</v>
      </c>
      <c r="P382" t="s">
        <v>10</v>
      </c>
      <c r="Q382" t="s">
        <v>32</v>
      </c>
      <c r="R382" t="s">
        <v>14</v>
      </c>
      <c r="S382" t="s">
        <v>24</v>
      </c>
      <c r="T382" t="s">
        <v>15</v>
      </c>
      <c r="U382" t="s">
        <v>5</v>
      </c>
      <c r="V382" s="94" t="s">
        <v>987</v>
      </c>
      <c r="W382" t="s">
        <v>34</v>
      </c>
    </row>
    <row r="383" spans="1:23" ht="12.75">
      <c r="A383" s="1">
        <v>45696.958518518521</v>
      </c>
      <c r="C383" t="s">
        <v>170</v>
      </c>
      <c r="D383">
        <v>42</v>
      </c>
      <c r="E383">
        <v>173</v>
      </c>
      <c r="F383">
        <v>105</v>
      </c>
      <c r="G383">
        <v>2</v>
      </c>
      <c r="H383" t="s">
        <v>591</v>
      </c>
      <c r="I383" t="s">
        <v>5</v>
      </c>
      <c r="J383" t="s">
        <v>36</v>
      </c>
      <c r="K383" t="s">
        <v>37</v>
      </c>
      <c r="L383" t="s">
        <v>20</v>
      </c>
      <c r="M383" t="s">
        <v>21</v>
      </c>
      <c r="N383" t="s">
        <v>31</v>
      </c>
      <c r="O383" t="s">
        <v>46</v>
      </c>
      <c r="P383" t="s">
        <v>10</v>
      </c>
      <c r="Q383" t="s">
        <v>23</v>
      </c>
      <c r="R383" t="s">
        <v>14</v>
      </c>
      <c r="S383" t="s">
        <v>25</v>
      </c>
      <c r="T383" t="s">
        <v>24</v>
      </c>
      <c r="U383" t="s">
        <v>29</v>
      </c>
      <c r="V383" s="94" t="s">
        <v>988</v>
      </c>
      <c r="W383" t="s">
        <v>26</v>
      </c>
    </row>
    <row r="384" spans="1:23" ht="12.75">
      <c r="A384" s="1">
        <v>45659.872407407405</v>
      </c>
      <c r="C384" t="s">
        <v>171</v>
      </c>
      <c r="D384">
        <v>37</v>
      </c>
      <c r="E384">
        <v>182</v>
      </c>
      <c r="F384">
        <v>89</v>
      </c>
      <c r="G384">
        <v>2</v>
      </c>
      <c r="H384" t="s">
        <v>590</v>
      </c>
      <c r="I384" t="s">
        <v>29</v>
      </c>
      <c r="J384" t="s">
        <v>6</v>
      </c>
      <c r="K384" t="s">
        <v>60</v>
      </c>
      <c r="L384" t="s">
        <v>40</v>
      </c>
      <c r="M384" t="s">
        <v>38</v>
      </c>
      <c r="N384" t="s">
        <v>12</v>
      </c>
      <c r="O384" t="s">
        <v>11</v>
      </c>
      <c r="P384" t="s">
        <v>40</v>
      </c>
      <c r="Q384" t="s">
        <v>55</v>
      </c>
      <c r="R384" t="s">
        <v>14</v>
      </c>
      <c r="S384" t="s">
        <v>47</v>
      </c>
      <c r="T384" t="s">
        <v>15</v>
      </c>
      <c r="U384" t="s">
        <v>29</v>
      </c>
      <c r="V384" s="94" t="s">
        <v>989</v>
      </c>
      <c r="W384" t="s">
        <v>26</v>
      </c>
    </row>
    <row r="385" spans="1:23" ht="12.75">
      <c r="A385" s="1">
        <v>45757.828541666669</v>
      </c>
      <c r="C385" t="s">
        <v>158</v>
      </c>
      <c r="D385">
        <v>22</v>
      </c>
      <c r="E385">
        <v>165</v>
      </c>
      <c r="F385">
        <v>88</v>
      </c>
      <c r="G385">
        <v>3</v>
      </c>
      <c r="H385" t="s">
        <v>592</v>
      </c>
      <c r="I385" t="s">
        <v>5</v>
      </c>
      <c r="J385" t="s">
        <v>6</v>
      </c>
      <c r="K385" t="s">
        <v>60</v>
      </c>
      <c r="L385" t="s">
        <v>10</v>
      </c>
      <c r="M385" t="s">
        <v>38</v>
      </c>
      <c r="N385" t="s">
        <v>40</v>
      </c>
      <c r="O385" t="s">
        <v>11</v>
      </c>
      <c r="P385" t="s">
        <v>40</v>
      </c>
      <c r="Q385" t="s">
        <v>32</v>
      </c>
      <c r="R385" t="s">
        <v>14</v>
      </c>
      <c r="S385" t="s">
        <v>15</v>
      </c>
      <c r="T385" t="s">
        <v>15</v>
      </c>
      <c r="U385" t="s">
        <v>5</v>
      </c>
      <c r="V385" s="94" t="s">
        <v>990</v>
      </c>
      <c r="W385" t="s">
        <v>26</v>
      </c>
    </row>
    <row r="386" spans="1:23" ht="12.75">
      <c r="A386" s="1">
        <v>45660.835868055554</v>
      </c>
      <c r="C386" t="s">
        <v>232</v>
      </c>
      <c r="D386">
        <v>48</v>
      </c>
      <c r="E386">
        <v>174</v>
      </c>
      <c r="F386">
        <v>59</v>
      </c>
      <c r="G386">
        <v>2</v>
      </c>
      <c r="H386" t="s">
        <v>28</v>
      </c>
      <c r="I386" t="s">
        <v>29</v>
      </c>
      <c r="J386" t="s">
        <v>36</v>
      </c>
      <c r="K386" t="s">
        <v>60</v>
      </c>
      <c r="L386" t="s">
        <v>20</v>
      </c>
      <c r="M386" t="s">
        <v>52</v>
      </c>
      <c r="N386" t="s">
        <v>12</v>
      </c>
      <c r="O386" t="s">
        <v>11</v>
      </c>
      <c r="P386" t="s">
        <v>12</v>
      </c>
      <c r="Q386" t="s">
        <v>23</v>
      </c>
      <c r="R386" t="s">
        <v>33</v>
      </c>
      <c r="S386" t="s">
        <v>47</v>
      </c>
      <c r="T386" t="s">
        <v>24</v>
      </c>
      <c r="U386" t="s">
        <v>5</v>
      </c>
      <c r="V386" s="94" t="s">
        <v>991</v>
      </c>
      <c r="W386" t="s">
        <v>34</v>
      </c>
    </row>
    <row r="387" spans="1:23" ht="12.75">
      <c r="A387" s="1">
        <v>45736.658182870371</v>
      </c>
      <c r="C387" t="s">
        <v>238</v>
      </c>
      <c r="D387">
        <v>20</v>
      </c>
      <c r="E387">
        <v>185</v>
      </c>
      <c r="F387">
        <v>100</v>
      </c>
      <c r="G387">
        <v>1.5</v>
      </c>
      <c r="H387" t="s">
        <v>591</v>
      </c>
      <c r="I387" t="s">
        <v>5</v>
      </c>
      <c r="J387" t="s">
        <v>36</v>
      </c>
      <c r="K387" t="s">
        <v>63</v>
      </c>
      <c r="L387" t="s">
        <v>40</v>
      </c>
      <c r="M387" t="s">
        <v>52</v>
      </c>
      <c r="N387" t="s">
        <v>8</v>
      </c>
      <c r="O387" t="s">
        <v>46</v>
      </c>
      <c r="P387" t="s">
        <v>10</v>
      </c>
      <c r="Q387" t="s">
        <v>55</v>
      </c>
      <c r="R387" t="s">
        <v>14</v>
      </c>
      <c r="S387" t="s">
        <v>47</v>
      </c>
      <c r="T387" t="s">
        <v>47</v>
      </c>
      <c r="U387" t="s">
        <v>29</v>
      </c>
      <c r="V387" s="94" t="s">
        <v>992</v>
      </c>
      <c r="W387" t="s">
        <v>16</v>
      </c>
    </row>
    <row r="388" spans="1:23" ht="12.75">
      <c r="A388" s="1">
        <v>45673.295775462961</v>
      </c>
      <c r="C388" t="s">
        <v>257</v>
      </c>
      <c r="D388">
        <v>33</v>
      </c>
      <c r="E388">
        <v>188</v>
      </c>
      <c r="F388">
        <v>74</v>
      </c>
      <c r="G388">
        <v>3</v>
      </c>
      <c r="H388" t="s">
        <v>28</v>
      </c>
      <c r="I388" t="s">
        <v>5</v>
      </c>
      <c r="J388" t="s">
        <v>6</v>
      </c>
      <c r="K388" t="s">
        <v>30</v>
      </c>
      <c r="L388" t="s">
        <v>40</v>
      </c>
      <c r="M388" t="s">
        <v>9</v>
      </c>
      <c r="N388" t="s">
        <v>12</v>
      </c>
      <c r="O388" t="s">
        <v>22</v>
      </c>
      <c r="P388" t="s">
        <v>12</v>
      </c>
      <c r="Q388" t="s">
        <v>55</v>
      </c>
      <c r="R388" t="s">
        <v>14</v>
      </c>
      <c r="S388" t="s">
        <v>15</v>
      </c>
      <c r="T388" t="s">
        <v>24</v>
      </c>
      <c r="U388" t="s">
        <v>5</v>
      </c>
      <c r="V388" s="94" t="s">
        <v>993</v>
      </c>
      <c r="W388" t="s">
        <v>16</v>
      </c>
    </row>
    <row r="389" spans="1:23" ht="12.75">
      <c r="A389" s="1">
        <v>45801.957592592589</v>
      </c>
      <c r="C389" t="s">
        <v>258</v>
      </c>
      <c r="D389">
        <v>25</v>
      </c>
      <c r="E389">
        <v>161</v>
      </c>
      <c r="F389">
        <v>92</v>
      </c>
      <c r="G389">
        <v>1</v>
      </c>
      <c r="H389" t="s">
        <v>592</v>
      </c>
      <c r="I389" t="s">
        <v>29</v>
      </c>
      <c r="J389" t="s">
        <v>36</v>
      </c>
      <c r="K389" t="s">
        <v>37</v>
      </c>
      <c r="L389" t="s">
        <v>31</v>
      </c>
      <c r="M389" t="s">
        <v>21</v>
      </c>
      <c r="N389" t="s">
        <v>20</v>
      </c>
      <c r="O389" t="s">
        <v>44</v>
      </c>
      <c r="P389" t="s">
        <v>20</v>
      </c>
      <c r="Q389" t="s">
        <v>32</v>
      </c>
      <c r="R389" t="s">
        <v>50</v>
      </c>
      <c r="S389" t="s">
        <v>47</v>
      </c>
      <c r="T389" t="s">
        <v>24</v>
      </c>
      <c r="U389" t="s">
        <v>5</v>
      </c>
      <c r="V389" s="94" t="s">
        <v>994</v>
      </c>
      <c r="W389" t="s">
        <v>26</v>
      </c>
    </row>
    <row r="390" spans="1:23" ht="12.75">
      <c r="A390" s="1">
        <v>45720.941412037035</v>
      </c>
      <c r="C390" t="s">
        <v>259</v>
      </c>
      <c r="D390">
        <v>28</v>
      </c>
      <c r="E390">
        <v>187</v>
      </c>
      <c r="F390">
        <v>57</v>
      </c>
      <c r="G390">
        <v>1</v>
      </c>
      <c r="H390" t="s">
        <v>28</v>
      </c>
      <c r="I390" t="s">
        <v>5</v>
      </c>
      <c r="J390" t="s">
        <v>36</v>
      </c>
      <c r="K390" t="s">
        <v>30</v>
      </c>
      <c r="L390" t="s">
        <v>20</v>
      </c>
      <c r="M390" t="s">
        <v>21</v>
      </c>
      <c r="N390" t="s">
        <v>12</v>
      </c>
      <c r="O390" t="s">
        <v>46</v>
      </c>
      <c r="P390" t="s">
        <v>40</v>
      </c>
      <c r="Q390" t="s">
        <v>23</v>
      </c>
      <c r="R390" t="s">
        <v>50</v>
      </c>
      <c r="S390" t="s">
        <v>24</v>
      </c>
      <c r="T390" t="s">
        <v>24</v>
      </c>
      <c r="U390" t="s">
        <v>29</v>
      </c>
      <c r="V390" s="94" t="s">
        <v>986</v>
      </c>
      <c r="W390" t="s">
        <v>39</v>
      </c>
    </row>
    <row r="391" spans="1:23" ht="12.75">
      <c r="A391" s="1">
        <v>45716.204942129632</v>
      </c>
      <c r="C391" t="s">
        <v>65</v>
      </c>
      <c r="D391">
        <v>43</v>
      </c>
      <c r="E391">
        <v>177</v>
      </c>
      <c r="F391">
        <v>93</v>
      </c>
      <c r="G391">
        <v>3</v>
      </c>
      <c r="H391" t="s">
        <v>592</v>
      </c>
      <c r="I391" t="s">
        <v>5</v>
      </c>
      <c r="J391" t="s">
        <v>36</v>
      </c>
      <c r="K391" t="s">
        <v>7</v>
      </c>
      <c r="L391" t="s">
        <v>8</v>
      </c>
      <c r="M391" t="s">
        <v>38</v>
      </c>
      <c r="N391" t="s">
        <v>10</v>
      </c>
      <c r="O391" t="s">
        <v>11</v>
      </c>
      <c r="P391" t="s">
        <v>20</v>
      </c>
      <c r="Q391" t="s">
        <v>23</v>
      </c>
      <c r="R391" t="s">
        <v>14</v>
      </c>
      <c r="S391" t="s">
        <v>15</v>
      </c>
      <c r="T391" t="s">
        <v>47</v>
      </c>
      <c r="U391" t="s">
        <v>29</v>
      </c>
      <c r="V391" s="94" t="s">
        <v>995</v>
      </c>
      <c r="W391" t="s">
        <v>16</v>
      </c>
    </row>
    <row r="392" spans="1:23" ht="12.75">
      <c r="A392" s="1">
        <v>45687.57403935185</v>
      </c>
      <c r="C392" t="s">
        <v>260</v>
      </c>
      <c r="D392">
        <v>32</v>
      </c>
      <c r="E392">
        <v>188</v>
      </c>
      <c r="F392">
        <v>53</v>
      </c>
      <c r="G392">
        <v>1.5</v>
      </c>
      <c r="H392" t="s">
        <v>591</v>
      </c>
      <c r="I392" t="s">
        <v>29</v>
      </c>
      <c r="J392" t="s">
        <v>6</v>
      </c>
      <c r="K392" t="s">
        <v>19</v>
      </c>
      <c r="L392" t="s">
        <v>12</v>
      </c>
      <c r="M392" t="s">
        <v>38</v>
      </c>
      <c r="N392" t="s">
        <v>8</v>
      </c>
      <c r="O392" t="s">
        <v>46</v>
      </c>
      <c r="P392" t="s">
        <v>40</v>
      </c>
      <c r="Q392" t="s">
        <v>32</v>
      </c>
      <c r="R392" t="s">
        <v>14</v>
      </c>
      <c r="S392" t="s">
        <v>25</v>
      </c>
      <c r="T392" t="s">
        <v>15</v>
      </c>
      <c r="U392" t="s">
        <v>5</v>
      </c>
      <c r="V392" s="94" t="s">
        <v>996</v>
      </c>
      <c r="W392" t="s">
        <v>16</v>
      </c>
    </row>
    <row r="393" spans="1:23" ht="12.75">
      <c r="A393" s="1">
        <v>45728.418692129628</v>
      </c>
      <c r="C393" t="s">
        <v>154</v>
      </c>
      <c r="D393">
        <v>31</v>
      </c>
      <c r="E393">
        <v>177</v>
      </c>
      <c r="F393">
        <v>83</v>
      </c>
      <c r="G393">
        <v>3</v>
      </c>
      <c r="H393" t="s">
        <v>28</v>
      </c>
      <c r="I393" t="s">
        <v>5</v>
      </c>
      <c r="J393" t="s">
        <v>6</v>
      </c>
      <c r="K393" t="s">
        <v>37</v>
      </c>
      <c r="L393" t="s">
        <v>10</v>
      </c>
      <c r="M393" t="s">
        <v>38</v>
      </c>
      <c r="N393" t="s">
        <v>40</v>
      </c>
      <c r="O393" t="s">
        <v>46</v>
      </c>
      <c r="P393" t="s">
        <v>20</v>
      </c>
      <c r="Q393" t="s">
        <v>32</v>
      </c>
      <c r="R393" t="s">
        <v>50</v>
      </c>
      <c r="S393" t="s">
        <v>24</v>
      </c>
      <c r="T393" t="s">
        <v>25</v>
      </c>
      <c r="U393" t="s">
        <v>29</v>
      </c>
      <c r="V393" s="94" t="s">
        <v>997</v>
      </c>
      <c r="W393" t="s">
        <v>34</v>
      </c>
    </row>
    <row r="394" spans="1:23" ht="12.75">
      <c r="A394" s="1">
        <v>45730.000231481485</v>
      </c>
      <c r="C394" t="s">
        <v>162</v>
      </c>
      <c r="D394">
        <v>52</v>
      </c>
      <c r="E394">
        <v>165</v>
      </c>
      <c r="F394">
        <v>103</v>
      </c>
      <c r="G394">
        <v>3</v>
      </c>
      <c r="H394" t="s">
        <v>591</v>
      </c>
      <c r="I394" t="s">
        <v>29</v>
      </c>
      <c r="J394" t="s">
        <v>6</v>
      </c>
      <c r="K394" t="s">
        <v>63</v>
      </c>
      <c r="L394" t="s">
        <v>20</v>
      </c>
      <c r="M394" t="s">
        <v>38</v>
      </c>
      <c r="N394" t="s">
        <v>31</v>
      </c>
      <c r="O394" t="s">
        <v>44</v>
      </c>
      <c r="P394" t="s">
        <v>8</v>
      </c>
      <c r="Q394" t="s">
        <v>13</v>
      </c>
      <c r="R394" t="s">
        <v>14</v>
      </c>
      <c r="S394" t="s">
        <v>25</v>
      </c>
      <c r="T394" t="s">
        <v>15</v>
      </c>
      <c r="U394" t="s">
        <v>29</v>
      </c>
      <c r="V394" s="94" t="s">
        <v>998</v>
      </c>
      <c r="W394" t="s">
        <v>39</v>
      </c>
    </row>
    <row r="395" spans="1:23" ht="12.75">
      <c r="A395" s="1">
        <v>45726.986655092594</v>
      </c>
      <c r="C395" t="s">
        <v>102</v>
      </c>
      <c r="D395">
        <v>41</v>
      </c>
      <c r="E395">
        <v>189</v>
      </c>
      <c r="F395">
        <v>81</v>
      </c>
      <c r="G395">
        <v>2</v>
      </c>
      <c r="H395" t="s">
        <v>590</v>
      </c>
      <c r="I395" t="s">
        <v>29</v>
      </c>
      <c r="J395" t="s">
        <v>36</v>
      </c>
      <c r="K395" t="s">
        <v>7</v>
      </c>
      <c r="L395" t="s">
        <v>31</v>
      </c>
      <c r="M395" t="s">
        <v>38</v>
      </c>
      <c r="N395" t="s">
        <v>12</v>
      </c>
      <c r="O395" t="s">
        <v>44</v>
      </c>
      <c r="P395" t="s">
        <v>12</v>
      </c>
      <c r="Q395" t="s">
        <v>32</v>
      </c>
      <c r="R395" t="s">
        <v>50</v>
      </c>
      <c r="S395" t="s">
        <v>47</v>
      </c>
      <c r="T395" t="s">
        <v>15</v>
      </c>
      <c r="U395" t="s">
        <v>5</v>
      </c>
      <c r="V395" s="94" t="s">
        <v>999</v>
      </c>
      <c r="W395" t="s">
        <v>26</v>
      </c>
    </row>
    <row r="396" spans="1:23" ht="12.75">
      <c r="A396" s="1">
        <v>45661.610393518517</v>
      </c>
      <c r="C396" t="s">
        <v>261</v>
      </c>
      <c r="D396">
        <v>29</v>
      </c>
      <c r="E396">
        <v>175</v>
      </c>
      <c r="F396">
        <v>55</v>
      </c>
      <c r="G396">
        <v>1</v>
      </c>
      <c r="H396" t="s">
        <v>28</v>
      </c>
      <c r="I396" t="s">
        <v>5</v>
      </c>
      <c r="J396" t="s">
        <v>6</v>
      </c>
      <c r="K396" t="s">
        <v>7</v>
      </c>
      <c r="L396" t="s">
        <v>20</v>
      </c>
      <c r="M396" t="s">
        <v>38</v>
      </c>
      <c r="N396" t="s">
        <v>12</v>
      </c>
      <c r="O396" t="s">
        <v>46</v>
      </c>
      <c r="P396" t="s">
        <v>31</v>
      </c>
      <c r="Q396" t="s">
        <v>32</v>
      </c>
      <c r="R396" t="s">
        <v>33</v>
      </c>
      <c r="S396" t="s">
        <v>24</v>
      </c>
      <c r="T396" t="s">
        <v>24</v>
      </c>
      <c r="U396" t="s">
        <v>29</v>
      </c>
      <c r="V396" s="94" t="s">
        <v>1000</v>
      </c>
      <c r="W396" t="s">
        <v>34</v>
      </c>
    </row>
    <row r="397" spans="1:23" ht="12.75">
      <c r="A397" s="1">
        <v>45663.817280092589</v>
      </c>
      <c r="C397" t="s">
        <v>262</v>
      </c>
      <c r="D397">
        <v>53</v>
      </c>
      <c r="E397">
        <v>188</v>
      </c>
      <c r="F397">
        <v>54</v>
      </c>
      <c r="G397">
        <v>1.5</v>
      </c>
      <c r="H397" t="s">
        <v>590</v>
      </c>
      <c r="I397" t="s">
        <v>5</v>
      </c>
      <c r="J397" t="s">
        <v>36</v>
      </c>
      <c r="K397" t="s">
        <v>37</v>
      </c>
      <c r="L397" t="s">
        <v>31</v>
      </c>
      <c r="M397" t="s">
        <v>38</v>
      </c>
      <c r="N397" t="s">
        <v>10</v>
      </c>
      <c r="O397" t="s">
        <v>46</v>
      </c>
      <c r="P397" t="s">
        <v>31</v>
      </c>
      <c r="Q397" t="s">
        <v>13</v>
      </c>
      <c r="R397" t="s">
        <v>33</v>
      </c>
      <c r="S397" t="s">
        <v>24</v>
      </c>
      <c r="T397" t="s">
        <v>25</v>
      </c>
      <c r="U397" t="s">
        <v>5</v>
      </c>
      <c r="V397" s="94" t="s">
        <v>1001</v>
      </c>
      <c r="W397" t="s">
        <v>26</v>
      </c>
    </row>
    <row r="398" spans="1:23" ht="12.75">
      <c r="A398" s="1">
        <v>45714.303020833337</v>
      </c>
      <c r="C398" t="s">
        <v>263</v>
      </c>
      <c r="D398">
        <v>51</v>
      </c>
      <c r="E398">
        <v>156</v>
      </c>
      <c r="F398">
        <v>81</v>
      </c>
      <c r="G398">
        <v>1</v>
      </c>
      <c r="H398" t="s">
        <v>591</v>
      </c>
      <c r="I398" t="s">
        <v>5</v>
      </c>
      <c r="J398" t="s">
        <v>36</v>
      </c>
      <c r="K398" t="s">
        <v>19</v>
      </c>
      <c r="L398" t="s">
        <v>12</v>
      </c>
      <c r="M398" t="s">
        <v>52</v>
      </c>
      <c r="N398" t="s">
        <v>12</v>
      </c>
      <c r="O398" t="s">
        <v>46</v>
      </c>
      <c r="P398" t="s">
        <v>31</v>
      </c>
      <c r="Q398" t="s">
        <v>55</v>
      </c>
      <c r="R398" t="s">
        <v>14</v>
      </c>
      <c r="S398" t="s">
        <v>47</v>
      </c>
      <c r="T398" t="s">
        <v>47</v>
      </c>
      <c r="U398" t="s">
        <v>5</v>
      </c>
      <c r="V398" s="94" t="s">
        <v>1002</v>
      </c>
      <c r="W398" t="s">
        <v>16</v>
      </c>
    </row>
    <row r="399" spans="1:23" ht="12.75">
      <c r="A399" s="1">
        <v>45767.622627314813</v>
      </c>
      <c r="C399" t="s">
        <v>264</v>
      </c>
      <c r="D399">
        <v>38</v>
      </c>
      <c r="E399">
        <v>157</v>
      </c>
      <c r="F399">
        <v>98</v>
      </c>
      <c r="G399">
        <v>3</v>
      </c>
      <c r="H399" t="s">
        <v>590</v>
      </c>
      <c r="I399" t="s">
        <v>29</v>
      </c>
      <c r="J399" t="s">
        <v>6</v>
      </c>
      <c r="K399" t="s">
        <v>63</v>
      </c>
      <c r="L399" t="s">
        <v>12</v>
      </c>
      <c r="M399" t="s">
        <v>9</v>
      </c>
      <c r="N399" t="s">
        <v>10</v>
      </c>
      <c r="O399" t="s">
        <v>46</v>
      </c>
      <c r="P399" t="s">
        <v>20</v>
      </c>
      <c r="Q399" t="s">
        <v>32</v>
      </c>
      <c r="R399" t="s">
        <v>50</v>
      </c>
      <c r="S399" t="s">
        <v>47</v>
      </c>
      <c r="T399" t="s">
        <v>25</v>
      </c>
      <c r="U399" t="s">
        <v>5</v>
      </c>
      <c r="V399" s="94" t="s">
        <v>1003</v>
      </c>
      <c r="W399" t="s">
        <v>34</v>
      </c>
    </row>
    <row r="400" spans="1:23" ht="12.75">
      <c r="A400" s="1">
        <v>45658.445196759261</v>
      </c>
      <c r="C400" t="s">
        <v>265</v>
      </c>
      <c r="D400">
        <v>51</v>
      </c>
      <c r="E400">
        <v>162</v>
      </c>
      <c r="F400">
        <v>76</v>
      </c>
      <c r="G400">
        <v>1</v>
      </c>
      <c r="H400" t="s">
        <v>28</v>
      </c>
      <c r="I400" t="s">
        <v>29</v>
      </c>
      <c r="J400" t="s">
        <v>6</v>
      </c>
      <c r="K400" t="s">
        <v>19</v>
      </c>
      <c r="L400" t="s">
        <v>31</v>
      </c>
      <c r="M400" t="s">
        <v>9</v>
      </c>
      <c r="N400" t="s">
        <v>31</v>
      </c>
      <c r="O400" t="s">
        <v>46</v>
      </c>
      <c r="P400" t="s">
        <v>8</v>
      </c>
      <c r="Q400" t="s">
        <v>13</v>
      </c>
      <c r="R400" t="s">
        <v>33</v>
      </c>
      <c r="S400" t="s">
        <v>25</v>
      </c>
      <c r="T400" t="s">
        <v>25</v>
      </c>
      <c r="U400" t="s">
        <v>29</v>
      </c>
      <c r="V400" s="94" t="s">
        <v>1004</v>
      </c>
      <c r="W400" t="s">
        <v>16</v>
      </c>
    </row>
    <row r="401" spans="1:23" ht="12.75">
      <c r="A401" s="1">
        <v>45747.799178240741</v>
      </c>
      <c r="C401" t="s">
        <v>236</v>
      </c>
      <c r="D401">
        <v>31</v>
      </c>
      <c r="E401">
        <v>160</v>
      </c>
      <c r="F401">
        <v>63</v>
      </c>
      <c r="G401">
        <v>2.5</v>
      </c>
      <c r="H401" t="s">
        <v>592</v>
      </c>
      <c r="I401" t="s">
        <v>5</v>
      </c>
      <c r="J401" t="s">
        <v>36</v>
      </c>
      <c r="K401" t="s">
        <v>19</v>
      </c>
      <c r="L401" t="s">
        <v>12</v>
      </c>
      <c r="M401" t="s">
        <v>21</v>
      </c>
      <c r="N401" t="s">
        <v>10</v>
      </c>
      <c r="O401" t="s">
        <v>46</v>
      </c>
      <c r="P401" t="s">
        <v>20</v>
      </c>
      <c r="Q401" t="s">
        <v>13</v>
      </c>
      <c r="R401" t="s">
        <v>14</v>
      </c>
      <c r="S401" t="s">
        <v>15</v>
      </c>
      <c r="T401" t="s">
        <v>47</v>
      </c>
      <c r="U401" t="s">
        <v>5</v>
      </c>
      <c r="V401" s="94" t="s">
        <v>1005</v>
      </c>
      <c r="W401" t="s">
        <v>39</v>
      </c>
    </row>
    <row r="402" spans="1:23" ht="12.75">
      <c r="A402" s="1">
        <v>45769.60665509259</v>
      </c>
      <c r="C402" t="s">
        <v>115</v>
      </c>
      <c r="D402">
        <v>42</v>
      </c>
      <c r="E402">
        <v>155</v>
      </c>
      <c r="F402">
        <v>76</v>
      </c>
      <c r="G402">
        <v>2.5</v>
      </c>
      <c r="H402" t="s">
        <v>28</v>
      </c>
      <c r="I402" t="s">
        <v>29</v>
      </c>
      <c r="J402" t="s">
        <v>36</v>
      </c>
      <c r="K402" t="s">
        <v>30</v>
      </c>
      <c r="L402" t="s">
        <v>10</v>
      </c>
      <c r="M402" t="s">
        <v>38</v>
      </c>
      <c r="N402" t="s">
        <v>8</v>
      </c>
      <c r="O402" t="s">
        <v>22</v>
      </c>
      <c r="P402" t="s">
        <v>8</v>
      </c>
      <c r="Q402" t="s">
        <v>13</v>
      </c>
      <c r="R402" t="s">
        <v>14</v>
      </c>
      <c r="S402" t="s">
        <v>47</v>
      </c>
      <c r="T402" t="s">
        <v>15</v>
      </c>
      <c r="U402" t="s">
        <v>5</v>
      </c>
      <c r="V402" s="94" t="s">
        <v>1006</v>
      </c>
      <c r="W402" t="s">
        <v>16</v>
      </c>
    </row>
    <row r="403" spans="1:23" ht="12.75">
      <c r="A403" s="1">
        <v>45696.769016203703</v>
      </c>
      <c r="C403" t="s">
        <v>88</v>
      </c>
      <c r="D403">
        <v>45</v>
      </c>
      <c r="E403">
        <v>159</v>
      </c>
      <c r="F403">
        <v>51</v>
      </c>
      <c r="G403">
        <v>1</v>
      </c>
      <c r="H403" t="s">
        <v>591</v>
      </c>
      <c r="I403" t="s">
        <v>5</v>
      </c>
      <c r="J403" t="s">
        <v>36</v>
      </c>
      <c r="K403" t="s">
        <v>19</v>
      </c>
      <c r="L403" t="s">
        <v>12</v>
      </c>
      <c r="M403" t="s">
        <v>38</v>
      </c>
      <c r="N403" t="s">
        <v>20</v>
      </c>
      <c r="O403" t="s">
        <v>46</v>
      </c>
      <c r="P403" t="s">
        <v>31</v>
      </c>
      <c r="Q403" t="s">
        <v>13</v>
      </c>
      <c r="R403" t="s">
        <v>33</v>
      </c>
      <c r="S403" t="s">
        <v>24</v>
      </c>
      <c r="T403" t="s">
        <v>47</v>
      </c>
      <c r="U403" t="s">
        <v>5</v>
      </c>
      <c r="V403" s="94" t="s">
        <v>1007</v>
      </c>
      <c r="W403" t="s">
        <v>26</v>
      </c>
    </row>
    <row r="404" spans="1:23" ht="12.75">
      <c r="A404" s="1">
        <v>45722.606469907405</v>
      </c>
      <c r="C404" t="s">
        <v>266</v>
      </c>
      <c r="D404">
        <v>20</v>
      </c>
      <c r="E404">
        <v>187</v>
      </c>
      <c r="F404">
        <v>67</v>
      </c>
      <c r="G404">
        <v>2</v>
      </c>
      <c r="H404" t="s">
        <v>592</v>
      </c>
      <c r="I404" t="s">
        <v>29</v>
      </c>
      <c r="J404" t="s">
        <v>36</v>
      </c>
      <c r="K404" t="s">
        <v>30</v>
      </c>
      <c r="L404" t="s">
        <v>10</v>
      </c>
      <c r="M404" t="s">
        <v>38</v>
      </c>
      <c r="N404" t="s">
        <v>12</v>
      </c>
      <c r="O404" t="s">
        <v>22</v>
      </c>
      <c r="P404" t="s">
        <v>20</v>
      </c>
      <c r="Q404" t="s">
        <v>32</v>
      </c>
      <c r="R404" t="s">
        <v>33</v>
      </c>
      <c r="S404" t="s">
        <v>15</v>
      </c>
      <c r="T404" t="s">
        <v>47</v>
      </c>
      <c r="U404" t="s">
        <v>5</v>
      </c>
      <c r="V404" s="94" t="s">
        <v>1008</v>
      </c>
      <c r="W404" t="s">
        <v>34</v>
      </c>
    </row>
    <row r="405" spans="1:23" ht="12.75">
      <c r="A405" s="1">
        <v>45789.38417824074</v>
      </c>
      <c r="C405" t="s">
        <v>115</v>
      </c>
      <c r="D405">
        <v>43</v>
      </c>
      <c r="E405">
        <v>161</v>
      </c>
      <c r="F405">
        <v>95</v>
      </c>
      <c r="G405">
        <v>2.5</v>
      </c>
      <c r="H405" t="s">
        <v>592</v>
      </c>
      <c r="I405" t="s">
        <v>29</v>
      </c>
      <c r="J405" t="s">
        <v>36</v>
      </c>
      <c r="K405" t="s">
        <v>30</v>
      </c>
      <c r="L405" t="s">
        <v>8</v>
      </c>
      <c r="M405" t="s">
        <v>21</v>
      </c>
      <c r="N405" t="s">
        <v>10</v>
      </c>
      <c r="O405" t="s">
        <v>11</v>
      </c>
      <c r="P405" t="s">
        <v>10</v>
      </c>
      <c r="Q405" t="s">
        <v>13</v>
      </c>
      <c r="R405" t="s">
        <v>33</v>
      </c>
      <c r="S405" t="s">
        <v>24</v>
      </c>
      <c r="T405" t="s">
        <v>15</v>
      </c>
      <c r="U405" t="s">
        <v>29</v>
      </c>
      <c r="V405" s="94" t="s">
        <v>1009</v>
      </c>
      <c r="W405" t="s">
        <v>39</v>
      </c>
    </row>
    <row r="406" spans="1:23" ht="12.75">
      <c r="A406" s="1">
        <v>45669.434687499997</v>
      </c>
      <c r="C406" t="s">
        <v>267</v>
      </c>
      <c r="D406">
        <v>49</v>
      </c>
      <c r="E406">
        <v>173</v>
      </c>
      <c r="F406">
        <v>71</v>
      </c>
      <c r="G406">
        <v>2.5</v>
      </c>
      <c r="H406" t="s">
        <v>590</v>
      </c>
      <c r="I406" t="s">
        <v>29</v>
      </c>
      <c r="J406" t="s">
        <v>36</v>
      </c>
      <c r="K406" t="s">
        <v>63</v>
      </c>
      <c r="L406" t="s">
        <v>10</v>
      </c>
      <c r="M406" t="s">
        <v>21</v>
      </c>
      <c r="N406" t="s">
        <v>31</v>
      </c>
      <c r="O406" t="s">
        <v>46</v>
      </c>
      <c r="P406" t="s">
        <v>12</v>
      </c>
      <c r="Q406" t="s">
        <v>32</v>
      </c>
      <c r="R406" t="s">
        <v>33</v>
      </c>
      <c r="S406" t="s">
        <v>47</v>
      </c>
      <c r="T406" t="s">
        <v>24</v>
      </c>
      <c r="U406" t="s">
        <v>5</v>
      </c>
      <c r="V406" s="94" t="s">
        <v>1010</v>
      </c>
      <c r="W406" t="s">
        <v>16</v>
      </c>
    </row>
    <row r="407" spans="1:23" ht="12.75">
      <c r="A407" s="1">
        <v>45769.588194444441</v>
      </c>
      <c r="C407" t="s">
        <v>232</v>
      </c>
      <c r="D407">
        <v>29</v>
      </c>
      <c r="E407">
        <v>181</v>
      </c>
      <c r="F407">
        <v>60</v>
      </c>
      <c r="G407">
        <v>1.5</v>
      </c>
      <c r="H407" t="s">
        <v>590</v>
      </c>
      <c r="I407" t="s">
        <v>29</v>
      </c>
      <c r="J407" t="s">
        <v>6</v>
      </c>
      <c r="K407" t="s">
        <v>30</v>
      </c>
      <c r="L407" t="s">
        <v>20</v>
      </c>
      <c r="M407" t="s">
        <v>9</v>
      </c>
      <c r="N407" t="s">
        <v>8</v>
      </c>
      <c r="O407" t="s">
        <v>11</v>
      </c>
      <c r="P407" t="s">
        <v>10</v>
      </c>
      <c r="Q407" t="s">
        <v>55</v>
      </c>
      <c r="R407" t="s">
        <v>33</v>
      </c>
      <c r="S407" t="s">
        <v>47</v>
      </c>
      <c r="T407" t="s">
        <v>15</v>
      </c>
      <c r="U407" t="s">
        <v>5</v>
      </c>
      <c r="V407" s="94" t="s">
        <v>1011</v>
      </c>
      <c r="W407" t="s">
        <v>34</v>
      </c>
    </row>
    <row r="408" spans="1:23" ht="12.75">
      <c r="A408" s="1">
        <v>45686.940081018518</v>
      </c>
      <c r="C408" t="s">
        <v>194</v>
      </c>
      <c r="D408">
        <v>38</v>
      </c>
      <c r="E408">
        <v>174</v>
      </c>
      <c r="F408">
        <v>81</v>
      </c>
      <c r="G408">
        <v>3</v>
      </c>
      <c r="H408" t="s">
        <v>591</v>
      </c>
      <c r="I408" t="s">
        <v>29</v>
      </c>
      <c r="J408" t="s">
        <v>6</v>
      </c>
      <c r="K408" t="s">
        <v>37</v>
      </c>
      <c r="L408" t="s">
        <v>10</v>
      </c>
      <c r="M408" t="s">
        <v>52</v>
      </c>
      <c r="N408" t="s">
        <v>31</v>
      </c>
      <c r="O408" t="s">
        <v>44</v>
      </c>
      <c r="P408" t="s">
        <v>10</v>
      </c>
      <c r="Q408" t="s">
        <v>23</v>
      </c>
      <c r="R408" t="s">
        <v>50</v>
      </c>
      <c r="S408" t="s">
        <v>24</v>
      </c>
      <c r="T408" t="s">
        <v>24</v>
      </c>
      <c r="U408" t="s">
        <v>5</v>
      </c>
      <c r="V408" s="94" t="s">
        <v>1012</v>
      </c>
      <c r="W408" t="s">
        <v>16</v>
      </c>
    </row>
    <row r="409" spans="1:23" ht="12.75">
      <c r="A409" s="1">
        <v>45674.042638888888</v>
      </c>
      <c r="C409" t="s">
        <v>268</v>
      </c>
      <c r="D409">
        <v>52</v>
      </c>
      <c r="E409">
        <v>162</v>
      </c>
      <c r="F409">
        <v>76</v>
      </c>
      <c r="G409">
        <v>1.5</v>
      </c>
      <c r="H409" t="s">
        <v>590</v>
      </c>
      <c r="I409" t="s">
        <v>29</v>
      </c>
      <c r="J409" t="s">
        <v>6</v>
      </c>
      <c r="K409" t="s">
        <v>19</v>
      </c>
      <c r="L409" t="s">
        <v>40</v>
      </c>
      <c r="M409" t="s">
        <v>38</v>
      </c>
      <c r="N409" t="s">
        <v>10</v>
      </c>
      <c r="O409" t="s">
        <v>46</v>
      </c>
      <c r="P409" t="s">
        <v>12</v>
      </c>
      <c r="Q409" t="s">
        <v>32</v>
      </c>
      <c r="R409" t="s">
        <v>14</v>
      </c>
      <c r="S409" t="s">
        <v>25</v>
      </c>
      <c r="T409" t="s">
        <v>25</v>
      </c>
      <c r="U409" t="s">
        <v>5</v>
      </c>
      <c r="V409" s="94" t="s">
        <v>1013</v>
      </c>
      <c r="W409" t="s">
        <v>39</v>
      </c>
    </row>
    <row r="410" spans="1:23" ht="12.75">
      <c r="A410" s="1">
        <v>45784.098530092589</v>
      </c>
      <c r="C410" t="s">
        <v>93</v>
      </c>
      <c r="D410">
        <v>35</v>
      </c>
      <c r="E410">
        <v>181</v>
      </c>
      <c r="F410">
        <v>51</v>
      </c>
      <c r="G410">
        <v>2.5</v>
      </c>
      <c r="H410" t="s">
        <v>592</v>
      </c>
      <c r="I410" t="s">
        <v>5</v>
      </c>
      <c r="J410" t="s">
        <v>36</v>
      </c>
      <c r="K410" t="s">
        <v>30</v>
      </c>
      <c r="L410" t="s">
        <v>10</v>
      </c>
      <c r="M410" t="s">
        <v>9</v>
      </c>
      <c r="N410" t="s">
        <v>40</v>
      </c>
      <c r="O410" t="s">
        <v>46</v>
      </c>
      <c r="P410" t="s">
        <v>8</v>
      </c>
      <c r="Q410" t="s">
        <v>23</v>
      </c>
      <c r="R410" t="s">
        <v>33</v>
      </c>
      <c r="S410" t="s">
        <v>47</v>
      </c>
      <c r="T410" t="s">
        <v>24</v>
      </c>
      <c r="U410" t="s">
        <v>29</v>
      </c>
      <c r="V410" s="94" t="s">
        <v>1014</v>
      </c>
      <c r="W410" t="s">
        <v>26</v>
      </c>
    </row>
    <row r="411" spans="1:23" ht="12.75">
      <c r="A411" s="1">
        <v>45758.371678240743</v>
      </c>
      <c r="C411" t="s">
        <v>95</v>
      </c>
      <c r="D411">
        <v>35</v>
      </c>
      <c r="E411">
        <v>182</v>
      </c>
      <c r="F411">
        <v>76</v>
      </c>
      <c r="G411">
        <v>1</v>
      </c>
      <c r="H411" t="s">
        <v>28</v>
      </c>
      <c r="I411" t="s">
        <v>5</v>
      </c>
      <c r="J411" t="s">
        <v>6</v>
      </c>
      <c r="K411" t="s">
        <v>19</v>
      </c>
      <c r="L411" t="s">
        <v>8</v>
      </c>
      <c r="M411" t="s">
        <v>9</v>
      </c>
      <c r="N411" t="s">
        <v>31</v>
      </c>
      <c r="O411" t="s">
        <v>11</v>
      </c>
      <c r="P411" t="s">
        <v>20</v>
      </c>
      <c r="Q411" t="s">
        <v>13</v>
      </c>
      <c r="R411" t="s">
        <v>14</v>
      </c>
      <c r="S411" t="s">
        <v>15</v>
      </c>
      <c r="T411" t="s">
        <v>47</v>
      </c>
      <c r="U411" t="s">
        <v>29</v>
      </c>
      <c r="V411" s="94" t="s">
        <v>1015</v>
      </c>
      <c r="W411" t="s">
        <v>34</v>
      </c>
    </row>
    <row r="412" spans="1:23" ht="12.75">
      <c r="A412" s="1">
        <v>45723.199780092589</v>
      </c>
      <c r="C412" t="s">
        <v>85</v>
      </c>
      <c r="D412">
        <v>29</v>
      </c>
      <c r="E412">
        <v>178</v>
      </c>
      <c r="F412">
        <v>108</v>
      </c>
      <c r="G412">
        <v>1</v>
      </c>
      <c r="H412" t="s">
        <v>591</v>
      </c>
      <c r="I412" t="s">
        <v>29</v>
      </c>
      <c r="J412" t="s">
        <v>6</v>
      </c>
      <c r="K412" t="s">
        <v>19</v>
      </c>
      <c r="L412" t="s">
        <v>10</v>
      </c>
      <c r="M412" t="s">
        <v>9</v>
      </c>
      <c r="N412" t="s">
        <v>12</v>
      </c>
      <c r="O412" t="s">
        <v>46</v>
      </c>
      <c r="P412" t="s">
        <v>10</v>
      </c>
      <c r="Q412" t="s">
        <v>55</v>
      </c>
      <c r="R412" t="s">
        <v>14</v>
      </c>
      <c r="S412" t="s">
        <v>24</v>
      </c>
      <c r="T412" t="s">
        <v>25</v>
      </c>
      <c r="U412" t="s">
        <v>5</v>
      </c>
      <c r="V412" s="94" t="s">
        <v>1016</v>
      </c>
      <c r="W412" t="s">
        <v>26</v>
      </c>
    </row>
    <row r="413" spans="1:23" ht="12.75">
      <c r="A413" s="1">
        <v>45776.394016203703</v>
      </c>
      <c r="C413" t="s">
        <v>269</v>
      </c>
      <c r="D413">
        <v>24</v>
      </c>
      <c r="E413">
        <v>161</v>
      </c>
      <c r="F413">
        <v>99</v>
      </c>
      <c r="G413">
        <v>2.5</v>
      </c>
      <c r="H413" t="s">
        <v>590</v>
      </c>
      <c r="I413" t="s">
        <v>5</v>
      </c>
      <c r="J413" t="s">
        <v>6</v>
      </c>
      <c r="K413" t="s">
        <v>30</v>
      </c>
      <c r="L413" t="s">
        <v>20</v>
      </c>
      <c r="M413" t="s">
        <v>38</v>
      </c>
      <c r="N413" t="s">
        <v>8</v>
      </c>
      <c r="O413" t="s">
        <v>44</v>
      </c>
      <c r="P413" t="s">
        <v>10</v>
      </c>
      <c r="Q413" t="s">
        <v>32</v>
      </c>
      <c r="R413" t="s">
        <v>50</v>
      </c>
      <c r="S413" t="s">
        <v>25</v>
      </c>
      <c r="T413" t="s">
        <v>47</v>
      </c>
      <c r="U413" t="s">
        <v>5</v>
      </c>
      <c r="V413" s="94" t="s">
        <v>1017</v>
      </c>
      <c r="W413" t="s">
        <v>34</v>
      </c>
    </row>
    <row r="414" spans="1:23" ht="12.75">
      <c r="A414" s="1">
        <v>45793.246006944442</v>
      </c>
      <c r="C414" t="s">
        <v>103</v>
      </c>
      <c r="D414">
        <v>45</v>
      </c>
      <c r="E414">
        <v>167</v>
      </c>
      <c r="F414">
        <v>55</v>
      </c>
      <c r="G414">
        <v>1.5</v>
      </c>
      <c r="H414" t="s">
        <v>592</v>
      </c>
      <c r="I414" t="s">
        <v>29</v>
      </c>
      <c r="J414" t="s">
        <v>6</v>
      </c>
      <c r="K414" t="s">
        <v>60</v>
      </c>
      <c r="L414" t="s">
        <v>10</v>
      </c>
      <c r="M414" t="s">
        <v>21</v>
      </c>
      <c r="N414" t="s">
        <v>20</v>
      </c>
      <c r="O414" t="s">
        <v>46</v>
      </c>
      <c r="P414" t="s">
        <v>40</v>
      </c>
      <c r="Q414" t="s">
        <v>55</v>
      </c>
      <c r="R414" t="s">
        <v>33</v>
      </c>
      <c r="S414" t="s">
        <v>15</v>
      </c>
      <c r="T414" t="s">
        <v>47</v>
      </c>
      <c r="U414" t="s">
        <v>29</v>
      </c>
      <c r="V414" s="94" t="s">
        <v>1018</v>
      </c>
      <c r="W414" t="s">
        <v>26</v>
      </c>
    </row>
    <row r="415" spans="1:23" ht="12.75">
      <c r="A415" s="1">
        <v>45776.94222222222</v>
      </c>
      <c r="C415" t="s">
        <v>270</v>
      </c>
      <c r="D415">
        <v>57</v>
      </c>
      <c r="E415">
        <v>178</v>
      </c>
      <c r="F415">
        <v>104</v>
      </c>
      <c r="G415">
        <v>1</v>
      </c>
      <c r="H415" t="s">
        <v>592</v>
      </c>
      <c r="I415" t="s">
        <v>5</v>
      </c>
      <c r="J415" t="s">
        <v>36</v>
      </c>
      <c r="K415" t="s">
        <v>60</v>
      </c>
      <c r="L415" t="s">
        <v>40</v>
      </c>
      <c r="M415" t="s">
        <v>9</v>
      </c>
      <c r="N415" t="s">
        <v>12</v>
      </c>
      <c r="O415" t="s">
        <v>11</v>
      </c>
      <c r="P415" t="s">
        <v>40</v>
      </c>
      <c r="Q415" t="s">
        <v>32</v>
      </c>
      <c r="R415" t="s">
        <v>14</v>
      </c>
      <c r="S415" t="s">
        <v>47</v>
      </c>
      <c r="T415" t="s">
        <v>47</v>
      </c>
      <c r="U415" t="s">
        <v>5</v>
      </c>
      <c r="V415" s="94" t="s">
        <v>1019</v>
      </c>
      <c r="W415" t="s">
        <v>34</v>
      </c>
    </row>
    <row r="416" spans="1:23" ht="12.75">
      <c r="A416" s="1">
        <v>45751.57</v>
      </c>
      <c r="C416" t="s">
        <v>271</v>
      </c>
      <c r="D416">
        <v>49</v>
      </c>
      <c r="E416">
        <v>174</v>
      </c>
      <c r="F416">
        <v>61</v>
      </c>
      <c r="G416">
        <v>1</v>
      </c>
      <c r="H416" t="s">
        <v>590</v>
      </c>
      <c r="I416" t="s">
        <v>29</v>
      </c>
      <c r="J416" t="s">
        <v>36</v>
      </c>
      <c r="K416" t="s">
        <v>30</v>
      </c>
      <c r="L416" t="s">
        <v>10</v>
      </c>
      <c r="M416" t="s">
        <v>38</v>
      </c>
      <c r="N416" t="s">
        <v>31</v>
      </c>
      <c r="O416" t="s">
        <v>44</v>
      </c>
      <c r="P416" t="s">
        <v>31</v>
      </c>
      <c r="Q416" t="s">
        <v>32</v>
      </c>
      <c r="R416" t="s">
        <v>14</v>
      </c>
      <c r="S416" t="s">
        <v>25</v>
      </c>
      <c r="T416" t="s">
        <v>15</v>
      </c>
      <c r="U416" t="s">
        <v>5</v>
      </c>
      <c r="V416" s="94" t="s">
        <v>1020</v>
      </c>
      <c r="W416" t="s">
        <v>16</v>
      </c>
    </row>
    <row r="417" spans="1:23" ht="12.75">
      <c r="A417" s="1">
        <v>45765.789861111109</v>
      </c>
      <c r="C417" t="s">
        <v>137</v>
      </c>
      <c r="D417">
        <v>55</v>
      </c>
      <c r="E417">
        <v>173</v>
      </c>
      <c r="F417">
        <v>78</v>
      </c>
      <c r="G417">
        <v>1.5</v>
      </c>
      <c r="H417" t="s">
        <v>591</v>
      </c>
      <c r="I417" t="s">
        <v>5</v>
      </c>
      <c r="J417" t="s">
        <v>36</v>
      </c>
      <c r="K417" t="s">
        <v>63</v>
      </c>
      <c r="L417" t="s">
        <v>12</v>
      </c>
      <c r="M417" t="s">
        <v>21</v>
      </c>
      <c r="N417" t="s">
        <v>10</v>
      </c>
      <c r="O417" t="s">
        <v>11</v>
      </c>
      <c r="P417" t="s">
        <v>12</v>
      </c>
      <c r="Q417" t="s">
        <v>23</v>
      </c>
      <c r="R417" t="s">
        <v>33</v>
      </c>
      <c r="S417" t="s">
        <v>47</v>
      </c>
      <c r="T417" t="s">
        <v>47</v>
      </c>
      <c r="U417" t="s">
        <v>5</v>
      </c>
      <c r="V417" s="94" t="s">
        <v>1021</v>
      </c>
      <c r="W417" t="s">
        <v>16</v>
      </c>
    </row>
    <row r="418" spans="1:23" ht="12.75">
      <c r="A418" s="1">
        <v>45801.402581018519</v>
      </c>
      <c r="C418" t="s">
        <v>258</v>
      </c>
      <c r="D418">
        <v>35</v>
      </c>
      <c r="E418">
        <v>164</v>
      </c>
      <c r="F418">
        <v>93</v>
      </c>
      <c r="G418">
        <v>3</v>
      </c>
      <c r="H418" t="s">
        <v>591</v>
      </c>
      <c r="I418" t="s">
        <v>5</v>
      </c>
      <c r="J418" t="s">
        <v>6</v>
      </c>
      <c r="K418" t="s">
        <v>37</v>
      </c>
      <c r="L418" t="s">
        <v>12</v>
      </c>
      <c r="M418" t="s">
        <v>52</v>
      </c>
      <c r="N418" t="s">
        <v>12</v>
      </c>
      <c r="O418" t="s">
        <v>22</v>
      </c>
      <c r="P418" t="s">
        <v>31</v>
      </c>
      <c r="Q418" t="s">
        <v>23</v>
      </c>
      <c r="R418" t="s">
        <v>33</v>
      </c>
      <c r="S418" t="s">
        <v>15</v>
      </c>
      <c r="T418" t="s">
        <v>24</v>
      </c>
      <c r="U418" t="s">
        <v>29</v>
      </c>
      <c r="V418" s="94" t="s">
        <v>1022</v>
      </c>
      <c r="W418" t="s">
        <v>39</v>
      </c>
    </row>
    <row r="419" spans="1:23" ht="12.75">
      <c r="A419" s="1">
        <v>45787.772476851853</v>
      </c>
      <c r="C419" t="s">
        <v>239</v>
      </c>
      <c r="D419">
        <v>35</v>
      </c>
      <c r="E419">
        <v>182</v>
      </c>
      <c r="F419">
        <v>52</v>
      </c>
      <c r="G419">
        <v>3</v>
      </c>
      <c r="H419" t="s">
        <v>590</v>
      </c>
      <c r="I419" t="s">
        <v>29</v>
      </c>
      <c r="J419" t="s">
        <v>6</v>
      </c>
      <c r="K419" t="s">
        <v>19</v>
      </c>
      <c r="L419" t="s">
        <v>40</v>
      </c>
      <c r="M419" t="s">
        <v>9</v>
      </c>
      <c r="N419" t="s">
        <v>20</v>
      </c>
      <c r="O419" t="s">
        <v>22</v>
      </c>
      <c r="P419" t="s">
        <v>31</v>
      </c>
      <c r="Q419" t="s">
        <v>32</v>
      </c>
      <c r="R419" t="s">
        <v>14</v>
      </c>
      <c r="S419" t="s">
        <v>24</v>
      </c>
      <c r="T419" t="s">
        <v>47</v>
      </c>
      <c r="U419" t="s">
        <v>29</v>
      </c>
      <c r="V419" s="94" t="s">
        <v>1023</v>
      </c>
      <c r="W419" t="s">
        <v>16</v>
      </c>
    </row>
    <row r="420" spans="1:23" ht="12.75">
      <c r="A420" s="1">
        <v>45763.204375000001</v>
      </c>
      <c r="C420" t="s">
        <v>180</v>
      </c>
      <c r="D420">
        <v>31</v>
      </c>
      <c r="E420">
        <v>172</v>
      </c>
      <c r="F420">
        <v>88</v>
      </c>
      <c r="G420">
        <v>1.5</v>
      </c>
      <c r="H420" t="s">
        <v>590</v>
      </c>
      <c r="I420" t="s">
        <v>29</v>
      </c>
      <c r="J420" t="s">
        <v>36</v>
      </c>
      <c r="K420" t="s">
        <v>37</v>
      </c>
      <c r="L420" t="s">
        <v>20</v>
      </c>
      <c r="M420" t="s">
        <v>38</v>
      </c>
      <c r="N420" t="s">
        <v>10</v>
      </c>
      <c r="O420" t="s">
        <v>44</v>
      </c>
      <c r="P420" t="s">
        <v>40</v>
      </c>
      <c r="Q420" t="s">
        <v>55</v>
      </c>
      <c r="R420" t="s">
        <v>14</v>
      </c>
      <c r="S420" t="s">
        <v>25</v>
      </c>
      <c r="T420" t="s">
        <v>25</v>
      </c>
      <c r="U420" t="s">
        <v>29</v>
      </c>
      <c r="V420" s="94" t="s">
        <v>1024</v>
      </c>
      <c r="W420" t="s">
        <v>39</v>
      </c>
    </row>
    <row r="421" spans="1:23" ht="12.75">
      <c r="A421" s="1">
        <v>45780.549340277779</v>
      </c>
      <c r="C421" t="s">
        <v>272</v>
      </c>
      <c r="D421">
        <v>41</v>
      </c>
      <c r="E421">
        <v>173</v>
      </c>
      <c r="F421">
        <v>67</v>
      </c>
      <c r="G421">
        <v>1</v>
      </c>
      <c r="H421" t="s">
        <v>590</v>
      </c>
      <c r="I421" t="s">
        <v>29</v>
      </c>
      <c r="J421" t="s">
        <v>36</v>
      </c>
      <c r="K421" t="s">
        <v>63</v>
      </c>
      <c r="L421" t="s">
        <v>8</v>
      </c>
      <c r="M421" t="s">
        <v>38</v>
      </c>
      <c r="N421" t="s">
        <v>40</v>
      </c>
      <c r="O421" t="s">
        <v>46</v>
      </c>
      <c r="P421" t="s">
        <v>10</v>
      </c>
      <c r="Q421" t="s">
        <v>23</v>
      </c>
      <c r="R421" t="s">
        <v>33</v>
      </c>
      <c r="S421" t="s">
        <v>24</v>
      </c>
      <c r="T421" t="s">
        <v>47</v>
      </c>
      <c r="U421" t="s">
        <v>5</v>
      </c>
      <c r="V421" s="94" t="s">
        <v>1025</v>
      </c>
      <c r="W421" t="s">
        <v>34</v>
      </c>
    </row>
    <row r="422" spans="1:23" ht="12.75">
      <c r="A422" s="1">
        <v>45674.051377314812</v>
      </c>
      <c r="C422" t="s">
        <v>273</v>
      </c>
      <c r="D422">
        <v>39</v>
      </c>
      <c r="E422">
        <v>163</v>
      </c>
      <c r="F422">
        <v>98</v>
      </c>
      <c r="G422">
        <v>1</v>
      </c>
      <c r="H422" t="s">
        <v>28</v>
      </c>
      <c r="I422" t="s">
        <v>29</v>
      </c>
      <c r="J422" t="s">
        <v>6</v>
      </c>
      <c r="K422" t="s">
        <v>7</v>
      </c>
      <c r="L422" t="s">
        <v>10</v>
      </c>
      <c r="M422" t="s">
        <v>38</v>
      </c>
      <c r="N422" t="s">
        <v>8</v>
      </c>
      <c r="O422" t="s">
        <v>46</v>
      </c>
      <c r="P422" t="s">
        <v>31</v>
      </c>
      <c r="Q422" t="s">
        <v>32</v>
      </c>
      <c r="R422" t="s">
        <v>33</v>
      </c>
      <c r="S422" t="s">
        <v>25</v>
      </c>
      <c r="T422" t="s">
        <v>15</v>
      </c>
      <c r="U422" t="s">
        <v>5</v>
      </c>
      <c r="V422" s="94" t="s">
        <v>1026</v>
      </c>
      <c r="W422" t="s">
        <v>26</v>
      </c>
    </row>
    <row r="423" spans="1:23" ht="12.75">
      <c r="A423" s="1">
        <v>45704.386921296296</v>
      </c>
      <c r="C423" t="s">
        <v>274</v>
      </c>
      <c r="D423">
        <v>29</v>
      </c>
      <c r="E423">
        <v>177</v>
      </c>
      <c r="F423">
        <v>52</v>
      </c>
      <c r="G423">
        <v>2</v>
      </c>
      <c r="H423" t="s">
        <v>592</v>
      </c>
      <c r="I423" t="s">
        <v>5</v>
      </c>
      <c r="J423" t="s">
        <v>36</v>
      </c>
      <c r="K423" t="s">
        <v>30</v>
      </c>
      <c r="L423" t="s">
        <v>12</v>
      </c>
      <c r="M423" t="s">
        <v>38</v>
      </c>
      <c r="N423" t="s">
        <v>40</v>
      </c>
      <c r="O423" t="s">
        <v>22</v>
      </c>
      <c r="P423" t="s">
        <v>31</v>
      </c>
      <c r="Q423" t="s">
        <v>32</v>
      </c>
      <c r="R423" t="s">
        <v>33</v>
      </c>
      <c r="S423" t="s">
        <v>25</v>
      </c>
      <c r="T423" t="s">
        <v>24</v>
      </c>
      <c r="U423" t="s">
        <v>29</v>
      </c>
      <c r="V423" s="94" t="s">
        <v>1027</v>
      </c>
      <c r="W423" t="s">
        <v>39</v>
      </c>
    </row>
    <row r="424" spans="1:23" ht="12.75">
      <c r="A424" s="1">
        <v>45714.187013888892</v>
      </c>
      <c r="C424" t="s">
        <v>102</v>
      </c>
      <c r="D424">
        <v>35</v>
      </c>
      <c r="E424">
        <v>182</v>
      </c>
      <c r="F424">
        <v>66</v>
      </c>
      <c r="G424">
        <v>1.5</v>
      </c>
      <c r="H424" t="s">
        <v>591</v>
      </c>
      <c r="I424" t="s">
        <v>5</v>
      </c>
      <c r="J424" t="s">
        <v>36</v>
      </c>
      <c r="K424" t="s">
        <v>60</v>
      </c>
      <c r="L424" t="s">
        <v>20</v>
      </c>
      <c r="M424" t="s">
        <v>38</v>
      </c>
      <c r="N424" t="s">
        <v>8</v>
      </c>
      <c r="O424" t="s">
        <v>44</v>
      </c>
      <c r="P424" t="s">
        <v>12</v>
      </c>
      <c r="Q424" t="s">
        <v>32</v>
      </c>
      <c r="R424" t="s">
        <v>14</v>
      </c>
      <c r="S424" t="s">
        <v>15</v>
      </c>
      <c r="T424" t="s">
        <v>47</v>
      </c>
      <c r="U424" t="s">
        <v>5</v>
      </c>
      <c r="V424" s="94" t="s">
        <v>1028</v>
      </c>
      <c r="W424" t="s">
        <v>39</v>
      </c>
    </row>
    <row r="425" spans="1:23" ht="12.75">
      <c r="A425" s="1">
        <v>45776.484594907408</v>
      </c>
      <c r="C425" t="s">
        <v>275</v>
      </c>
      <c r="D425">
        <v>50</v>
      </c>
      <c r="E425">
        <v>160</v>
      </c>
      <c r="F425">
        <v>62</v>
      </c>
      <c r="G425">
        <v>2</v>
      </c>
      <c r="H425" t="s">
        <v>591</v>
      </c>
      <c r="I425" t="s">
        <v>29</v>
      </c>
      <c r="J425" t="s">
        <v>36</v>
      </c>
      <c r="K425" t="s">
        <v>63</v>
      </c>
      <c r="L425" t="s">
        <v>10</v>
      </c>
      <c r="M425" t="s">
        <v>21</v>
      </c>
      <c r="N425" t="s">
        <v>10</v>
      </c>
      <c r="O425" t="s">
        <v>22</v>
      </c>
      <c r="P425" t="s">
        <v>40</v>
      </c>
      <c r="Q425" t="s">
        <v>32</v>
      </c>
      <c r="R425" t="s">
        <v>14</v>
      </c>
      <c r="S425" t="s">
        <v>47</v>
      </c>
      <c r="T425" t="s">
        <v>24</v>
      </c>
      <c r="U425" t="s">
        <v>29</v>
      </c>
      <c r="V425" s="94" t="s">
        <v>1029</v>
      </c>
      <c r="W425" t="s">
        <v>34</v>
      </c>
    </row>
    <row r="426" spans="1:23" ht="12.75">
      <c r="A426" s="1">
        <v>45735.753900462965</v>
      </c>
      <c r="C426" t="s">
        <v>119</v>
      </c>
      <c r="D426">
        <v>45</v>
      </c>
      <c r="E426">
        <v>174</v>
      </c>
      <c r="F426">
        <v>65</v>
      </c>
      <c r="G426">
        <v>1.5</v>
      </c>
      <c r="H426" t="s">
        <v>590</v>
      </c>
      <c r="I426" t="s">
        <v>5</v>
      </c>
      <c r="J426" t="s">
        <v>36</v>
      </c>
      <c r="K426" t="s">
        <v>37</v>
      </c>
      <c r="L426" t="s">
        <v>20</v>
      </c>
      <c r="M426" t="s">
        <v>9</v>
      </c>
      <c r="N426" t="s">
        <v>8</v>
      </c>
      <c r="O426" t="s">
        <v>22</v>
      </c>
      <c r="P426" t="s">
        <v>10</v>
      </c>
      <c r="Q426" t="s">
        <v>13</v>
      </c>
      <c r="R426" t="s">
        <v>14</v>
      </c>
      <c r="S426" t="s">
        <v>25</v>
      </c>
      <c r="T426" t="s">
        <v>24</v>
      </c>
      <c r="U426" t="s">
        <v>29</v>
      </c>
      <c r="V426" s="94" t="s">
        <v>1030</v>
      </c>
      <c r="W426" t="s">
        <v>39</v>
      </c>
    </row>
    <row r="427" spans="1:23" ht="12.75">
      <c r="A427" s="1">
        <v>45787.794027777774</v>
      </c>
      <c r="C427" t="s">
        <v>154</v>
      </c>
      <c r="D427">
        <v>58</v>
      </c>
      <c r="E427">
        <v>160</v>
      </c>
      <c r="F427">
        <v>98</v>
      </c>
      <c r="G427">
        <v>2.5</v>
      </c>
      <c r="H427" t="s">
        <v>591</v>
      </c>
      <c r="I427" t="s">
        <v>29</v>
      </c>
      <c r="J427" t="s">
        <v>36</v>
      </c>
      <c r="K427" t="s">
        <v>19</v>
      </c>
      <c r="L427" t="s">
        <v>20</v>
      </c>
      <c r="M427" t="s">
        <v>38</v>
      </c>
      <c r="N427" t="s">
        <v>31</v>
      </c>
      <c r="O427" t="s">
        <v>46</v>
      </c>
      <c r="P427" t="s">
        <v>10</v>
      </c>
      <c r="Q427" t="s">
        <v>32</v>
      </c>
      <c r="R427" t="s">
        <v>50</v>
      </c>
      <c r="S427" t="s">
        <v>47</v>
      </c>
      <c r="T427" t="s">
        <v>24</v>
      </c>
      <c r="U427" t="s">
        <v>29</v>
      </c>
      <c r="V427" s="94" t="s">
        <v>1031</v>
      </c>
      <c r="W427" t="s">
        <v>26</v>
      </c>
    </row>
    <row r="428" spans="1:23" ht="12.75">
      <c r="A428" s="1">
        <v>45755.074780092589</v>
      </c>
      <c r="C428" t="s">
        <v>276</v>
      </c>
      <c r="D428">
        <v>41</v>
      </c>
      <c r="E428">
        <v>157</v>
      </c>
      <c r="F428">
        <v>90</v>
      </c>
      <c r="G428">
        <v>1</v>
      </c>
      <c r="H428" t="s">
        <v>591</v>
      </c>
      <c r="I428" t="s">
        <v>5</v>
      </c>
      <c r="J428" t="s">
        <v>6</v>
      </c>
      <c r="K428" t="s">
        <v>19</v>
      </c>
      <c r="L428" t="s">
        <v>10</v>
      </c>
      <c r="M428" t="s">
        <v>21</v>
      </c>
      <c r="N428" t="s">
        <v>8</v>
      </c>
      <c r="O428" t="s">
        <v>22</v>
      </c>
      <c r="P428" t="s">
        <v>10</v>
      </c>
      <c r="Q428" t="s">
        <v>32</v>
      </c>
      <c r="R428" t="s">
        <v>33</v>
      </c>
      <c r="S428" t="s">
        <v>24</v>
      </c>
      <c r="T428" t="s">
        <v>25</v>
      </c>
      <c r="U428" t="s">
        <v>5</v>
      </c>
      <c r="V428" s="94" t="s">
        <v>1032</v>
      </c>
      <c r="W428" t="s">
        <v>39</v>
      </c>
    </row>
    <row r="429" spans="1:23" ht="12.75">
      <c r="A429" s="1">
        <v>45792.257534722223</v>
      </c>
      <c r="C429" t="s">
        <v>247</v>
      </c>
      <c r="D429">
        <v>31</v>
      </c>
      <c r="E429">
        <v>159</v>
      </c>
      <c r="F429">
        <v>109</v>
      </c>
      <c r="G429">
        <v>1</v>
      </c>
      <c r="H429" t="s">
        <v>28</v>
      </c>
      <c r="I429" t="s">
        <v>29</v>
      </c>
      <c r="J429" t="s">
        <v>6</v>
      </c>
      <c r="K429" t="s">
        <v>19</v>
      </c>
      <c r="L429" t="s">
        <v>20</v>
      </c>
      <c r="M429" t="s">
        <v>9</v>
      </c>
      <c r="N429" t="s">
        <v>31</v>
      </c>
      <c r="O429" t="s">
        <v>44</v>
      </c>
      <c r="P429" t="s">
        <v>10</v>
      </c>
      <c r="Q429" t="s">
        <v>23</v>
      </c>
      <c r="R429" t="s">
        <v>14</v>
      </c>
      <c r="S429" t="s">
        <v>15</v>
      </c>
      <c r="T429" t="s">
        <v>24</v>
      </c>
      <c r="U429" t="s">
        <v>29</v>
      </c>
      <c r="V429" s="94" t="s">
        <v>1033</v>
      </c>
      <c r="W429" t="s">
        <v>34</v>
      </c>
    </row>
    <row r="430" spans="1:23" ht="12.75">
      <c r="A430" s="1">
        <v>45705.294803240744</v>
      </c>
      <c r="C430" t="s">
        <v>277</v>
      </c>
      <c r="D430">
        <v>33</v>
      </c>
      <c r="E430">
        <v>159</v>
      </c>
      <c r="F430">
        <v>63</v>
      </c>
      <c r="G430">
        <v>2</v>
      </c>
      <c r="H430" t="s">
        <v>592</v>
      </c>
      <c r="I430" t="s">
        <v>5</v>
      </c>
      <c r="J430" t="s">
        <v>6</v>
      </c>
      <c r="K430" t="s">
        <v>63</v>
      </c>
      <c r="L430" t="s">
        <v>12</v>
      </c>
      <c r="M430" t="s">
        <v>52</v>
      </c>
      <c r="N430" t="s">
        <v>20</v>
      </c>
      <c r="O430" t="s">
        <v>46</v>
      </c>
      <c r="P430" t="s">
        <v>20</v>
      </c>
      <c r="Q430" t="s">
        <v>13</v>
      </c>
      <c r="R430" t="s">
        <v>14</v>
      </c>
      <c r="S430" t="s">
        <v>25</v>
      </c>
      <c r="T430" t="s">
        <v>24</v>
      </c>
      <c r="U430" t="s">
        <v>5</v>
      </c>
      <c r="V430" s="94" t="s">
        <v>1034</v>
      </c>
      <c r="W430" t="s">
        <v>16</v>
      </c>
    </row>
    <row r="431" spans="1:23" ht="12.75">
      <c r="A431" s="1">
        <v>45782.182743055557</v>
      </c>
      <c r="C431" t="s">
        <v>278</v>
      </c>
      <c r="D431">
        <v>37</v>
      </c>
      <c r="E431">
        <v>178</v>
      </c>
      <c r="F431">
        <v>84</v>
      </c>
      <c r="G431">
        <v>3</v>
      </c>
      <c r="H431" t="s">
        <v>28</v>
      </c>
      <c r="I431" t="s">
        <v>29</v>
      </c>
      <c r="J431" t="s">
        <v>6</v>
      </c>
      <c r="K431" t="s">
        <v>30</v>
      </c>
      <c r="L431" t="s">
        <v>8</v>
      </c>
      <c r="M431" t="s">
        <v>52</v>
      </c>
      <c r="N431" t="s">
        <v>8</v>
      </c>
      <c r="O431" t="s">
        <v>11</v>
      </c>
      <c r="P431" t="s">
        <v>12</v>
      </c>
      <c r="Q431" t="s">
        <v>32</v>
      </c>
      <c r="R431" t="s">
        <v>33</v>
      </c>
      <c r="S431" t="s">
        <v>25</v>
      </c>
      <c r="T431" t="s">
        <v>25</v>
      </c>
      <c r="U431" t="s">
        <v>5</v>
      </c>
      <c r="V431" s="94" t="s">
        <v>1035</v>
      </c>
      <c r="W431" t="s">
        <v>26</v>
      </c>
    </row>
    <row r="432" spans="1:23" ht="12.75">
      <c r="A432" s="1">
        <v>45733.203530092593</v>
      </c>
      <c r="C432" t="s">
        <v>91</v>
      </c>
      <c r="D432">
        <v>28</v>
      </c>
      <c r="E432">
        <v>162</v>
      </c>
      <c r="F432">
        <v>86</v>
      </c>
      <c r="G432">
        <v>3</v>
      </c>
      <c r="H432" t="s">
        <v>592</v>
      </c>
      <c r="I432" t="s">
        <v>29</v>
      </c>
      <c r="J432" t="s">
        <v>36</v>
      </c>
      <c r="K432" t="s">
        <v>30</v>
      </c>
      <c r="L432" t="s">
        <v>40</v>
      </c>
      <c r="M432" t="s">
        <v>21</v>
      </c>
      <c r="N432" t="s">
        <v>10</v>
      </c>
      <c r="O432" t="s">
        <v>46</v>
      </c>
      <c r="P432" t="s">
        <v>10</v>
      </c>
      <c r="Q432" t="s">
        <v>13</v>
      </c>
      <c r="R432" t="s">
        <v>14</v>
      </c>
      <c r="S432" t="s">
        <v>25</v>
      </c>
      <c r="T432" t="s">
        <v>47</v>
      </c>
      <c r="U432" t="s">
        <v>29</v>
      </c>
      <c r="V432" s="94" t="s">
        <v>1036</v>
      </c>
      <c r="W432" t="s">
        <v>34</v>
      </c>
    </row>
    <row r="433" spans="1:23" ht="12.75">
      <c r="A433" s="1">
        <v>45669.008576388886</v>
      </c>
      <c r="C433" t="s">
        <v>180</v>
      </c>
      <c r="D433">
        <v>47</v>
      </c>
      <c r="E433">
        <v>173</v>
      </c>
      <c r="F433">
        <v>86</v>
      </c>
      <c r="G433">
        <v>1.5</v>
      </c>
      <c r="H433" t="s">
        <v>592</v>
      </c>
      <c r="I433" t="s">
        <v>5</v>
      </c>
      <c r="J433" t="s">
        <v>6</v>
      </c>
      <c r="K433" t="s">
        <v>30</v>
      </c>
      <c r="L433" t="s">
        <v>8</v>
      </c>
      <c r="M433" t="s">
        <v>21</v>
      </c>
      <c r="N433" t="s">
        <v>10</v>
      </c>
      <c r="O433" t="s">
        <v>44</v>
      </c>
      <c r="P433" t="s">
        <v>8</v>
      </c>
      <c r="Q433" t="s">
        <v>23</v>
      </c>
      <c r="R433" t="s">
        <v>33</v>
      </c>
      <c r="S433" t="s">
        <v>15</v>
      </c>
      <c r="T433" t="s">
        <v>47</v>
      </c>
      <c r="U433" t="s">
        <v>5</v>
      </c>
      <c r="V433" s="94" t="s">
        <v>1037</v>
      </c>
      <c r="W433" t="s">
        <v>34</v>
      </c>
    </row>
    <row r="434" spans="1:23" ht="12.75">
      <c r="A434" s="1">
        <v>45665.843506944446</v>
      </c>
      <c r="C434" t="s">
        <v>170</v>
      </c>
      <c r="D434">
        <v>50</v>
      </c>
      <c r="E434">
        <v>158</v>
      </c>
      <c r="F434">
        <v>73</v>
      </c>
      <c r="G434">
        <v>1</v>
      </c>
      <c r="H434" t="s">
        <v>28</v>
      </c>
      <c r="I434" t="s">
        <v>5</v>
      </c>
      <c r="J434" t="s">
        <v>6</v>
      </c>
      <c r="K434" t="s">
        <v>30</v>
      </c>
      <c r="L434" t="s">
        <v>31</v>
      </c>
      <c r="M434" t="s">
        <v>52</v>
      </c>
      <c r="N434" t="s">
        <v>31</v>
      </c>
      <c r="O434" t="s">
        <v>44</v>
      </c>
      <c r="P434" t="s">
        <v>8</v>
      </c>
      <c r="Q434" t="s">
        <v>32</v>
      </c>
      <c r="R434" t="s">
        <v>50</v>
      </c>
      <c r="S434" t="s">
        <v>24</v>
      </c>
      <c r="T434" t="s">
        <v>25</v>
      </c>
      <c r="U434" t="s">
        <v>29</v>
      </c>
      <c r="V434" s="94" t="s">
        <v>1038</v>
      </c>
      <c r="W434" t="s">
        <v>16</v>
      </c>
    </row>
    <row r="435" spans="1:23" ht="12.75">
      <c r="A435" s="1">
        <v>45705.671354166669</v>
      </c>
      <c r="C435" t="s">
        <v>115</v>
      </c>
      <c r="D435">
        <v>56</v>
      </c>
      <c r="E435">
        <v>173</v>
      </c>
      <c r="F435">
        <v>66</v>
      </c>
      <c r="G435">
        <v>1.5</v>
      </c>
      <c r="H435" t="s">
        <v>591</v>
      </c>
      <c r="I435" t="s">
        <v>29</v>
      </c>
      <c r="J435" t="s">
        <v>6</v>
      </c>
      <c r="K435" t="s">
        <v>63</v>
      </c>
      <c r="L435" t="s">
        <v>40</v>
      </c>
      <c r="M435" t="s">
        <v>21</v>
      </c>
      <c r="N435" t="s">
        <v>10</v>
      </c>
      <c r="O435" t="s">
        <v>44</v>
      </c>
      <c r="P435" t="s">
        <v>12</v>
      </c>
      <c r="Q435" t="s">
        <v>55</v>
      </c>
      <c r="R435" t="s">
        <v>14</v>
      </c>
      <c r="S435" t="s">
        <v>47</v>
      </c>
      <c r="T435" t="s">
        <v>24</v>
      </c>
      <c r="U435" t="s">
        <v>5</v>
      </c>
      <c r="V435" s="94" t="s">
        <v>1039</v>
      </c>
      <c r="W435" t="s">
        <v>34</v>
      </c>
    </row>
    <row r="436" spans="1:23" ht="12.75">
      <c r="A436" s="1">
        <v>45747.959641203706</v>
      </c>
      <c r="C436" t="s">
        <v>279</v>
      </c>
      <c r="D436">
        <v>26</v>
      </c>
      <c r="E436">
        <v>186</v>
      </c>
      <c r="F436">
        <v>85</v>
      </c>
      <c r="G436">
        <v>2.5</v>
      </c>
      <c r="H436" t="s">
        <v>591</v>
      </c>
      <c r="I436" t="s">
        <v>29</v>
      </c>
      <c r="J436" t="s">
        <v>6</v>
      </c>
      <c r="K436" t="s">
        <v>37</v>
      </c>
      <c r="L436" t="s">
        <v>12</v>
      </c>
      <c r="M436" t="s">
        <v>9</v>
      </c>
      <c r="N436" t="s">
        <v>12</v>
      </c>
      <c r="O436" t="s">
        <v>46</v>
      </c>
      <c r="P436" t="s">
        <v>40</v>
      </c>
      <c r="Q436" t="s">
        <v>55</v>
      </c>
      <c r="R436" t="s">
        <v>33</v>
      </c>
      <c r="S436" t="s">
        <v>15</v>
      </c>
      <c r="T436" t="s">
        <v>25</v>
      </c>
      <c r="U436" t="s">
        <v>5</v>
      </c>
      <c r="V436" s="94" t="s">
        <v>1040</v>
      </c>
      <c r="W436" t="s">
        <v>16</v>
      </c>
    </row>
    <row r="437" spans="1:23" ht="12.75">
      <c r="A437" s="1">
        <v>45690.986932870372</v>
      </c>
      <c r="C437" t="s">
        <v>67</v>
      </c>
      <c r="D437">
        <v>28</v>
      </c>
      <c r="E437">
        <v>171</v>
      </c>
      <c r="F437">
        <v>54</v>
      </c>
      <c r="G437">
        <v>1</v>
      </c>
      <c r="H437" t="s">
        <v>591</v>
      </c>
      <c r="I437" t="s">
        <v>29</v>
      </c>
      <c r="J437" t="s">
        <v>36</v>
      </c>
      <c r="K437" t="s">
        <v>37</v>
      </c>
      <c r="L437" t="s">
        <v>12</v>
      </c>
      <c r="M437" t="s">
        <v>38</v>
      </c>
      <c r="N437" t="s">
        <v>10</v>
      </c>
      <c r="O437" t="s">
        <v>44</v>
      </c>
      <c r="P437" t="s">
        <v>31</v>
      </c>
      <c r="Q437" t="s">
        <v>32</v>
      </c>
      <c r="R437" t="s">
        <v>50</v>
      </c>
      <c r="S437" t="s">
        <v>24</v>
      </c>
      <c r="T437" t="s">
        <v>47</v>
      </c>
      <c r="U437" t="s">
        <v>5</v>
      </c>
      <c r="V437" s="94" t="s">
        <v>1041</v>
      </c>
      <c r="W437" t="s">
        <v>39</v>
      </c>
    </row>
    <row r="438" spans="1:23" ht="12.75">
      <c r="A438" s="1">
        <v>45728.231574074074</v>
      </c>
      <c r="C438" t="s">
        <v>180</v>
      </c>
      <c r="D438">
        <v>38</v>
      </c>
      <c r="E438">
        <v>181</v>
      </c>
      <c r="F438">
        <v>59</v>
      </c>
      <c r="G438">
        <v>1.5</v>
      </c>
      <c r="H438" t="s">
        <v>590</v>
      </c>
      <c r="I438" t="s">
        <v>5</v>
      </c>
      <c r="J438" t="s">
        <v>6</v>
      </c>
      <c r="K438" t="s">
        <v>19</v>
      </c>
      <c r="L438" t="s">
        <v>40</v>
      </c>
      <c r="M438" t="s">
        <v>9</v>
      </c>
      <c r="N438" t="s">
        <v>10</v>
      </c>
      <c r="O438" t="s">
        <v>44</v>
      </c>
      <c r="P438" t="s">
        <v>31</v>
      </c>
      <c r="Q438" t="s">
        <v>13</v>
      </c>
      <c r="R438" t="s">
        <v>50</v>
      </c>
      <c r="S438" t="s">
        <v>47</v>
      </c>
      <c r="T438" t="s">
        <v>15</v>
      </c>
      <c r="U438" t="s">
        <v>5</v>
      </c>
      <c r="V438" s="94" t="s">
        <v>1042</v>
      </c>
      <c r="W438" t="s">
        <v>26</v>
      </c>
    </row>
    <row r="439" spans="1:23" ht="12.75">
      <c r="A439" s="1">
        <v>45812.097118055557</v>
      </c>
      <c r="C439" t="s">
        <v>156</v>
      </c>
      <c r="D439">
        <v>42</v>
      </c>
      <c r="E439">
        <v>163</v>
      </c>
      <c r="F439">
        <v>73</v>
      </c>
      <c r="G439">
        <v>2</v>
      </c>
      <c r="H439" t="s">
        <v>590</v>
      </c>
      <c r="I439" t="s">
        <v>5</v>
      </c>
      <c r="J439" t="s">
        <v>36</v>
      </c>
      <c r="K439" t="s">
        <v>37</v>
      </c>
      <c r="L439" t="s">
        <v>20</v>
      </c>
      <c r="M439" t="s">
        <v>52</v>
      </c>
      <c r="N439" t="s">
        <v>20</v>
      </c>
      <c r="O439" t="s">
        <v>44</v>
      </c>
      <c r="P439" t="s">
        <v>20</v>
      </c>
      <c r="Q439" t="s">
        <v>23</v>
      </c>
      <c r="R439" t="s">
        <v>50</v>
      </c>
      <c r="S439" t="s">
        <v>24</v>
      </c>
      <c r="T439" t="s">
        <v>24</v>
      </c>
      <c r="U439" t="s">
        <v>5</v>
      </c>
      <c r="V439" s="94" t="s">
        <v>1043</v>
      </c>
      <c r="W439" t="s">
        <v>39</v>
      </c>
    </row>
    <row r="440" spans="1:23" ht="12.75">
      <c r="A440" s="1">
        <v>45736.407280092593</v>
      </c>
      <c r="C440" t="s">
        <v>80</v>
      </c>
      <c r="D440">
        <v>31</v>
      </c>
      <c r="E440">
        <v>177</v>
      </c>
      <c r="F440">
        <v>73</v>
      </c>
      <c r="G440">
        <v>3</v>
      </c>
      <c r="H440" t="s">
        <v>591</v>
      </c>
      <c r="I440" t="s">
        <v>29</v>
      </c>
      <c r="J440" t="s">
        <v>36</v>
      </c>
      <c r="K440" t="s">
        <v>19</v>
      </c>
      <c r="L440" t="s">
        <v>40</v>
      </c>
      <c r="M440" t="s">
        <v>9</v>
      </c>
      <c r="N440" t="s">
        <v>20</v>
      </c>
      <c r="O440" t="s">
        <v>44</v>
      </c>
      <c r="P440" t="s">
        <v>12</v>
      </c>
      <c r="Q440" t="s">
        <v>13</v>
      </c>
      <c r="R440" t="s">
        <v>33</v>
      </c>
      <c r="S440" t="s">
        <v>24</v>
      </c>
      <c r="T440" t="s">
        <v>25</v>
      </c>
      <c r="U440" t="s">
        <v>29</v>
      </c>
      <c r="V440" s="94" t="s">
        <v>1044</v>
      </c>
      <c r="W440" t="s">
        <v>26</v>
      </c>
    </row>
    <row r="441" spans="1:23" ht="12.75">
      <c r="A441" s="1">
        <v>45733.743657407409</v>
      </c>
      <c r="C441" t="s">
        <v>141</v>
      </c>
      <c r="D441">
        <v>37</v>
      </c>
      <c r="E441">
        <v>172</v>
      </c>
      <c r="F441">
        <v>74</v>
      </c>
      <c r="G441">
        <v>2.5</v>
      </c>
      <c r="H441" t="s">
        <v>28</v>
      </c>
      <c r="I441" t="s">
        <v>5</v>
      </c>
      <c r="J441" t="s">
        <v>6</v>
      </c>
      <c r="K441" t="s">
        <v>63</v>
      </c>
      <c r="L441" t="s">
        <v>8</v>
      </c>
      <c r="M441" t="s">
        <v>52</v>
      </c>
      <c r="N441" t="s">
        <v>8</v>
      </c>
      <c r="O441" t="s">
        <v>44</v>
      </c>
      <c r="P441" t="s">
        <v>31</v>
      </c>
      <c r="Q441" t="s">
        <v>55</v>
      </c>
      <c r="R441" t="s">
        <v>14</v>
      </c>
      <c r="S441" t="s">
        <v>24</v>
      </c>
      <c r="T441" t="s">
        <v>47</v>
      </c>
      <c r="U441" t="s">
        <v>29</v>
      </c>
      <c r="V441" s="94" t="s">
        <v>1045</v>
      </c>
      <c r="W441" t="s">
        <v>34</v>
      </c>
    </row>
    <row r="442" spans="1:23" ht="12.75">
      <c r="A442" s="1">
        <v>45766.912812499999</v>
      </c>
      <c r="C442" t="s">
        <v>212</v>
      </c>
      <c r="D442">
        <v>25</v>
      </c>
      <c r="E442">
        <v>181</v>
      </c>
      <c r="F442">
        <v>98</v>
      </c>
      <c r="G442">
        <v>3</v>
      </c>
      <c r="H442" t="s">
        <v>592</v>
      </c>
      <c r="I442" t="s">
        <v>29</v>
      </c>
      <c r="J442" t="s">
        <v>36</v>
      </c>
      <c r="K442" t="s">
        <v>37</v>
      </c>
      <c r="L442" t="s">
        <v>12</v>
      </c>
      <c r="M442" t="s">
        <v>9</v>
      </c>
      <c r="N442" t="s">
        <v>8</v>
      </c>
      <c r="O442" t="s">
        <v>44</v>
      </c>
      <c r="P442" t="s">
        <v>40</v>
      </c>
      <c r="Q442" t="s">
        <v>32</v>
      </c>
      <c r="R442" t="s">
        <v>14</v>
      </c>
      <c r="S442" t="s">
        <v>25</v>
      </c>
      <c r="T442" t="s">
        <v>24</v>
      </c>
      <c r="U442" t="s">
        <v>5</v>
      </c>
      <c r="V442" s="94" t="s">
        <v>1046</v>
      </c>
      <c r="W442" t="s">
        <v>16</v>
      </c>
    </row>
    <row r="443" spans="1:23" ht="12.75">
      <c r="A443" s="1">
        <v>45768.274988425925</v>
      </c>
      <c r="C443" t="s">
        <v>129</v>
      </c>
      <c r="D443">
        <v>28</v>
      </c>
      <c r="E443">
        <v>172</v>
      </c>
      <c r="F443">
        <v>65</v>
      </c>
      <c r="G443">
        <v>2</v>
      </c>
      <c r="H443" t="s">
        <v>590</v>
      </c>
      <c r="I443" t="s">
        <v>29</v>
      </c>
      <c r="J443" t="s">
        <v>6</v>
      </c>
      <c r="K443" t="s">
        <v>7</v>
      </c>
      <c r="L443" t="s">
        <v>40</v>
      </c>
      <c r="M443" t="s">
        <v>9</v>
      </c>
      <c r="N443" t="s">
        <v>20</v>
      </c>
      <c r="O443" t="s">
        <v>46</v>
      </c>
      <c r="P443" t="s">
        <v>40</v>
      </c>
      <c r="Q443" t="s">
        <v>13</v>
      </c>
      <c r="R443" t="s">
        <v>14</v>
      </c>
      <c r="S443" t="s">
        <v>25</v>
      </c>
      <c r="T443" t="s">
        <v>24</v>
      </c>
      <c r="U443" t="s">
        <v>29</v>
      </c>
      <c r="V443" s="94" t="s">
        <v>1047</v>
      </c>
      <c r="W443" t="s">
        <v>34</v>
      </c>
    </row>
    <row r="444" spans="1:23" ht="12.75">
      <c r="A444" s="1">
        <v>45808.1096412037</v>
      </c>
      <c r="C444" t="s">
        <v>102</v>
      </c>
      <c r="D444">
        <v>41</v>
      </c>
      <c r="E444">
        <v>163</v>
      </c>
      <c r="F444">
        <v>54</v>
      </c>
      <c r="G444">
        <v>3</v>
      </c>
      <c r="H444" t="s">
        <v>28</v>
      </c>
      <c r="I444" t="s">
        <v>29</v>
      </c>
      <c r="J444" t="s">
        <v>6</v>
      </c>
      <c r="K444" t="s">
        <v>37</v>
      </c>
      <c r="L444" t="s">
        <v>10</v>
      </c>
      <c r="M444" t="s">
        <v>52</v>
      </c>
      <c r="N444" t="s">
        <v>8</v>
      </c>
      <c r="O444" t="s">
        <v>46</v>
      </c>
      <c r="P444" t="s">
        <v>8</v>
      </c>
      <c r="Q444" t="s">
        <v>32</v>
      </c>
      <c r="R444" t="s">
        <v>33</v>
      </c>
      <c r="S444" t="s">
        <v>24</v>
      </c>
      <c r="T444" t="s">
        <v>15</v>
      </c>
      <c r="U444" t="s">
        <v>5</v>
      </c>
      <c r="V444" s="94" t="s">
        <v>1048</v>
      </c>
      <c r="W444" t="s">
        <v>16</v>
      </c>
    </row>
    <row r="445" spans="1:23" ht="12.75">
      <c r="A445" s="1">
        <v>45792.25540509259</v>
      </c>
      <c r="C445" t="s">
        <v>280</v>
      </c>
      <c r="D445">
        <v>42</v>
      </c>
      <c r="E445">
        <v>159</v>
      </c>
      <c r="F445">
        <v>84</v>
      </c>
      <c r="G445">
        <v>2.5</v>
      </c>
      <c r="H445" t="s">
        <v>592</v>
      </c>
      <c r="I445" t="s">
        <v>5</v>
      </c>
      <c r="J445" t="s">
        <v>36</v>
      </c>
      <c r="K445" t="s">
        <v>63</v>
      </c>
      <c r="L445" t="s">
        <v>8</v>
      </c>
      <c r="M445" t="s">
        <v>38</v>
      </c>
      <c r="N445" t="s">
        <v>12</v>
      </c>
      <c r="O445" t="s">
        <v>46</v>
      </c>
      <c r="P445" t="s">
        <v>10</v>
      </c>
      <c r="Q445" t="s">
        <v>13</v>
      </c>
      <c r="R445" t="s">
        <v>14</v>
      </c>
      <c r="S445" t="s">
        <v>15</v>
      </c>
      <c r="T445" t="s">
        <v>47</v>
      </c>
      <c r="U445" t="s">
        <v>29</v>
      </c>
      <c r="V445" s="94" t="s">
        <v>1049</v>
      </c>
      <c r="W445" t="s">
        <v>16</v>
      </c>
    </row>
    <row r="446" spans="1:23" ht="12.75">
      <c r="A446" s="1">
        <v>45684.237847222219</v>
      </c>
      <c r="C446" t="s">
        <v>102</v>
      </c>
      <c r="D446">
        <v>38</v>
      </c>
      <c r="E446">
        <v>181</v>
      </c>
      <c r="F446">
        <v>59</v>
      </c>
      <c r="G446">
        <v>1.5</v>
      </c>
      <c r="H446" t="s">
        <v>590</v>
      </c>
      <c r="I446" t="s">
        <v>29</v>
      </c>
      <c r="J446" t="s">
        <v>36</v>
      </c>
      <c r="K446" t="s">
        <v>37</v>
      </c>
      <c r="L446" t="s">
        <v>31</v>
      </c>
      <c r="M446" t="s">
        <v>9</v>
      </c>
      <c r="N446" t="s">
        <v>31</v>
      </c>
      <c r="O446" t="s">
        <v>11</v>
      </c>
      <c r="P446" t="s">
        <v>10</v>
      </c>
      <c r="Q446" t="s">
        <v>55</v>
      </c>
      <c r="R446" t="s">
        <v>33</v>
      </c>
      <c r="S446" t="s">
        <v>47</v>
      </c>
      <c r="T446" t="s">
        <v>25</v>
      </c>
      <c r="U446" t="s">
        <v>5</v>
      </c>
      <c r="V446" s="94" t="s">
        <v>1050</v>
      </c>
      <c r="W446" t="s">
        <v>39</v>
      </c>
    </row>
    <row r="447" spans="1:23" ht="12.75">
      <c r="A447" s="1">
        <v>45695.966180555559</v>
      </c>
      <c r="C447" t="s">
        <v>53</v>
      </c>
      <c r="D447">
        <v>32</v>
      </c>
      <c r="E447">
        <v>182</v>
      </c>
      <c r="F447">
        <v>108</v>
      </c>
      <c r="G447">
        <v>1</v>
      </c>
      <c r="H447" t="s">
        <v>28</v>
      </c>
      <c r="I447" t="s">
        <v>29</v>
      </c>
      <c r="J447" t="s">
        <v>6</v>
      </c>
      <c r="K447" t="s">
        <v>7</v>
      </c>
      <c r="L447" t="s">
        <v>8</v>
      </c>
      <c r="M447" t="s">
        <v>52</v>
      </c>
      <c r="N447" t="s">
        <v>12</v>
      </c>
      <c r="O447" t="s">
        <v>11</v>
      </c>
      <c r="P447" t="s">
        <v>12</v>
      </c>
      <c r="Q447" t="s">
        <v>55</v>
      </c>
      <c r="R447" t="s">
        <v>33</v>
      </c>
      <c r="S447" t="s">
        <v>47</v>
      </c>
      <c r="T447" t="s">
        <v>25</v>
      </c>
      <c r="U447" t="s">
        <v>5</v>
      </c>
      <c r="V447" s="94" t="s">
        <v>1051</v>
      </c>
      <c r="W447" t="s">
        <v>39</v>
      </c>
    </row>
    <row r="448" spans="1:23" ht="12.75">
      <c r="A448" s="1">
        <v>45793.922546296293</v>
      </c>
      <c r="C448" t="s">
        <v>170</v>
      </c>
      <c r="D448">
        <v>35</v>
      </c>
      <c r="E448">
        <v>172</v>
      </c>
      <c r="F448">
        <v>92</v>
      </c>
      <c r="G448">
        <v>1.5</v>
      </c>
      <c r="H448" t="s">
        <v>590</v>
      </c>
      <c r="I448" t="s">
        <v>29</v>
      </c>
      <c r="J448" t="s">
        <v>6</v>
      </c>
      <c r="K448" t="s">
        <v>37</v>
      </c>
      <c r="L448" t="s">
        <v>12</v>
      </c>
      <c r="M448" t="s">
        <v>38</v>
      </c>
      <c r="N448" t="s">
        <v>8</v>
      </c>
      <c r="O448" t="s">
        <v>46</v>
      </c>
      <c r="P448" t="s">
        <v>8</v>
      </c>
      <c r="Q448" t="s">
        <v>23</v>
      </c>
      <c r="R448" t="s">
        <v>33</v>
      </c>
      <c r="S448" t="s">
        <v>25</v>
      </c>
      <c r="T448" t="s">
        <v>47</v>
      </c>
      <c r="U448" t="s">
        <v>5</v>
      </c>
      <c r="V448" s="94" t="s">
        <v>1052</v>
      </c>
      <c r="W448" t="s">
        <v>34</v>
      </c>
    </row>
    <row r="449" spans="1:23" ht="12.75">
      <c r="A449" s="1">
        <v>45680.497708333336</v>
      </c>
      <c r="C449" t="s">
        <v>281</v>
      </c>
      <c r="D449">
        <v>46</v>
      </c>
      <c r="E449">
        <v>182</v>
      </c>
      <c r="F449">
        <v>64</v>
      </c>
      <c r="G449">
        <v>2.5</v>
      </c>
      <c r="H449" t="s">
        <v>590</v>
      </c>
      <c r="I449" t="s">
        <v>29</v>
      </c>
      <c r="J449" t="s">
        <v>36</v>
      </c>
      <c r="K449" t="s">
        <v>60</v>
      </c>
      <c r="L449" t="s">
        <v>20</v>
      </c>
      <c r="M449" t="s">
        <v>21</v>
      </c>
      <c r="N449" t="s">
        <v>8</v>
      </c>
      <c r="O449" t="s">
        <v>44</v>
      </c>
      <c r="P449" t="s">
        <v>20</v>
      </c>
      <c r="Q449" t="s">
        <v>55</v>
      </c>
      <c r="R449" t="s">
        <v>50</v>
      </c>
      <c r="S449" t="s">
        <v>47</v>
      </c>
      <c r="T449" t="s">
        <v>47</v>
      </c>
      <c r="U449" t="s">
        <v>29</v>
      </c>
      <c r="V449" s="94" t="s">
        <v>1053</v>
      </c>
      <c r="W449" t="s">
        <v>26</v>
      </c>
    </row>
    <row r="450" spans="1:23" ht="12.75">
      <c r="A450" s="1">
        <v>45764.588738425926</v>
      </c>
      <c r="C450" t="s">
        <v>74</v>
      </c>
      <c r="D450">
        <v>55</v>
      </c>
      <c r="E450">
        <v>175</v>
      </c>
      <c r="F450">
        <v>61</v>
      </c>
      <c r="G450">
        <v>1.5</v>
      </c>
      <c r="H450" t="s">
        <v>28</v>
      </c>
      <c r="I450" t="s">
        <v>29</v>
      </c>
      <c r="J450" t="s">
        <v>6</v>
      </c>
      <c r="K450" t="s">
        <v>30</v>
      </c>
      <c r="L450" t="s">
        <v>12</v>
      </c>
      <c r="M450" t="s">
        <v>9</v>
      </c>
      <c r="N450" t="s">
        <v>8</v>
      </c>
      <c r="O450" t="s">
        <v>11</v>
      </c>
      <c r="P450" t="s">
        <v>10</v>
      </c>
      <c r="Q450" t="s">
        <v>32</v>
      </c>
      <c r="R450" t="s">
        <v>33</v>
      </c>
      <c r="S450" t="s">
        <v>47</v>
      </c>
      <c r="T450" t="s">
        <v>47</v>
      </c>
      <c r="U450" t="s">
        <v>29</v>
      </c>
      <c r="V450" s="94" t="s">
        <v>1054</v>
      </c>
      <c r="W450" t="s">
        <v>34</v>
      </c>
    </row>
    <row r="451" spans="1:23" ht="12.75">
      <c r="A451" s="1">
        <v>45719.899050925924</v>
      </c>
      <c r="C451" t="s">
        <v>189</v>
      </c>
      <c r="D451">
        <v>29</v>
      </c>
      <c r="E451">
        <v>186</v>
      </c>
      <c r="F451">
        <v>80</v>
      </c>
      <c r="G451">
        <v>2</v>
      </c>
      <c r="H451" t="s">
        <v>590</v>
      </c>
      <c r="I451" t="s">
        <v>29</v>
      </c>
      <c r="J451" t="s">
        <v>6</v>
      </c>
      <c r="K451" t="s">
        <v>63</v>
      </c>
      <c r="L451" t="s">
        <v>31</v>
      </c>
      <c r="M451" t="s">
        <v>9</v>
      </c>
      <c r="N451" t="s">
        <v>40</v>
      </c>
      <c r="O451" t="s">
        <v>22</v>
      </c>
      <c r="P451" t="s">
        <v>20</v>
      </c>
      <c r="Q451" t="s">
        <v>13</v>
      </c>
      <c r="R451" t="s">
        <v>14</v>
      </c>
      <c r="S451" t="s">
        <v>24</v>
      </c>
      <c r="T451" t="s">
        <v>15</v>
      </c>
      <c r="U451" t="s">
        <v>29</v>
      </c>
      <c r="V451" s="94" t="s">
        <v>1055</v>
      </c>
      <c r="W451" t="s">
        <v>39</v>
      </c>
    </row>
    <row r="452" spans="1:23" ht="12.75">
      <c r="A452" s="1">
        <v>45730.923796296294</v>
      </c>
      <c r="C452" t="s">
        <v>282</v>
      </c>
      <c r="D452">
        <v>27</v>
      </c>
      <c r="E452">
        <v>174</v>
      </c>
      <c r="F452">
        <v>82</v>
      </c>
      <c r="G452">
        <v>1</v>
      </c>
      <c r="H452" t="s">
        <v>28</v>
      </c>
      <c r="I452" t="s">
        <v>29</v>
      </c>
      <c r="J452" t="s">
        <v>6</v>
      </c>
      <c r="K452" t="s">
        <v>60</v>
      </c>
      <c r="L452" t="s">
        <v>20</v>
      </c>
      <c r="M452" t="s">
        <v>9</v>
      </c>
      <c r="N452" t="s">
        <v>20</v>
      </c>
      <c r="O452" t="s">
        <v>22</v>
      </c>
      <c r="P452" t="s">
        <v>10</v>
      </c>
      <c r="Q452" t="s">
        <v>23</v>
      </c>
      <c r="R452" t="s">
        <v>33</v>
      </c>
      <c r="S452" t="s">
        <v>25</v>
      </c>
      <c r="T452" t="s">
        <v>24</v>
      </c>
      <c r="U452" t="s">
        <v>29</v>
      </c>
      <c r="V452" s="94" t="s">
        <v>1056</v>
      </c>
      <c r="W452" t="s">
        <v>26</v>
      </c>
    </row>
    <row r="453" spans="1:23" ht="12.75">
      <c r="A453" s="1">
        <v>45719.164768518516</v>
      </c>
      <c r="C453" t="s">
        <v>283</v>
      </c>
      <c r="D453">
        <v>34</v>
      </c>
      <c r="E453">
        <v>157</v>
      </c>
      <c r="F453">
        <v>57</v>
      </c>
      <c r="G453">
        <v>1</v>
      </c>
      <c r="H453" t="s">
        <v>28</v>
      </c>
      <c r="I453" t="s">
        <v>29</v>
      </c>
      <c r="J453" t="s">
        <v>36</v>
      </c>
      <c r="K453" t="s">
        <v>7</v>
      </c>
      <c r="L453" t="s">
        <v>40</v>
      </c>
      <c r="M453" t="s">
        <v>38</v>
      </c>
      <c r="N453" t="s">
        <v>12</v>
      </c>
      <c r="O453" t="s">
        <v>11</v>
      </c>
      <c r="P453" t="s">
        <v>40</v>
      </c>
      <c r="Q453" t="s">
        <v>32</v>
      </c>
      <c r="R453" t="s">
        <v>33</v>
      </c>
      <c r="S453" t="s">
        <v>25</v>
      </c>
      <c r="T453" t="s">
        <v>47</v>
      </c>
      <c r="U453" t="s">
        <v>29</v>
      </c>
      <c r="V453" s="94" t="s">
        <v>1057</v>
      </c>
      <c r="W453" t="s">
        <v>34</v>
      </c>
    </row>
    <row r="454" spans="1:23" ht="12.75">
      <c r="A454" s="1">
        <v>45809.667268518519</v>
      </c>
      <c r="C454" t="s">
        <v>284</v>
      </c>
      <c r="D454">
        <v>37</v>
      </c>
      <c r="E454">
        <v>157</v>
      </c>
      <c r="F454">
        <v>91</v>
      </c>
      <c r="G454">
        <v>3</v>
      </c>
      <c r="H454" t="s">
        <v>28</v>
      </c>
      <c r="I454" t="s">
        <v>29</v>
      </c>
      <c r="J454" t="s">
        <v>6</v>
      </c>
      <c r="K454" t="s">
        <v>63</v>
      </c>
      <c r="L454" t="s">
        <v>8</v>
      </c>
      <c r="M454" t="s">
        <v>52</v>
      </c>
      <c r="N454" t="s">
        <v>31</v>
      </c>
      <c r="O454" t="s">
        <v>46</v>
      </c>
      <c r="P454" t="s">
        <v>12</v>
      </c>
      <c r="Q454" t="s">
        <v>13</v>
      </c>
      <c r="R454" t="s">
        <v>33</v>
      </c>
      <c r="S454" t="s">
        <v>25</v>
      </c>
      <c r="T454" t="s">
        <v>15</v>
      </c>
      <c r="U454" t="s">
        <v>29</v>
      </c>
      <c r="V454" s="94" t="s">
        <v>1058</v>
      </c>
      <c r="W454" t="s">
        <v>26</v>
      </c>
    </row>
    <row r="455" spans="1:23" ht="12.75">
      <c r="A455" s="1">
        <v>45741.719942129632</v>
      </c>
      <c r="C455" t="s">
        <v>67</v>
      </c>
      <c r="D455">
        <v>27</v>
      </c>
      <c r="E455">
        <v>185</v>
      </c>
      <c r="F455">
        <v>59</v>
      </c>
      <c r="G455">
        <v>2</v>
      </c>
      <c r="H455" t="s">
        <v>28</v>
      </c>
      <c r="I455" t="s">
        <v>5</v>
      </c>
      <c r="J455" t="s">
        <v>36</v>
      </c>
      <c r="K455" t="s">
        <v>30</v>
      </c>
      <c r="L455" t="s">
        <v>40</v>
      </c>
      <c r="M455" t="s">
        <v>38</v>
      </c>
      <c r="N455" t="s">
        <v>40</v>
      </c>
      <c r="O455" t="s">
        <v>44</v>
      </c>
      <c r="P455" t="s">
        <v>20</v>
      </c>
      <c r="Q455" t="s">
        <v>55</v>
      </c>
      <c r="R455" t="s">
        <v>50</v>
      </c>
      <c r="S455" t="s">
        <v>25</v>
      </c>
      <c r="T455" t="s">
        <v>25</v>
      </c>
      <c r="U455" t="s">
        <v>5</v>
      </c>
      <c r="V455" s="94" t="s">
        <v>1059</v>
      </c>
      <c r="W455" t="s">
        <v>34</v>
      </c>
    </row>
    <row r="456" spans="1:23" ht="12.75">
      <c r="A456" s="1">
        <v>45668.481111111112</v>
      </c>
      <c r="C456" t="s">
        <v>154</v>
      </c>
      <c r="D456">
        <v>51</v>
      </c>
      <c r="E456">
        <v>160</v>
      </c>
      <c r="F456">
        <v>71</v>
      </c>
      <c r="G456">
        <v>1.5</v>
      </c>
      <c r="H456" t="s">
        <v>592</v>
      </c>
      <c r="I456" t="s">
        <v>5</v>
      </c>
      <c r="J456" t="s">
        <v>36</v>
      </c>
      <c r="K456" t="s">
        <v>19</v>
      </c>
      <c r="L456" t="s">
        <v>8</v>
      </c>
      <c r="M456" t="s">
        <v>38</v>
      </c>
      <c r="N456" t="s">
        <v>40</v>
      </c>
      <c r="O456" t="s">
        <v>44</v>
      </c>
      <c r="P456" t="s">
        <v>20</v>
      </c>
      <c r="Q456" t="s">
        <v>32</v>
      </c>
      <c r="R456" t="s">
        <v>50</v>
      </c>
      <c r="S456" t="s">
        <v>47</v>
      </c>
      <c r="T456" t="s">
        <v>47</v>
      </c>
      <c r="U456" t="s">
        <v>29</v>
      </c>
      <c r="V456" s="94" t="s">
        <v>1060</v>
      </c>
      <c r="W456" t="s">
        <v>26</v>
      </c>
    </row>
    <row r="457" spans="1:23" ht="12.75">
      <c r="A457" s="1">
        <v>45703.097337962965</v>
      </c>
      <c r="C457" t="s">
        <v>249</v>
      </c>
      <c r="D457">
        <v>55</v>
      </c>
      <c r="E457">
        <v>178</v>
      </c>
      <c r="F457">
        <v>105</v>
      </c>
      <c r="G457">
        <v>2</v>
      </c>
      <c r="H457" t="s">
        <v>28</v>
      </c>
      <c r="I457" t="s">
        <v>5</v>
      </c>
      <c r="J457" t="s">
        <v>6</v>
      </c>
      <c r="K457" t="s">
        <v>37</v>
      </c>
      <c r="L457" t="s">
        <v>10</v>
      </c>
      <c r="M457" t="s">
        <v>38</v>
      </c>
      <c r="N457" t="s">
        <v>31</v>
      </c>
      <c r="O457" t="s">
        <v>44</v>
      </c>
      <c r="P457" t="s">
        <v>20</v>
      </c>
      <c r="Q457" t="s">
        <v>32</v>
      </c>
      <c r="R457" t="s">
        <v>50</v>
      </c>
      <c r="S457" t="s">
        <v>25</v>
      </c>
      <c r="T457" t="s">
        <v>25</v>
      </c>
      <c r="U457" t="s">
        <v>29</v>
      </c>
      <c r="V457" s="94" t="s">
        <v>1061</v>
      </c>
      <c r="W457" t="s">
        <v>39</v>
      </c>
    </row>
    <row r="458" spans="1:23" ht="12.75">
      <c r="A458" s="1">
        <v>45778.238796296297</v>
      </c>
      <c r="C458" t="s">
        <v>285</v>
      </c>
      <c r="D458">
        <v>57</v>
      </c>
      <c r="E458">
        <v>162</v>
      </c>
      <c r="F458">
        <v>83</v>
      </c>
      <c r="G458">
        <v>1.5</v>
      </c>
      <c r="H458" t="s">
        <v>591</v>
      </c>
      <c r="I458" t="s">
        <v>5</v>
      </c>
      <c r="J458" t="s">
        <v>6</v>
      </c>
      <c r="K458" t="s">
        <v>60</v>
      </c>
      <c r="L458" t="s">
        <v>12</v>
      </c>
      <c r="M458" t="s">
        <v>52</v>
      </c>
      <c r="N458" t="s">
        <v>8</v>
      </c>
      <c r="O458" t="s">
        <v>11</v>
      </c>
      <c r="P458" t="s">
        <v>10</v>
      </c>
      <c r="Q458" t="s">
        <v>32</v>
      </c>
      <c r="R458" t="s">
        <v>33</v>
      </c>
      <c r="S458" t="s">
        <v>24</v>
      </c>
      <c r="T458" t="s">
        <v>15</v>
      </c>
      <c r="U458" t="s">
        <v>29</v>
      </c>
      <c r="V458" s="94" t="s">
        <v>1062</v>
      </c>
      <c r="W458" t="s">
        <v>16</v>
      </c>
    </row>
    <row r="459" spans="1:23" ht="12.75">
      <c r="A459" s="1">
        <v>45689.127280092594</v>
      </c>
      <c r="C459" t="s">
        <v>134</v>
      </c>
      <c r="D459">
        <v>32</v>
      </c>
      <c r="E459">
        <v>168</v>
      </c>
      <c r="F459">
        <v>78</v>
      </c>
      <c r="G459">
        <v>2</v>
      </c>
      <c r="H459" t="s">
        <v>590</v>
      </c>
      <c r="I459" t="s">
        <v>5</v>
      </c>
      <c r="J459" t="s">
        <v>6</v>
      </c>
      <c r="K459" t="s">
        <v>19</v>
      </c>
      <c r="L459" t="s">
        <v>12</v>
      </c>
      <c r="M459" t="s">
        <v>38</v>
      </c>
      <c r="N459" t="s">
        <v>8</v>
      </c>
      <c r="O459" t="s">
        <v>22</v>
      </c>
      <c r="P459" t="s">
        <v>10</v>
      </c>
      <c r="Q459" t="s">
        <v>13</v>
      </c>
      <c r="R459" t="s">
        <v>50</v>
      </c>
      <c r="S459" t="s">
        <v>25</v>
      </c>
      <c r="T459" t="s">
        <v>25</v>
      </c>
      <c r="U459" t="s">
        <v>29</v>
      </c>
      <c r="V459" s="94" t="s">
        <v>1063</v>
      </c>
      <c r="W459" t="s">
        <v>26</v>
      </c>
    </row>
    <row r="460" spans="1:23" ht="12.75">
      <c r="A460" s="1">
        <v>45775.292337962965</v>
      </c>
      <c r="C460" t="s">
        <v>286</v>
      </c>
      <c r="D460">
        <v>38</v>
      </c>
      <c r="E460">
        <v>160</v>
      </c>
      <c r="F460">
        <v>85</v>
      </c>
      <c r="G460">
        <v>1</v>
      </c>
      <c r="H460" t="s">
        <v>591</v>
      </c>
      <c r="I460" t="s">
        <v>29</v>
      </c>
      <c r="J460" t="s">
        <v>6</v>
      </c>
      <c r="K460" t="s">
        <v>60</v>
      </c>
      <c r="L460" t="s">
        <v>12</v>
      </c>
      <c r="M460" t="s">
        <v>21</v>
      </c>
      <c r="N460" t="s">
        <v>31</v>
      </c>
      <c r="O460" t="s">
        <v>44</v>
      </c>
      <c r="P460" t="s">
        <v>20</v>
      </c>
      <c r="Q460" t="s">
        <v>13</v>
      </c>
      <c r="R460" t="s">
        <v>33</v>
      </c>
      <c r="S460" t="s">
        <v>24</v>
      </c>
      <c r="T460" t="s">
        <v>24</v>
      </c>
      <c r="U460" t="s">
        <v>29</v>
      </c>
      <c r="V460" s="94" t="s">
        <v>1064</v>
      </c>
      <c r="W460" t="s">
        <v>34</v>
      </c>
    </row>
    <row r="461" spans="1:23" ht="12.75">
      <c r="A461" s="1">
        <v>45771.525763888887</v>
      </c>
      <c r="C461" t="s">
        <v>287</v>
      </c>
      <c r="D461">
        <v>34</v>
      </c>
      <c r="E461">
        <v>159</v>
      </c>
      <c r="F461">
        <v>50</v>
      </c>
      <c r="G461">
        <v>1</v>
      </c>
      <c r="H461" t="s">
        <v>28</v>
      </c>
      <c r="I461" t="s">
        <v>29</v>
      </c>
      <c r="J461" t="s">
        <v>6</v>
      </c>
      <c r="K461" t="s">
        <v>19</v>
      </c>
      <c r="L461" t="s">
        <v>10</v>
      </c>
      <c r="M461" t="s">
        <v>9</v>
      </c>
      <c r="N461" t="s">
        <v>10</v>
      </c>
      <c r="O461" t="s">
        <v>46</v>
      </c>
      <c r="P461" t="s">
        <v>31</v>
      </c>
      <c r="Q461" t="s">
        <v>23</v>
      </c>
      <c r="R461" t="s">
        <v>50</v>
      </c>
      <c r="S461" t="s">
        <v>47</v>
      </c>
      <c r="T461" t="s">
        <v>25</v>
      </c>
      <c r="U461" t="s">
        <v>5</v>
      </c>
      <c r="V461" s="94" t="s">
        <v>1065</v>
      </c>
      <c r="W461" t="s">
        <v>34</v>
      </c>
    </row>
    <row r="462" spans="1:23" ht="12.75">
      <c r="A462" s="1">
        <v>45808.936076388891</v>
      </c>
      <c r="C462" t="s">
        <v>285</v>
      </c>
      <c r="D462">
        <v>28</v>
      </c>
      <c r="E462">
        <v>182</v>
      </c>
      <c r="F462">
        <v>82</v>
      </c>
      <c r="G462">
        <v>1</v>
      </c>
      <c r="H462" t="s">
        <v>28</v>
      </c>
      <c r="I462" t="s">
        <v>29</v>
      </c>
      <c r="J462" t="s">
        <v>36</v>
      </c>
      <c r="K462" t="s">
        <v>7</v>
      </c>
      <c r="L462" t="s">
        <v>20</v>
      </c>
      <c r="M462" t="s">
        <v>9</v>
      </c>
      <c r="N462" t="s">
        <v>12</v>
      </c>
      <c r="O462" t="s">
        <v>22</v>
      </c>
      <c r="P462" t="s">
        <v>10</v>
      </c>
      <c r="Q462" t="s">
        <v>23</v>
      </c>
      <c r="R462" t="s">
        <v>50</v>
      </c>
      <c r="S462" t="s">
        <v>25</v>
      </c>
      <c r="T462" t="s">
        <v>25</v>
      </c>
      <c r="U462" t="s">
        <v>5</v>
      </c>
      <c r="V462" s="94" t="s">
        <v>1066</v>
      </c>
      <c r="W462" t="s">
        <v>39</v>
      </c>
    </row>
    <row r="463" spans="1:23" ht="12.75">
      <c r="A463" s="1">
        <v>45797.619768518518</v>
      </c>
      <c r="C463" t="s">
        <v>106</v>
      </c>
      <c r="D463">
        <v>45</v>
      </c>
      <c r="E463">
        <v>165</v>
      </c>
      <c r="F463">
        <v>66</v>
      </c>
      <c r="G463">
        <v>3</v>
      </c>
      <c r="H463" t="s">
        <v>591</v>
      </c>
      <c r="I463" t="s">
        <v>29</v>
      </c>
      <c r="J463" t="s">
        <v>36</v>
      </c>
      <c r="K463" t="s">
        <v>30</v>
      </c>
      <c r="L463" t="s">
        <v>10</v>
      </c>
      <c r="M463" t="s">
        <v>38</v>
      </c>
      <c r="N463" t="s">
        <v>20</v>
      </c>
      <c r="O463" t="s">
        <v>11</v>
      </c>
      <c r="P463" t="s">
        <v>20</v>
      </c>
      <c r="Q463" t="s">
        <v>23</v>
      </c>
      <c r="R463" t="s">
        <v>33</v>
      </c>
      <c r="S463" t="s">
        <v>25</v>
      </c>
      <c r="T463" t="s">
        <v>25</v>
      </c>
      <c r="U463" t="s">
        <v>5</v>
      </c>
      <c r="V463" s="94" t="s">
        <v>1067</v>
      </c>
      <c r="W463" t="s">
        <v>16</v>
      </c>
    </row>
    <row r="464" spans="1:23" ht="12.75">
      <c r="A464" s="1">
        <v>45782.517199074071</v>
      </c>
      <c r="C464" t="s">
        <v>51</v>
      </c>
      <c r="D464">
        <v>25</v>
      </c>
      <c r="E464">
        <v>170</v>
      </c>
      <c r="F464">
        <v>104</v>
      </c>
      <c r="G464">
        <v>2.5</v>
      </c>
      <c r="H464" t="s">
        <v>591</v>
      </c>
      <c r="I464" t="s">
        <v>29</v>
      </c>
      <c r="J464" t="s">
        <v>6</v>
      </c>
      <c r="K464" t="s">
        <v>60</v>
      </c>
      <c r="L464" t="s">
        <v>8</v>
      </c>
      <c r="M464" t="s">
        <v>38</v>
      </c>
      <c r="N464" t="s">
        <v>31</v>
      </c>
      <c r="O464" t="s">
        <v>22</v>
      </c>
      <c r="P464" t="s">
        <v>8</v>
      </c>
      <c r="Q464" t="s">
        <v>32</v>
      </c>
      <c r="R464" t="s">
        <v>50</v>
      </c>
      <c r="S464" t="s">
        <v>25</v>
      </c>
      <c r="T464" t="s">
        <v>15</v>
      </c>
      <c r="U464" t="s">
        <v>5</v>
      </c>
      <c r="V464" s="94" t="s">
        <v>1068</v>
      </c>
      <c r="W464" t="s">
        <v>39</v>
      </c>
    </row>
    <row r="465" spans="1:23" ht="12.75">
      <c r="A465" s="1">
        <v>45750.76122685185</v>
      </c>
      <c r="C465" t="s">
        <v>288</v>
      </c>
      <c r="D465">
        <v>56</v>
      </c>
      <c r="E465">
        <v>185</v>
      </c>
      <c r="F465">
        <v>64</v>
      </c>
      <c r="G465">
        <v>2</v>
      </c>
      <c r="H465" t="s">
        <v>590</v>
      </c>
      <c r="I465" t="s">
        <v>5</v>
      </c>
      <c r="J465" t="s">
        <v>36</v>
      </c>
      <c r="K465" t="s">
        <v>7</v>
      </c>
      <c r="L465" t="s">
        <v>31</v>
      </c>
      <c r="M465" t="s">
        <v>52</v>
      </c>
      <c r="N465" t="s">
        <v>40</v>
      </c>
      <c r="O465" t="s">
        <v>11</v>
      </c>
      <c r="P465" t="s">
        <v>8</v>
      </c>
      <c r="Q465" t="s">
        <v>23</v>
      </c>
      <c r="R465" t="s">
        <v>14</v>
      </c>
      <c r="S465" t="s">
        <v>47</v>
      </c>
      <c r="T465" t="s">
        <v>24</v>
      </c>
      <c r="U465" t="s">
        <v>29</v>
      </c>
      <c r="V465" s="94" t="s">
        <v>1069</v>
      </c>
      <c r="W465" t="s">
        <v>16</v>
      </c>
    </row>
    <row r="466" spans="1:23" ht="12.75">
      <c r="A466" s="1">
        <v>45739.263425925928</v>
      </c>
      <c r="C466" t="s">
        <v>205</v>
      </c>
      <c r="D466">
        <v>41</v>
      </c>
      <c r="E466">
        <v>171</v>
      </c>
      <c r="F466">
        <v>72</v>
      </c>
      <c r="G466">
        <v>2</v>
      </c>
      <c r="H466" t="s">
        <v>28</v>
      </c>
      <c r="I466" t="s">
        <v>29</v>
      </c>
      <c r="J466" t="s">
        <v>6</v>
      </c>
      <c r="K466" t="s">
        <v>7</v>
      </c>
      <c r="L466" t="s">
        <v>12</v>
      </c>
      <c r="M466" t="s">
        <v>9</v>
      </c>
      <c r="N466" t="s">
        <v>10</v>
      </c>
      <c r="O466" t="s">
        <v>22</v>
      </c>
      <c r="P466" t="s">
        <v>12</v>
      </c>
      <c r="Q466" t="s">
        <v>32</v>
      </c>
      <c r="R466" t="s">
        <v>14</v>
      </c>
      <c r="S466" t="s">
        <v>15</v>
      </c>
      <c r="T466" t="s">
        <v>24</v>
      </c>
      <c r="U466" t="s">
        <v>29</v>
      </c>
      <c r="V466" s="94" t="s">
        <v>1070</v>
      </c>
      <c r="W466" t="s">
        <v>34</v>
      </c>
    </row>
    <row r="467" spans="1:23" ht="12.75">
      <c r="A467" s="1">
        <v>45677.122615740744</v>
      </c>
      <c r="C467" t="s">
        <v>127</v>
      </c>
      <c r="D467">
        <v>32</v>
      </c>
      <c r="E467">
        <v>156</v>
      </c>
      <c r="F467">
        <v>102</v>
      </c>
      <c r="G467">
        <v>2.5</v>
      </c>
      <c r="H467" t="s">
        <v>590</v>
      </c>
      <c r="I467" t="s">
        <v>5</v>
      </c>
      <c r="J467" t="s">
        <v>6</v>
      </c>
      <c r="K467" t="s">
        <v>60</v>
      </c>
      <c r="L467" t="s">
        <v>10</v>
      </c>
      <c r="M467" t="s">
        <v>38</v>
      </c>
      <c r="N467" t="s">
        <v>20</v>
      </c>
      <c r="O467" t="s">
        <v>44</v>
      </c>
      <c r="P467" t="s">
        <v>12</v>
      </c>
      <c r="Q467" t="s">
        <v>32</v>
      </c>
      <c r="R467" t="s">
        <v>14</v>
      </c>
      <c r="S467" t="s">
        <v>24</v>
      </c>
      <c r="T467" t="s">
        <v>24</v>
      </c>
      <c r="U467" t="s">
        <v>5</v>
      </c>
      <c r="V467" s="94" t="s">
        <v>1071</v>
      </c>
      <c r="W467" t="s">
        <v>16</v>
      </c>
    </row>
    <row r="468" spans="1:23" ht="12.75">
      <c r="A468" s="1">
        <v>45702.319386574076</v>
      </c>
      <c r="C468" t="s">
        <v>70</v>
      </c>
      <c r="D468">
        <v>21</v>
      </c>
      <c r="E468">
        <v>178</v>
      </c>
      <c r="F468">
        <v>74</v>
      </c>
      <c r="G468">
        <v>2</v>
      </c>
      <c r="H468" t="s">
        <v>592</v>
      </c>
      <c r="I468" t="s">
        <v>29</v>
      </c>
      <c r="J468" t="s">
        <v>6</v>
      </c>
      <c r="K468" t="s">
        <v>30</v>
      </c>
      <c r="L468" t="s">
        <v>10</v>
      </c>
      <c r="M468" t="s">
        <v>52</v>
      </c>
      <c r="N468" t="s">
        <v>20</v>
      </c>
      <c r="O468" t="s">
        <v>46</v>
      </c>
      <c r="P468" t="s">
        <v>12</v>
      </c>
      <c r="Q468" t="s">
        <v>13</v>
      </c>
      <c r="R468" t="s">
        <v>33</v>
      </c>
      <c r="S468" t="s">
        <v>47</v>
      </c>
      <c r="T468" t="s">
        <v>25</v>
      </c>
      <c r="U468" t="s">
        <v>29</v>
      </c>
      <c r="V468" s="94" t="s">
        <v>1072</v>
      </c>
      <c r="W468" t="s">
        <v>26</v>
      </c>
    </row>
    <row r="469" spans="1:23" ht="12.75">
      <c r="A469" s="1">
        <v>45749.591099537036</v>
      </c>
      <c r="C469" t="s">
        <v>51</v>
      </c>
      <c r="D469">
        <v>21</v>
      </c>
      <c r="E469">
        <v>173</v>
      </c>
      <c r="F469">
        <v>77</v>
      </c>
      <c r="G469">
        <v>2</v>
      </c>
      <c r="H469" t="s">
        <v>28</v>
      </c>
      <c r="I469" t="s">
        <v>29</v>
      </c>
      <c r="J469" t="s">
        <v>6</v>
      </c>
      <c r="K469" t="s">
        <v>30</v>
      </c>
      <c r="L469" t="s">
        <v>12</v>
      </c>
      <c r="M469" t="s">
        <v>52</v>
      </c>
      <c r="N469" t="s">
        <v>12</v>
      </c>
      <c r="O469" t="s">
        <v>44</v>
      </c>
      <c r="P469" t="s">
        <v>20</v>
      </c>
      <c r="Q469" t="s">
        <v>32</v>
      </c>
      <c r="R469" t="s">
        <v>14</v>
      </c>
      <c r="S469" t="s">
        <v>47</v>
      </c>
      <c r="T469" t="s">
        <v>24</v>
      </c>
      <c r="U469" t="s">
        <v>29</v>
      </c>
      <c r="V469" s="94" t="s">
        <v>1073</v>
      </c>
      <c r="W469" t="s">
        <v>34</v>
      </c>
    </row>
    <row r="470" spans="1:23" ht="12.75">
      <c r="A470" s="1">
        <v>45714.644386574073</v>
      </c>
      <c r="C470" t="s">
        <v>79</v>
      </c>
      <c r="D470">
        <v>28</v>
      </c>
      <c r="E470">
        <v>175</v>
      </c>
      <c r="F470">
        <v>107</v>
      </c>
      <c r="G470">
        <v>2.5</v>
      </c>
      <c r="H470" t="s">
        <v>28</v>
      </c>
      <c r="I470" t="s">
        <v>29</v>
      </c>
      <c r="J470" t="s">
        <v>6</v>
      </c>
      <c r="K470" t="s">
        <v>7</v>
      </c>
      <c r="L470" t="s">
        <v>20</v>
      </c>
      <c r="M470" t="s">
        <v>9</v>
      </c>
      <c r="N470" t="s">
        <v>31</v>
      </c>
      <c r="O470" t="s">
        <v>11</v>
      </c>
      <c r="P470" t="s">
        <v>10</v>
      </c>
      <c r="Q470" t="s">
        <v>13</v>
      </c>
      <c r="R470" t="s">
        <v>50</v>
      </c>
      <c r="S470" t="s">
        <v>15</v>
      </c>
      <c r="T470" t="s">
        <v>24</v>
      </c>
      <c r="U470" t="s">
        <v>5</v>
      </c>
      <c r="V470" s="94" t="s">
        <v>1074</v>
      </c>
      <c r="W470" t="s">
        <v>26</v>
      </c>
    </row>
    <row r="471" spans="1:23" ht="12.75">
      <c r="A471" s="1">
        <v>45739.032268518517</v>
      </c>
      <c r="C471" t="s">
        <v>163</v>
      </c>
      <c r="D471">
        <v>53</v>
      </c>
      <c r="E471">
        <v>176</v>
      </c>
      <c r="F471">
        <v>109</v>
      </c>
      <c r="G471">
        <v>2.5</v>
      </c>
      <c r="H471" t="s">
        <v>590</v>
      </c>
      <c r="I471" t="s">
        <v>29</v>
      </c>
      <c r="J471" t="s">
        <v>6</v>
      </c>
      <c r="K471" t="s">
        <v>60</v>
      </c>
      <c r="L471" t="s">
        <v>8</v>
      </c>
      <c r="M471" t="s">
        <v>9</v>
      </c>
      <c r="N471" t="s">
        <v>12</v>
      </c>
      <c r="O471" t="s">
        <v>11</v>
      </c>
      <c r="P471" t="s">
        <v>20</v>
      </c>
      <c r="Q471" t="s">
        <v>23</v>
      </c>
      <c r="R471" t="s">
        <v>50</v>
      </c>
      <c r="S471" t="s">
        <v>47</v>
      </c>
      <c r="T471" t="s">
        <v>15</v>
      </c>
      <c r="U471" t="s">
        <v>29</v>
      </c>
      <c r="V471" s="94" t="s">
        <v>1075</v>
      </c>
      <c r="W471" t="s">
        <v>26</v>
      </c>
    </row>
    <row r="472" spans="1:23" ht="12.75">
      <c r="A472" s="1">
        <v>45664.672465277778</v>
      </c>
      <c r="C472" t="s">
        <v>289</v>
      </c>
      <c r="D472">
        <v>22</v>
      </c>
      <c r="E472">
        <v>185</v>
      </c>
      <c r="F472">
        <v>103</v>
      </c>
      <c r="G472">
        <v>1</v>
      </c>
      <c r="H472" t="s">
        <v>591</v>
      </c>
      <c r="I472" t="s">
        <v>5</v>
      </c>
      <c r="J472" t="s">
        <v>6</v>
      </c>
      <c r="K472" t="s">
        <v>37</v>
      </c>
      <c r="L472" t="s">
        <v>8</v>
      </c>
      <c r="M472" t="s">
        <v>9</v>
      </c>
      <c r="N472" t="s">
        <v>40</v>
      </c>
      <c r="O472" t="s">
        <v>11</v>
      </c>
      <c r="P472" t="s">
        <v>31</v>
      </c>
      <c r="Q472" t="s">
        <v>32</v>
      </c>
      <c r="R472" t="s">
        <v>14</v>
      </c>
      <c r="S472" t="s">
        <v>15</v>
      </c>
      <c r="T472" t="s">
        <v>24</v>
      </c>
      <c r="U472" t="s">
        <v>29</v>
      </c>
      <c r="V472" s="94" t="s">
        <v>1076</v>
      </c>
      <c r="W472" t="s">
        <v>16</v>
      </c>
    </row>
    <row r="473" spans="1:23" ht="12.75">
      <c r="A473" s="1">
        <v>45756.240451388891</v>
      </c>
      <c r="C473" t="s">
        <v>94</v>
      </c>
      <c r="D473">
        <v>52</v>
      </c>
      <c r="E473">
        <v>170</v>
      </c>
      <c r="F473">
        <v>84</v>
      </c>
      <c r="G473">
        <v>2.5</v>
      </c>
      <c r="H473" t="s">
        <v>590</v>
      </c>
      <c r="I473" t="s">
        <v>29</v>
      </c>
      <c r="J473" t="s">
        <v>6</v>
      </c>
      <c r="K473" t="s">
        <v>60</v>
      </c>
      <c r="L473" t="s">
        <v>20</v>
      </c>
      <c r="M473" t="s">
        <v>38</v>
      </c>
      <c r="N473" t="s">
        <v>20</v>
      </c>
      <c r="O473" t="s">
        <v>44</v>
      </c>
      <c r="P473" t="s">
        <v>31</v>
      </c>
      <c r="Q473" t="s">
        <v>32</v>
      </c>
      <c r="R473" t="s">
        <v>33</v>
      </c>
      <c r="S473" t="s">
        <v>15</v>
      </c>
      <c r="T473" t="s">
        <v>24</v>
      </c>
      <c r="U473" t="s">
        <v>5</v>
      </c>
      <c r="V473" s="94" t="s">
        <v>1077</v>
      </c>
      <c r="W473" t="s">
        <v>26</v>
      </c>
    </row>
    <row r="474" spans="1:23" ht="12.75">
      <c r="A474" s="1">
        <v>45740.824097222219</v>
      </c>
      <c r="C474" t="s">
        <v>252</v>
      </c>
      <c r="D474">
        <v>33</v>
      </c>
      <c r="E474">
        <v>187</v>
      </c>
      <c r="F474">
        <v>86</v>
      </c>
      <c r="G474">
        <v>1</v>
      </c>
      <c r="H474" t="s">
        <v>592</v>
      </c>
      <c r="I474" t="s">
        <v>5</v>
      </c>
      <c r="J474" t="s">
        <v>36</v>
      </c>
      <c r="K474" t="s">
        <v>19</v>
      </c>
      <c r="L474" t="s">
        <v>10</v>
      </c>
      <c r="M474" t="s">
        <v>52</v>
      </c>
      <c r="N474" t="s">
        <v>40</v>
      </c>
      <c r="O474" t="s">
        <v>22</v>
      </c>
      <c r="P474" t="s">
        <v>31</v>
      </c>
      <c r="Q474" t="s">
        <v>55</v>
      </c>
      <c r="R474" t="s">
        <v>14</v>
      </c>
      <c r="S474" t="s">
        <v>25</v>
      </c>
      <c r="T474" t="s">
        <v>25</v>
      </c>
      <c r="U474" t="s">
        <v>29</v>
      </c>
      <c r="V474" s="94" t="s">
        <v>1078</v>
      </c>
      <c r="W474" t="s">
        <v>16</v>
      </c>
    </row>
    <row r="475" spans="1:23" ht="12.75">
      <c r="A475" s="1">
        <v>45673.929351851853</v>
      </c>
      <c r="C475" t="s">
        <v>290</v>
      </c>
      <c r="D475">
        <v>33</v>
      </c>
      <c r="E475">
        <v>178</v>
      </c>
      <c r="F475">
        <v>62</v>
      </c>
      <c r="G475">
        <v>1.5</v>
      </c>
      <c r="H475" t="s">
        <v>591</v>
      </c>
      <c r="I475" t="s">
        <v>29</v>
      </c>
      <c r="J475" t="s">
        <v>36</v>
      </c>
      <c r="K475" t="s">
        <v>37</v>
      </c>
      <c r="L475" t="s">
        <v>10</v>
      </c>
      <c r="M475" t="s">
        <v>9</v>
      </c>
      <c r="N475" t="s">
        <v>10</v>
      </c>
      <c r="O475" t="s">
        <v>46</v>
      </c>
      <c r="P475" t="s">
        <v>8</v>
      </c>
      <c r="Q475" t="s">
        <v>32</v>
      </c>
      <c r="R475" t="s">
        <v>50</v>
      </c>
      <c r="S475" t="s">
        <v>25</v>
      </c>
      <c r="T475" t="s">
        <v>25</v>
      </c>
      <c r="U475" t="s">
        <v>5</v>
      </c>
      <c r="V475" s="94" t="s">
        <v>1079</v>
      </c>
      <c r="W475" t="s">
        <v>34</v>
      </c>
    </row>
    <row r="476" spans="1:23" ht="12.75">
      <c r="A476" s="1">
        <v>45673.101643518516</v>
      </c>
      <c r="C476" t="s">
        <v>119</v>
      </c>
      <c r="D476">
        <v>30</v>
      </c>
      <c r="E476">
        <v>181</v>
      </c>
      <c r="F476">
        <v>58</v>
      </c>
      <c r="G476">
        <v>2.5</v>
      </c>
      <c r="H476" t="s">
        <v>28</v>
      </c>
      <c r="I476" t="s">
        <v>5</v>
      </c>
      <c r="J476" t="s">
        <v>6</v>
      </c>
      <c r="K476" t="s">
        <v>19</v>
      </c>
      <c r="L476" t="s">
        <v>40</v>
      </c>
      <c r="M476" t="s">
        <v>21</v>
      </c>
      <c r="N476" t="s">
        <v>10</v>
      </c>
      <c r="O476" t="s">
        <v>11</v>
      </c>
      <c r="P476" t="s">
        <v>12</v>
      </c>
      <c r="Q476" t="s">
        <v>13</v>
      </c>
      <c r="R476" t="s">
        <v>50</v>
      </c>
      <c r="S476" t="s">
        <v>24</v>
      </c>
      <c r="T476" t="s">
        <v>24</v>
      </c>
      <c r="U476" t="s">
        <v>5</v>
      </c>
      <c r="V476" s="94" t="s">
        <v>1080</v>
      </c>
      <c r="W476" t="s">
        <v>26</v>
      </c>
    </row>
    <row r="477" spans="1:23" ht="12.75">
      <c r="A477" s="1">
        <v>45753.67496527778</v>
      </c>
      <c r="C477" t="s">
        <v>291</v>
      </c>
      <c r="D477">
        <v>22</v>
      </c>
      <c r="E477">
        <v>157</v>
      </c>
      <c r="F477">
        <v>85</v>
      </c>
      <c r="G477">
        <v>1.5</v>
      </c>
      <c r="H477" t="s">
        <v>592</v>
      </c>
      <c r="I477" t="s">
        <v>5</v>
      </c>
      <c r="J477" t="s">
        <v>36</v>
      </c>
      <c r="K477" t="s">
        <v>30</v>
      </c>
      <c r="L477" t="s">
        <v>10</v>
      </c>
      <c r="M477" t="s">
        <v>9</v>
      </c>
      <c r="N477" t="s">
        <v>8</v>
      </c>
      <c r="O477" t="s">
        <v>11</v>
      </c>
      <c r="P477" t="s">
        <v>20</v>
      </c>
      <c r="Q477" t="s">
        <v>55</v>
      </c>
      <c r="R477" t="s">
        <v>50</v>
      </c>
      <c r="S477" t="s">
        <v>15</v>
      </c>
      <c r="T477" t="s">
        <v>15</v>
      </c>
      <c r="U477" t="s">
        <v>29</v>
      </c>
      <c r="V477" s="94" t="s">
        <v>1081</v>
      </c>
      <c r="W477" t="s">
        <v>34</v>
      </c>
    </row>
    <row r="478" spans="1:23" ht="12.75">
      <c r="A478" s="1">
        <v>45780.698587962965</v>
      </c>
      <c r="C478" t="s">
        <v>292</v>
      </c>
      <c r="D478">
        <v>57</v>
      </c>
      <c r="E478">
        <v>180</v>
      </c>
      <c r="F478">
        <v>78</v>
      </c>
      <c r="G478">
        <v>2</v>
      </c>
      <c r="H478" t="s">
        <v>592</v>
      </c>
      <c r="I478" t="s">
        <v>5</v>
      </c>
      <c r="J478" t="s">
        <v>36</v>
      </c>
      <c r="K478" t="s">
        <v>30</v>
      </c>
      <c r="L478" t="s">
        <v>31</v>
      </c>
      <c r="M478" t="s">
        <v>38</v>
      </c>
      <c r="N478" t="s">
        <v>20</v>
      </c>
      <c r="O478" t="s">
        <v>22</v>
      </c>
      <c r="P478" t="s">
        <v>40</v>
      </c>
      <c r="Q478" t="s">
        <v>13</v>
      </c>
      <c r="R478" t="s">
        <v>14</v>
      </c>
      <c r="S478" t="s">
        <v>24</v>
      </c>
      <c r="T478" t="s">
        <v>15</v>
      </c>
      <c r="U478" t="s">
        <v>29</v>
      </c>
      <c r="V478" s="94" t="s">
        <v>1082</v>
      </c>
      <c r="W478" t="s">
        <v>34</v>
      </c>
    </row>
    <row r="479" spans="1:23" ht="12.75">
      <c r="A479" s="1">
        <v>45690.87122685185</v>
      </c>
      <c r="C479" t="s">
        <v>164</v>
      </c>
      <c r="D479">
        <v>49</v>
      </c>
      <c r="E479">
        <v>157</v>
      </c>
      <c r="F479">
        <v>99</v>
      </c>
      <c r="G479">
        <v>2.5</v>
      </c>
      <c r="H479" t="s">
        <v>591</v>
      </c>
      <c r="I479" t="s">
        <v>29</v>
      </c>
      <c r="J479" t="s">
        <v>6</v>
      </c>
      <c r="K479" t="s">
        <v>19</v>
      </c>
      <c r="L479" t="s">
        <v>31</v>
      </c>
      <c r="M479" t="s">
        <v>38</v>
      </c>
      <c r="N479" t="s">
        <v>12</v>
      </c>
      <c r="O479" t="s">
        <v>46</v>
      </c>
      <c r="P479" t="s">
        <v>10</v>
      </c>
      <c r="Q479" t="s">
        <v>55</v>
      </c>
      <c r="R479" t="s">
        <v>50</v>
      </c>
      <c r="S479" t="s">
        <v>24</v>
      </c>
      <c r="T479" t="s">
        <v>47</v>
      </c>
      <c r="U479" t="s">
        <v>29</v>
      </c>
      <c r="V479" s="94" t="s">
        <v>1083</v>
      </c>
      <c r="W479" t="s">
        <v>34</v>
      </c>
    </row>
    <row r="480" spans="1:23" ht="12.75">
      <c r="A480" s="1">
        <v>45686.197893518518</v>
      </c>
      <c r="C480" t="s">
        <v>293</v>
      </c>
      <c r="D480">
        <v>41</v>
      </c>
      <c r="E480">
        <v>161</v>
      </c>
      <c r="F480">
        <v>98</v>
      </c>
      <c r="G480">
        <v>1.5</v>
      </c>
      <c r="H480" t="s">
        <v>592</v>
      </c>
      <c r="I480" t="s">
        <v>29</v>
      </c>
      <c r="J480" t="s">
        <v>6</v>
      </c>
      <c r="K480" t="s">
        <v>60</v>
      </c>
      <c r="L480" t="s">
        <v>10</v>
      </c>
      <c r="M480" t="s">
        <v>21</v>
      </c>
      <c r="N480" t="s">
        <v>12</v>
      </c>
      <c r="O480" t="s">
        <v>46</v>
      </c>
      <c r="P480" t="s">
        <v>8</v>
      </c>
      <c r="Q480" t="s">
        <v>55</v>
      </c>
      <c r="R480" t="s">
        <v>50</v>
      </c>
      <c r="S480" t="s">
        <v>25</v>
      </c>
      <c r="T480" t="s">
        <v>25</v>
      </c>
      <c r="U480" t="s">
        <v>29</v>
      </c>
      <c r="V480" s="94" t="s">
        <v>1084</v>
      </c>
      <c r="W480" t="s">
        <v>16</v>
      </c>
    </row>
    <row r="481" spans="1:23" ht="12.75">
      <c r="A481" s="1">
        <v>45703.593958333331</v>
      </c>
      <c r="C481" t="s">
        <v>220</v>
      </c>
      <c r="D481">
        <v>43</v>
      </c>
      <c r="E481">
        <v>178</v>
      </c>
      <c r="F481">
        <v>80</v>
      </c>
      <c r="G481">
        <v>2.5</v>
      </c>
      <c r="H481" t="s">
        <v>591</v>
      </c>
      <c r="I481" t="s">
        <v>29</v>
      </c>
      <c r="J481" t="s">
        <v>36</v>
      </c>
      <c r="K481" t="s">
        <v>30</v>
      </c>
      <c r="L481" t="s">
        <v>31</v>
      </c>
      <c r="M481" t="s">
        <v>52</v>
      </c>
      <c r="N481" t="s">
        <v>40</v>
      </c>
      <c r="O481" t="s">
        <v>44</v>
      </c>
      <c r="P481" t="s">
        <v>12</v>
      </c>
      <c r="Q481" t="s">
        <v>32</v>
      </c>
      <c r="R481" t="s">
        <v>33</v>
      </c>
      <c r="S481" t="s">
        <v>15</v>
      </c>
      <c r="T481" t="s">
        <v>15</v>
      </c>
      <c r="U481" t="s">
        <v>5</v>
      </c>
      <c r="V481" s="94" t="s">
        <v>1085</v>
      </c>
      <c r="W481" t="s">
        <v>26</v>
      </c>
    </row>
    <row r="482" spans="1:23" ht="12.75">
      <c r="A482" s="1">
        <v>45713.448634259257</v>
      </c>
      <c r="C482" t="s">
        <v>294</v>
      </c>
      <c r="D482">
        <v>50</v>
      </c>
      <c r="E482">
        <v>157</v>
      </c>
      <c r="F482">
        <v>78</v>
      </c>
      <c r="G482">
        <v>1.5</v>
      </c>
      <c r="H482" t="s">
        <v>592</v>
      </c>
      <c r="I482" t="s">
        <v>5</v>
      </c>
      <c r="J482" t="s">
        <v>36</v>
      </c>
      <c r="K482" t="s">
        <v>19</v>
      </c>
      <c r="L482" t="s">
        <v>20</v>
      </c>
      <c r="M482" t="s">
        <v>21</v>
      </c>
      <c r="N482" t="s">
        <v>40</v>
      </c>
      <c r="O482" t="s">
        <v>46</v>
      </c>
      <c r="P482" t="s">
        <v>10</v>
      </c>
      <c r="Q482" t="s">
        <v>32</v>
      </c>
      <c r="R482" t="s">
        <v>14</v>
      </c>
      <c r="S482" t="s">
        <v>25</v>
      </c>
      <c r="T482" t="s">
        <v>47</v>
      </c>
      <c r="U482" t="s">
        <v>5</v>
      </c>
      <c r="V482" s="94" t="s">
        <v>1086</v>
      </c>
      <c r="W482" t="s">
        <v>34</v>
      </c>
    </row>
    <row r="483" spans="1:23" ht="12.75">
      <c r="A483" s="1">
        <v>45730.283564814818</v>
      </c>
      <c r="C483" t="s">
        <v>295</v>
      </c>
      <c r="D483">
        <v>31</v>
      </c>
      <c r="E483">
        <v>176</v>
      </c>
      <c r="F483">
        <v>106</v>
      </c>
      <c r="G483">
        <v>2.5</v>
      </c>
      <c r="H483" t="s">
        <v>592</v>
      </c>
      <c r="I483" t="s">
        <v>29</v>
      </c>
      <c r="J483" t="s">
        <v>6</v>
      </c>
      <c r="K483" t="s">
        <v>60</v>
      </c>
      <c r="L483" t="s">
        <v>31</v>
      </c>
      <c r="M483" t="s">
        <v>38</v>
      </c>
      <c r="N483" t="s">
        <v>8</v>
      </c>
      <c r="O483" t="s">
        <v>11</v>
      </c>
      <c r="P483" t="s">
        <v>20</v>
      </c>
      <c r="Q483" t="s">
        <v>23</v>
      </c>
      <c r="R483" t="s">
        <v>50</v>
      </c>
      <c r="S483" t="s">
        <v>15</v>
      </c>
      <c r="T483" t="s">
        <v>24</v>
      </c>
      <c r="U483" t="s">
        <v>5</v>
      </c>
      <c r="V483" s="94" t="s">
        <v>1087</v>
      </c>
      <c r="W483" t="s">
        <v>39</v>
      </c>
    </row>
    <row r="484" spans="1:23" ht="12.75">
      <c r="A484" s="1">
        <v>45696.448067129626</v>
      </c>
      <c r="C484" t="s">
        <v>296</v>
      </c>
      <c r="D484">
        <v>20</v>
      </c>
      <c r="E484">
        <v>188</v>
      </c>
      <c r="F484">
        <v>59</v>
      </c>
      <c r="G484">
        <v>2</v>
      </c>
      <c r="H484" t="s">
        <v>590</v>
      </c>
      <c r="I484" t="s">
        <v>29</v>
      </c>
      <c r="J484" t="s">
        <v>6</v>
      </c>
      <c r="K484" t="s">
        <v>7</v>
      </c>
      <c r="L484" t="s">
        <v>20</v>
      </c>
      <c r="M484" t="s">
        <v>38</v>
      </c>
      <c r="N484" t="s">
        <v>20</v>
      </c>
      <c r="O484" t="s">
        <v>46</v>
      </c>
      <c r="P484" t="s">
        <v>40</v>
      </c>
      <c r="Q484" t="s">
        <v>13</v>
      </c>
      <c r="R484" t="s">
        <v>50</v>
      </c>
      <c r="S484" t="s">
        <v>25</v>
      </c>
      <c r="T484" t="s">
        <v>15</v>
      </c>
      <c r="U484" t="s">
        <v>5</v>
      </c>
      <c r="V484" s="94" t="s">
        <v>1088</v>
      </c>
      <c r="W484" t="s">
        <v>34</v>
      </c>
    </row>
    <row r="485" spans="1:23" ht="12.75">
      <c r="A485" s="1">
        <v>45799.246238425927</v>
      </c>
      <c r="C485" t="s">
        <v>297</v>
      </c>
      <c r="D485">
        <v>27</v>
      </c>
      <c r="E485">
        <v>166</v>
      </c>
      <c r="F485">
        <v>59</v>
      </c>
      <c r="G485">
        <v>2</v>
      </c>
      <c r="H485" t="s">
        <v>592</v>
      </c>
      <c r="I485" t="s">
        <v>5</v>
      </c>
      <c r="J485" t="s">
        <v>36</v>
      </c>
      <c r="K485" t="s">
        <v>37</v>
      </c>
      <c r="L485" t="s">
        <v>12</v>
      </c>
      <c r="M485" t="s">
        <v>38</v>
      </c>
      <c r="N485" t="s">
        <v>20</v>
      </c>
      <c r="O485" t="s">
        <v>46</v>
      </c>
      <c r="P485" t="s">
        <v>31</v>
      </c>
      <c r="Q485" t="s">
        <v>23</v>
      </c>
      <c r="R485" t="s">
        <v>14</v>
      </c>
      <c r="S485" t="s">
        <v>47</v>
      </c>
      <c r="T485" t="s">
        <v>47</v>
      </c>
      <c r="U485" t="s">
        <v>29</v>
      </c>
      <c r="V485" s="94" t="s">
        <v>1089</v>
      </c>
      <c r="W485" t="s">
        <v>34</v>
      </c>
    </row>
    <row r="486" spans="1:23" ht="12.75">
      <c r="A486" s="1">
        <v>45760.565682870372</v>
      </c>
      <c r="C486" t="s">
        <v>298</v>
      </c>
      <c r="D486">
        <v>52</v>
      </c>
      <c r="E486">
        <v>167</v>
      </c>
      <c r="F486">
        <v>89</v>
      </c>
      <c r="G486">
        <v>2</v>
      </c>
      <c r="H486" t="s">
        <v>590</v>
      </c>
      <c r="I486" t="s">
        <v>29</v>
      </c>
      <c r="J486" t="s">
        <v>36</v>
      </c>
      <c r="K486" t="s">
        <v>30</v>
      </c>
      <c r="L486" t="s">
        <v>8</v>
      </c>
      <c r="M486" t="s">
        <v>52</v>
      </c>
      <c r="N486" t="s">
        <v>31</v>
      </c>
      <c r="O486" t="s">
        <v>46</v>
      </c>
      <c r="P486" t="s">
        <v>40</v>
      </c>
      <c r="Q486" t="s">
        <v>13</v>
      </c>
      <c r="R486" t="s">
        <v>14</v>
      </c>
      <c r="S486" t="s">
        <v>47</v>
      </c>
      <c r="T486" t="s">
        <v>25</v>
      </c>
      <c r="U486" t="s">
        <v>29</v>
      </c>
      <c r="V486" s="94" t="s">
        <v>1090</v>
      </c>
      <c r="W486" t="s">
        <v>39</v>
      </c>
    </row>
    <row r="487" spans="1:23" ht="12.75">
      <c r="A487" s="1">
        <v>45672.145543981482</v>
      </c>
      <c r="C487" t="s">
        <v>299</v>
      </c>
      <c r="D487">
        <v>29</v>
      </c>
      <c r="E487">
        <v>158</v>
      </c>
      <c r="F487">
        <v>100</v>
      </c>
      <c r="G487">
        <v>3</v>
      </c>
      <c r="H487" t="s">
        <v>591</v>
      </c>
      <c r="I487" t="s">
        <v>29</v>
      </c>
      <c r="J487" t="s">
        <v>36</v>
      </c>
      <c r="K487" t="s">
        <v>7</v>
      </c>
      <c r="L487" t="s">
        <v>20</v>
      </c>
      <c r="M487" t="s">
        <v>9</v>
      </c>
      <c r="N487" t="s">
        <v>8</v>
      </c>
      <c r="O487" t="s">
        <v>46</v>
      </c>
      <c r="P487" t="s">
        <v>31</v>
      </c>
      <c r="Q487" t="s">
        <v>32</v>
      </c>
      <c r="R487" t="s">
        <v>14</v>
      </c>
      <c r="S487" t="s">
        <v>24</v>
      </c>
      <c r="T487" t="s">
        <v>47</v>
      </c>
      <c r="U487" t="s">
        <v>29</v>
      </c>
      <c r="V487" s="94" t="s">
        <v>1091</v>
      </c>
      <c r="W487" t="s">
        <v>16</v>
      </c>
    </row>
    <row r="488" spans="1:23" ht="12.75">
      <c r="A488" s="1">
        <v>45674.241527777776</v>
      </c>
      <c r="C488" t="s">
        <v>84</v>
      </c>
      <c r="D488">
        <v>43</v>
      </c>
      <c r="E488">
        <v>162</v>
      </c>
      <c r="F488">
        <v>60</v>
      </c>
      <c r="G488">
        <v>2</v>
      </c>
      <c r="H488" t="s">
        <v>591</v>
      </c>
      <c r="I488" t="s">
        <v>5</v>
      </c>
      <c r="J488" t="s">
        <v>6</v>
      </c>
      <c r="K488" t="s">
        <v>37</v>
      </c>
      <c r="L488" t="s">
        <v>12</v>
      </c>
      <c r="M488" t="s">
        <v>38</v>
      </c>
      <c r="N488" t="s">
        <v>12</v>
      </c>
      <c r="O488" t="s">
        <v>22</v>
      </c>
      <c r="P488" t="s">
        <v>12</v>
      </c>
      <c r="Q488" t="s">
        <v>55</v>
      </c>
      <c r="R488" t="s">
        <v>33</v>
      </c>
      <c r="S488" t="s">
        <v>15</v>
      </c>
      <c r="T488" t="s">
        <v>24</v>
      </c>
      <c r="U488" t="s">
        <v>5</v>
      </c>
      <c r="V488" s="94" t="s">
        <v>1092</v>
      </c>
      <c r="W488" t="s">
        <v>34</v>
      </c>
    </row>
    <row r="489" spans="1:23" ht="12.75">
      <c r="A489" s="1">
        <v>45662.309907407405</v>
      </c>
      <c r="C489" t="s">
        <v>110</v>
      </c>
      <c r="D489">
        <v>48</v>
      </c>
      <c r="E489">
        <v>155</v>
      </c>
      <c r="F489">
        <v>62</v>
      </c>
      <c r="G489">
        <v>2.5</v>
      </c>
      <c r="H489" t="s">
        <v>591</v>
      </c>
      <c r="I489" t="s">
        <v>5</v>
      </c>
      <c r="J489" t="s">
        <v>36</v>
      </c>
      <c r="K489" t="s">
        <v>19</v>
      </c>
      <c r="L489" t="s">
        <v>40</v>
      </c>
      <c r="M489" t="s">
        <v>9</v>
      </c>
      <c r="N489" t="s">
        <v>10</v>
      </c>
      <c r="O489" t="s">
        <v>22</v>
      </c>
      <c r="P489" t="s">
        <v>20</v>
      </c>
      <c r="Q489" t="s">
        <v>13</v>
      </c>
      <c r="R489" t="s">
        <v>33</v>
      </c>
      <c r="S489" t="s">
        <v>47</v>
      </c>
      <c r="T489" t="s">
        <v>24</v>
      </c>
      <c r="U489" t="s">
        <v>5</v>
      </c>
      <c r="V489" s="94" t="s">
        <v>1093</v>
      </c>
      <c r="W489" t="s">
        <v>16</v>
      </c>
    </row>
    <row r="490" spans="1:23" ht="12.75">
      <c r="A490" s="1">
        <v>45744.331064814818</v>
      </c>
      <c r="C490" t="s">
        <v>92</v>
      </c>
      <c r="D490">
        <v>23</v>
      </c>
      <c r="E490">
        <v>183</v>
      </c>
      <c r="F490">
        <v>54</v>
      </c>
      <c r="G490">
        <v>1.5</v>
      </c>
      <c r="H490" t="s">
        <v>591</v>
      </c>
      <c r="I490" t="s">
        <v>5</v>
      </c>
      <c r="J490" t="s">
        <v>6</v>
      </c>
      <c r="K490" t="s">
        <v>30</v>
      </c>
      <c r="L490" t="s">
        <v>31</v>
      </c>
      <c r="M490" t="s">
        <v>21</v>
      </c>
      <c r="N490" t="s">
        <v>10</v>
      </c>
      <c r="O490" t="s">
        <v>44</v>
      </c>
      <c r="P490" t="s">
        <v>10</v>
      </c>
      <c r="Q490" t="s">
        <v>13</v>
      </c>
      <c r="R490" t="s">
        <v>50</v>
      </c>
      <c r="S490" t="s">
        <v>47</v>
      </c>
      <c r="T490" t="s">
        <v>47</v>
      </c>
      <c r="U490" t="s">
        <v>29</v>
      </c>
      <c r="V490" s="94" t="s">
        <v>1094</v>
      </c>
      <c r="W490" t="s">
        <v>39</v>
      </c>
    </row>
    <row r="491" spans="1:23" ht="12.75">
      <c r="A491" s="1">
        <v>45730.74150462963</v>
      </c>
      <c r="C491" t="s">
        <v>106</v>
      </c>
      <c r="D491">
        <v>20</v>
      </c>
      <c r="E491">
        <v>181</v>
      </c>
      <c r="F491">
        <v>77</v>
      </c>
      <c r="G491">
        <v>1</v>
      </c>
      <c r="H491" t="s">
        <v>592</v>
      </c>
      <c r="I491" t="s">
        <v>29</v>
      </c>
      <c r="J491" t="s">
        <v>36</v>
      </c>
      <c r="K491" t="s">
        <v>19</v>
      </c>
      <c r="L491" t="s">
        <v>8</v>
      </c>
      <c r="M491" t="s">
        <v>9</v>
      </c>
      <c r="N491" t="s">
        <v>40</v>
      </c>
      <c r="O491" t="s">
        <v>11</v>
      </c>
      <c r="P491" t="s">
        <v>8</v>
      </c>
      <c r="Q491" t="s">
        <v>23</v>
      </c>
      <c r="R491" t="s">
        <v>33</v>
      </c>
      <c r="S491" t="s">
        <v>24</v>
      </c>
      <c r="T491" t="s">
        <v>15</v>
      </c>
      <c r="U491" t="s">
        <v>5</v>
      </c>
      <c r="V491" s="94" t="s">
        <v>1095</v>
      </c>
      <c r="W491" t="s">
        <v>16</v>
      </c>
    </row>
    <row r="492" spans="1:23" ht="12.75">
      <c r="A492" s="1">
        <v>45779.523576388892</v>
      </c>
      <c r="C492" t="s">
        <v>83</v>
      </c>
      <c r="D492">
        <v>48</v>
      </c>
      <c r="E492">
        <v>157</v>
      </c>
      <c r="F492">
        <v>109</v>
      </c>
      <c r="G492">
        <v>2.5</v>
      </c>
      <c r="H492" t="s">
        <v>590</v>
      </c>
      <c r="I492" t="s">
        <v>29</v>
      </c>
      <c r="J492" t="s">
        <v>6</v>
      </c>
      <c r="K492" t="s">
        <v>19</v>
      </c>
      <c r="L492" t="s">
        <v>31</v>
      </c>
      <c r="M492" t="s">
        <v>9</v>
      </c>
      <c r="N492" t="s">
        <v>40</v>
      </c>
      <c r="O492" t="s">
        <v>22</v>
      </c>
      <c r="P492" t="s">
        <v>12</v>
      </c>
      <c r="Q492" t="s">
        <v>55</v>
      </c>
      <c r="R492" t="s">
        <v>33</v>
      </c>
      <c r="S492" t="s">
        <v>15</v>
      </c>
      <c r="T492" t="s">
        <v>47</v>
      </c>
      <c r="U492" t="s">
        <v>5</v>
      </c>
      <c r="V492" s="94" t="s">
        <v>1096</v>
      </c>
      <c r="W492" t="s">
        <v>16</v>
      </c>
    </row>
    <row r="493" spans="1:23" ht="12.75">
      <c r="A493" s="1">
        <v>45740.31144675926</v>
      </c>
      <c r="C493" t="s">
        <v>176</v>
      </c>
      <c r="D493">
        <v>28</v>
      </c>
      <c r="E493">
        <v>164</v>
      </c>
      <c r="F493">
        <v>67</v>
      </c>
      <c r="G493">
        <v>1.5</v>
      </c>
      <c r="H493" t="s">
        <v>590</v>
      </c>
      <c r="I493" t="s">
        <v>29</v>
      </c>
      <c r="J493" t="s">
        <v>36</v>
      </c>
      <c r="K493" t="s">
        <v>60</v>
      </c>
      <c r="L493" t="s">
        <v>10</v>
      </c>
      <c r="M493" t="s">
        <v>38</v>
      </c>
      <c r="N493" t="s">
        <v>40</v>
      </c>
      <c r="O493" t="s">
        <v>44</v>
      </c>
      <c r="P493" t="s">
        <v>40</v>
      </c>
      <c r="Q493" t="s">
        <v>13</v>
      </c>
      <c r="R493" t="s">
        <v>50</v>
      </c>
      <c r="S493" t="s">
        <v>25</v>
      </c>
      <c r="T493" t="s">
        <v>25</v>
      </c>
      <c r="U493" t="s">
        <v>29</v>
      </c>
      <c r="V493" s="94" t="s">
        <v>1097</v>
      </c>
      <c r="W493" t="s">
        <v>26</v>
      </c>
    </row>
    <row r="494" spans="1:23" ht="12.75">
      <c r="A494" s="1">
        <v>45712.140752314815</v>
      </c>
      <c r="C494" t="s">
        <v>300</v>
      </c>
      <c r="D494">
        <v>55</v>
      </c>
      <c r="E494">
        <v>170</v>
      </c>
      <c r="F494">
        <v>69</v>
      </c>
      <c r="G494">
        <v>1.5</v>
      </c>
      <c r="H494" t="s">
        <v>591</v>
      </c>
      <c r="I494" t="s">
        <v>5</v>
      </c>
      <c r="J494" t="s">
        <v>36</v>
      </c>
      <c r="K494" t="s">
        <v>19</v>
      </c>
      <c r="L494" t="s">
        <v>10</v>
      </c>
      <c r="M494" t="s">
        <v>9</v>
      </c>
      <c r="N494" t="s">
        <v>31</v>
      </c>
      <c r="O494" t="s">
        <v>46</v>
      </c>
      <c r="P494" t="s">
        <v>10</v>
      </c>
      <c r="Q494" t="s">
        <v>32</v>
      </c>
      <c r="R494" t="s">
        <v>14</v>
      </c>
      <c r="S494" t="s">
        <v>24</v>
      </c>
      <c r="T494" t="s">
        <v>47</v>
      </c>
      <c r="U494" t="s">
        <v>29</v>
      </c>
      <c r="V494" s="94" t="s">
        <v>1098</v>
      </c>
      <c r="W494" t="s">
        <v>16</v>
      </c>
    </row>
    <row r="495" spans="1:23" ht="12.75">
      <c r="A495" s="1">
        <v>45737.017291666663</v>
      </c>
      <c r="C495" t="s">
        <v>108</v>
      </c>
      <c r="D495">
        <v>21</v>
      </c>
      <c r="E495">
        <v>183</v>
      </c>
      <c r="F495">
        <v>104</v>
      </c>
      <c r="G495">
        <v>3</v>
      </c>
      <c r="H495" t="s">
        <v>591</v>
      </c>
      <c r="I495" t="s">
        <v>5</v>
      </c>
      <c r="J495" t="s">
        <v>36</v>
      </c>
      <c r="K495" t="s">
        <v>37</v>
      </c>
      <c r="L495" t="s">
        <v>20</v>
      </c>
      <c r="M495" t="s">
        <v>9</v>
      </c>
      <c r="N495" t="s">
        <v>8</v>
      </c>
      <c r="O495" t="s">
        <v>22</v>
      </c>
      <c r="P495" t="s">
        <v>12</v>
      </c>
      <c r="Q495" t="s">
        <v>13</v>
      </c>
      <c r="R495" t="s">
        <v>50</v>
      </c>
      <c r="S495" t="s">
        <v>25</v>
      </c>
      <c r="T495" t="s">
        <v>24</v>
      </c>
      <c r="U495" t="s">
        <v>5</v>
      </c>
      <c r="V495" s="94" t="s">
        <v>1099</v>
      </c>
      <c r="W495" t="s">
        <v>39</v>
      </c>
    </row>
    <row r="496" spans="1:23" ht="12.75">
      <c r="A496" s="1">
        <v>45682.326550925929</v>
      </c>
      <c r="C496" t="s">
        <v>301</v>
      </c>
      <c r="D496">
        <v>29</v>
      </c>
      <c r="E496">
        <v>166</v>
      </c>
      <c r="F496">
        <v>60</v>
      </c>
      <c r="G496">
        <v>2</v>
      </c>
      <c r="H496" t="s">
        <v>28</v>
      </c>
      <c r="I496" t="s">
        <v>29</v>
      </c>
      <c r="J496" t="s">
        <v>36</v>
      </c>
      <c r="K496" t="s">
        <v>60</v>
      </c>
      <c r="L496" t="s">
        <v>8</v>
      </c>
      <c r="M496" t="s">
        <v>9</v>
      </c>
      <c r="N496" t="s">
        <v>8</v>
      </c>
      <c r="O496" t="s">
        <v>46</v>
      </c>
      <c r="P496" t="s">
        <v>20</v>
      </c>
      <c r="Q496" t="s">
        <v>55</v>
      </c>
      <c r="R496" t="s">
        <v>50</v>
      </c>
      <c r="S496" t="s">
        <v>15</v>
      </c>
      <c r="T496" t="s">
        <v>47</v>
      </c>
      <c r="U496" t="s">
        <v>29</v>
      </c>
      <c r="V496" s="94" t="s">
        <v>1100</v>
      </c>
      <c r="W496" t="s">
        <v>16</v>
      </c>
    </row>
    <row r="497" spans="1:23" ht="12.75">
      <c r="A497" s="1">
        <v>45809.230219907404</v>
      </c>
      <c r="C497" t="s">
        <v>276</v>
      </c>
      <c r="D497">
        <v>43</v>
      </c>
      <c r="E497">
        <v>156</v>
      </c>
      <c r="F497">
        <v>55</v>
      </c>
      <c r="G497">
        <v>2</v>
      </c>
      <c r="H497" t="s">
        <v>590</v>
      </c>
      <c r="I497" t="s">
        <v>5</v>
      </c>
      <c r="J497" t="s">
        <v>6</v>
      </c>
      <c r="K497" t="s">
        <v>60</v>
      </c>
      <c r="L497" t="s">
        <v>40</v>
      </c>
      <c r="M497" t="s">
        <v>21</v>
      </c>
      <c r="N497" t="s">
        <v>8</v>
      </c>
      <c r="O497" t="s">
        <v>46</v>
      </c>
      <c r="P497" t="s">
        <v>20</v>
      </c>
      <c r="Q497" t="s">
        <v>13</v>
      </c>
      <c r="R497" t="s">
        <v>14</v>
      </c>
      <c r="S497" t="s">
        <v>15</v>
      </c>
      <c r="T497" t="s">
        <v>47</v>
      </c>
      <c r="U497" t="s">
        <v>29</v>
      </c>
      <c r="V497" s="94" t="s">
        <v>1101</v>
      </c>
      <c r="W497" t="s">
        <v>26</v>
      </c>
    </row>
    <row r="498" spans="1:23" ht="12.75">
      <c r="A498" s="1">
        <v>45729.260046296295</v>
      </c>
      <c r="C498" t="s">
        <v>146</v>
      </c>
      <c r="D498">
        <v>56</v>
      </c>
      <c r="E498">
        <v>170</v>
      </c>
      <c r="F498">
        <v>79</v>
      </c>
      <c r="G498">
        <v>1.5</v>
      </c>
      <c r="H498" t="s">
        <v>590</v>
      </c>
      <c r="I498" t="s">
        <v>5</v>
      </c>
      <c r="J498" t="s">
        <v>36</v>
      </c>
      <c r="K498" t="s">
        <v>19</v>
      </c>
      <c r="L498" t="s">
        <v>40</v>
      </c>
      <c r="M498" t="s">
        <v>21</v>
      </c>
      <c r="N498" t="s">
        <v>8</v>
      </c>
      <c r="O498" t="s">
        <v>22</v>
      </c>
      <c r="P498" t="s">
        <v>8</v>
      </c>
      <c r="Q498" t="s">
        <v>55</v>
      </c>
      <c r="R498" t="s">
        <v>50</v>
      </c>
      <c r="S498" t="s">
        <v>47</v>
      </c>
      <c r="T498" t="s">
        <v>24</v>
      </c>
      <c r="U498" t="s">
        <v>5</v>
      </c>
      <c r="V498" s="94" t="s">
        <v>1102</v>
      </c>
      <c r="W498" t="s">
        <v>16</v>
      </c>
    </row>
    <row r="499" spans="1:23" ht="12.75">
      <c r="A499" s="1">
        <v>45696.276412037034</v>
      </c>
      <c r="C499" t="s">
        <v>187</v>
      </c>
      <c r="D499">
        <v>52</v>
      </c>
      <c r="E499">
        <v>185</v>
      </c>
      <c r="F499">
        <v>106</v>
      </c>
      <c r="G499">
        <v>1</v>
      </c>
      <c r="H499" t="s">
        <v>590</v>
      </c>
      <c r="I499" t="s">
        <v>29</v>
      </c>
      <c r="J499" t="s">
        <v>6</v>
      </c>
      <c r="K499" t="s">
        <v>37</v>
      </c>
      <c r="L499" t="s">
        <v>40</v>
      </c>
      <c r="M499" t="s">
        <v>38</v>
      </c>
      <c r="N499" t="s">
        <v>12</v>
      </c>
      <c r="O499" t="s">
        <v>44</v>
      </c>
      <c r="P499" t="s">
        <v>20</v>
      </c>
      <c r="Q499" t="s">
        <v>55</v>
      </c>
      <c r="R499" t="s">
        <v>50</v>
      </c>
      <c r="S499" t="s">
        <v>15</v>
      </c>
      <c r="T499" t="s">
        <v>15</v>
      </c>
      <c r="U499" t="s">
        <v>29</v>
      </c>
      <c r="V499" s="94" t="s">
        <v>1103</v>
      </c>
      <c r="W499" t="s">
        <v>39</v>
      </c>
    </row>
    <row r="500" spans="1:23" ht="12.75">
      <c r="A500" s="1">
        <v>45693.475717592592</v>
      </c>
      <c r="C500" t="s">
        <v>99</v>
      </c>
      <c r="D500">
        <v>42</v>
      </c>
      <c r="E500">
        <v>187</v>
      </c>
      <c r="F500">
        <v>86</v>
      </c>
      <c r="G500">
        <v>2.5</v>
      </c>
      <c r="H500" t="s">
        <v>28</v>
      </c>
      <c r="I500" t="s">
        <v>5</v>
      </c>
      <c r="J500" t="s">
        <v>6</v>
      </c>
      <c r="K500" t="s">
        <v>37</v>
      </c>
      <c r="L500" t="s">
        <v>12</v>
      </c>
      <c r="M500" t="s">
        <v>52</v>
      </c>
      <c r="N500" t="s">
        <v>31</v>
      </c>
      <c r="O500" t="s">
        <v>22</v>
      </c>
      <c r="P500" t="s">
        <v>8</v>
      </c>
      <c r="Q500" t="s">
        <v>32</v>
      </c>
      <c r="R500" t="s">
        <v>14</v>
      </c>
      <c r="S500" t="s">
        <v>25</v>
      </c>
      <c r="T500" t="s">
        <v>15</v>
      </c>
      <c r="U500" t="s">
        <v>29</v>
      </c>
      <c r="V500" s="94" t="s">
        <v>1104</v>
      </c>
      <c r="W500" t="s">
        <v>34</v>
      </c>
    </row>
    <row r="501" spans="1:23" ht="12.75">
      <c r="A501" s="1">
        <v>45690.93136574074</v>
      </c>
      <c r="C501" t="s">
        <v>111</v>
      </c>
      <c r="D501">
        <v>40</v>
      </c>
      <c r="E501">
        <v>185</v>
      </c>
      <c r="F501">
        <v>73</v>
      </c>
      <c r="G501">
        <v>2.5</v>
      </c>
      <c r="H501" t="s">
        <v>590</v>
      </c>
      <c r="I501" t="s">
        <v>29</v>
      </c>
      <c r="J501" t="s">
        <v>36</v>
      </c>
      <c r="K501" t="s">
        <v>7</v>
      </c>
      <c r="L501" t="s">
        <v>31</v>
      </c>
      <c r="M501" t="s">
        <v>38</v>
      </c>
      <c r="N501" t="s">
        <v>31</v>
      </c>
      <c r="O501" t="s">
        <v>22</v>
      </c>
      <c r="P501" t="s">
        <v>40</v>
      </c>
      <c r="Q501" t="s">
        <v>55</v>
      </c>
      <c r="R501" t="s">
        <v>14</v>
      </c>
      <c r="S501" t="s">
        <v>25</v>
      </c>
      <c r="T501" t="s">
        <v>15</v>
      </c>
      <c r="U501" t="s">
        <v>5</v>
      </c>
      <c r="V501" s="94" t="s">
        <v>1105</v>
      </c>
      <c r="W501" t="s">
        <v>16</v>
      </c>
    </row>
    <row r="502" spans="1:23" ht="12.75">
      <c r="A502" s="1">
        <v>45750.161898148152</v>
      </c>
      <c r="C502" t="s">
        <v>85</v>
      </c>
      <c r="D502">
        <v>48</v>
      </c>
      <c r="E502">
        <v>176</v>
      </c>
      <c r="F502">
        <v>67</v>
      </c>
      <c r="G502">
        <v>1</v>
      </c>
      <c r="H502" t="s">
        <v>28</v>
      </c>
      <c r="I502" t="s">
        <v>5</v>
      </c>
      <c r="J502" t="s">
        <v>6</v>
      </c>
      <c r="K502" t="s">
        <v>63</v>
      </c>
      <c r="L502" t="s">
        <v>8</v>
      </c>
      <c r="M502" t="s">
        <v>38</v>
      </c>
      <c r="N502" t="s">
        <v>10</v>
      </c>
      <c r="O502" t="s">
        <v>22</v>
      </c>
      <c r="P502" t="s">
        <v>12</v>
      </c>
      <c r="Q502" t="s">
        <v>23</v>
      </c>
      <c r="R502" t="s">
        <v>14</v>
      </c>
      <c r="S502" t="s">
        <v>47</v>
      </c>
      <c r="T502" t="s">
        <v>24</v>
      </c>
      <c r="U502" t="s">
        <v>5</v>
      </c>
      <c r="V502" s="94" t="s">
        <v>1106</v>
      </c>
      <c r="W502" t="s">
        <v>39</v>
      </c>
    </row>
    <row r="503" spans="1:23" ht="12.75">
      <c r="A503" s="1">
        <v>45665.985636574071</v>
      </c>
      <c r="C503" t="s">
        <v>159</v>
      </c>
      <c r="D503">
        <v>52</v>
      </c>
      <c r="E503">
        <v>179</v>
      </c>
      <c r="F503">
        <v>86</v>
      </c>
      <c r="G503">
        <v>1</v>
      </c>
      <c r="H503" t="s">
        <v>592</v>
      </c>
      <c r="I503" t="s">
        <v>29</v>
      </c>
      <c r="J503" t="s">
        <v>6</v>
      </c>
      <c r="K503" t="s">
        <v>30</v>
      </c>
      <c r="L503" t="s">
        <v>12</v>
      </c>
      <c r="M503" t="s">
        <v>38</v>
      </c>
      <c r="N503" t="s">
        <v>12</v>
      </c>
      <c r="O503" t="s">
        <v>11</v>
      </c>
      <c r="P503" t="s">
        <v>20</v>
      </c>
      <c r="Q503" t="s">
        <v>32</v>
      </c>
      <c r="R503" t="s">
        <v>33</v>
      </c>
      <c r="S503" t="s">
        <v>15</v>
      </c>
      <c r="T503" t="s">
        <v>47</v>
      </c>
      <c r="U503" t="s">
        <v>29</v>
      </c>
      <c r="V503" s="94" t="s">
        <v>1107</v>
      </c>
      <c r="W503" t="s">
        <v>39</v>
      </c>
    </row>
    <row r="504" spans="1:23" ht="12.75">
      <c r="A504" s="1">
        <v>45809.839363425926</v>
      </c>
      <c r="C504" t="s">
        <v>122</v>
      </c>
      <c r="D504">
        <v>54</v>
      </c>
      <c r="E504">
        <v>167</v>
      </c>
      <c r="F504">
        <v>84</v>
      </c>
      <c r="G504">
        <v>1</v>
      </c>
      <c r="H504" t="s">
        <v>592</v>
      </c>
      <c r="I504" t="s">
        <v>29</v>
      </c>
      <c r="J504" t="s">
        <v>6</v>
      </c>
      <c r="K504" t="s">
        <v>19</v>
      </c>
      <c r="L504" t="s">
        <v>40</v>
      </c>
      <c r="M504" t="s">
        <v>38</v>
      </c>
      <c r="N504" t="s">
        <v>8</v>
      </c>
      <c r="O504" t="s">
        <v>46</v>
      </c>
      <c r="P504" t="s">
        <v>40</v>
      </c>
      <c r="Q504" t="s">
        <v>32</v>
      </c>
      <c r="R504" t="s">
        <v>33</v>
      </c>
      <c r="S504" t="s">
        <v>47</v>
      </c>
      <c r="T504" t="s">
        <v>15</v>
      </c>
      <c r="U504" t="s">
        <v>29</v>
      </c>
      <c r="V504" s="94" t="s">
        <v>1108</v>
      </c>
      <c r="W504" t="s">
        <v>16</v>
      </c>
    </row>
    <row r="505" spans="1:23" ht="12.75">
      <c r="A505" s="1">
        <v>45795.755798611113</v>
      </c>
      <c r="C505" t="s">
        <v>180</v>
      </c>
      <c r="D505">
        <v>33</v>
      </c>
      <c r="E505">
        <v>176</v>
      </c>
      <c r="F505">
        <v>99</v>
      </c>
      <c r="G505">
        <v>1</v>
      </c>
      <c r="H505" t="s">
        <v>592</v>
      </c>
      <c r="I505" t="s">
        <v>29</v>
      </c>
      <c r="J505" t="s">
        <v>6</v>
      </c>
      <c r="K505" t="s">
        <v>60</v>
      </c>
      <c r="L505" t="s">
        <v>20</v>
      </c>
      <c r="M505" t="s">
        <v>38</v>
      </c>
      <c r="N505" t="s">
        <v>10</v>
      </c>
      <c r="O505" t="s">
        <v>44</v>
      </c>
      <c r="P505" t="s">
        <v>31</v>
      </c>
      <c r="Q505" t="s">
        <v>13</v>
      </c>
      <c r="R505" t="s">
        <v>50</v>
      </c>
      <c r="S505" t="s">
        <v>15</v>
      </c>
      <c r="T505" t="s">
        <v>47</v>
      </c>
      <c r="U505" t="s">
        <v>5</v>
      </c>
      <c r="V505" s="94" t="s">
        <v>1109</v>
      </c>
      <c r="W505" t="s">
        <v>34</v>
      </c>
    </row>
    <row r="506" spans="1:23" ht="12.75">
      <c r="A506" s="1">
        <v>45691.308969907404</v>
      </c>
      <c r="C506" t="s">
        <v>105</v>
      </c>
      <c r="D506">
        <v>23</v>
      </c>
      <c r="E506">
        <v>163</v>
      </c>
      <c r="F506">
        <v>79</v>
      </c>
      <c r="G506">
        <v>3</v>
      </c>
      <c r="H506" t="s">
        <v>28</v>
      </c>
      <c r="I506" t="s">
        <v>29</v>
      </c>
      <c r="J506" t="s">
        <v>6</v>
      </c>
      <c r="K506" t="s">
        <v>63</v>
      </c>
      <c r="L506" t="s">
        <v>12</v>
      </c>
      <c r="M506" t="s">
        <v>52</v>
      </c>
      <c r="N506" t="s">
        <v>10</v>
      </c>
      <c r="O506" t="s">
        <v>22</v>
      </c>
      <c r="P506" t="s">
        <v>31</v>
      </c>
      <c r="Q506" t="s">
        <v>13</v>
      </c>
      <c r="R506" t="s">
        <v>33</v>
      </c>
      <c r="S506" t="s">
        <v>24</v>
      </c>
      <c r="T506" t="s">
        <v>25</v>
      </c>
      <c r="U506" t="s">
        <v>29</v>
      </c>
      <c r="V506" s="94" t="s">
        <v>1110</v>
      </c>
      <c r="W506" t="s">
        <v>34</v>
      </c>
    </row>
    <row r="507" spans="1:23" ht="12.75">
      <c r="A507" s="1">
        <v>45711.500289351854</v>
      </c>
      <c r="C507" t="s">
        <v>302</v>
      </c>
      <c r="D507">
        <v>29</v>
      </c>
      <c r="E507">
        <v>165</v>
      </c>
      <c r="F507">
        <v>54</v>
      </c>
      <c r="G507">
        <v>2.5</v>
      </c>
      <c r="H507" t="s">
        <v>591</v>
      </c>
      <c r="I507" t="s">
        <v>29</v>
      </c>
      <c r="J507" t="s">
        <v>36</v>
      </c>
      <c r="K507" t="s">
        <v>37</v>
      </c>
      <c r="L507" t="s">
        <v>8</v>
      </c>
      <c r="M507" t="s">
        <v>52</v>
      </c>
      <c r="N507" t="s">
        <v>8</v>
      </c>
      <c r="O507" t="s">
        <v>46</v>
      </c>
      <c r="P507" t="s">
        <v>12</v>
      </c>
      <c r="Q507" t="s">
        <v>13</v>
      </c>
      <c r="R507" t="s">
        <v>50</v>
      </c>
      <c r="S507" t="s">
        <v>47</v>
      </c>
      <c r="T507" t="s">
        <v>25</v>
      </c>
      <c r="U507" t="s">
        <v>29</v>
      </c>
      <c r="V507" s="94" t="s">
        <v>1111</v>
      </c>
      <c r="W507" t="s">
        <v>39</v>
      </c>
    </row>
    <row r="508" spans="1:23" ht="12.75">
      <c r="A508" s="1">
        <v>45773.221944444442</v>
      </c>
      <c r="C508" t="s">
        <v>85</v>
      </c>
      <c r="D508">
        <v>26</v>
      </c>
      <c r="E508">
        <v>170</v>
      </c>
      <c r="F508">
        <v>103</v>
      </c>
      <c r="G508">
        <v>3</v>
      </c>
      <c r="H508" t="s">
        <v>590</v>
      </c>
      <c r="I508" t="s">
        <v>5</v>
      </c>
      <c r="J508" t="s">
        <v>6</v>
      </c>
      <c r="K508" t="s">
        <v>63</v>
      </c>
      <c r="L508" t="s">
        <v>40</v>
      </c>
      <c r="M508" t="s">
        <v>38</v>
      </c>
      <c r="N508" t="s">
        <v>20</v>
      </c>
      <c r="O508" t="s">
        <v>46</v>
      </c>
      <c r="P508" t="s">
        <v>40</v>
      </c>
      <c r="Q508" t="s">
        <v>32</v>
      </c>
      <c r="R508" t="s">
        <v>33</v>
      </c>
      <c r="S508" t="s">
        <v>24</v>
      </c>
      <c r="T508" t="s">
        <v>47</v>
      </c>
      <c r="U508" t="s">
        <v>29</v>
      </c>
      <c r="V508" s="94" t="s">
        <v>1112</v>
      </c>
      <c r="W508" t="s">
        <v>39</v>
      </c>
    </row>
    <row r="509" spans="1:23" ht="12.75">
      <c r="A509" s="1">
        <v>45756.754108796296</v>
      </c>
      <c r="C509" t="s">
        <v>249</v>
      </c>
      <c r="D509">
        <v>29</v>
      </c>
      <c r="E509">
        <v>176</v>
      </c>
      <c r="F509">
        <v>79</v>
      </c>
      <c r="G509">
        <v>1</v>
      </c>
      <c r="H509" t="s">
        <v>28</v>
      </c>
      <c r="I509" t="s">
        <v>5</v>
      </c>
      <c r="J509" t="s">
        <v>36</v>
      </c>
      <c r="K509" t="s">
        <v>19</v>
      </c>
      <c r="L509" t="s">
        <v>40</v>
      </c>
      <c r="M509" t="s">
        <v>9</v>
      </c>
      <c r="N509" t="s">
        <v>12</v>
      </c>
      <c r="O509" t="s">
        <v>22</v>
      </c>
      <c r="P509" t="s">
        <v>40</v>
      </c>
      <c r="Q509" t="s">
        <v>32</v>
      </c>
      <c r="R509" t="s">
        <v>33</v>
      </c>
      <c r="S509" t="s">
        <v>25</v>
      </c>
      <c r="T509" t="s">
        <v>25</v>
      </c>
      <c r="U509" t="s">
        <v>5</v>
      </c>
      <c r="V509" s="94" t="s">
        <v>1113</v>
      </c>
      <c r="W509" t="s">
        <v>16</v>
      </c>
    </row>
    <row r="510" spans="1:23" ht="12.75">
      <c r="A510" s="1">
        <v>45809.33326388889</v>
      </c>
      <c r="C510" t="s">
        <v>163</v>
      </c>
      <c r="D510">
        <v>43</v>
      </c>
      <c r="E510">
        <v>187</v>
      </c>
      <c r="F510">
        <v>74</v>
      </c>
      <c r="G510">
        <v>2</v>
      </c>
      <c r="H510" t="s">
        <v>590</v>
      </c>
      <c r="I510" t="s">
        <v>29</v>
      </c>
      <c r="J510" t="s">
        <v>36</v>
      </c>
      <c r="K510" t="s">
        <v>63</v>
      </c>
      <c r="L510" t="s">
        <v>31</v>
      </c>
      <c r="M510" t="s">
        <v>38</v>
      </c>
      <c r="N510" t="s">
        <v>10</v>
      </c>
      <c r="O510" t="s">
        <v>11</v>
      </c>
      <c r="P510" t="s">
        <v>12</v>
      </c>
      <c r="Q510" t="s">
        <v>32</v>
      </c>
      <c r="R510" t="s">
        <v>14</v>
      </c>
      <c r="S510" t="s">
        <v>15</v>
      </c>
      <c r="T510" t="s">
        <v>47</v>
      </c>
      <c r="U510" t="s">
        <v>5</v>
      </c>
      <c r="V510" s="94" t="s">
        <v>1114</v>
      </c>
      <c r="W510" t="s">
        <v>26</v>
      </c>
    </row>
    <row r="511" spans="1:23" ht="12.75">
      <c r="A511" s="1">
        <v>45722.076319444444</v>
      </c>
      <c r="C511" t="s">
        <v>120</v>
      </c>
      <c r="D511">
        <v>55</v>
      </c>
      <c r="E511">
        <v>178</v>
      </c>
      <c r="F511">
        <v>62</v>
      </c>
      <c r="G511">
        <v>2.5</v>
      </c>
      <c r="H511" t="s">
        <v>590</v>
      </c>
      <c r="I511" t="s">
        <v>5</v>
      </c>
      <c r="J511" t="s">
        <v>6</v>
      </c>
      <c r="K511" t="s">
        <v>30</v>
      </c>
      <c r="L511" t="s">
        <v>8</v>
      </c>
      <c r="M511" t="s">
        <v>52</v>
      </c>
      <c r="N511" t="s">
        <v>8</v>
      </c>
      <c r="O511" t="s">
        <v>11</v>
      </c>
      <c r="P511" t="s">
        <v>12</v>
      </c>
      <c r="Q511" t="s">
        <v>13</v>
      </c>
      <c r="R511" t="s">
        <v>33</v>
      </c>
      <c r="S511" t="s">
        <v>15</v>
      </c>
      <c r="T511" t="s">
        <v>47</v>
      </c>
      <c r="U511" t="s">
        <v>5</v>
      </c>
      <c r="V511" s="94" t="s">
        <v>1115</v>
      </c>
      <c r="W511" t="s">
        <v>39</v>
      </c>
    </row>
    <row r="512" spans="1:23" ht="12.75">
      <c r="A512" s="1">
        <v>45697.291759259257</v>
      </c>
      <c r="C512" t="s">
        <v>233</v>
      </c>
      <c r="D512">
        <v>48</v>
      </c>
      <c r="E512">
        <v>189</v>
      </c>
      <c r="F512">
        <v>62</v>
      </c>
      <c r="G512">
        <v>2</v>
      </c>
      <c r="H512" t="s">
        <v>590</v>
      </c>
      <c r="I512" t="s">
        <v>29</v>
      </c>
      <c r="J512" t="s">
        <v>6</v>
      </c>
      <c r="K512" t="s">
        <v>30</v>
      </c>
      <c r="L512" t="s">
        <v>20</v>
      </c>
      <c r="M512" t="s">
        <v>38</v>
      </c>
      <c r="N512" t="s">
        <v>12</v>
      </c>
      <c r="O512" t="s">
        <v>22</v>
      </c>
      <c r="P512" t="s">
        <v>8</v>
      </c>
      <c r="Q512" t="s">
        <v>23</v>
      </c>
      <c r="R512" t="s">
        <v>14</v>
      </c>
      <c r="S512" t="s">
        <v>47</v>
      </c>
      <c r="T512" t="s">
        <v>24</v>
      </c>
      <c r="U512" t="s">
        <v>29</v>
      </c>
      <c r="V512" s="94" t="s">
        <v>1116</v>
      </c>
      <c r="W512" t="s">
        <v>34</v>
      </c>
    </row>
    <row r="513" spans="1:23" ht="12.75">
      <c r="A513" s="1">
        <v>45729.160324074073</v>
      </c>
      <c r="C513" t="s">
        <v>57</v>
      </c>
      <c r="D513">
        <v>33</v>
      </c>
      <c r="E513">
        <v>156</v>
      </c>
      <c r="F513">
        <v>79</v>
      </c>
      <c r="G513">
        <v>1.5</v>
      </c>
      <c r="H513" t="s">
        <v>590</v>
      </c>
      <c r="I513" t="s">
        <v>5</v>
      </c>
      <c r="J513" t="s">
        <v>36</v>
      </c>
      <c r="K513" t="s">
        <v>37</v>
      </c>
      <c r="L513" t="s">
        <v>12</v>
      </c>
      <c r="M513" t="s">
        <v>52</v>
      </c>
      <c r="N513" t="s">
        <v>20</v>
      </c>
      <c r="O513" t="s">
        <v>44</v>
      </c>
      <c r="P513" t="s">
        <v>8</v>
      </c>
      <c r="Q513" t="s">
        <v>32</v>
      </c>
      <c r="R513" t="s">
        <v>14</v>
      </c>
      <c r="S513" t="s">
        <v>47</v>
      </c>
      <c r="T513" t="s">
        <v>25</v>
      </c>
      <c r="U513" t="s">
        <v>29</v>
      </c>
      <c r="V513" s="94" t="s">
        <v>1117</v>
      </c>
      <c r="W513" t="s">
        <v>16</v>
      </c>
    </row>
    <row r="514" spans="1:23" ht="12.75">
      <c r="A514" s="1">
        <v>45709.551435185182</v>
      </c>
      <c r="C514" t="s">
        <v>136</v>
      </c>
      <c r="D514">
        <v>39</v>
      </c>
      <c r="E514">
        <v>173</v>
      </c>
      <c r="F514">
        <v>87</v>
      </c>
      <c r="G514">
        <v>1</v>
      </c>
      <c r="H514" t="s">
        <v>28</v>
      </c>
      <c r="I514" t="s">
        <v>5</v>
      </c>
      <c r="J514" t="s">
        <v>36</v>
      </c>
      <c r="K514" t="s">
        <v>19</v>
      </c>
      <c r="L514" t="s">
        <v>10</v>
      </c>
      <c r="M514" t="s">
        <v>38</v>
      </c>
      <c r="N514" t="s">
        <v>40</v>
      </c>
      <c r="O514" t="s">
        <v>44</v>
      </c>
      <c r="P514" t="s">
        <v>31</v>
      </c>
      <c r="Q514" t="s">
        <v>13</v>
      </c>
      <c r="R514" t="s">
        <v>14</v>
      </c>
      <c r="S514" t="s">
        <v>47</v>
      </c>
      <c r="T514" t="s">
        <v>47</v>
      </c>
      <c r="U514" t="s">
        <v>29</v>
      </c>
      <c r="V514" s="94" t="s">
        <v>1118</v>
      </c>
      <c r="W514" t="s">
        <v>39</v>
      </c>
    </row>
    <row r="515" spans="1:23" ht="12.75">
      <c r="A515" s="1">
        <v>45697.136967592596</v>
      </c>
      <c r="C515" t="s">
        <v>41</v>
      </c>
      <c r="D515">
        <v>26</v>
      </c>
      <c r="E515">
        <v>159</v>
      </c>
      <c r="F515">
        <v>105</v>
      </c>
      <c r="G515">
        <v>2.5</v>
      </c>
      <c r="H515" t="s">
        <v>591</v>
      </c>
      <c r="I515" t="s">
        <v>29</v>
      </c>
      <c r="J515" t="s">
        <v>6</v>
      </c>
      <c r="K515" t="s">
        <v>7</v>
      </c>
      <c r="L515" t="s">
        <v>8</v>
      </c>
      <c r="M515" t="s">
        <v>38</v>
      </c>
      <c r="N515" t="s">
        <v>8</v>
      </c>
      <c r="O515" t="s">
        <v>22</v>
      </c>
      <c r="P515" t="s">
        <v>40</v>
      </c>
      <c r="Q515" t="s">
        <v>32</v>
      </c>
      <c r="R515" t="s">
        <v>14</v>
      </c>
      <c r="S515" t="s">
        <v>24</v>
      </c>
      <c r="T515" t="s">
        <v>25</v>
      </c>
      <c r="U515" t="s">
        <v>5</v>
      </c>
      <c r="V515" s="94" t="s">
        <v>1119</v>
      </c>
      <c r="W515" t="s">
        <v>34</v>
      </c>
    </row>
    <row r="516" spans="1:23" ht="12.75">
      <c r="A516" s="1">
        <v>45757.763310185182</v>
      </c>
      <c r="C516" t="s">
        <v>105</v>
      </c>
      <c r="D516">
        <v>48</v>
      </c>
      <c r="E516">
        <v>180</v>
      </c>
      <c r="F516">
        <v>84</v>
      </c>
      <c r="G516">
        <v>1</v>
      </c>
      <c r="H516" t="s">
        <v>28</v>
      </c>
      <c r="I516" t="s">
        <v>29</v>
      </c>
      <c r="J516" t="s">
        <v>6</v>
      </c>
      <c r="K516" t="s">
        <v>19</v>
      </c>
      <c r="L516" t="s">
        <v>31</v>
      </c>
      <c r="M516" t="s">
        <v>52</v>
      </c>
      <c r="N516" t="s">
        <v>40</v>
      </c>
      <c r="O516" t="s">
        <v>46</v>
      </c>
      <c r="P516" t="s">
        <v>40</v>
      </c>
      <c r="Q516" t="s">
        <v>13</v>
      </c>
      <c r="R516" t="s">
        <v>14</v>
      </c>
      <c r="S516" t="s">
        <v>24</v>
      </c>
      <c r="T516" t="s">
        <v>24</v>
      </c>
      <c r="U516" t="s">
        <v>5</v>
      </c>
      <c r="V516" s="94" t="s">
        <v>1120</v>
      </c>
      <c r="W516" t="s">
        <v>39</v>
      </c>
    </row>
    <row r="517" spans="1:23" ht="12.75">
      <c r="A517" s="1">
        <v>45786.770590277774</v>
      </c>
      <c r="C517" t="s">
        <v>59</v>
      </c>
      <c r="D517">
        <v>59</v>
      </c>
      <c r="E517">
        <v>175</v>
      </c>
      <c r="F517">
        <v>103</v>
      </c>
      <c r="G517">
        <v>2.5</v>
      </c>
      <c r="H517" t="s">
        <v>590</v>
      </c>
      <c r="I517" t="s">
        <v>29</v>
      </c>
      <c r="J517" t="s">
        <v>6</v>
      </c>
      <c r="K517" t="s">
        <v>63</v>
      </c>
      <c r="L517" t="s">
        <v>31</v>
      </c>
      <c r="M517" t="s">
        <v>9</v>
      </c>
      <c r="N517" t="s">
        <v>20</v>
      </c>
      <c r="O517" t="s">
        <v>11</v>
      </c>
      <c r="P517" t="s">
        <v>20</v>
      </c>
      <c r="Q517" t="s">
        <v>32</v>
      </c>
      <c r="R517" t="s">
        <v>14</v>
      </c>
      <c r="S517" t="s">
        <v>15</v>
      </c>
      <c r="T517" t="s">
        <v>24</v>
      </c>
      <c r="U517" t="s">
        <v>5</v>
      </c>
      <c r="V517" s="94" t="s">
        <v>1121</v>
      </c>
      <c r="W517" t="s">
        <v>39</v>
      </c>
    </row>
    <row r="518" spans="1:23" ht="12.75">
      <c r="A518" s="1">
        <v>45740.552245370367</v>
      </c>
      <c r="C518" t="s">
        <v>57</v>
      </c>
      <c r="D518">
        <v>40</v>
      </c>
      <c r="E518">
        <v>184</v>
      </c>
      <c r="F518">
        <v>99</v>
      </c>
      <c r="G518">
        <v>2</v>
      </c>
      <c r="H518" t="s">
        <v>28</v>
      </c>
      <c r="I518" t="s">
        <v>5</v>
      </c>
      <c r="J518" t="s">
        <v>6</v>
      </c>
      <c r="K518" t="s">
        <v>63</v>
      </c>
      <c r="L518" t="s">
        <v>8</v>
      </c>
      <c r="M518" t="s">
        <v>21</v>
      </c>
      <c r="N518" t="s">
        <v>40</v>
      </c>
      <c r="O518" t="s">
        <v>22</v>
      </c>
      <c r="P518" t="s">
        <v>12</v>
      </c>
      <c r="Q518" t="s">
        <v>55</v>
      </c>
      <c r="R518" t="s">
        <v>50</v>
      </c>
      <c r="S518" t="s">
        <v>15</v>
      </c>
      <c r="T518" t="s">
        <v>47</v>
      </c>
      <c r="U518" t="s">
        <v>5</v>
      </c>
      <c r="V518" s="94" t="s">
        <v>1122</v>
      </c>
      <c r="W518" t="s">
        <v>16</v>
      </c>
    </row>
    <row r="519" spans="1:23" ht="12.75">
      <c r="A519" s="1">
        <v>45683.434224537035</v>
      </c>
      <c r="C519" t="s">
        <v>303</v>
      </c>
      <c r="D519">
        <v>49</v>
      </c>
      <c r="E519">
        <v>187</v>
      </c>
      <c r="F519">
        <v>70</v>
      </c>
      <c r="G519">
        <v>1</v>
      </c>
      <c r="H519" t="s">
        <v>590</v>
      </c>
      <c r="I519" t="s">
        <v>29</v>
      </c>
      <c r="J519" t="s">
        <v>6</v>
      </c>
      <c r="K519" t="s">
        <v>63</v>
      </c>
      <c r="L519" t="s">
        <v>20</v>
      </c>
      <c r="M519" t="s">
        <v>38</v>
      </c>
      <c r="N519" t="s">
        <v>8</v>
      </c>
      <c r="O519" t="s">
        <v>44</v>
      </c>
      <c r="P519" t="s">
        <v>31</v>
      </c>
      <c r="Q519" t="s">
        <v>32</v>
      </c>
      <c r="R519" t="s">
        <v>33</v>
      </c>
      <c r="S519" t="s">
        <v>24</v>
      </c>
      <c r="T519" t="s">
        <v>24</v>
      </c>
      <c r="U519" t="s">
        <v>5</v>
      </c>
      <c r="V519" s="94" t="s">
        <v>1123</v>
      </c>
      <c r="W519" t="s">
        <v>26</v>
      </c>
    </row>
    <row r="520" spans="1:23" ht="12.75">
      <c r="A520" s="1">
        <v>45740.207546296297</v>
      </c>
      <c r="C520" t="s">
        <v>43</v>
      </c>
      <c r="D520">
        <v>34</v>
      </c>
      <c r="E520">
        <v>187</v>
      </c>
      <c r="F520">
        <v>57</v>
      </c>
      <c r="G520">
        <v>3</v>
      </c>
      <c r="H520" t="s">
        <v>590</v>
      </c>
      <c r="I520" t="s">
        <v>5</v>
      </c>
      <c r="J520" t="s">
        <v>6</v>
      </c>
      <c r="K520" t="s">
        <v>30</v>
      </c>
      <c r="L520" t="s">
        <v>20</v>
      </c>
      <c r="M520" t="s">
        <v>9</v>
      </c>
      <c r="N520" t="s">
        <v>40</v>
      </c>
      <c r="O520" t="s">
        <v>11</v>
      </c>
      <c r="P520" t="s">
        <v>12</v>
      </c>
      <c r="Q520" t="s">
        <v>13</v>
      </c>
      <c r="R520" t="s">
        <v>33</v>
      </c>
      <c r="S520" t="s">
        <v>47</v>
      </c>
      <c r="T520" t="s">
        <v>25</v>
      </c>
      <c r="U520" t="s">
        <v>5</v>
      </c>
      <c r="V520" s="94" t="s">
        <v>1124</v>
      </c>
      <c r="W520" t="s">
        <v>34</v>
      </c>
    </row>
    <row r="521" spans="1:23" ht="12.75">
      <c r="A521" s="1">
        <v>45702.847256944442</v>
      </c>
      <c r="C521" t="s">
        <v>95</v>
      </c>
      <c r="D521">
        <v>43</v>
      </c>
      <c r="E521">
        <v>176</v>
      </c>
      <c r="F521">
        <v>102</v>
      </c>
      <c r="G521">
        <v>1.5</v>
      </c>
      <c r="H521" t="s">
        <v>28</v>
      </c>
      <c r="I521" t="s">
        <v>5</v>
      </c>
      <c r="J521" t="s">
        <v>6</v>
      </c>
      <c r="K521" t="s">
        <v>60</v>
      </c>
      <c r="L521" t="s">
        <v>31</v>
      </c>
      <c r="M521" t="s">
        <v>21</v>
      </c>
      <c r="N521" t="s">
        <v>40</v>
      </c>
      <c r="O521" t="s">
        <v>22</v>
      </c>
      <c r="P521" t="s">
        <v>40</v>
      </c>
      <c r="Q521" t="s">
        <v>13</v>
      </c>
      <c r="R521" t="s">
        <v>50</v>
      </c>
      <c r="S521" t="s">
        <v>24</v>
      </c>
      <c r="T521" t="s">
        <v>24</v>
      </c>
      <c r="U521" t="s">
        <v>29</v>
      </c>
      <c r="V521" s="94" t="s">
        <v>1125</v>
      </c>
      <c r="W521" t="s">
        <v>34</v>
      </c>
    </row>
    <row r="522" spans="1:23" ht="12.75">
      <c r="A522" s="1">
        <v>45666.612696759257</v>
      </c>
      <c r="C522" t="s">
        <v>304</v>
      </c>
      <c r="D522">
        <v>49</v>
      </c>
      <c r="E522">
        <v>176</v>
      </c>
      <c r="F522">
        <v>75</v>
      </c>
      <c r="G522">
        <v>2.5</v>
      </c>
      <c r="H522" t="s">
        <v>591</v>
      </c>
      <c r="I522" t="s">
        <v>5</v>
      </c>
      <c r="J522" t="s">
        <v>36</v>
      </c>
      <c r="K522" t="s">
        <v>19</v>
      </c>
      <c r="L522" t="s">
        <v>8</v>
      </c>
      <c r="M522" t="s">
        <v>38</v>
      </c>
      <c r="N522" t="s">
        <v>31</v>
      </c>
      <c r="O522" t="s">
        <v>22</v>
      </c>
      <c r="P522" t="s">
        <v>40</v>
      </c>
      <c r="Q522" t="s">
        <v>23</v>
      </c>
      <c r="R522" t="s">
        <v>33</v>
      </c>
      <c r="S522" t="s">
        <v>15</v>
      </c>
      <c r="T522" t="s">
        <v>15</v>
      </c>
      <c r="U522" t="s">
        <v>29</v>
      </c>
      <c r="V522" s="94" t="s">
        <v>1126</v>
      </c>
      <c r="W522" t="s">
        <v>34</v>
      </c>
    </row>
    <row r="523" spans="1:23" ht="12.75">
      <c r="A523" s="1">
        <v>45672.47859953704</v>
      </c>
      <c r="C523" t="s">
        <v>305</v>
      </c>
      <c r="D523">
        <v>51</v>
      </c>
      <c r="E523">
        <v>156</v>
      </c>
      <c r="F523">
        <v>99</v>
      </c>
      <c r="G523">
        <v>2</v>
      </c>
      <c r="H523" t="s">
        <v>590</v>
      </c>
      <c r="I523" t="s">
        <v>29</v>
      </c>
      <c r="J523" t="s">
        <v>6</v>
      </c>
      <c r="K523" t="s">
        <v>30</v>
      </c>
      <c r="L523" t="s">
        <v>20</v>
      </c>
      <c r="M523" t="s">
        <v>38</v>
      </c>
      <c r="N523" t="s">
        <v>8</v>
      </c>
      <c r="O523" t="s">
        <v>44</v>
      </c>
      <c r="P523" t="s">
        <v>8</v>
      </c>
      <c r="Q523" t="s">
        <v>32</v>
      </c>
      <c r="R523" t="s">
        <v>50</v>
      </c>
      <c r="S523" t="s">
        <v>47</v>
      </c>
      <c r="T523" t="s">
        <v>24</v>
      </c>
      <c r="U523" t="s">
        <v>5</v>
      </c>
      <c r="V523" s="94" t="s">
        <v>1127</v>
      </c>
      <c r="W523" t="s">
        <v>34</v>
      </c>
    </row>
    <row r="524" spans="1:23" ht="12.75">
      <c r="A524" s="1">
        <v>45659.117037037038</v>
      </c>
      <c r="C524" t="s">
        <v>90</v>
      </c>
      <c r="D524">
        <v>35</v>
      </c>
      <c r="E524">
        <v>162</v>
      </c>
      <c r="F524">
        <v>69</v>
      </c>
      <c r="G524">
        <v>3</v>
      </c>
      <c r="H524" t="s">
        <v>592</v>
      </c>
      <c r="I524" t="s">
        <v>29</v>
      </c>
      <c r="J524" t="s">
        <v>36</v>
      </c>
      <c r="K524" t="s">
        <v>19</v>
      </c>
      <c r="L524" t="s">
        <v>8</v>
      </c>
      <c r="M524" t="s">
        <v>38</v>
      </c>
      <c r="N524" t="s">
        <v>40</v>
      </c>
      <c r="O524" t="s">
        <v>44</v>
      </c>
      <c r="P524" t="s">
        <v>12</v>
      </c>
      <c r="Q524" t="s">
        <v>32</v>
      </c>
      <c r="R524" t="s">
        <v>50</v>
      </c>
      <c r="S524" t="s">
        <v>47</v>
      </c>
      <c r="T524" t="s">
        <v>25</v>
      </c>
      <c r="U524" t="s">
        <v>29</v>
      </c>
      <c r="V524" s="94" t="s">
        <v>1128</v>
      </c>
      <c r="W524" t="s">
        <v>16</v>
      </c>
    </row>
    <row r="525" spans="1:23" ht="12.75">
      <c r="A525" s="1">
        <v>45725.759189814817</v>
      </c>
      <c r="C525" t="s">
        <v>119</v>
      </c>
      <c r="D525">
        <v>22</v>
      </c>
      <c r="E525">
        <v>173</v>
      </c>
      <c r="F525">
        <v>94</v>
      </c>
      <c r="G525">
        <v>1</v>
      </c>
      <c r="H525" t="s">
        <v>590</v>
      </c>
      <c r="I525" t="s">
        <v>29</v>
      </c>
      <c r="J525" t="s">
        <v>36</v>
      </c>
      <c r="K525" t="s">
        <v>19</v>
      </c>
      <c r="L525" t="s">
        <v>20</v>
      </c>
      <c r="M525" t="s">
        <v>52</v>
      </c>
      <c r="N525" t="s">
        <v>20</v>
      </c>
      <c r="O525" t="s">
        <v>11</v>
      </c>
      <c r="P525" t="s">
        <v>8</v>
      </c>
      <c r="Q525" t="s">
        <v>23</v>
      </c>
      <c r="R525" t="s">
        <v>33</v>
      </c>
      <c r="S525" t="s">
        <v>25</v>
      </c>
      <c r="T525" t="s">
        <v>24</v>
      </c>
      <c r="U525" t="s">
        <v>29</v>
      </c>
      <c r="V525" s="94" t="s">
        <v>1129</v>
      </c>
      <c r="W525" t="s">
        <v>16</v>
      </c>
    </row>
    <row r="526" spans="1:23" ht="12.75">
      <c r="A526" s="1">
        <v>45674.698587962965</v>
      </c>
      <c r="C526" t="s">
        <v>306</v>
      </c>
      <c r="D526">
        <v>43</v>
      </c>
      <c r="E526">
        <v>159</v>
      </c>
      <c r="F526">
        <v>65</v>
      </c>
      <c r="G526">
        <v>1</v>
      </c>
      <c r="H526" t="s">
        <v>590</v>
      </c>
      <c r="I526" t="s">
        <v>5</v>
      </c>
      <c r="J526" t="s">
        <v>6</v>
      </c>
      <c r="K526" t="s">
        <v>37</v>
      </c>
      <c r="L526" t="s">
        <v>20</v>
      </c>
      <c r="M526" t="s">
        <v>9</v>
      </c>
      <c r="N526" t="s">
        <v>40</v>
      </c>
      <c r="O526" t="s">
        <v>22</v>
      </c>
      <c r="P526" t="s">
        <v>31</v>
      </c>
      <c r="Q526" t="s">
        <v>23</v>
      </c>
      <c r="R526" t="s">
        <v>33</v>
      </c>
      <c r="S526" t="s">
        <v>24</v>
      </c>
      <c r="T526" t="s">
        <v>25</v>
      </c>
      <c r="U526" t="s">
        <v>5</v>
      </c>
      <c r="V526" s="94" t="s">
        <v>1130</v>
      </c>
      <c r="W526" t="s">
        <v>16</v>
      </c>
    </row>
    <row r="527" spans="1:23" ht="12.75">
      <c r="A527" s="1">
        <v>45738.461770833332</v>
      </c>
      <c r="C527" t="s">
        <v>180</v>
      </c>
      <c r="D527">
        <v>45</v>
      </c>
      <c r="E527">
        <v>189</v>
      </c>
      <c r="F527">
        <v>104</v>
      </c>
      <c r="G527">
        <v>2.5</v>
      </c>
      <c r="H527" t="s">
        <v>28</v>
      </c>
      <c r="I527" t="s">
        <v>5</v>
      </c>
      <c r="J527" t="s">
        <v>6</v>
      </c>
      <c r="K527" t="s">
        <v>63</v>
      </c>
      <c r="L527" t="s">
        <v>20</v>
      </c>
      <c r="M527" t="s">
        <v>9</v>
      </c>
      <c r="N527" t="s">
        <v>8</v>
      </c>
      <c r="O527" t="s">
        <v>46</v>
      </c>
      <c r="P527" t="s">
        <v>31</v>
      </c>
      <c r="Q527" t="s">
        <v>13</v>
      </c>
      <c r="R527" t="s">
        <v>33</v>
      </c>
      <c r="S527" t="s">
        <v>24</v>
      </c>
      <c r="T527" t="s">
        <v>47</v>
      </c>
      <c r="U527" t="s">
        <v>29</v>
      </c>
      <c r="V527" s="94" t="s">
        <v>1131</v>
      </c>
      <c r="W527" t="s">
        <v>39</v>
      </c>
    </row>
    <row r="528" spans="1:23" ht="12.75">
      <c r="A528" s="1">
        <v>45743.429594907408</v>
      </c>
      <c r="C528" t="s">
        <v>307</v>
      </c>
      <c r="D528">
        <v>45</v>
      </c>
      <c r="E528">
        <v>186</v>
      </c>
      <c r="F528">
        <v>50</v>
      </c>
      <c r="G528">
        <v>3</v>
      </c>
      <c r="H528" t="s">
        <v>591</v>
      </c>
      <c r="I528" t="s">
        <v>5</v>
      </c>
      <c r="J528" t="s">
        <v>6</v>
      </c>
      <c r="K528" t="s">
        <v>63</v>
      </c>
      <c r="L528" t="s">
        <v>31</v>
      </c>
      <c r="M528" t="s">
        <v>52</v>
      </c>
      <c r="N528" t="s">
        <v>31</v>
      </c>
      <c r="O528" t="s">
        <v>11</v>
      </c>
      <c r="P528" t="s">
        <v>12</v>
      </c>
      <c r="Q528" t="s">
        <v>55</v>
      </c>
      <c r="R528" t="s">
        <v>33</v>
      </c>
      <c r="S528" t="s">
        <v>47</v>
      </c>
      <c r="T528" t="s">
        <v>47</v>
      </c>
      <c r="U528" t="s">
        <v>5</v>
      </c>
      <c r="V528" s="94" t="s">
        <v>1132</v>
      </c>
      <c r="W528" t="s">
        <v>16</v>
      </c>
    </row>
    <row r="529" spans="1:23" ht="12.75">
      <c r="A529" s="1">
        <v>45751.514108796298</v>
      </c>
      <c r="C529" t="s">
        <v>48</v>
      </c>
      <c r="D529">
        <v>54</v>
      </c>
      <c r="E529">
        <v>159</v>
      </c>
      <c r="F529">
        <v>86</v>
      </c>
      <c r="G529">
        <v>2.5</v>
      </c>
      <c r="H529" t="s">
        <v>591</v>
      </c>
      <c r="I529" t="s">
        <v>5</v>
      </c>
      <c r="J529" t="s">
        <v>6</v>
      </c>
      <c r="K529" t="s">
        <v>19</v>
      </c>
      <c r="L529" t="s">
        <v>31</v>
      </c>
      <c r="M529" t="s">
        <v>38</v>
      </c>
      <c r="N529" t="s">
        <v>12</v>
      </c>
      <c r="O529" t="s">
        <v>22</v>
      </c>
      <c r="P529" t="s">
        <v>31</v>
      </c>
      <c r="Q529" t="s">
        <v>13</v>
      </c>
      <c r="R529" t="s">
        <v>14</v>
      </c>
      <c r="S529" t="s">
        <v>47</v>
      </c>
      <c r="T529" t="s">
        <v>24</v>
      </c>
      <c r="U529" t="s">
        <v>5</v>
      </c>
      <c r="V529" s="94" t="s">
        <v>1133</v>
      </c>
      <c r="W529" t="s">
        <v>16</v>
      </c>
    </row>
    <row r="530" spans="1:23" ht="12.75">
      <c r="A530" s="1">
        <v>45778.159270833334</v>
      </c>
      <c r="C530" t="s">
        <v>308</v>
      </c>
      <c r="D530">
        <v>55</v>
      </c>
      <c r="E530">
        <v>168</v>
      </c>
      <c r="F530">
        <v>54</v>
      </c>
      <c r="G530">
        <v>2.5</v>
      </c>
      <c r="H530" t="s">
        <v>592</v>
      </c>
      <c r="I530" t="s">
        <v>29</v>
      </c>
      <c r="J530" t="s">
        <v>36</v>
      </c>
      <c r="K530" t="s">
        <v>19</v>
      </c>
      <c r="L530" t="s">
        <v>31</v>
      </c>
      <c r="M530" t="s">
        <v>52</v>
      </c>
      <c r="N530" t="s">
        <v>40</v>
      </c>
      <c r="O530" t="s">
        <v>44</v>
      </c>
      <c r="P530" t="s">
        <v>10</v>
      </c>
      <c r="Q530" t="s">
        <v>13</v>
      </c>
      <c r="R530" t="s">
        <v>50</v>
      </c>
      <c r="S530" t="s">
        <v>47</v>
      </c>
      <c r="T530" t="s">
        <v>15</v>
      </c>
      <c r="U530" t="s">
        <v>5</v>
      </c>
      <c r="V530" s="94" t="s">
        <v>1134</v>
      </c>
      <c r="W530" t="s">
        <v>34</v>
      </c>
    </row>
    <row r="531" spans="1:23" ht="12.75">
      <c r="A531" s="1">
        <v>45769.930300925924</v>
      </c>
      <c r="C531" t="s">
        <v>309</v>
      </c>
      <c r="D531">
        <v>32</v>
      </c>
      <c r="E531">
        <v>184</v>
      </c>
      <c r="F531">
        <v>108</v>
      </c>
      <c r="G531">
        <v>1</v>
      </c>
      <c r="H531" t="s">
        <v>592</v>
      </c>
      <c r="I531" t="s">
        <v>5</v>
      </c>
      <c r="J531" t="s">
        <v>6</v>
      </c>
      <c r="K531" t="s">
        <v>60</v>
      </c>
      <c r="L531" t="s">
        <v>12</v>
      </c>
      <c r="M531" t="s">
        <v>38</v>
      </c>
      <c r="N531" t="s">
        <v>10</v>
      </c>
      <c r="O531" t="s">
        <v>44</v>
      </c>
      <c r="P531" t="s">
        <v>12</v>
      </c>
      <c r="Q531" t="s">
        <v>13</v>
      </c>
      <c r="R531" t="s">
        <v>33</v>
      </c>
      <c r="S531" t="s">
        <v>25</v>
      </c>
      <c r="T531" t="s">
        <v>47</v>
      </c>
      <c r="U531" t="s">
        <v>29</v>
      </c>
      <c r="V531" s="94" t="s">
        <v>1135</v>
      </c>
      <c r="W531" t="s">
        <v>34</v>
      </c>
    </row>
    <row r="532" spans="1:23" ht="12.75">
      <c r="A532" s="1">
        <v>45662.315925925926</v>
      </c>
      <c r="C532" t="s">
        <v>51</v>
      </c>
      <c r="D532">
        <v>37</v>
      </c>
      <c r="E532">
        <v>174</v>
      </c>
      <c r="F532">
        <v>59</v>
      </c>
      <c r="G532">
        <v>1.5</v>
      </c>
      <c r="H532" t="s">
        <v>592</v>
      </c>
      <c r="I532" t="s">
        <v>5</v>
      </c>
      <c r="J532" t="s">
        <v>36</v>
      </c>
      <c r="K532" t="s">
        <v>37</v>
      </c>
      <c r="L532" t="s">
        <v>20</v>
      </c>
      <c r="M532" t="s">
        <v>21</v>
      </c>
      <c r="N532" t="s">
        <v>8</v>
      </c>
      <c r="O532" t="s">
        <v>44</v>
      </c>
      <c r="P532" t="s">
        <v>20</v>
      </c>
      <c r="Q532" t="s">
        <v>55</v>
      </c>
      <c r="R532" t="s">
        <v>33</v>
      </c>
      <c r="S532" t="s">
        <v>15</v>
      </c>
      <c r="T532" t="s">
        <v>15</v>
      </c>
      <c r="U532" t="s">
        <v>5</v>
      </c>
      <c r="V532" s="94" t="s">
        <v>1136</v>
      </c>
      <c r="W532" t="s">
        <v>26</v>
      </c>
    </row>
    <row r="533" spans="1:23" ht="12.75">
      <c r="A533" s="1">
        <v>45681.964861111112</v>
      </c>
      <c r="C533" t="s">
        <v>310</v>
      </c>
      <c r="D533">
        <v>56</v>
      </c>
      <c r="E533">
        <v>179</v>
      </c>
      <c r="F533">
        <v>75</v>
      </c>
      <c r="G533">
        <v>1</v>
      </c>
      <c r="H533" t="s">
        <v>590</v>
      </c>
      <c r="I533" t="s">
        <v>5</v>
      </c>
      <c r="J533" t="s">
        <v>36</v>
      </c>
      <c r="K533" t="s">
        <v>63</v>
      </c>
      <c r="L533" t="s">
        <v>8</v>
      </c>
      <c r="M533" t="s">
        <v>9</v>
      </c>
      <c r="N533" t="s">
        <v>20</v>
      </c>
      <c r="O533" t="s">
        <v>44</v>
      </c>
      <c r="P533" t="s">
        <v>12</v>
      </c>
      <c r="Q533" t="s">
        <v>23</v>
      </c>
      <c r="R533" t="s">
        <v>50</v>
      </c>
      <c r="S533" t="s">
        <v>15</v>
      </c>
      <c r="T533" t="s">
        <v>47</v>
      </c>
      <c r="U533" t="s">
        <v>5</v>
      </c>
      <c r="V533" s="94" t="s">
        <v>1137</v>
      </c>
      <c r="W533" t="s">
        <v>34</v>
      </c>
    </row>
    <row r="534" spans="1:23" ht="12.75">
      <c r="A534" s="1">
        <v>45744.927800925929</v>
      </c>
      <c r="C534" t="s">
        <v>311</v>
      </c>
      <c r="D534">
        <v>25</v>
      </c>
      <c r="E534">
        <v>166</v>
      </c>
      <c r="F534">
        <v>90</v>
      </c>
      <c r="G534">
        <v>2</v>
      </c>
      <c r="H534" t="s">
        <v>591</v>
      </c>
      <c r="I534" t="s">
        <v>29</v>
      </c>
      <c r="J534" t="s">
        <v>36</v>
      </c>
      <c r="K534" t="s">
        <v>7</v>
      </c>
      <c r="L534" t="s">
        <v>8</v>
      </c>
      <c r="M534" t="s">
        <v>38</v>
      </c>
      <c r="N534" t="s">
        <v>8</v>
      </c>
      <c r="O534" t="s">
        <v>11</v>
      </c>
      <c r="P534" t="s">
        <v>31</v>
      </c>
      <c r="Q534" t="s">
        <v>55</v>
      </c>
      <c r="R534" t="s">
        <v>33</v>
      </c>
      <c r="S534" t="s">
        <v>15</v>
      </c>
      <c r="T534" t="s">
        <v>15</v>
      </c>
      <c r="U534" t="s">
        <v>5</v>
      </c>
      <c r="V534" s="94" t="s">
        <v>1138</v>
      </c>
      <c r="W534" t="s">
        <v>16</v>
      </c>
    </row>
    <row r="535" spans="1:23" ht="12.75">
      <c r="A535" s="1">
        <v>45784.186921296299</v>
      </c>
      <c r="C535" t="s">
        <v>116</v>
      </c>
      <c r="D535">
        <v>40</v>
      </c>
      <c r="E535">
        <v>171</v>
      </c>
      <c r="F535">
        <v>77</v>
      </c>
      <c r="G535">
        <v>1</v>
      </c>
      <c r="H535" t="s">
        <v>28</v>
      </c>
      <c r="I535" t="s">
        <v>5</v>
      </c>
      <c r="J535" t="s">
        <v>6</v>
      </c>
      <c r="K535" t="s">
        <v>60</v>
      </c>
      <c r="L535" t="s">
        <v>20</v>
      </c>
      <c r="M535" t="s">
        <v>21</v>
      </c>
      <c r="N535" t="s">
        <v>10</v>
      </c>
      <c r="O535" t="s">
        <v>46</v>
      </c>
      <c r="P535" t="s">
        <v>40</v>
      </c>
      <c r="Q535" t="s">
        <v>32</v>
      </c>
      <c r="R535" t="s">
        <v>50</v>
      </c>
      <c r="S535" t="s">
        <v>24</v>
      </c>
      <c r="T535" t="s">
        <v>15</v>
      </c>
      <c r="U535" t="s">
        <v>29</v>
      </c>
      <c r="V535" s="94" t="s">
        <v>1139</v>
      </c>
      <c r="W535" t="s">
        <v>39</v>
      </c>
    </row>
    <row r="536" spans="1:23" ht="12.75">
      <c r="A536" s="1">
        <v>45728.902083333334</v>
      </c>
      <c r="C536" t="s">
        <v>280</v>
      </c>
      <c r="D536">
        <v>56</v>
      </c>
      <c r="E536">
        <v>183</v>
      </c>
      <c r="F536">
        <v>63</v>
      </c>
      <c r="G536">
        <v>3</v>
      </c>
      <c r="H536" t="s">
        <v>591</v>
      </c>
      <c r="I536" t="s">
        <v>29</v>
      </c>
      <c r="J536" t="s">
        <v>6</v>
      </c>
      <c r="K536" t="s">
        <v>19</v>
      </c>
      <c r="L536" t="s">
        <v>8</v>
      </c>
      <c r="M536" t="s">
        <v>52</v>
      </c>
      <c r="N536" t="s">
        <v>31</v>
      </c>
      <c r="O536" t="s">
        <v>11</v>
      </c>
      <c r="P536" t="s">
        <v>20</v>
      </c>
      <c r="Q536" t="s">
        <v>32</v>
      </c>
      <c r="R536" t="s">
        <v>50</v>
      </c>
      <c r="S536" t="s">
        <v>15</v>
      </c>
      <c r="T536" t="s">
        <v>15</v>
      </c>
      <c r="U536" t="s">
        <v>29</v>
      </c>
      <c r="V536" s="94" t="s">
        <v>1140</v>
      </c>
      <c r="W536" t="s">
        <v>39</v>
      </c>
    </row>
    <row r="537" spans="1:23" ht="12.75">
      <c r="A537" s="1">
        <v>45756.257152777776</v>
      </c>
      <c r="C537" t="s">
        <v>116</v>
      </c>
      <c r="D537">
        <v>51</v>
      </c>
      <c r="E537">
        <v>163</v>
      </c>
      <c r="F537">
        <v>108</v>
      </c>
      <c r="G537">
        <v>1.5</v>
      </c>
      <c r="H537" t="s">
        <v>591</v>
      </c>
      <c r="I537" t="s">
        <v>29</v>
      </c>
      <c r="J537" t="s">
        <v>6</v>
      </c>
      <c r="K537" t="s">
        <v>7</v>
      </c>
      <c r="L537" t="s">
        <v>12</v>
      </c>
      <c r="M537" t="s">
        <v>38</v>
      </c>
      <c r="N537" t="s">
        <v>40</v>
      </c>
      <c r="O537" t="s">
        <v>46</v>
      </c>
      <c r="P537" t="s">
        <v>40</v>
      </c>
      <c r="Q537" t="s">
        <v>55</v>
      </c>
      <c r="R537" t="s">
        <v>14</v>
      </c>
      <c r="S537" t="s">
        <v>47</v>
      </c>
      <c r="T537" t="s">
        <v>47</v>
      </c>
      <c r="U537" t="s">
        <v>5</v>
      </c>
      <c r="V537" s="94" t="s">
        <v>1141</v>
      </c>
      <c r="W537" t="s">
        <v>39</v>
      </c>
    </row>
    <row r="538" spans="1:23" ht="12.75">
      <c r="A538" s="1">
        <v>45763.404537037037</v>
      </c>
      <c r="C538" t="s">
        <v>56</v>
      </c>
      <c r="D538">
        <v>28</v>
      </c>
      <c r="E538">
        <v>165</v>
      </c>
      <c r="F538">
        <v>87</v>
      </c>
      <c r="G538">
        <v>1.5</v>
      </c>
      <c r="H538" t="s">
        <v>591</v>
      </c>
      <c r="I538" t="s">
        <v>29</v>
      </c>
      <c r="J538" t="s">
        <v>36</v>
      </c>
      <c r="K538" t="s">
        <v>37</v>
      </c>
      <c r="L538" t="s">
        <v>8</v>
      </c>
      <c r="M538" t="s">
        <v>38</v>
      </c>
      <c r="N538" t="s">
        <v>12</v>
      </c>
      <c r="O538" t="s">
        <v>46</v>
      </c>
      <c r="P538" t="s">
        <v>20</v>
      </c>
      <c r="Q538" t="s">
        <v>13</v>
      </c>
      <c r="R538" t="s">
        <v>33</v>
      </c>
      <c r="S538" t="s">
        <v>15</v>
      </c>
      <c r="T538" t="s">
        <v>24</v>
      </c>
      <c r="U538" t="s">
        <v>29</v>
      </c>
      <c r="V538" s="94" t="s">
        <v>1142</v>
      </c>
      <c r="W538" t="s">
        <v>39</v>
      </c>
    </row>
    <row r="539" spans="1:23" ht="12.75">
      <c r="A539" s="1">
        <v>45806.761365740742</v>
      </c>
      <c r="C539" t="s">
        <v>279</v>
      </c>
      <c r="D539">
        <v>48</v>
      </c>
      <c r="E539">
        <v>157</v>
      </c>
      <c r="F539">
        <v>64</v>
      </c>
      <c r="G539">
        <v>1</v>
      </c>
      <c r="H539" t="s">
        <v>590</v>
      </c>
      <c r="I539" t="s">
        <v>5</v>
      </c>
      <c r="J539" t="s">
        <v>36</v>
      </c>
      <c r="K539" t="s">
        <v>7</v>
      </c>
      <c r="L539" t="s">
        <v>12</v>
      </c>
      <c r="M539" t="s">
        <v>52</v>
      </c>
      <c r="N539" t="s">
        <v>12</v>
      </c>
      <c r="O539" t="s">
        <v>46</v>
      </c>
      <c r="P539" t="s">
        <v>40</v>
      </c>
      <c r="Q539" t="s">
        <v>55</v>
      </c>
      <c r="R539" t="s">
        <v>14</v>
      </c>
      <c r="S539" t="s">
        <v>25</v>
      </c>
      <c r="T539" t="s">
        <v>24</v>
      </c>
      <c r="U539" t="s">
        <v>29</v>
      </c>
      <c r="V539" s="94" t="s">
        <v>1143</v>
      </c>
      <c r="W539" t="s">
        <v>34</v>
      </c>
    </row>
    <row r="540" spans="1:23" ht="12.75">
      <c r="A540" s="1">
        <v>45792.686145833337</v>
      </c>
      <c r="C540" t="s">
        <v>43</v>
      </c>
      <c r="D540">
        <v>51</v>
      </c>
      <c r="E540">
        <v>161</v>
      </c>
      <c r="F540">
        <v>98</v>
      </c>
      <c r="G540">
        <v>2.5</v>
      </c>
      <c r="H540" t="s">
        <v>592</v>
      </c>
      <c r="I540" t="s">
        <v>5</v>
      </c>
      <c r="J540" t="s">
        <v>6</v>
      </c>
      <c r="K540" t="s">
        <v>7</v>
      </c>
      <c r="L540" t="s">
        <v>12</v>
      </c>
      <c r="M540" t="s">
        <v>21</v>
      </c>
      <c r="N540" t="s">
        <v>10</v>
      </c>
      <c r="O540" t="s">
        <v>11</v>
      </c>
      <c r="P540" t="s">
        <v>10</v>
      </c>
      <c r="Q540" t="s">
        <v>55</v>
      </c>
      <c r="R540" t="s">
        <v>33</v>
      </c>
      <c r="S540" t="s">
        <v>15</v>
      </c>
      <c r="T540" t="s">
        <v>15</v>
      </c>
      <c r="U540" t="s">
        <v>5</v>
      </c>
      <c r="V540" s="94" t="s">
        <v>1144</v>
      </c>
      <c r="W540" t="s">
        <v>16</v>
      </c>
    </row>
    <row r="541" spans="1:23" ht="12.75">
      <c r="A541" s="1">
        <v>45809.930081018516</v>
      </c>
      <c r="C541" t="s">
        <v>35</v>
      </c>
      <c r="D541">
        <v>44</v>
      </c>
      <c r="E541">
        <v>179</v>
      </c>
      <c r="F541">
        <v>61</v>
      </c>
      <c r="G541">
        <v>2</v>
      </c>
      <c r="H541" t="s">
        <v>28</v>
      </c>
      <c r="I541" t="s">
        <v>5</v>
      </c>
      <c r="J541" t="s">
        <v>36</v>
      </c>
      <c r="K541" t="s">
        <v>60</v>
      </c>
      <c r="L541" t="s">
        <v>12</v>
      </c>
      <c r="M541" t="s">
        <v>38</v>
      </c>
      <c r="N541" t="s">
        <v>40</v>
      </c>
      <c r="O541" t="s">
        <v>46</v>
      </c>
      <c r="P541" t="s">
        <v>20</v>
      </c>
      <c r="Q541" t="s">
        <v>32</v>
      </c>
      <c r="R541" t="s">
        <v>50</v>
      </c>
      <c r="S541" t="s">
        <v>24</v>
      </c>
      <c r="T541" t="s">
        <v>25</v>
      </c>
      <c r="U541" t="s">
        <v>29</v>
      </c>
      <c r="V541" s="94" t="s">
        <v>1145</v>
      </c>
      <c r="W541" t="s">
        <v>16</v>
      </c>
    </row>
    <row r="542" spans="1:23" ht="12.75">
      <c r="A542" s="1">
        <v>45709.567361111112</v>
      </c>
      <c r="C542" t="s">
        <v>212</v>
      </c>
      <c r="D542">
        <v>46</v>
      </c>
      <c r="E542">
        <v>167</v>
      </c>
      <c r="F542">
        <v>96</v>
      </c>
      <c r="G542">
        <v>2.5</v>
      </c>
      <c r="H542" t="s">
        <v>28</v>
      </c>
      <c r="I542" t="s">
        <v>29</v>
      </c>
      <c r="J542" t="s">
        <v>36</v>
      </c>
      <c r="K542" t="s">
        <v>19</v>
      </c>
      <c r="L542" t="s">
        <v>40</v>
      </c>
      <c r="M542" t="s">
        <v>38</v>
      </c>
      <c r="N542" t="s">
        <v>40</v>
      </c>
      <c r="O542" t="s">
        <v>22</v>
      </c>
      <c r="P542" t="s">
        <v>10</v>
      </c>
      <c r="Q542" t="s">
        <v>32</v>
      </c>
      <c r="R542" t="s">
        <v>33</v>
      </c>
      <c r="S542" t="s">
        <v>25</v>
      </c>
      <c r="T542" t="s">
        <v>24</v>
      </c>
      <c r="U542" t="s">
        <v>5</v>
      </c>
      <c r="V542" s="94" t="s">
        <v>1146</v>
      </c>
      <c r="W542" t="s">
        <v>26</v>
      </c>
    </row>
    <row r="543" spans="1:23" ht="12.75">
      <c r="A543" s="1">
        <v>45733.021608796298</v>
      </c>
      <c r="C543" t="s">
        <v>312</v>
      </c>
      <c r="D543">
        <v>20</v>
      </c>
      <c r="E543">
        <v>178</v>
      </c>
      <c r="F543">
        <v>94</v>
      </c>
      <c r="G543">
        <v>2</v>
      </c>
      <c r="H543" t="s">
        <v>28</v>
      </c>
      <c r="I543" t="s">
        <v>29</v>
      </c>
      <c r="J543" t="s">
        <v>6</v>
      </c>
      <c r="K543" t="s">
        <v>63</v>
      </c>
      <c r="L543" t="s">
        <v>20</v>
      </c>
      <c r="M543" t="s">
        <v>21</v>
      </c>
      <c r="N543" t="s">
        <v>10</v>
      </c>
      <c r="O543" t="s">
        <v>22</v>
      </c>
      <c r="P543" t="s">
        <v>40</v>
      </c>
      <c r="Q543" t="s">
        <v>13</v>
      </c>
      <c r="R543" t="s">
        <v>50</v>
      </c>
      <c r="S543" t="s">
        <v>47</v>
      </c>
      <c r="T543" t="s">
        <v>47</v>
      </c>
      <c r="U543" t="s">
        <v>5</v>
      </c>
      <c r="V543" s="94" t="s">
        <v>1147</v>
      </c>
      <c r="W543" t="s">
        <v>26</v>
      </c>
    </row>
    <row r="544" spans="1:23" ht="12.75">
      <c r="A544" s="1">
        <v>45688.2655787037</v>
      </c>
      <c r="C544" t="s">
        <v>204</v>
      </c>
      <c r="D544">
        <v>44</v>
      </c>
      <c r="E544">
        <v>175</v>
      </c>
      <c r="F544">
        <v>77</v>
      </c>
      <c r="G544">
        <v>3</v>
      </c>
      <c r="H544" t="s">
        <v>590</v>
      </c>
      <c r="I544" t="s">
        <v>29</v>
      </c>
      <c r="J544" t="s">
        <v>36</v>
      </c>
      <c r="K544" t="s">
        <v>37</v>
      </c>
      <c r="L544" t="s">
        <v>40</v>
      </c>
      <c r="M544" t="s">
        <v>52</v>
      </c>
      <c r="N544" t="s">
        <v>12</v>
      </c>
      <c r="O544" t="s">
        <v>44</v>
      </c>
      <c r="P544" t="s">
        <v>40</v>
      </c>
      <c r="Q544" t="s">
        <v>32</v>
      </c>
      <c r="R544" t="s">
        <v>33</v>
      </c>
      <c r="S544" t="s">
        <v>15</v>
      </c>
      <c r="T544" t="s">
        <v>24</v>
      </c>
      <c r="U544" t="s">
        <v>29</v>
      </c>
      <c r="V544" s="94" t="s">
        <v>1148</v>
      </c>
      <c r="W544" t="s">
        <v>34</v>
      </c>
    </row>
    <row r="545" spans="1:23" ht="12.75">
      <c r="A545" s="1">
        <v>45713.410370370373</v>
      </c>
      <c r="C545" t="s">
        <v>133</v>
      </c>
      <c r="D545">
        <v>55</v>
      </c>
      <c r="E545">
        <v>165</v>
      </c>
      <c r="F545">
        <v>103</v>
      </c>
      <c r="G545">
        <v>2</v>
      </c>
      <c r="H545" t="s">
        <v>28</v>
      </c>
      <c r="I545" t="s">
        <v>29</v>
      </c>
      <c r="J545" t="s">
        <v>36</v>
      </c>
      <c r="K545" t="s">
        <v>63</v>
      </c>
      <c r="L545" t="s">
        <v>12</v>
      </c>
      <c r="M545" t="s">
        <v>52</v>
      </c>
      <c r="N545" t="s">
        <v>40</v>
      </c>
      <c r="O545" t="s">
        <v>44</v>
      </c>
      <c r="P545" t="s">
        <v>12</v>
      </c>
      <c r="Q545" t="s">
        <v>13</v>
      </c>
      <c r="R545" t="s">
        <v>33</v>
      </c>
      <c r="S545" t="s">
        <v>25</v>
      </c>
      <c r="T545" t="s">
        <v>15</v>
      </c>
      <c r="U545" t="s">
        <v>5</v>
      </c>
      <c r="V545" s="94" t="s">
        <v>1149</v>
      </c>
      <c r="W545" t="s">
        <v>39</v>
      </c>
    </row>
    <row r="546" spans="1:23" ht="12.75">
      <c r="A546" s="1">
        <v>45725.04283564815</v>
      </c>
      <c r="C546" t="s">
        <v>313</v>
      </c>
      <c r="D546">
        <v>41</v>
      </c>
      <c r="E546">
        <v>163</v>
      </c>
      <c r="F546">
        <v>71</v>
      </c>
      <c r="G546">
        <v>2.5</v>
      </c>
      <c r="H546" t="s">
        <v>590</v>
      </c>
      <c r="I546" t="s">
        <v>29</v>
      </c>
      <c r="J546" t="s">
        <v>36</v>
      </c>
      <c r="K546" t="s">
        <v>19</v>
      </c>
      <c r="L546" t="s">
        <v>10</v>
      </c>
      <c r="M546" t="s">
        <v>9</v>
      </c>
      <c r="N546" t="s">
        <v>8</v>
      </c>
      <c r="O546" t="s">
        <v>22</v>
      </c>
      <c r="P546" t="s">
        <v>10</v>
      </c>
      <c r="Q546" t="s">
        <v>13</v>
      </c>
      <c r="R546" t="s">
        <v>14</v>
      </c>
      <c r="S546" t="s">
        <v>15</v>
      </c>
      <c r="T546" t="s">
        <v>24</v>
      </c>
      <c r="U546" t="s">
        <v>5</v>
      </c>
      <c r="V546" s="94" t="s">
        <v>1150</v>
      </c>
      <c r="W546" t="s">
        <v>16</v>
      </c>
    </row>
    <row r="547" spans="1:23" ht="12.75">
      <c r="A547" s="1">
        <v>45677.095023148147</v>
      </c>
      <c r="C547" t="s">
        <v>252</v>
      </c>
      <c r="D547">
        <v>30</v>
      </c>
      <c r="E547">
        <v>159</v>
      </c>
      <c r="F547">
        <v>53</v>
      </c>
      <c r="G547">
        <v>2</v>
      </c>
      <c r="H547" t="s">
        <v>591</v>
      </c>
      <c r="I547" t="s">
        <v>5</v>
      </c>
      <c r="J547" t="s">
        <v>6</v>
      </c>
      <c r="K547" t="s">
        <v>19</v>
      </c>
      <c r="L547" t="s">
        <v>12</v>
      </c>
      <c r="M547" t="s">
        <v>38</v>
      </c>
      <c r="N547" t="s">
        <v>31</v>
      </c>
      <c r="O547" t="s">
        <v>44</v>
      </c>
      <c r="P547" t="s">
        <v>31</v>
      </c>
      <c r="Q547" t="s">
        <v>32</v>
      </c>
      <c r="R547" t="s">
        <v>33</v>
      </c>
      <c r="S547" t="s">
        <v>24</v>
      </c>
      <c r="T547" t="s">
        <v>47</v>
      </c>
      <c r="U547" t="s">
        <v>29</v>
      </c>
      <c r="V547" s="94" t="s">
        <v>1151</v>
      </c>
      <c r="W547" t="s">
        <v>16</v>
      </c>
    </row>
    <row r="548" spans="1:23" ht="12.75">
      <c r="A548" s="1">
        <v>45658.983587962961</v>
      </c>
      <c r="C548" t="s">
        <v>314</v>
      </c>
      <c r="D548">
        <v>39</v>
      </c>
      <c r="E548">
        <v>167</v>
      </c>
      <c r="F548">
        <v>95</v>
      </c>
      <c r="G548">
        <v>1.5</v>
      </c>
      <c r="H548" t="s">
        <v>28</v>
      </c>
      <c r="I548" t="s">
        <v>29</v>
      </c>
      <c r="J548" t="s">
        <v>36</v>
      </c>
      <c r="K548" t="s">
        <v>7</v>
      </c>
      <c r="L548" t="s">
        <v>31</v>
      </c>
      <c r="M548" t="s">
        <v>38</v>
      </c>
      <c r="N548" t="s">
        <v>20</v>
      </c>
      <c r="O548" t="s">
        <v>22</v>
      </c>
      <c r="P548" t="s">
        <v>31</v>
      </c>
      <c r="Q548" t="s">
        <v>32</v>
      </c>
      <c r="R548" t="s">
        <v>14</v>
      </c>
      <c r="S548" t="s">
        <v>47</v>
      </c>
      <c r="T548" t="s">
        <v>24</v>
      </c>
      <c r="U548" t="s">
        <v>5</v>
      </c>
      <c r="V548" s="94" t="s">
        <v>1152</v>
      </c>
      <c r="W548" t="s">
        <v>26</v>
      </c>
    </row>
    <row r="549" spans="1:23" ht="12.75">
      <c r="A549" s="5">
        <v>45794.013460648152</v>
      </c>
      <c r="C549" t="s">
        <v>79</v>
      </c>
      <c r="D549">
        <v>40</v>
      </c>
      <c r="E549">
        <v>172</v>
      </c>
      <c r="F549">
        <v>70</v>
      </c>
      <c r="G549">
        <v>1</v>
      </c>
      <c r="H549" t="s">
        <v>592</v>
      </c>
      <c r="I549" t="s">
        <v>5</v>
      </c>
      <c r="J549" t="s">
        <v>6</v>
      </c>
      <c r="K549" t="s">
        <v>37</v>
      </c>
      <c r="L549" t="s">
        <v>20</v>
      </c>
      <c r="M549" t="s">
        <v>9</v>
      </c>
      <c r="N549" t="s">
        <v>8</v>
      </c>
      <c r="O549" t="s">
        <v>46</v>
      </c>
      <c r="P549" t="s">
        <v>8</v>
      </c>
      <c r="Q549" t="s">
        <v>13</v>
      </c>
      <c r="R549" t="s">
        <v>50</v>
      </c>
      <c r="S549" t="s">
        <v>15</v>
      </c>
      <c r="T549" t="s">
        <v>15</v>
      </c>
      <c r="U549" t="s">
        <v>5</v>
      </c>
      <c r="V549" s="94" t="s">
        <v>1153</v>
      </c>
      <c r="W549" t="s">
        <v>34</v>
      </c>
    </row>
    <row r="550" spans="1:23" ht="12.75">
      <c r="A550" s="5">
        <v>45707.82539351852</v>
      </c>
      <c r="C550" t="s">
        <v>252</v>
      </c>
      <c r="D550">
        <v>35</v>
      </c>
      <c r="E550">
        <v>178</v>
      </c>
      <c r="F550">
        <v>93</v>
      </c>
      <c r="G550">
        <v>2.5</v>
      </c>
      <c r="H550" t="s">
        <v>590</v>
      </c>
      <c r="I550" t="s">
        <v>29</v>
      </c>
      <c r="J550" t="s">
        <v>6</v>
      </c>
      <c r="K550" t="s">
        <v>37</v>
      </c>
      <c r="L550" t="s">
        <v>12</v>
      </c>
      <c r="M550" t="s">
        <v>9</v>
      </c>
      <c r="N550" t="s">
        <v>20</v>
      </c>
      <c r="O550" t="s">
        <v>22</v>
      </c>
      <c r="P550" t="s">
        <v>8</v>
      </c>
      <c r="Q550" t="s">
        <v>32</v>
      </c>
      <c r="R550" t="s">
        <v>33</v>
      </c>
      <c r="S550" t="s">
        <v>25</v>
      </c>
      <c r="T550" t="s">
        <v>15</v>
      </c>
      <c r="U550" t="s">
        <v>5</v>
      </c>
      <c r="V550" s="94" t="s">
        <v>1154</v>
      </c>
      <c r="W550" t="s">
        <v>39</v>
      </c>
    </row>
    <row r="551" spans="1:23" ht="12.75">
      <c r="A551" s="5">
        <v>45694.026655092595</v>
      </c>
      <c r="C551" t="s">
        <v>59</v>
      </c>
      <c r="D551">
        <v>45</v>
      </c>
      <c r="E551">
        <v>168</v>
      </c>
      <c r="F551">
        <v>103</v>
      </c>
      <c r="G551">
        <v>3</v>
      </c>
      <c r="H551" t="s">
        <v>590</v>
      </c>
      <c r="I551" t="s">
        <v>29</v>
      </c>
      <c r="J551" t="s">
        <v>6</v>
      </c>
      <c r="K551" t="s">
        <v>60</v>
      </c>
      <c r="L551" t="s">
        <v>20</v>
      </c>
      <c r="M551" t="s">
        <v>9</v>
      </c>
      <c r="N551" t="s">
        <v>12</v>
      </c>
      <c r="O551" t="s">
        <v>44</v>
      </c>
      <c r="P551" t="s">
        <v>40</v>
      </c>
      <c r="Q551" t="s">
        <v>55</v>
      </c>
      <c r="R551" t="s">
        <v>33</v>
      </c>
      <c r="S551" t="s">
        <v>24</v>
      </c>
      <c r="T551" t="s">
        <v>25</v>
      </c>
      <c r="U551" t="s">
        <v>29</v>
      </c>
      <c r="V551" s="94" t="s">
        <v>1155</v>
      </c>
      <c r="W551" t="s">
        <v>39</v>
      </c>
    </row>
    <row r="552" spans="1:23" ht="12.75">
      <c r="A552" s="1">
        <v>45803.684791666667</v>
      </c>
      <c r="C552" t="s">
        <v>300</v>
      </c>
      <c r="D552">
        <v>35</v>
      </c>
      <c r="E552">
        <v>156</v>
      </c>
      <c r="F552">
        <v>59</v>
      </c>
      <c r="G552">
        <v>1</v>
      </c>
      <c r="H552" t="s">
        <v>28</v>
      </c>
      <c r="I552" t="s">
        <v>29</v>
      </c>
      <c r="J552" t="s">
        <v>6</v>
      </c>
      <c r="K552" t="s">
        <v>19</v>
      </c>
      <c r="L552" t="s">
        <v>31</v>
      </c>
      <c r="M552" t="s">
        <v>38</v>
      </c>
      <c r="N552" t="s">
        <v>20</v>
      </c>
      <c r="O552" t="s">
        <v>11</v>
      </c>
      <c r="P552" t="s">
        <v>12</v>
      </c>
      <c r="Q552" t="s">
        <v>13</v>
      </c>
      <c r="R552" t="s">
        <v>50</v>
      </c>
      <c r="S552" t="s">
        <v>24</v>
      </c>
      <c r="T552" t="s">
        <v>47</v>
      </c>
      <c r="U552" t="s">
        <v>5</v>
      </c>
      <c r="V552" s="94" t="s">
        <v>1156</v>
      </c>
      <c r="W552" t="s">
        <v>16</v>
      </c>
    </row>
    <row r="553" spans="1:23" ht="12.75">
      <c r="A553" s="1">
        <v>45686.693819444445</v>
      </c>
      <c r="C553" t="s">
        <v>315</v>
      </c>
      <c r="D553">
        <v>38</v>
      </c>
      <c r="E553">
        <v>170</v>
      </c>
      <c r="F553">
        <v>55</v>
      </c>
      <c r="G553">
        <v>2.5</v>
      </c>
      <c r="H553" t="s">
        <v>28</v>
      </c>
      <c r="I553" t="s">
        <v>5</v>
      </c>
      <c r="J553" t="s">
        <v>6</v>
      </c>
      <c r="K553" t="s">
        <v>7</v>
      </c>
      <c r="L553" t="s">
        <v>31</v>
      </c>
      <c r="M553" t="s">
        <v>21</v>
      </c>
      <c r="N553" t="s">
        <v>20</v>
      </c>
      <c r="O553" t="s">
        <v>11</v>
      </c>
      <c r="P553" t="s">
        <v>20</v>
      </c>
      <c r="Q553" t="s">
        <v>23</v>
      </c>
      <c r="R553" t="s">
        <v>14</v>
      </c>
      <c r="S553" t="s">
        <v>24</v>
      </c>
      <c r="T553" t="s">
        <v>47</v>
      </c>
      <c r="U553" t="s">
        <v>5</v>
      </c>
      <c r="V553" s="94" t="s">
        <v>1157</v>
      </c>
      <c r="W553" t="s">
        <v>34</v>
      </c>
    </row>
    <row r="554" spans="1:23" ht="12.75">
      <c r="A554" s="1">
        <v>45799.427129629628</v>
      </c>
      <c r="C554" t="s">
        <v>232</v>
      </c>
      <c r="D554">
        <v>27</v>
      </c>
      <c r="E554">
        <v>184</v>
      </c>
      <c r="F554">
        <v>94</v>
      </c>
      <c r="G554">
        <v>2.5</v>
      </c>
      <c r="H554" t="s">
        <v>592</v>
      </c>
      <c r="I554" t="s">
        <v>5</v>
      </c>
      <c r="J554" t="s">
        <v>6</v>
      </c>
      <c r="K554" t="s">
        <v>60</v>
      </c>
      <c r="L554" t="s">
        <v>20</v>
      </c>
      <c r="M554" t="s">
        <v>21</v>
      </c>
      <c r="N554" t="s">
        <v>31</v>
      </c>
      <c r="O554" t="s">
        <v>44</v>
      </c>
      <c r="P554" t="s">
        <v>10</v>
      </c>
      <c r="Q554" t="s">
        <v>23</v>
      </c>
      <c r="R554" t="s">
        <v>14</v>
      </c>
      <c r="S554" t="s">
        <v>25</v>
      </c>
      <c r="T554" t="s">
        <v>25</v>
      </c>
      <c r="U554" t="s">
        <v>5</v>
      </c>
      <c r="V554" s="94" t="s">
        <v>1158</v>
      </c>
      <c r="W554" t="s">
        <v>34</v>
      </c>
    </row>
    <row r="555" spans="1:23" ht="12.75">
      <c r="A555" s="1">
        <v>45782.636840277781</v>
      </c>
      <c r="C555" t="s">
        <v>316</v>
      </c>
      <c r="D555">
        <v>48</v>
      </c>
      <c r="E555">
        <v>171</v>
      </c>
      <c r="F555">
        <v>75</v>
      </c>
      <c r="G555">
        <v>2</v>
      </c>
      <c r="H555" t="s">
        <v>591</v>
      </c>
      <c r="I555" t="s">
        <v>5</v>
      </c>
      <c r="J555" t="s">
        <v>6</v>
      </c>
      <c r="K555" t="s">
        <v>37</v>
      </c>
      <c r="L555" t="s">
        <v>12</v>
      </c>
      <c r="M555" t="s">
        <v>52</v>
      </c>
      <c r="N555" t="s">
        <v>8</v>
      </c>
      <c r="O555" t="s">
        <v>44</v>
      </c>
      <c r="P555" t="s">
        <v>12</v>
      </c>
      <c r="Q555" t="s">
        <v>13</v>
      </c>
      <c r="R555" t="s">
        <v>33</v>
      </c>
      <c r="S555" t="s">
        <v>47</v>
      </c>
      <c r="T555" t="s">
        <v>25</v>
      </c>
      <c r="U555" t="s">
        <v>29</v>
      </c>
      <c r="V555" s="94" t="s">
        <v>1159</v>
      </c>
      <c r="W555" t="s">
        <v>16</v>
      </c>
    </row>
    <row r="556" spans="1:23" ht="12.75">
      <c r="A556" s="1">
        <v>45722.394907407404</v>
      </c>
      <c r="C556" t="s">
        <v>249</v>
      </c>
      <c r="D556">
        <v>33</v>
      </c>
      <c r="E556">
        <v>165</v>
      </c>
      <c r="F556">
        <v>96</v>
      </c>
      <c r="G556">
        <v>3</v>
      </c>
      <c r="H556" t="s">
        <v>28</v>
      </c>
      <c r="I556" t="s">
        <v>5</v>
      </c>
      <c r="J556" t="s">
        <v>36</v>
      </c>
      <c r="K556" t="s">
        <v>19</v>
      </c>
      <c r="L556" t="s">
        <v>10</v>
      </c>
      <c r="M556" t="s">
        <v>38</v>
      </c>
      <c r="N556" t="s">
        <v>8</v>
      </c>
      <c r="O556" t="s">
        <v>46</v>
      </c>
      <c r="P556" t="s">
        <v>31</v>
      </c>
      <c r="Q556" t="s">
        <v>23</v>
      </c>
      <c r="R556" t="s">
        <v>33</v>
      </c>
      <c r="S556" t="s">
        <v>24</v>
      </c>
      <c r="T556" t="s">
        <v>24</v>
      </c>
      <c r="U556" t="s">
        <v>29</v>
      </c>
      <c r="V556" s="94" t="s">
        <v>1160</v>
      </c>
      <c r="W556" t="s">
        <v>34</v>
      </c>
    </row>
    <row r="557" spans="1:23" ht="12.75">
      <c r="A557" s="1">
        <v>45699.255023148151</v>
      </c>
      <c r="C557" t="s">
        <v>189</v>
      </c>
      <c r="D557">
        <v>51</v>
      </c>
      <c r="E557">
        <v>183</v>
      </c>
      <c r="F557">
        <v>65</v>
      </c>
      <c r="G557">
        <v>2</v>
      </c>
      <c r="H557" t="s">
        <v>591</v>
      </c>
      <c r="I557" t="s">
        <v>5</v>
      </c>
      <c r="J557" t="s">
        <v>36</v>
      </c>
      <c r="K557" t="s">
        <v>60</v>
      </c>
      <c r="L557" t="s">
        <v>31</v>
      </c>
      <c r="M557" t="s">
        <v>38</v>
      </c>
      <c r="N557" t="s">
        <v>20</v>
      </c>
      <c r="O557" t="s">
        <v>46</v>
      </c>
      <c r="P557" t="s">
        <v>20</v>
      </c>
      <c r="Q557" t="s">
        <v>13</v>
      </c>
      <c r="R557" t="s">
        <v>14</v>
      </c>
      <c r="S557" t="s">
        <v>24</v>
      </c>
      <c r="T557" t="s">
        <v>25</v>
      </c>
      <c r="U557" t="s">
        <v>29</v>
      </c>
      <c r="V557" s="94" t="s">
        <v>1161</v>
      </c>
      <c r="W557" t="s">
        <v>34</v>
      </c>
    </row>
    <row r="558" spans="1:23" ht="12.75">
      <c r="A558" s="1">
        <v>45669.739722222221</v>
      </c>
      <c r="C558" t="s">
        <v>57</v>
      </c>
      <c r="D558">
        <v>30</v>
      </c>
      <c r="E558">
        <v>182</v>
      </c>
      <c r="F558">
        <v>82</v>
      </c>
      <c r="G558">
        <v>3</v>
      </c>
      <c r="H558" t="s">
        <v>592</v>
      </c>
      <c r="I558" t="s">
        <v>5</v>
      </c>
      <c r="J558" t="s">
        <v>36</v>
      </c>
      <c r="K558" t="s">
        <v>37</v>
      </c>
      <c r="L558" t="s">
        <v>40</v>
      </c>
      <c r="M558" t="s">
        <v>38</v>
      </c>
      <c r="N558" t="s">
        <v>10</v>
      </c>
      <c r="O558" t="s">
        <v>44</v>
      </c>
      <c r="P558" t="s">
        <v>20</v>
      </c>
      <c r="Q558" t="s">
        <v>55</v>
      </c>
      <c r="R558" t="s">
        <v>50</v>
      </c>
      <c r="S558" t="s">
        <v>15</v>
      </c>
      <c r="T558" t="s">
        <v>47</v>
      </c>
      <c r="U558" t="s">
        <v>29</v>
      </c>
      <c r="V558" s="94" t="s">
        <v>1162</v>
      </c>
      <c r="W558" t="s">
        <v>34</v>
      </c>
    </row>
    <row r="559" spans="1:23" ht="12.75">
      <c r="A559" s="1">
        <v>45767.094004629631</v>
      </c>
      <c r="C559" t="s">
        <v>212</v>
      </c>
      <c r="D559">
        <v>36</v>
      </c>
      <c r="E559">
        <v>171</v>
      </c>
      <c r="F559">
        <v>65</v>
      </c>
      <c r="G559">
        <v>3</v>
      </c>
      <c r="H559" t="s">
        <v>590</v>
      </c>
      <c r="I559" t="s">
        <v>5</v>
      </c>
      <c r="J559" t="s">
        <v>6</v>
      </c>
      <c r="K559" t="s">
        <v>60</v>
      </c>
      <c r="L559" t="s">
        <v>20</v>
      </c>
      <c r="M559" t="s">
        <v>21</v>
      </c>
      <c r="N559" t="s">
        <v>31</v>
      </c>
      <c r="O559" t="s">
        <v>22</v>
      </c>
      <c r="P559" t="s">
        <v>31</v>
      </c>
      <c r="Q559" t="s">
        <v>55</v>
      </c>
      <c r="R559" t="s">
        <v>50</v>
      </c>
      <c r="S559" t="s">
        <v>15</v>
      </c>
      <c r="T559" t="s">
        <v>25</v>
      </c>
      <c r="U559" t="s">
        <v>5</v>
      </c>
      <c r="V559" s="94" t="s">
        <v>1163</v>
      </c>
      <c r="W559" t="s">
        <v>26</v>
      </c>
    </row>
    <row r="560" spans="1:23" ht="12.75">
      <c r="A560" s="1">
        <v>45794.64025462963</v>
      </c>
      <c r="C560" t="s">
        <v>85</v>
      </c>
      <c r="D560">
        <v>34</v>
      </c>
      <c r="E560">
        <v>188</v>
      </c>
      <c r="F560">
        <v>50</v>
      </c>
      <c r="G560">
        <v>3</v>
      </c>
      <c r="H560" t="s">
        <v>592</v>
      </c>
      <c r="I560" t="s">
        <v>5</v>
      </c>
      <c r="J560" t="s">
        <v>6</v>
      </c>
      <c r="K560" t="s">
        <v>37</v>
      </c>
      <c r="L560" t="s">
        <v>12</v>
      </c>
      <c r="M560" t="s">
        <v>9</v>
      </c>
      <c r="N560" t="s">
        <v>12</v>
      </c>
      <c r="O560" t="s">
        <v>22</v>
      </c>
      <c r="P560" t="s">
        <v>10</v>
      </c>
      <c r="Q560" t="s">
        <v>23</v>
      </c>
      <c r="R560" t="s">
        <v>50</v>
      </c>
      <c r="S560" t="s">
        <v>25</v>
      </c>
      <c r="T560" t="s">
        <v>47</v>
      </c>
      <c r="U560" t="s">
        <v>5</v>
      </c>
      <c r="V560" s="94" t="s">
        <v>1164</v>
      </c>
      <c r="W560" t="s">
        <v>16</v>
      </c>
    </row>
    <row r="561" spans="1:23" ht="12.75">
      <c r="A561" s="1">
        <v>45670.605439814812</v>
      </c>
      <c r="C561" t="s">
        <v>206</v>
      </c>
      <c r="D561">
        <v>47</v>
      </c>
      <c r="E561">
        <v>157</v>
      </c>
      <c r="F561">
        <v>81</v>
      </c>
      <c r="G561">
        <v>2.5</v>
      </c>
      <c r="H561" t="s">
        <v>591</v>
      </c>
      <c r="I561" t="s">
        <v>29</v>
      </c>
      <c r="J561" t="s">
        <v>6</v>
      </c>
      <c r="K561" t="s">
        <v>19</v>
      </c>
      <c r="L561" t="s">
        <v>40</v>
      </c>
      <c r="M561" t="s">
        <v>9</v>
      </c>
      <c r="N561" t="s">
        <v>40</v>
      </c>
      <c r="O561" t="s">
        <v>11</v>
      </c>
      <c r="P561" t="s">
        <v>12</v>
      </c>
      <c r="Q561" t="s">
        <v>32</v>
      </c>
      <c r="R561" t="s">
        <v>33</v>
      </c>
      <c r="S561" t="s">
        <v>25</v>
      </c>
      <c r="T561" t="s">
        <v>47</v>
      </c>
      <c r="U561" t="s">
        <v>29</v>
      </c>
      <c r="V561" s="94" t="s">
        <v>1165</v>
      </c>
      <c r="W561" t="s">
        <v>34</v>
      </c>
    </row>
    <row r="562" spans="1:23" ht="12.75">
      <c r="A562" s="1">
        <v>45801.705185185187</v>
      </c>
      <c r="C562" t="s">
        <v>317</v>
      </c>
      <c r="D562">
        <v>59</v>
      </c>
      <c r="E562">
        <v>174</v>
      </c>
      <c r="F562">
        <v>77</v>
      </c>
      <c r="G562">
        <v>1</v>
      </c>
      <c r="H562" t="s">
        <v>591</v>
      </c>
      <c r="I562" t="s">
        <v>29</v>
      </c>
      <c r="J562" t="s">
        <v>36</v>
      </c>
      <c r="K562" t="s">
        <v>30</v>
      </c>
      <c r="L562" t="s">
        <v>8</v>
      </c>
      <c r="M562" t="s">
        <v>52</v>
      </c>
      <c r="N562" t="s">
        <v>31</v>
      </c>
      <c r="O562" t="s">
        <v>11</v>
      </c>
      <c r="P562" t="s">
        <v>40</v>
      </c>
      <c r="Q562" t="s">
        <v>23</v>
      </c>
      <c r="R562" t="s">
        <v>14</v>
      </c>
      <c r="S562" t="s">
        <v>15</v>
      </c>
      <c r="T562" t="s">
        <v>25</v>
      </c>
      <c r="U562" t="s">
        <v>5</v>
      </c>
      <c r="V562" s="94" t="s">
        <v>1166</v>
      </c>
      <c r="W562" t="s">
        <v>26</v>
      </c>
    </row>
    <row r="563" spans="1:23" ht="12.75">
      <c r="A563" s="1">
        <v>45666.825428240743</v>
      </c>
      <c r="C563" t="s">
        <v>211</v>
      </c>
      <c r="D563">
        <v>46</v>
      </c>
      <c r="E563">
        <v>158</v>
      </c>
      <c r="F563">
        <v>109</v>
      </c>
      <c r="G563">
        <v>2.5</v>
      </c>
      <c r="H563" t="s">
        <v>28</v>
      </c>
      <c r="I563" t="s">
        <v>5</v>
      </c>
      <c r="J563" t="s">
        <v>36</v>
      </c>
      <c r="K563" t="s">
        <v>19</v>
      </c>
      <c r="L563" t="s">
        <v>31</v>
      </c>
      <c r="M563" t="s">
        <v>9</v>
      </c>
      <c r="N563" t="s">
        <v>20</v>
      </c>
      <c r="O563" t="s">
        <v>46</v>
      </c>
      <c r="P563" t="s">
        <v>12</v>
      </c>
      <c r="Q563" t="s">
        <v>55</v>
      </c>
      <c r="R563" t="s">
        <v>50</v>
      </c>
      <c r="S563" t="s">
        <v>47</v>
      </c>
      <c r="T563" t="s">
        <v>15</v>
      </c>
      <c r="U563" t="s">
        <v>5</v>
      </c>
      <c r="V563" s="94" t="s">
        <v>1167</v>
      </c>
      <c r="W563" t="s">
        <v>39</v>
      </c>
    </row>
    <row r="564" spans="1:23" ht="12.75">
      <c r="A564" s="1">
        <v>45679.817800925928</v>
      </c>
      <c r="C564" t="s">
        <v>318</v>
      </c>
      <c r="D564">
        <v>39</v>
      </c>
      <c r="E564">
        <v>172</v>
      </c>
      <c r="F564">
        <v>94</v>
      </c>
      <c r="G564">
        <v>3</v>
      </c>
      <c r="H564" t="s">
        <v>590</v>
      </c>
      <c r="I564" t="s">
        <v>5</v>
      </c>
      <c r="J564" t="s">
        <v>36</v>
      </c>
      <c r="K564" t="s">
        <v>60</v>
      </c>
      <c r="L564" t="s">
        <v>10</v>
      </c>
      <c r="M564" t="s">
        <v>38</v>
      </c>
      <c r="N564" t="s">
        <v>10</v>
      </c>
      <c r="O564" t="s">
        <v>22</v>
      </c>
      <c r="P564" t="s">
        <v>12</v>
      </c>
      <c r="Q564" t="s">
        <v>23</v>
      </c>
      <c r="R564" t="s">
        <v>14</v>
      </c>
      <c r="S564" t="s">
        <v>15</v>
      </c>
      <c r="T564" t="s">
        <v>25</v>
      </c>
      <c r="U564" t="s">
        <v>29</v>
      </c>
      <c r="V564" s="94" t="s">
        <v>1168</v>
      </c>
      <c r="W564" t="s">
        <v>16</v>
      </c>
    </row>
    <row r="565" spans="1:23" ht="12.75">
      <c r="A565" s="1">
        <v>45792.257754629631</v>
      </c>
      <c r="C565" t="s">
        <v>154</v>
      </c>
      <c r="D565">
        <v>44</v>
      </c>
      <c r="E565">
        <v>189</v>
      </c>
      <c r="F565">
        <v>74</v>
      </c>
      <c r="G565">
        <v>2.5</v>
      </c>
      <c r="H565" t="s">
        <v>592</v>
      </c>
      <c r="I565" t="s">
        <v>5</v>
      </c>
      <c r="J565" t="s">
        <v>6</v>
      </c>
      <c r="K565" t="s">
        <v>30</v>
      </c>
      <c r="L565" t="s">
        <v>10</v>
      </c>
      <c r="M565" t="s">
        <v>21</v>
      </c>
      <c r="N565" t="s">
        <v>12</v>
      </c>
      <c r="O565" t="s">
        <v>44</v>
      </c>
      <c r="P565" t="s">
        <v>31</v>
      </c>
      <c r="Q565" t="s">
        <v>13</v>
      </c>
      <c r="R565" t="s">
        <v>33</v>
      </c>
      <c r="S565" t="s">
        <v>47</v>
      </c>
      <c r="T565" t="s">
        <v>47</v>
      </c>
      <c r="U565" t="s">
        <v>29</v>
      </c>
      <c r="V565" s="94" t="s">
        <v>1169</v>
      </c>
      <c r="W565" t="s">
        <v>34</v>
      </c>
    </row>
    <row r="566" spans="1:23" ht="12.75">
      <c r="A566" s="1">
        <v>45660.598819444444</v>
      </c>
      <c r="C566" t="s">
        <v>154</v>
      </c>
      <c r="D566">
        <v>57</v>
      </c>
      <c r="E566">
        <v>161</v>
      </c>
      <c r="F566">
        <v>109</v>
      </c>
      <c r="G566">
        <v>2</v>
      </c>
      <c r="H566" t="s">
        <v>592</v>
      </c>
      <c r="I566" t="s">
        <v>29</v>
      </c>
      <c r="J566" t="s">
        <v>36</v>
      </c>
      <c r="K566" t="s">
        <v>7</v>
      </c>
      <c r="L566" t="s">
        <v>12</v>
      </c>
      <c r="M566" t="s">
        <v>9</v>
      </c>
      <c r="N566" t="s">
        <v>8</v>
      </c>
      <c r="O566" t="s">
        <v>46</v>
      </c>
      <c r="P566" t="s">
        <v>31</v>
      </c>
      <c r="Q566" t="s">
        <v>23</v>
      </c>
      <c r="R566" t="s">
        <v>33</v>
      </c>
      <c r="S566" t="s">
        <v>15</v>
      </c>
      <c r="T566" t="s">
        <v>15</v>
      </c>
      <c r="U566" t="s">
        <v>5</v>
      </c>
      <c r="V566" s="94" t="s">
        <v>1170</v>
      </c>
      <c r="W566" t="s">
        <v>39</v>
      </c>
    </row>
    <row r="567" spans="1:23" ht="12.75">
      <c r="A567" s="1">
        <v>45749.663888888892</v>
      </c>
      <c r="C567" t="s">
        <v>186</v>
      </c>
      <c r="D567">
        <v>56</v>
      </c>
      <c r="E567">
        <v>158</v>
      </c>
      <c r="F567">
        <v>92</v>
      </c>
      <c r="G567">
        <v>1</v>
      </c>
      <c r="H567" t="s">
        <v>591</v>
      </c>
      <c r="I567" t="s">
        <v>29</v>
      </c>
      <c r="J567" t="s">
        <v>6</v>
      </c>
      <c r="K567" t="s">
        <v>19</v>
      </c>
      <c r="L567" t="s">
        <v>12</v>
      </c>
      <c r="M567" t="s">
        <v>9</v>
      </c>
      <c r="N567" t="s">
        <v>20</v>
      </c>
      <c r="O567" t="s">
        <v>44</v>
      </c>
      <c r="P567" t="s">
        <v>20</v>
      </c>
      <c r="Q567" t="s">
        <v>23</v>
      </c>
      <c r="R567" t="s">
        <v>14</v>
      </c>
      <c r="S567" t="s">
        <v>24</v>
      </c>
      <c r="T567" t="s">
        <v>25</v>
      </c>
      <c r="U567" t="s">
        <v>29</v>
      </c>
      <c r="V567" s="94" t="s">
        <v>1171</v>
      </c>
      <c r="W567" t="s">
        <v>34</v>
      </c>
    </row>
    <row r="568" spans="1:23" ht="12.75">
      <c r="A568" s="1">
        <v>45806.295381944445</v>
      </c>
      <c r="C568" t="s">
        <v>258</v>
      </c>
      <c r="D568">
        <v>50</v>
      </c>
      <c r="E568">
        <v>178</v>
      </c>
      <c r="F568">
        <v>78</v>
      </c>
      <c r="G568">
        <v>3</v>
      </c>
      <c r="H568" t="s">
        <v>592</v>
      </c>
      <c r="I568" t="s">
        <v>5</v>
      </c>
      <c r="J568" t="s">
        <v>6</v>
      </c>
      <c r="K568" t="s">
        <v>60</v>
      </c>
      <c r="L568" t="s">
        <v>8</v>
      </c>
      <c r="M568" t="s">
        <v>38</v>
      </c>
      <c r="N568" t="s">
        <v>20</v>
      </c>
      <c r="O568" t="s">
        <v>44</v>
      </c>
      <c r="P568" t="s">
        <v>12</v>
      </c>
      <c r="Q568" t="s">
        <v>55</v>
      </c>
      <c r="R568" t="s">
        <v>14</v>
      </c>
      <c r="S568" t="s">
        <v>24</v>
      </c>
      <c r="T568" t="s">
        <v>24</v>
      </c>
      <c r="U568" t="s">
        <v>5</v>
      </c>
      <c r="V568" s="94" t="s">
        <v>1172</v>
      </c>
      <c r="W568" t="s">
        <v>16</v>
      </c>
    </row>
    <row r="569" spans="1:23" ht="12.75">
      <c r="A569" s="1">
        <v>45724.142627314817</v>
      </c>
      <c r="C569" t="s">
        <v>152</v>
      </c>
      <c r="D569">
        <v>40</v>
      </c>
      <c r="E569">
        <v>162</v>
      </c>
      <c r="F569">
        <v>53</v>
      </c>
      <c r="G569">
        <v>2.5</v>
      </c>
      <c r="H569" t="s">
        <v>591</v>
      </c>
      <c r="I569" t="s">
        <v>5</v>
      </c>
      <c r="J569" t="s">
        <v>6</v>
      </c>
      <c r="K569" t="s">
        <v>60</v>
      </c>
      <c r="L569" t="s">
        <v>12</v>
      </c>
      <c r="M569" t="s">
        <v>52</v>
      </c>
      <c r="N569" t="s">
        <v>8</v>
      </c>
      <c r="O569" t="s">
        <v>46</v>
      </c>
      <c r="P569" t="s">
        <v>31</v>
      </c>
      <c r="Q569" t="s">
        <v>23</v>
      </c>
      <c r="R569" t="s">
        <v>14</v>
      </c>
      <c r="S569" t="s">
        <v>15</v>
      </c>
      <c r="T569" t="s">
        <v>25</v>
      </c>
      <c r="U569" t="s">
        <v>5</v>
      </c>
      <c r="V569" s="94" t="s">
        <v>1173</v>
      </c>
      <c r="W569" t="s">
        <v>34</v>
      </c>
    </row>
    <row r="570" spans="1:23" ht="12.75">
      <c r="A570" s="1">
        <v>45724.898368055554</v>
      </c>
      <c r="C570" t="s">
        <v>319</v>
      </c>
      <c r="D570">
        <v>27</v>
      </c>
      <c r="E570">
        <v>176</v>
      </c>
      <c r="F570">
        <v>60</v>
      </c>
      <c r="G570">
        <v>2.5</v>
      </c>
      <c r="H570" t="s">
        <v>590</v>
      </c>
      <c r="I570" t="s">
        <v>5</v>
      </c>
      <c r="J570" t="s">
        <v>6</v>
      </c>
      <c r="K570" t="s">
        <v>60</v>
      </c>
      <c r="L570" t="s">
        <v>31</v>
      </c>
      <c r="M570" t="s">
        <v>52</v>
      </c>
      <c r="N570" t="s">
        <v>20</v>
      </c>
      <c r="O570" t="s">
        <v>44</v>
      </c>
      <c r="P570" t="s">
        <v>40</v>
      </c>
      <c r="Q570" t="s">
        <v>55</v>
      </c>
      <c r="R570" t="s">
        <v>33</v>
      </c>
      <c r="S570" t="s">
        <v>15</v>
      </c>
      <c r="T570" t="s">
        <v>24</v>
      </c>
      <c r="U570" t="s">
        <v>5</v>
      </c>
      <c r="V570" s="94" t="s">
        <v>1174</v>
      </c>
      <c r="W570" t="s">
        <v>16</v>
      </c>
    </row>
    <row r="571" spans="1:23" ht="12.75">
      <c r="A571" s="1">
        <v>45695.491377314815</v>
      </c>
      <c r="C571" t="s">
        <v>320</v>
      </c>
      <c r="D571">
        <v>28</v>
      </c>
      <c r="E571">
        <v>168</v>
      </c>
      <c r="F571">
        <v>62</v>
      </c>
      <c r="G571">
        <v>3</v>
      </c>
      <c r="H571" t="s">
        <v>28</v>
      </c>
      <c r="I571" t="s">
        <v>29</v>
      </c>
      <c r="J571" t="s">
        <v>36</v>
      </c>
      <c r="K571" t="s">
        <v>7</v>
      </c>
      <c r="L571" t="s">
        <v>10</v>
      </c>
      <c r="M571" t="s">
        <v>21</v>
      </c>
      <c r="N571" t="s">
        <v>12</v>
      </c>
      <c r="O571" t="s">
        <v>46</v>
      </c>
      <c r="P571" t="s">
        <v>8</v>
      </c>
      <c r="Q571" t="s">
        <v>55</v>
      </c>
      <c r="R571" t="s">
        <v>14</v>
      </c>
      <c r="S571" t="s">
        <v>15</v>
      </c>
      <c r="T571" t="s">
        <v>15</v>
      </c>
      <c r="U571" t="s">
        <v>5</v>
      </c>
      <c r="V571" s="94" t="s">
        <v>1175</v>
      </c>
      <c r="W571" t="s">
        <v>34</v>
      </c>
    </row>
    <row r="572" spans="1:23" ht="12.75">
      <c r="A572" s="1">
        <v>45678.143171296295</v>
      </c>
      <c r="C572" t="s">
        <v>321</v>
      </c>
      <c r="D572">
        <v>28</v>
      </c>
      <c r="E572">
        <v>156</v>
      </c>
      <c r="F572">
        <v>101</v>
      </c>
      <c r="G572">
        <v>3</v>
      </c>
      <c r="H572" t="s">
        <v>590</v>
      </c>
      <c r="I572" t="s">
        <v>5</v>
      </c>
      <c r="J572" t="s">
        <v>36</v>
      </c>
      <c r="K572" t="s">
        <v>30</v>
      </c>
      <c r="L572" t="s">
        <v>10</v>
      </c>
      <c r="M572" t="s">
        <v>38</v>
      </c>
      <c r="N572" t="s">
        <v>20</v>
      </c>
      <c r="O572" t="s">
        <v>22</v>
      </c>
      <c r="P572" t="s">
        <v>31</v>
      </c>
      <c r="Q572" t="s">
        <v>23</v>
      </c>
      <c r="R572" t="s">
        <v>14</v>
      </c>
      <c r="S572" t="s">
        <v>24</v>
      </c>
      <c r="T572" t="s">
        <v>47</v>
      </c>
      <c r="U572" t="s">
        <v>29</v>
      </c>
      <c r="V572" s="94" t="s">
        <v>1176</v>
      </c>
      <c r="W572" t="s">
        <v>26</v>
      </c>
    </row>
    <row r="573" spans="1:23" ht="12.75">
      <c r="A573" s="1">
        <v>45772.938668981478</v>
      </c>
      <c r="C573" t="s">
        <v>105</v>
      </c>
      <c r="D573">
        <v>47</v>
      </c>
      <c r="E573">
        <v>170</v>
      </c>
      <c r="F573">
        <v>104</v>
      </c>
      <c r="G573">
        <v>2.5</v>
      </c>
      <c r="H573" t="s">
        <v>590</v>
      </c>
      <c r="I573" t="s">
        <v>5</v>
      </c>
      <c r="J573" t="s">
        <v>36</v>
      </c>
      <c r="K573" t="s">
        <v>19</v>
      </c>
      <c r="L573" t="s">
        <v>40</v>
      </c>
      <c r="M573" t="s">
        <v>9</v>
      </c>
      <c r="N573" t="s">
        <v>12</v>
      </c>
      <c r="O573" t="s">
        <v>11</v>
      </c>
      <c r="P573" t="s">
        <v>10</v>
      </c>
      <c r="Q573" t="s">
        <v>55</v>
      </c>
      <c r="R573" t="s">
        <v>14</v>
      </c>
      <c r="S573" t="s">
        <v>15</v>
      </c>
      <c r="T573" t="s">
        <v>47</v>
      </c>
      <c r="U573" t="s">
        <v>29</v>
      </c>
      <c r="V573" s="94" t="s">
        <v>1177</v>
      </c>
      <c r="W573" t="s">
        <v>39</v>
      </c>
    </row>
    <row r="574" spans="1:23" ht="12.75">
      <c r="A574" s="1">
        <v>45680.842638888891</v>
      </c>
      <c r="C574" t="s">
        <v>154</v>
      </c>
      <c r="D574">
        <v>27</v>
      </c>
      <c r="E574">
        <v>189</v>
      </c>
      <c r="F574">
        <v>78</v>
      </c>
      <c r="G574">
        <v>2.5</v>
      </c>
      <c r="H574" t="s">
        <v>592</v>
      </c>
      <c r="I574" t="s">
        <v>29</v>
      </c>
      <c r="J574" t="s">
        <v>6</v>
      </c>
      <c r="K574" t="s">
        <v>63</v>
      </c>
      <c r="L574" t="s">
        <v>8</v>
      </c>
      <c r="M574" t="s">
        <v>38</v>
      </c>
      <c r="N574" t="s">
        <v>10</v>
      </c>
      <c r="O574" t="s">
        <v>11</v>
      </c>
      <c r="P574" t="s">
        <v>10</v>
      </c>
      <c r="Q574" t="s">
        <v>23</v>
      </c>
      <c r="R574" t="s">
        <v>33</v>
      </c>
      <c r="S574" t="s">
        <v>25</v>
      </c>
      <c r="T574" t="s">
        <v>25</v>
      </c>
      <c r="U574" t="s">
        <v>5</v>
      </c>
      <c r="V574" s="94" t="s">
        <v>1178</v>
      </c>
      <c r="W574" t="s">
        <v>16</v>
      </c>
    </row>
    <row r="575" spans="1:23" ht="12.75">
      <c r="A575" s="1">
        <v>45795.246435185189</v>
      </c>
      <c r="C575" t="s">
        <v>242</v>
      </c>
      <c r="D575">
        <v>34</v>
      </c>
      <c r="E575">
        <v>166</v>
      </c>
      <c r="F575">
        <v>67</v>
      </c>
      <c r="G575">
        <v>1.5</v>
      </c>
      <c r="H575" t="s">
        <v>591</v>
      </c>
      <c r="I575" t="s">
        <v>29</v>
      </c>
      <c r="J575" t="s">
        <v>36</v>
      </c>
      <c r="K575" t="s">
        <v>30</v>
      </c>
      <c r="L575" t="s">
        <v>8</v>
      </c>
      <c r="M575" t="s">
        <v>52</v>
      </c>
      <c r="N575" t="s">
        <v>40</v>
      </c>
      <c r="O575" t="s">
        <v>11</v>
      </c>
      <c r="P575" t="s">
        <v>40</v>
      </c>
      <c r="Q575" t="s">
        <v>23</v>
      </c>
      <c r="R575" t="s">
        <v>14</v>
      </c>
      <c r="S575" t="s">
        <v>25</v>
      </c>
      <c r="T575" t="s">
        <v>24</v>
      </c>
      <c r="U575" t="s">
        <v>29</v>
      </c>
      <c r="V575" s="94" t="s">
        <v>1179</v>
      </c>
      <c r="W575" t="s">
        <v>39</v>
      </c>
    </row>
    <row r="576" spans="1:23" ht="12.75">
      <c r="A576" s="1">
        <v>45727.729259259257</v>
      </c>
      <c r="C576" t="s">
        <v>178</v>
      </c>
      <c r="D576">
        <v>22</v>
      </c>
      <c r="E576">
        <v>189</v>
      </c>
      <c r="F576">
        <v>67</v>
      </c>
      <c r="G576">
        <v>2</v>
      </c>
      <c r="H576" t="s">
        <v>592</v>
      </c>
      <c r="I576" t="s">
        <v>5</v>
      </c>
      <c r="J576" t="s">
        <v>36</v>
      </c>
      <c r="K576" t="s">
        <v>7</v>
      </c>
      <c r="L576" t="s">
        <v>10</v>
      </c>
      <c r="M576" t="s">
        <v>21</v>
      </c>
      <c r="N576" t="s">
        <v>8</v>
      </c>
      <c r="O576" t="s">
        <v>46</v>
      </c>
      <c r="P576" t="s">
        <v>20</v>
      </c>
      <c r="Q576" t="s">
        <v>32</v>
      </c>
      <c r="R576" t="s">
        <v>14</v>
      </c>
      <c r="S576" t="s">
        <v>47</v>
      </c>
      <c r="T576" t="s">
        <v>25</v>
      </c>
      <c r="U576" t="s">
        <v>29</v>
      </c>
      <c r="V576" s="94" t="s">
        <v>1180</v>
      </c>
      <c r="W576" t="s">
        <v>16</v>
      </c>
    </row>
    <row r="577" spans="1:23" ht="12.75">
      <c r="A577" s="1">
        <v>45790.805659722224</v>
      </c>
      <c r="C577" t="s">
        <v>322</v>
      </c>
      <c r="D577">
        <v>20</v>
      </c>
      <c r="E577">
        <v>164</v>
      </c>
      <c r="F577">
        <v>82</v>
      </c>
      <c r="G577">
        <v>1</v>
      </c>
      <c r="H577" t="s">
        <v>28</v>
      </c>
      <c r="I577" t="s">
        <v>29</v>
      </c>
      <c r="J577" t="s">
        <v>6</v>
      </c>
      <c r="K577" t="s">
        <v>60</v>
      </c>
      <c r="L577" t="s">
        <v>31</v>
      </c>
      <c r="M577" t="s">
        <v>21</v>
      </c>
      <c r="N577" t="s">
        <v>10</v>
      </c>
      <c r="O577" t="s">
        <v>46</v>
      </c>
      <c r="P577" t="s">
        <v>12</v>
      </c>
      <c r="Q577" t="s">
        <v>13</v>
      </c>
      <c r="R577" t="s">
        <v>14</v>
      </c>
      <c r="S577" t="s">
        <v>47</v>
      </c>
      <c r="T577" t="s">
        <v>15</v>
      </c>
      <c r="U577" t="s">
        <v>29</v>
      </c>
      <c r="V577" s="94" t="s">
        <v>1181</v>
      </c>
      <c r="W577" t="s">
        <v>34</v>
      </c>
    </row>
    <row r="578" spans="1:23" ht="12.75">
      <c r="A578" s="1">
        <v>45781.238587962966</v>
      </c>
      <c r="C578" t="s">
        <v>92</v>
      </c>
      <c r="D578">
        <v>37</v>
      </c>
      <c r="E578">
        <v>166</v>
      </c>
      <c r="F578">
        <v>109</v>
      </c>
      <c r="G578">
        <v>1.5</v>
      </c>
      <c r="H578" t="s">
        <v>590</v>
      </c>
      <c r="I578" t="s">
        <v>5</v>
      </c>
      <c r="J578" t="s">
        <v>6</v>
      </c>
      <c r="K578" t="s">
        <v>63</v>
      </c>
      <c r="L578" t="s">
        <v>40</v>
      </c>
      <c r="M578" t="s">
        <v>21</v>
      </c>
      <c r="N578" t="s">
        <v>31</v>
      </c>
      <c r="O578" t="s">
        <v>22</v>
      </c>
      <c r="P578" t="s">
        <v>40</v>
      </c>
      <c r="Q578" t="s">
        <v>23</v>
      </c>
      <c r="R578" t="s">
        <v>14</v>
      </c>
      <c r="S578" t="s">
        <v>24</v>
      </c>
      <c r="T578" t="s">
        <v>25</v>
      </c>
      <c r="U578" t="s">
        <v>5</v>
      </c>
      <c r="V578" s="94" t="s">
        <v>1182</v>
      </c>
      <c r="W578" t="s">
        <v>39</v>
      </c>
    </row>
    <row r="579" spans="1:23" ht="12.75">
      <c r="A579" s="1">
        <v>45751.452222222222</v>
      </c>
      <c r="C579" t="s">
        <v>251</v>
      </c>
      <c r="D579">
        <v>47</v>
      </c>
      <c r="E579">
        <v>189</v>
      </c>
      <c r="F579">
        <v>75</v>
      </c>
      <c r="G579">
        <v>2</v>
      </c>
      <c r="H579" t="s">
        <v>28</v>
      </c>
      <c r="I579" t="s">
        <v>5</v>
      </c>
      <c r="J579" t="s">
        <v>6</v>
      </c>
      <c r="K579" t="s">
        <v>7</v>
      </c>
      <c r="L579" t="s">
        <v>20</v>
      </c>
      <c r="M579" t="s">
        <v>38</v>
      </c>
      <c r="N579" t="s">
        <v>10</v>
      </c>
      <c r="O579" t="s">
        <v>22</v>
      </c>
      <c r="P579" t="s">
        <v>20</v>
      </c>
      <c r="Q579" t="s">
        <v>13</v>
      </c>
      <c r="R579" t="s">
        <v>33</v>
      </c>
      <c r="S579" t="s">
        <v>24</v>
      </c>
      <c r="T579" t="s">
        <v>25</v>
      </c>
      <c r="U579" t="s">
        <v>29</v>
      </c>
      <c r="V579" s="94" t="s">
        <v>1183</v>
      </c>
      <c r="W579" t="s">
        <v>26</v>
      </c>
    </row>
    <row r="580" spans="1:23" ht="12.75">
      <c r="A580" s="1">
        <v>45781.339074074072</v>
      </c>
      <c r="C580" t="s">
        <v>323</v>
      </c>
      <c r="D580">
        <v>37</v>
      </c>
      <c r="E580">
        <v>173</v>
      </c>
      <c r="F580">
        <v>78</v>
      </c>
      <c r="G580">
        <v>2</v>
      </c>
      <c r="H580" t="s">
        <v>28</v>
      </c>
      <c r="I580" t="s">
        <v>29</v>
      </c>
      <c r="J580" t="s">
        <v>6</v>
      </c>
      <c r="K580" t="s">
        <v>19</v>
      </c>
      <c r="L580" t="s">
        <v>40</v>
      </c>
      <c r="M580" t="s">
        <v>38</v>
      </c>
      <c r="N580" t="s">
        <v>10</v>
      </c>
      <c r="O580" t="s">
        <v>22</v>
      </c>
      <c r="P580" t="s">
        <v>40</v>
      </c>
      <c r="Q580" t="s">
        <v>23</v>
      </c>
      <c r="R580" t="s">
        <v>50</v>
      </c>
      <c r="S580" t="s">
        <v>24</v>
      </c>
      <c r="T580" t="s">
        <v>47</v>
      </c>
      <c r="U580" t="s">
        <v>29</v>
      </c>
      <c r="V580" s="94" t="s">
        <v>1184</v>
      </c>
      <c r="W580" t="s">
        <v>39</v>
      </c>
    </row>
    <row r="581" spans="1:23" ht="12.75">
      <c r="A581" s="1">
        <v>45689.258923611109</v>
      </c>
      <c r="C581" t="s">
        <v>324</v>
      </c>
      <c r="D581">
        <v>58</v>
      </c>
      <c r="E581">
        <v>170</v>
      </c>
      <c r="F581">
        <v>71</v>
      </c>
      <c r="G581">
        <v>2</v>
      </c>
      <c r="H581" t="s">
        <v>590</v>
      </c>
      <c r="I581" t="s">
        <v>29</v>
      </c>
      <c r="J581" t="s">
        <v>6</v>
      </c>
      <c r="K581" t="s">
        <v>60</v>
      </c>
      <c r="L581" t="s">
        <v>40</v>
      </c>
      <c r="M581" t="s">
        <v>21</v>
      </c>
      <c r="N581" t="s">
        <v>31</v>
      </c>
      <c r="O581" t="s">
        <v>22</v>
      </c>
      <c r="P581" t="s">
        <v>8</v>
      </c>
      <c r="Q581" t="s">
        <v>32</v>
      </c>
      <c r="R581" t="s">
        <v>14</v>
      </c>
      <c r="S581" t="s">
        <v>15</v>
      </c>
      <c r="T581" t="s">
        <v>24</v>
      </c>
      <c r="U581" t="s">
        <v>29</v>
      </c>
      <c r="V581" s="94" t="s">
        <v>1185</v>
      </c>
      <c r="W581" t="s">
        <v>16</v>
      </c>
    </row>
    <row r="582" spans="1:23" ht="12.75">
      <c r="A582" s="1">
        <v>45722.384201388886</v>
      </c>
      <c r="C582" t="s">
        <v>234</v>
      </c>
      <c r="D582">
        <v>40</v>
      </c>
      <c r="E582">
        <v>181</v>
      </c>
      <c r="F582">
        <v>56</v>
      </c>
      <c r="G582">
        <v>1</v>
      </c>
      <c r="H582" t="s">
        <v>592</v>
      </c>
      <c r="I582" t="s">
        <v>29</v>
      </c>
      <c r="J582" t="s">
        <v>6</v>
      </c>
      <c r="K582" t="s">
        <v>60</v>
      </c>
      <c r="L582" t="s">
        <v>31</v>
      </c>
      <c r="M582" t="s">
        <v>38</v>
      </c>
      <c r="N582" t="s">
        <v>8</v>
      </c>
      <c r="O582" t="s">
        <v>46</v>
      </c>
      <c r="P582" t="s">
        <v>31</v>
      </c>
      <c r="Q582" t="s">
        <v>13</v>
      </c>
      <c r="R582" t="s">
        <v>14</v>
      </c>
      <c r="S582" t="s">
        <v>24</v>
      </c>
      <c r="T582" t="s">
        <v>15</v>
      </c>
      <c r="U582" t="s">
        <v>29</v>
      </c>
      <c r="V582" s="94" t="s">
        <v>1186</v>
      </c>
      <c r="W582" t="s">
        <v>39</v>
      </c>
    </row>
    <row r="583" spans="1:23" ht="12.75">
      <c r="A583" s="1">
        <v>45692.753796296296</v>
      </c>
      <c r="C583" t="s">
        <v>325</v>
      </c>
      <c r="D583">
        <v>52</v>
      </c>
      <c r="E583">
        <v>179</v>
      </c>
      <c r="F583">
        <v>107</v>
      </c>
      <c r="G583">
        <v>2.5</v>
      </c>
      <c r="H583" t="s">
        <v>592</v>
      </c>
      <c r="I583" t="s">
        <v>29</v>
      </c>
      <c r="J583" t="s">
        <v>36</v>
      </c>
      <c r="K583" t="s">
        <v>19</v>
      </c>
      <c r="L583" t="s">
        <v>31</v>
      </c>
      <c r="M583" t="s">
        <v>38</v>
      </c>
      <c r="N583" t="s">
        <v>10</v>
      </c>
      <c r="O583" t="s">
        <v>44</v>
      </c>
      <c r="P583" t="s">
        <v>8</v>
      </c>
      <c r="Q583" t="s">
        <v>13</v>
      </c>
      <c r="R583" t="s">
        <v>50</v>
      </c>
      <c r="S583" t="s">
        <v>15</v>
      </c>
      <c r="T583" t="s">
        <v>24</v>
      </c>
      <c r="U583" t="s">
        <v>29</v>
      </c>
      <c r="V583" s="94" t="s">
        <v>1187</v>
      </c>
      <c r="W583" t="s">
        <v>34</v>
      </c>
    </row>
    <row r="584" spans="1:23" ht="12.75">
      <c r="A584" s="1">
        <v>45708.800833333335</v>
      </c>
      <c r="C584" t="s">
        <v>249</v>
      </c>
      <c r="D584">
        <v>57</v>
      </c>
      <c r="E584">
        <v>167</v>
      </c>
      <c r="F584">
        <v>68</v>
      </c>
      <c r="G584">
        <v>3</v>
      </c>
      <c r="H584" t="s">
        <v>592</v>
      </c>
      <c r="I584" t="s">
        <v>5</v>
      </c>
      <c r="J584" t="s">
        <v>36</v>
      </c>
      <c r="K584" t="s">
        <v>19</v>
      </c>
      <c r="L584" t="s">
        <v>40</v>
      </c>
      <c r="M584" t="s">
        <v>21</v>
      </c>
      <c r="N584" t="s">
        <v>20</v>
      </c>
      <c r="O584" t="s">
        <v>46</v>
      </c>
      <c r="P584" t="s">
        <v>20</v>
      </c>
      <c r="Q584" t="s">
        <v>55</v>
      </c>
      <c r="R584" t="s">
        <v>33</v>
      </c>
      <c r="S584" t="s">
        <v>25</v>
      </c>
      <c r="T584" t="s">
        <v>15</v>
      </c>
      <c r="U584" t="s">
        <v>5</v>
      </c>
      <c r="V584" s="94" t="s">
        <v>1188</v>
      </c>
      <c r="W584" t="s">
        <v>39</v>
      </c>
    </row>
    <row r="585" spans="1:23" ht="12.75">
      <c r="A585" s="1">
        <v>45804.475972222222</v>
      </c>
      <c r="C585" t="s">
        <v>27</v>
      </c>
      <c r="D585">
        <v>52</v>
      </c>
      <c r="E585">
        <v>162</v>
      </c>
      <c r="F585">
        <v>75</v>
      </c>
      <c r="G585">
        <v>3</v>
      </c>
      <c r="H585" t="s">
        <v>591</v>
      </c>
      <c r="I585" t="s">
        <v>29</v>
      </c>
      <c r="J585" t="s">
        <v>6</v>
      </c>
      <c r="K585" t="s">
        <v>19</v>
      </c>
      <c r="L585" t="s">
        <v>8</v>
      </c>
      <c r="M585" t="s">
        <v>21</v>
      </c>
      <c r="N585" t="s">
        <v>10</v>
      </c>
      <c r="O585" t="s">
        <v>44</v>
      </c>
      <c r="P585" t="s">
        <v>20</v>
      </c>
      <c r="Q585" t="s">
        <v>13</v>
      </c>
      <c r="R585" t="s">
        <v>50</v>
      </c>
      <c r="S585" t="s">
        <v>47</v>
      </c>
      <c r="T585" t="s">
        <v>24</v>
      </c>
      <c r="U585" t="s">
        <v>29</v>
      </c>
      <c r="V585" s="94" t="s">
        <v>1189</v>
      </c>
      <c r="W585" t="s">
        <v>16</v>
      </c>
    </row>
    <row r="586" spans="1:23" ht="12.75">
      <c r="A586" s="1">
        <v>45719.829351851855</v>
      </c>
      <c r="C586" t="s">
        <v>326</v>
      </c>
      <c r="D586">
        <v>27</v>
      </c>
      <c r="E586">
        <v>167</v>
      </c>
      <c r="F586">
        <v>93</v>
      </c>
      <c r="G586">
        <v>1.5</v>
      </c>
      <c r="H586" t="s">
        <v>28</v>
      </c>
      <c r="I586" t="s">
        <v>5</v>
      </c>
      <c r="J586" t="s">
        <v>6</v>
      </c>
      <c r="K586" t="s">
        <v>19</v>
      </c>
      <c r="L586" t="s">
        <v>10</v>
      </c>
      <c r="M586" t="s">
        <v>38</v>
      </c>
      <c r="N586" t="s">
        <v>10</v>
      </c>
      <c r="O586" t="s">
        <v>22</v>
      </c>
      <c r="P586" t="s">
        <v>20</v>
      </c>
      <c r="Q586" t="s">
        <v>13</v>
      </c>
      <c r="R586" t="s">
        <v>14</v>
      </c>
      <c r="S586" t="s">
        <v>25</v>
      </c>
      <c r="T586" t="s">
        <v>47</v>
      </c>
      <c r="U586" t="s">
        <v>5</v>
      </c>
      <c r="V586" s="94" t="s">
        <v>1190</v>
      </c>
      <c r="W586" t="s">
        <v>39</v>
      </c>
    </row>
    <row r="587" spans="1:23" ht="12.75">
      <c r="A587" s="1">
        <v>45764.800104166665</v>
      </c>
      <c r="C587" t="s">
        <v>327</v>
      </c>
      <c r="D587">
        <v>33</v>
      </c>
      <c r="E587">
        <v>157</v>
      </c>
      <c r="F587">
        <v>81</v>
      </c>
      <c r="G587">
        <v>1.5</v>
      </c>
      <c r="H587" t="s">
        <v>592</v>
      </c>
      <c r="I587" t="s">
        <v>5</v>
      </c>
      <c r="J587" t="s">
        <v>6</v>
      </c>
      <c r="K587" t="s">
        <v>63</v>
      </c>
      <c r="L587" t="s">
        <v>20</v>
      </c>
      <c r="M587" t="s">
        <v>9</v>
      </c>
      <c r="N587" t="s">
        <v>31</v>
      </c>
      <c r="O587" t="s">
        <v>44</v>
      </c>
      <c r="P587" t="s">
        <v>12</v>
      </c>
      <c r="Q587" t="s">
        <v>32</v>
      </c>
      <c r="R587" t="s">
        <v>50</v>
      </c>
      <c r="S587" t="s">
        <v>24</v>
      </c>
      <c r="T587" t="s">
        <v>15</v>
      </c>
      <c r="U587" t="s">
        <v>29</v>
      </c>
      <c r="V587" s="94" t="s">
        <v>1191</v>
      </c>
      <c r="W587" t="s">
        <v>26</v>
      </c>
    </row>
    <row r="588" spans="1:23" ht="12.75">
      <c r="A588" s="1">
        <v>45712.233506944445</v>
      </c>
      <c r="C588" t="s">
        <v>151</v>
      </c>
      <c r="D588">
        <v>32</v>
      </c>
      <c r="E588">
        <v>183</v>
      </c>
      <c r="F588">
        <v>59</v>
      </c>
      <c r="G588">
        <v>2.5</v>
      </c>
      <c r="H588" t="s">
        <v>591</v>
      </c>
      <c r="I588" t="s">
        <v>5</v>
      </c>
      <c r="J588" t="s">
        <v>36</v>
      </c>
      <c r="K588" t="s">
        <v>19</v>
      </c>
      <c r="L588" t="s">
        <v>12</v>
      </c>
      <c r="M588" t="s">
        <v>9</v>
      </c>
      <c r="N588" t="s">
        <v>8</v>
      </c>
      <c r="O588" t="s">
        <v>11</v>
      </c>
      <c r="P588" t="s">
        <v>12</v>
      </c>
      <c r="Q588" t="s">
        <v>23</v>
      </c>
      <c r="R588" t="s">
        <v>50</v>
      </c>
      <c r="S588" t="s">
        <v>15</v>
      </c>
      <c r="T588" t="s">
        <v>15</v>
      </c>
      <c r="U588" t="s">
        <v>5</v>
      </c>
      <c r="V588" s="94" t="s">
        <v>1192</v>
      </c>
      <c r="W588" t="s">
        <v>26</v>
      </c>
    </row>
    <row r="589" spans="1:23" ht="12.75">
      <c r="A589" s="1">
        <v>45724.634641203702</v>
      </c>
      <c r="C589" t="s">
        <v>128</v>
      </c>
      <c r="D589">
        <v>29</v>
      </c>
      <c r="E589">
        <v>186</v>
      </c>
      <c r="F589">
        <v>57</v>
      </c>
      <c r="G589">
        <v>2</v>
      </c>
      <c r="H589" t="s">
        <v>28</v>
      </c>
      <c r="I589" t="s">
        <v>29</v>
      </c>
      <c r="J589" t="s">
        <v>6</v>
      </c>
      <c r="K589" t="s">
        <v>60</v>
      </c>
      <c r="L589" t="s">
        <v>31</v>
      </c>
      <c r="M589" t="s">
        <v>21</v>
      </c>
      <c r="N589" t="s">
        <v>31</v>
      </c>
      <c r="O589" t="s">
        <v>46</v>
      </c>
      <c r="P589" t="s">
        <v>12</v>
      </c>
      <c r="Q589" t="s">
        <v>55</v>
      </c>
      <c r="R589" t="s">
        <v>50</v>
      </c>
      <c r="S589" t="s">
        <v>15</v>
      </c>
      <c r="T589" t="s">
        <v>24</v>
      </c>
      <c r="U589" t="s">
        <v>29</v>
      </c>
      <c r="V589" s="94" t="s">
        <v>1193</v>
      </c>
      <c r="W589" t="s">
        <v>26</v>
      </c>
    </row>
    <row r="590" spans="1:23" ht="12.75">
      <c r="A590" s="1">
        <v>45705.880972222221</v>
      </c>
      <c r="C590" t="s">
        <v>213</v>
      </c>
      <c r="D590">
        <v>33</v>
      </c>
      <c r="E590">
        <v>171</v>
      </c>
      <c r="F590">
        <v>109</v>
      </c>
      <c r="G590">
        <v>2</v>
      </c>
      <c r="H590" t="s">
        <v>590</v>
      </c>
      <c r="I590" t="s">
        <v>5</v>
      </c>
      <c r="J590" t="s">
        <v>36</v>
      </c>
      <c r="K590" t="s">
        <v>7</v>
      </c>
      <c r="L590" t="s">
        <v>8</v>
      </c>
      <c r="M590" t="s">
        <v>38</v>
      </c>
      <c r="N590" t="s">
        <v>31</v>
      </c>
      <c r="O590" t="s">
        <v>11</v>
      </c>
      <c r="P590" t="s">
        <v>40</v>
      </c>
      <c r="Q590" t="s">
        <v>13</v>
      </c>
      <c r="R590" t="s">
        <v>33</v>
      </c>
      <c r="S590" t="s">
        <v>47</v>
      </c>
      <c r="T590" t="s">
        <v>24</v>
      </c>
      <c r="U590" t="s">
        <v>5</v>
      </c>
      <c r="V590" s="94" t="s">
        <v>1194</v>
      </c>
      <c r="W590" t="s">
        <v>39</v>
      </c>
    </row>
    <row r="591" spans="1:23" ht="12.75">
      <c r="A591" s="1">
        <v>45699.834421296298</v>
      </c>
      <c r="C591" t="s">
        <v>119</v>
      </c>
      <c r="D591">
        <v>32</v>
      </c>
      <c r="E591">
        <v>177</v>
      </c>
      <c r="F591">
        <v>72</v>
      </c>
      <c r="G591">
        <v>1</v>
      </c>
      <c r="H591" t="s">
        <v>592</v>
      </c>
      <c r="I591" t="s">
        <v>29</v>
      </c>
      <c r="J591" t="s">
        <v>6</v>
      </c>
      <c r="K591" t="s">
        <v>19</v>
      </c>
      <c r="L591" t="s">
        <v>10</v>
      </c>
      <c r="M591" t="s">
        <v>38</v>
      </c>
      <c r="N591" t="s">
        <v>31</v>
      </c>
      <c r="O591" t="s">
        <v>11</v>
      </c>
      <c r="P591" t="s">
        <v>8</v>
      </c>
      <c r="Q591" t="s">
        <v>55</v>
      </c>
      <c r="R591" t="s">
        <v>14</v>
      </c>
      <c r="S591" t="s">
        <v>24</v>
      </c>
      <c r="T591" t="s">
        <v>47</v>
      </c>
      <c r="U591" t="s">
        <v>5</v>
      </c>
      <c r="V591" s="94" t="s">
        <v>1195</v>
      </c>
      <c r="W591" t="s">
        <v>26</v>
      </c>
    </row>
    <row r="592" spans="1:23" ht="12.75">
      <c r="A592" s="1">
        <v>45767.048333333332</v>
      </c>
      <c r="C592" t="s">
        <v>328</v>
      </c>
      <c r="D592">
        <v>35</v>
      </c>
      <c r="E592">
        <v>169</v>
      </c>
      <c r="F592">
        <v>65</v>
      </c>
      <c r="G592">
        <v>1</v>
      </c>
      <c r="H592" t="s">
        <v>28</v>
      </c>
      <c r="I592" t="s">
        <v>5</v>
      </c>
      <c r="J592" t="s">
        <v>6</v>
      </c>
      <c r="K592" t="s">
        <v>63</v>
      </c>
      <c r="L592" t="s">
        <v>12</v>
      </c>
      <c r="M592" t="s">
        <v>38</v>
      </c>
      <c r="N592" t="s">
        <v>12</v>
      </c>
      <c r="O592" t="s">
        <v>44</v>
      </c>
      <c r="P592" t="s">
        <v>20</v>
      </c>
      <c r="Q592" t="s">
        <v>32</v>
      </c>
      <c r="R592" t="s">
        <v>50</v>
      </c>
      <c r="S592" t="s">
        <v>15</v>
      </c>
      <c r="T592" t="s">
        <v>47</v>
      </c>
      <c r="U592" t="s">
        <v>29</v>
      </c>
      <c r="V592" s="94" t="s">
        <v>1196</v>
      </c>
      <c r="W592" t="s">
        <v>34</v>
      </c>
    </row>
    <row r="593" spans="1:23" ht="12.75">
      <c r="A593" s="1">
        <v>45706.900972222225</v>
      </c>
      <c r="C593" t="s">
        <v>103</v>
      </c>
      <c r="D593">
        <v>32</v>
      </c>
      <c r="E593">
        <v>176</v>
      </c>
      <c r="F593">
        <v>63</v>
      </c>
      <c r="G593">
        <v>2</v>
      </c>
      <c r="H593" t="s">
        <v>591</v>
      </c>
      <c r="I593" t="s">
        <v>5</v>
      </c>
      <c r="J593" t="s">
        <v>6</v>
      </c>
      <c r="K593" t="s">
        <v>63</v>
      </c>
      <c r="L593" t="s">
        <v>12</v>
      </c>
      <c r="M593" t="s">
        <v>38</v>
      </c>
      <c r="N593" t="s">
        <v>10</v>
      </c>
      <c r="O593" t="s">
        <v>22</v>
      </c>
      <c r="P593" t="s">
        <v>8</v>
      </c>
      <c r="Q593" t="s">
        <v>13</v>
      </c>
      <c r="R593" t="s">
        <v>50</v>
      </c>
      <c r="S593" t="s">
        <v>25</v>
      </c>
      <c r="T593" t="s">
        <v>24</v>
      </c>
      <c r="U593" t="s">
        <v>29</v>
      </c>
      <c r="V593" s="94" t="s">
        <v>1197</v>
      </c>
      <c r="W593" t="s">
        <v>26</v>
      </c>
    </row>
    <row r="594" spans="1:23" ht="12.75">
      <c r="A594" s="1">
        <v>45730.001620370371</v>
      </c>
      <c r="C594" t="s">
        <v>168</v>
      </c>
      <c r="D594">
        <v>49</v>
      </c>
      <c r="E594">
        <v>162</v>
      </c>
      <c r="F594">
        <v>100</v>
      </c>
      <c r="G594">
        <v>3</v>
      </c>
      <c r="H594" t="s">
        <v>591</v>
      </c>
      <c r="I594" t="s">
        <v>29</v>
      </c>
      <c r="J594" t="s">
        <v>6</v>
      </c>
      <c r="K594" t="s">
        <v>30</v>
      </c>
      <c r="L594" t="s">
        <v>12</v>
      </c>
      <c r="M594" t="s">
        <v>38</v>
      </c>
      <c r="N594" t="s">
        <v>31</v>
      </c>
      <c r="O594" t="s">
        <v>22</v>
      </c>
      <c r="P594" t="s">
        <v>12</v>
      </c>
      <c r="Q594" t="s">
        <v>55</v>
      </c>
      <c r="R594" t="s">
        <v>33</v>
      </c>
      <c r="S594" t="s">
        <v>15</v>
      </c>
      <c r="T594" t="s">
        <v>24</v>
      </c>
      <c r="U594" t="s">
        <v>29</v>
      </c>
      <c r="V594" s="94" t="s">
        <v>1198</v>
      </c>
      <c r="W594" t="s">
        <v>26</v>
      </c>
    </row>
    <row r="595" spans="1:23" ht="12.75">
      <c r="A595" s="1">
        <v>45668.662210648145</v>
      </c>
      <c r="C595" t="s">
        <v>170</v>
      </c>
      <c r="D595">
        <v>32</v>
      </c>
      <c r="E595">
        <v>167</v>
      </c>
      <c r="F595">
        <v>72</v>
      </c>
      <c r="G595">
        <v>2</v>
      </c>
      <c r="H595" t="s">
        <v>590</v>
      </c>
      <c r="I595" t="s">
        <v>29</v>
      </c>
      <c r="J595" t="s">
        <v>6</v>
      </c>
      <c r="K595" t="s">
        <v>7</v>
      </c>
      <c r="L595" t="s">
        <v>31</v>
      </c>
      <c r="M595" t="s">
        <v>9</v>
      </c>
      <c r="N595" t="s">
        <v>20</v>
      </c>
      <c r="O595" t="s">
        <v>46</v>
      </c>
      <c r="P595" t="s">
        <v>20</v>
      </c>
      <c r="Q595" t="s">
        <v>23</v>
      </c>
      <c r="R595" t="s">
        <v>33</v>
      </c>
      <c r="S595" t="s">
        <v>15</v>
      </c>
      <c r="T595" t="s">
        <v>25</v>
      </c>
      <c r="U595" t="s">
        <v>29</v>
      </c>
      <c r="V595" s="94" t="s">
        <v>1199</v>
      </c>
      <c r="W595" t="s">
        <v>26</v>
      </c>
    </row>
    <row r="596" spans="1:23" ht="12.75">
      <c r="A596" s="1">
        <v>45749.24560185185</v>
      </c>
      <c r="C596" t="s">
        <v>329</v>
      </c>
      <c r="D596">
        <v>33</v>
      </c>
      <c r="E596">
        <v>178</v>
      </c>
      <c r="F596">
        <v>96</v>
      </c>
      <c r="G596">
        <v>2</v>
      </c>
      <c r="H596" t="s">
        <v>28</v>
      </c>
      <c r="I596" t="s">
        <v>29</v>
      </c>
      <c r="J596" t="s">
        <v>36</v>
      </c>
      <c r="K596" t="s">
        <v>63</v>
      </c>
      <c r="L596" t="s">
        <v>40</v>
      </c>
      <c r="M596" t="s">
        <v>21</v>
      </c>
      <c r="N596" t="s">
        <v>10</v>
      </c>
      <c r="O596" t="s">
        <v>44</v>
      </c>
      <c r="P596" t="s">
        <v>12</v>
      </c>
      <c r="Q596" t="s">
        <v>32</v>
      </c>
      <c r="R596" t="s">
        <v>33</v>
      </c>
      <c r="S596" t="s">
        <v>25</v>
      </c>
      <c r="T596" t="s">
        <v>24</v>
      </c>
      <c r="U596" t="s">
        <v>29</v>
      </c>
      <c r="V596" s="94" t="s">
        <v>1200</v>
      </c>
      <c r="W596" t="s">
        <v>39</v>
      </c>
    </row>
    <row r="597" spans="1:23" ht="12.75">
      <c r="A597" s="1">
        <v>45785.106111111112</v>
      </c>
      <c r="C597" t="s">
        <v>330</v>
      </c>
      <c r="D597">
        <v>32</v>
      </c>
      <c r="E597">
        <v>178</v>
      </c>
      <c r="F597">
        <v>70</v>
      </c>
      <c r="G597">
        <v>2</v>
      </c>
      <c r="H597" t="s">
        <v>592</v>
      </c>
      <c r="I597" t="s">
        <v>29</v>
      </c>
      <c r="J597" t="s">
        <v>6</v>
      </c>
      <c r="K597" t="s">
        <v>60</v>
      </c>
      <c r="L597" t="s">
        <v>12</v>
      </c>
      <c r="M597" t="s">
        <v>52</v>
      </c>
      <c r="N597" t="s">
        <v>8</v>
      </c>
      <c r="O597" t="s">
        <v>11</v>
      </c>
      <c r="P597" t="s">
        <v>12</v>
      </c>
      <c r="Q597" t="s">
        <v>23</v>
      </c>
      <c r="R597" t="s">
        <v>14</v>
      </c>
      <c r="S597" t="s">
        <v>25</v>
      </c>
      <c r="T597" t="s">
        <v>24</v>
      </c>
      <c r="U597" t="s">
        <v>5</v>
      </c>
      <c r="V597" s="94" t="s">
        <v>1201</v>
      </c>
      <c r="W597" t="s">
        <v>26</v>
      </c>
    </row>
    <row r="598" spans="1:23" ht="12.75">
      <c r="A598" s="1">
        <v>45773.855196759258</v>
      </c>
      <c r="C598" t="s">
        <v>331</v>
      </c>
      <c r="D598">
        <v>47</v>
      </c>
      <c r="E598">
        <v>174</v>
      </c>
      <c r="F598">
        <v>70</v>
      </c>
      <c r="G598">
        <v>1.5</v>
      </c>
      <c r="H598" t="s">
        <v>28</v>
      </c>
      <c r="I598" t="s">
        <v>5</v>
      </c>
      <c r="J598" t="s">
        <v>6</v>
      </c>
      <c r="K598" t="s">
        <v>37</v>
      </c>
      <c r="L598" t="s">
        <v>40</v>
      </c>
      <c r="M598" t="s">
        <v>9</v>
      </c>
      <c r="N598" t="s">
        <v>12</v>
      </c>
      <c r="O598" t="s">
        <v>11</v>
      </c>
      <c r="P598" t="s">
        <v>10</v>
      </c>
      <c r="Q598" t="s">
        <v>55</v>
      </c>
      <c r="R598" t="s">
        <v>50</v>
      </c>
      <c r="S598" t="s">
        <v>24</v>
      </c>
      <c r="T598" t="s">
        <v>25</v>
      </c>
      <c r="U598" t="s">
        <v>5</v>
      </c>
      <c r="V598" s="94" t="s">
        <v>1202</v>
      </c>
      <c r="W598" t="s">
        <v>16</v>
      </c>
    </row>
    <row r="599" spans="1:23" ht="12.75">
      <c r="A599" s="1">
        <v>45691.305277777778</v>
      </c>
      <c r="C599" t="s">
        <v>332</v>
      </c>
      <c r="D599">
        <v>31</v>
      </c>
      <c r="E599">
        <v>164</v>
      </c>
      <c r="F599">
        <v>69</v>
      </c>
      <c r="G599">
        <v>2</v>
      </c>
      <c r="H599" t="s">
        <v>28</v>
      </c>
      <c r="I599" t="s">
        <v>29</v>
      </c>
      <c r="J599" t="s">
        <v>6</v>
      </c>
      <c r="K599" t="s">
        <v>30</v>
      </c>
      <c r="L599" t="s">
        <v>8</v>
      </c>
      <c r="M599" t="s">
        <v>9</v>
      </c>
      <c r="N599" t="s">
        <v>12</v>
      </c>
      <c r="O599" t="s">
        <v>22</v>
      </c>
      <c r="P599" t="s">
        <v>40</v>
      </c>
      <c r="Q599" t="s">
        <v>55</v>
      </c>
      <c r="R599" t="s">
        <v>50</v>
      </c>
      <c r="S599" t="s">
        <v>15</v>
      </c>
      <c r="T599" t="s">
        <v>25</v>
      </c>
      <c r="U599" t="s">
        <v>5</v>
      </c>
      <c r="V599" s="94" t="s">
        <v>1203</v>
      </c>
      <c r="W599" t="s">
        <v>34</v>
      </c>
    </row>
    <row r="600" spans="1:23" ht="12.75">
      <c r="A600" s="1">
        <v>45811.491064814814</v>
      </c>
      <c r="C600" t="s">
        <v>247</v>
      </c>
      <c r="D600">
        <v>47</v>
      </c>
      <c r="E600">
        <v>160</v>
      </c>
      <c r="F600">
        <v>99</v>
      </c>
      <c r="G600">
        <v>1</v>
      </c>
      <c r="H600" t="s">
        <v>28</v>
      </c>
      <c r="I600" t="s">
        <v>5</v>
      </c>
      <c r="J600" t="s">
        <v>36</v>
      </c>
      <c r="K600" t="s">
        <v>30</v>
      </c>
      <c r="L600" t="s">
        <v>31</v>
      </c>
      <c r="M600" t="s">
        <v>21</v>
      </c>
      <c r="N600" t="s">
        <v>40</v>
      </c>
      <c r="O600" t="s">
        <v>11</v>
      </c>
      <c r="P600" t="s">
        <v>8</v>
      </c>
      <c r="Q600" t="s">
        <v>23</v>
      </c>
      <c r="R600" t="s">
        <v>14</v>
      </c>
      <c r="S600" t="s">
        <v>47</v>
      </c>
      <c r="T600" t="s">
        <v>47</v>
      </c>
      <c r="U600" t="s">
        <v>29</v>
      </c>
      <c r="V600" s="94" t="s">
        <v>1204</v>
      </c>
      <c r="W600" t="s">
        <v>39</v>
      </c>
    </row>
    <row r="601" spans="1:23" ht="12.75">
      <c r="A601" s="1">
        <v>45675.971724537034</v>
      </c>
      <c r="C601" t="s">
        <v>180</v>
      </c>
      <c r="D601">
        <v>40</v>
      </c>
      <c r="E601">
        <v>156</v>
      </c>
      <c r="F601">
        <v>51</v>
      </c>
      <c r="G601">
        <v>2.5</v>
      </c>
      <c r="H601" t="s">
        <v>590</v>
      </c>
      <c r="I601" t="s">
        <v>29</v>
      </c>
      <c r="J601" t="s">
        <v>36</v>
      </c>
      <c r="K601" t="s">
        <v>19</v>
      </c>
      <c r="L601" t="s">
        <v>10</v>
      </c>
      <c r="M601" t="s">
        <v>38</v>
      </c>
      <c r="N601" t="s">
        <v>10</v>
      </c>
      <c r="O601" t="s">
        <v>46</v>
      </c>
      <c r="P601" t="s">
        <v>40</v>
      </c>
      <c r="Q601" t="s">
        <v>32</v>
      </c>
      <c r="R601" t="s">
        <v>50</v>
      </c>
      <c r="S601" t="s">
        <v>15</v>
      </c>
      <c r="T601" t="s">
        <v>25</v>
      </c>
      <c r="U601" t="s">
        <v>29</v>
      </c>
      <c r="V601" s="94" t="s">
        <v>1205</v>
      </c>
      <c r="W601" t="s">
        <v>26</v>
      </c>
    </row>
    <row r="602" spans="1:23" ht="12.75">
      <c r="A602" s="1">
        <v>45740.81927083333</v>
      </c>
      <c r="C602" t="s">
        <v>119</v>
      </c>
      <c r="D602">
        <v>35</v>
      </c>
      <c r="E602">
        <v>181</v>
      </c>
      <c r="F602">
        <v>57</v>
      </c>
      <c r="G602">
        <v>2.5</v>
      </c>
      <c r="H602" t="s">
        <v>590</v>
      </c>
      <c r="I602" t="s">
        <v>5</v>
      </c>
      <c r="J602" t="s">
        <v>6</v>
      </c>
      <c r="K602" t="s">
        <v>63</v>
      </c>
      <c r="L602" t="s">
        <v>8</v>
      </c>
      <c r="M602" t="s">
        <v>9</v>
      </c>
      <c r="N602" t="s">
        <v>20</v>
      </c>
      <c r="O602" t="s">
        <v>11</v>
      </c>
      <c r="P602" t="s">
        <v>12</v>
      </c>
      <c r="Q602" t="s">
        <v>13</v>
      </c>
      <c r="R602" t="s">
        <v>50</v>
      </c>
      <c r="S602" t="s">
        <v>24</v>
      </c>
      <c r="T602" t="s">
        <v>47</v>
      </c>
      <c r="U602" t="s">
        <v>29</v>
      </c>
      <c r="V602" s="94" t="s">
        <v>1206</v>
      </c>
      <c r="W602" t="s">
        <v>39</v>
      </c>
    </row>
    <row r="603" spans="1:23" ht="12.75">
      <c r="A603" s="1">
        <v>45807.175046296295</v>
      </c>
      <c r="C603" t="s">
        <v>223</v>
      </c>
      <c r="D603">
        <v>53</v>
      </c>
      <c r="E603">
        <v>178</v>
      </c>
      <c r="F603">
        <v>72</v>
      </c>
      <c r="G603">
        <v>1.5</v>
      </c>
      <c r="H603" t="s">
        <v>592</v>
      </c>
      <c r="I603" t="s">
        <v>29</v>
      </c>
      <c r="J603" t="s">
        <v>36</v>
      </c>
      <c r="K603" t="s">
        <v>63</v>
      </c>
      <c r="L603" t="s">
        <v>40</v>
      </c>
      <c r="M603" t="s">
        <v>21</v>
      </c>
      <c r="N603" t="s">
        <v>10</v>
      </c>
      <c r="O603" t="s">
        <v>22</v>
      </c>
      <c r="P603" t="s">
        <v>8</v>
      </c>
      <c r="Q603" t="s">
        <v>23</v>
      </c>
      <c r="R603" t="s">
        <v>14</v>
      </c>
      <c r="S603" t="s">
        <v>47</v>
      </c>
      <c r="T603" t="s">
        <v>15</v>
      </c>
      <c r="U603" t="s">
        <v>5</v>
      </c>
      <c r="V603" s="94" t="s">
        <v>1207</v>
      </c>
      <c r="W603" t="s">
        <v>16</v>
      </c>
    </row>
    <row r="604" spans="1:23" ht="12.75">
      <c r="A604" s="1">
        <v>45684.640046296299</v>
      </c>
      <c r="C604" t="s">
        <v>333</v>
      </c>
      <c r="D604">
        <v>43</v>
      </c>
      <c r="E604">
        <v>157</v>
      </c>
      <c r="F604">
        <v>91</v>
      </c>
      <c r="G604">
        <v>2.5</v>
      </c>
      <c r="H604" t="s">
        <v>590</v>
      </c>
      <c r="I604" t="s">
        <v>29</v>
      </c>
      <c r="J604" t="s">
        <v>36</v>
      </c>
      <c r="K604" t="s">
        <v>63</v>
      </c>
      <c r="L604" t="s">
        <v>10</v>
      </c>
      <c r="M604" t="s">
        <v>21</v>
      </c>
      <c r="N604" t="s">
        <v>12</v>
      </c>
      <c r="O604" t="s">
        <v>46</v>
      </c>
      <c r="P604" t="s">
        <v>12</v>
      </c>
      <c r="Q604" t="s">
        <v>13</v>
      </c>
      <c r="R604" t="s">
        <v>33</v>
      </c>
      <c r="S604" t="s">
        <v>15</v>
      </c>
      <c r="T604" t="s">
        <v>25</v>
      </c>
      <c r="U604" t="s">
        <v>5</v>
      </c>
      <c r="V604" s="94" t="s">
        <v>1208</v>
      </c>
      <c r="W604" t="s">
        <v>39</v>
      </c>
    </row>
    <row r="605" spans="1:23" ht="12.75">
      <c r="A605" s="1">
        <v>45722.135682870372</v>
      </c>
      <c r="C605" t="s">
        <v>3</v>
      </c>
      <c r="D605">
        <v>30</v>
      </c>
      <c r="E605">
        <v>181</v>
      </c>
      <c r="F605">
        <v>100</v>
      </c>
      <c r="G605">
        <v>2</v>
      </c>
      <c r="H605" t="s">
        <v>590</v>
      </c>
      <c r="I605" t="s">
        <v>29</v>
      </c>
      <c r="J605" t="s">
        <v>6</v>
      </c>
      <c r="K605" t="s">
        <v>7</v>
      </c>
      <c r="L605" t="s">
        <v>40</v>
      </c>
      <c r="M605" t="s">
        <v>38</v>
      </c>
      <c r="N605" t="s">
        <v>20</v>
      </c>
      <c r="O605" t="s">
        <v>22</v>
      </c>
      <c r="P605" t="s">
        <v>40</v>
      </c>
      <c r="Q605" t="s">
        <v>13</v>
      </c>
      <c r="R605" t="s">
        <v>14</v>
      </c>
      <c r="S605" t="s">
        <v>24</v>
      </c>
      <c r="T605" t="s">
        <v>15</v>
      </c>
      <c r="U605" t="s">
        <v>29</v>
      </c>
      <c r="V605" s="94" t="s">
        <v>1209</v>
      </c>
      <c r="W605" t="s">
        <v>26</v>
      </c>
    </row>
    <row r="606" spans="1:23" ht="12.75">
      <c r="A606" s="1">
        <v>45740.540266203701</v>
      </c>
      <c r="C606" t="s">
        <v>169</v>
      </c>
      <c r="D606">
        <v>38</v>
      </c>
      <c r="E606">
        <v>159</v>
      </c>
      <c r="F606">
        <v>83</v>
      </c>
      <c r="G606">
        <v>2.5</v>
      </c>
      <c r="H606" t="s">
        <v>28</v>
      </c>
      <c r="I606" t="s">
        <v>5</v>
      </c>
      <c r="J606" t="s">
        <v>6</v>
      </c>
      <c r="K606" t="s">
        <v>60</v>
      </c>
      <c r="L606" t="s">
        <v>40</v>
      </c>
      <c r="M606" t="s">
        <v>21</v>
      </c>
      <c r="N606" t="s">
        <v>8</v>
      </c>
      <c r="O606" t="s">
        <v>22</v>
      </c>
      <c r="P606" t="s">
        <v>31</v>
      </c>
      <c r="Q606" t="s">
        <v>23</v>
      </c>
      <c r="R606" t="s">
        <v>50</v>
      </c>
      <c r="S606" t="s">
        <v>15</v>
      </c>
      <c r="T606" t="s">
        <v>24</v>
      </c>
      <c r="U606" t="s">
        <v>5</v>
      </c>
      <c r="V606" s="94" t="s">
        <v>1210</v>
      </c>
      <c r="W606" t="s">
        <v>16</v>
      </c>
    </row>
    <row r="607" spans="1:23" ht="12.75">
      <c r="A607" s="1">
        <v>45804.185624999998</v>
      </c>
      <c r="C607" t="s">
        <v>119</v>
      </c>
      <c r="D607">
        <v>38</v>
      </c>
      <c r="E607">
        <v>157</v>
      </c>
      <c r="F607">
        <v>104</v>
      </c>
      <c r="G607">
        <v>3</v>
      </c>
      <c r="H607" t="s">
        <v>590</v>
      </c>
      <c r="I607" t="s">
        <v>5</v>
      </c>
      <c r="J607" t="s">
        <v>36</v>
      </c>
      <c r="K607" t="s">
        <v>19</v>
      </c>
      <c r="L607" t="s">
        <v>8</v>
      </c>
      <c r="M607" t="s">
        <v>52</v>
      </c>
      <c r="N607" t="s">
        <v>40</v>
      </c>
      <c r="O607" t="s">
        <v>44</v>
      </c>
      <c r="P607" t="s">
        <v>8</v>
      </c>
      <c r="Q607" t="s">
        <v>23</v>
      </c>
      <c r="R607" t="s">
        <v>33</v>
      </c>
      <c r="S607" t="s">
        <v>25</v>
      </c>
      <c r="T607" t="s">
        <v>25</v>
      </c>
      <c r="U607" t="s">
        <v>29</v>
      </c>
      <c r="V607" s="94" t="s">
        <v>1211</v>
      </c>
      <c r="W607" t="s">
        <v>16</v>
      </c>
    </row>
    <row r="608" spans="1:23" ht="12.75">
      <c r="A608" s="1">
        <v>45776.893553240741</v>
      </c>
      <c r="C608" t="s">
        <v>214</v>
      </c>
      <c r="D608">
        <v>21</v>
      </c>
      <c r="E608">
        <v>159</v>
      </c>
      <c r="F608">
        <v>101</v>
      </c>
      <c r="G608">
        <v>2.5</v>
      </c>
      <c r="H608" t="s">
        <v>28</v>
      </c>
      <c r="I608" t="s">
        <v>29</v>
      </c>
      <c r="J608" t="s">
        <v>36</v>
      </c>
      <c r="K608" t="s">
        <v>7</v>
      </c>
      <c r="L608" t="s">
        <v>20</v>
      </c>
      <c r="M608" t="s">
        <v>21</v>
      </c>
      <c r="N608" t="s">
        <v>31</v>
      </c>
      <c r="O608" t="s">
        <v>44</v>
      </c>
      <c r="P608" t="s">
        <v>31</v>
      </c>
      <c r="Q608" t="s">
        <v>13</v>
      </c>
      <c r="R608" t="s">
        <v>14</v>
      </c>
      <c r="S608" t="s">
        <v>25</v>
      </c>
      <c r="T608" t="s">
        <v>15</v>
      </c>
      <c r="U608" t="s">
        <v>5</v>
      </c>
      <c r="V608" s="94" t="s">
        <v>1212</v>
      </c>
      <c r="W608" t="s">
        <v>26</v>
      </c>
    </row>
    <row r="609" spans="1:23" ht="12.75">
      <c r="A609" s="1">
        <v>45789.690567129626</v>
      </c>
      <c r="C609" t="s">
        <v>334</v>
      </c>
      <c r="D609">
        <v>58</v>
      </c>
      <c r="E609">
        <v>176</v>
      </c>
      <c r="F609">
        <v>109</v>
      </c>
      <c r="G609">
        <v>2</v>
      </c>
      <c r="H609" t="s">
        <v>591</v>
      </c>
      <c r="I609" t="s">
        <v>29</v>
      </c>
      <c r="J609" t="s">
        <v>6</v>
      </c>
      <c r="K609" t="s">
        <v>60</v>
      </c>
      <c r="L609" t="s">
        <v>8</v>
      </c>
      <c r="M609" t="s">
        <v>38</v>
      </c>
      <c r="N609" t="s">
        <v>10</v>
      </c>
      <c r="O609" t="s">
        <v>22</v>
      </c>
      <c r="P609" t="s">
        <v>20</v>
      </c>
      <c r="Q609" t="s">
        <v>32</v>
      </c>
      <c r="R609" t="s">
        <v>14</v>
      </c>
      <c r="S609" t="s">
        <v>47</v>
      </c>
      <c r="T609" t="s">
        <v>24</v>
      </c>
      <c r="U609" t="s">
        <v>5</v>
      </c>
      <c r="V609" s="94" t="s">
        <v>1213</v>
      </c>
      <c r="W609" t="s">
        <v>16</v>
      </c>
    </row>
    <row r="610" spans="1:23" ht="12.75">
      <c r="A610" s="1">
        <v>45726.182974537034</v>
      </c>
      <c r="C610" t="s">
        <v>178</v>
      </c>
      <c r="D610">
        <v>51</v>
      </c>
      <c r="E610">
        <v>159</v>
      </c>
      <c r="F610">
        <v>59</v>
      </c>
      <c r="G610">
        <v>1</v>
      </c>
      <c r="H610" t="s">
        <v>590</v>
      </c>
      <c r="I610" t="s">
        <v>5</v>
      </c>
      <c r="J610" t="s">
        <v>6</v>
      </c>
      <c r="K610" t="s">
        <v>63</v>
      </c>
      <c r="L610" t="s">
        <v>31</v>
      </c>
      <c r="M610" t="s">
        <v>21</v>
      </c>
      <c r="N610" t="s">
        <v>8</v>
      </c>
      <c r="O610" t="s">
        <v>11</v>
      </c>
      <c r="P610" t="s">
        <v>31</v>
      </c>
      <c r="Q610" t="s">
        <v>55</v>
      </c>
      <c r="R610" t="s">
        <v>33</v>
      </c>
      <c r="S610" t="s">
        <v>15</v>
      </c>
      <c r="T610" t="s">
        <v>24</v>
      </c>
      <c r="U610" t="s">
        <v>5</v>
      </c>
      <c r="V610" s="94" t="s">
        <v>1214</v>
      </c>
      <c r="W610" t="s">
        <v>16</v>
      </c>
    </row>
    <row r="611" spans="1:23" ht="12.75">
      <c r="A611" s="1">
        <v>45751.529699074075</v>
      </c>
      <c r="C611" t="s">
        <v>43</v>
      </c>
      <c r="D611">
        <v>29</v>
      </c>
      <c r="E611">
        <v>181</v>
      </c>
      <c r="F611">
        <v>55</v>
      </c>
      <c r="G611">
        <v>1</v>
      </c>
      <c r="H611" t="s">
        <v>28</v>
      </c>
      <c r="I611" t="s">
        <v>29</v>
      </c>
      <c r="J611" t="s">
        <v>6</v>
      </c>
      <c r="K611" t="s">
        <v>19</v>
      </c>
      <c r="L611" t="s">
        <v>40</v>
      </c>
      <c r="M611" t="s">
        <v>38</v>
      </c>
      <c r="N611" t="s">
        <v>20</v>
      </c>
      <c r="O611" t="s">
        <v>44</v>
      </c>
      <c r="P611" t="s">
        <v>40</v>
      </c>
      <c r="Q611" t="s">
        <v>13</v>
      </c>
      <c r="R611" t="s">
        <v>14</v>
      </c>
      <c r="S611" t="s">
        <v>24</v>
      </c>
      <c r="T611" t="s">
        <v>25</v>
      </c>
      <c r="U611" t="s">
        <v>5</v>
      </c>
      <c r="V611" s="94" t="s">
        <v>1215</v>
      </c>
      <c r="W611" t="s">
        <v>26</v>
      </c>
    </row>
    <row r="612" spans="1:23" ht="12.75">
      <c r="A612" s="1">
        <v>45710.769432870373</v>
      </c>
      <c r="C612" t="s">
        <v>198</v>
      </c>
      <c r="D612">
        <v>42</v>
      </c>
      <c r="E612">
        <v>164</v>
      </c>
      <c r="F612">
        <v>99</v>
      </c>
      <c r="G612">
        <v>1</v>
      </c>
      <c r="H612" t="s">
        <v>590</v>
      </c>
      <c r="I612" t="s">
        <v>5</v>
      </c>
      <c r="J612" t="s">
        <v>6</v>
      </c>
      <c r="K612" t="s">
        <v>63</v>
      </c>
      <c r="L612" t="s">
        <v>8</v>
      </c>
      <c r="M612" t="s">
        <v>38</v>
      </c>
      <c r="N612" t="s">
        <v>8</v>
      </c>
      <c r="O612" t="s">
        <v>44</v>
      </c>
      <c r="P612" t="s">
        <v>31</v>
      </c>
      <c r="Q612" t="s">
        <v>23</v>
      </c>
      <c r="R612" t="s">
        <v>33</v>
      </c>
      <c r="S612" t="s">
        <v>25</v>
      </c>
      <c r="T612" t="s">
        <v>24</v>
      </c>
      <c r="U612" t="s">
        <v>5</v>
      </c>
      <c r="V612" s="94" t="s">
        <v>1216</v>
      </c>
      <c r="W612" t="s">
        <v>16</v>
      </c>
    </row>
    <row r="613" spans="1:23" ht="12.75">
      <c r="A613" s="1">
        <v>45702.428877314815</v>
      </c>
      <c r="C613" t="s">
        <v>335</v>
      </c>
      <c r="D613">
        <v>53</v>
      </c>
      <c r="E613">
        <v>188</v>
      </c>
      <c r="F613">
        <v>59</v>
      </c>
      <c r="G613">
        <v>1.5</v>
      </c>
      <c r="H613" t="s">
        <v>592</v>
      </c>
      <c r="I613" t="s">
        <v>5</v>
      </c>
      <c r="J613" t="s">
        <v>6</v>
      </c>
      <c r="K613" t="s">
        <v>63</v>
      </c>
      <c r="L613" t="s">
        <v>10</v>
      </c>
      <c r="M613" t="s">
        <v>52</v>
      </c>
      <c r="N613" t="s">
        <v>40</v>
      </c>
      <c r="O613" t="s">
        <v>46</v>
      </c>
      <c r="P613" t="s">
        <v>40</v>
      </c>
      <c r="Q613" t="s">
        <v>13</v>
      </c>
      <c r="R613" t="s">
        <v>33</v>
      </c>
      <c r="S613" t="s">
        <v>47</v>
      </c>
      <c r="T613" t="s">
        <v>47</v>
      </c>
      <c r="U613" t="s">
        <v>29</v>
      </c>
      <c r="V613" s="94" t="s">
        <v>1217</v>
      </c>
      <c r="W613" t="s">
        <v>26</v>
      </c>
    </row>
    <row r="614" spans="1:23" ht="12.75">
      <c r="A614" s="1">
        <v>45671.284108796295</v>
      </c>
      <c r="C614" t="s">
        <v>78</v>
      </c>
      <c r="D614">
        <v>51</v>
      </c>
      <c r="E614">
        <v>172</v>
      </c>
      <c r="F614">
        <v>97</v>
      </c>
      <c r="G614">
        <v>2</v>
      </c>
      <c r="H614" t="s">
        <v>592</v>
      </c>
      <c r="I614" t="s">
        <v>5</v>
      </c>
      <c r="J614" t="s">
        <v>6</v>
      </c>
      <c r="K614" t="s">
        <v>30</v>
      </c>
      <c r="L614" t="s">
        <v>40</v>
      </c>
      <c r="M614" t="s">
        <v>21</v>
      </c>
      <c r="N614" t="s">
        <v>10</v>
      </c>
      <c r="O614" t="s">
        <v>44</v>
      </c>
      <c r="P614" t="s">
        <v>12</v>
      </c>
      <c r="Q614" t="s">
        <v>32</v>
      </c>
      <c r="R614" t="s">
        <v>14</v>
      </c>
      <c r="S614" t="s">
        <v>47</v>
      </c>
      <c r="T614" t="s">
        <v>15</v>
      </c>
      <c r="U614" t="s">
        <v>29</v>
      </c>
      <c r="V614" s="94" t="s">
        <v>1218</v>
      </c>
      <c r="W614" t="s">
        <v>39</v>
      </c>
    </row>
    <row r="615" spans="1:23" ht="12.75">
      <c r="A615" s="1">
        <v>45677.722557870373</v>
      </c>
      <c r="C615" t="s">
        <v>336</v>
      </c>
      <c r="D615">
        <v>40</v>
      </c>
      <c r="E615">
        <v>160</v>
      </c>
      <c r="F615">
        <v>73</v>
      </c>
      <c r="G615">
        <v>2</v>
      </c>
      <c r="H615" t="s">
        <v>592</v>
      </c>
      <c r="I615" t="s">
        <v>5</v>
      </c>
      <c r="J615" t="s">
        <v>36</v>
      </c>
      <c r="K615" t="s">
        <v>37</v>
      </c>
      <c r="L615" t="s">
        <v>40</v>
      </c>
      <c r="M615" t="s">
        <v>21</v>
      </c>
      <c r="N615" t="s">
        <v>10</v>
      </c>
      <c r="O615" t="s">
        <v>46</v>
      </c>
      <c r="P615" t="s">
        <v>10</v>
      </c>
      <c r="Q615" t="s">
        <v>23</v>
      </c>
      <c r="R615" t="s">
        <v>14</v>
      </c>
      <c r="S615" t="s">
        <v>47</v>
      </c>
      <c r="T615" t="s">
        <v>24</v>
      </c>
      <c r="U615" t="s">
        <v>29</v>
      </c>
      <c r="V615" s="94" t="s">
        <v>1219</v>
      </c>
      <c r="W615" t="s">
        <v>26</v>
      </c>
    </row>
    <row r="616" spans="1:23" ht="12.75">
      <c r="A616" s="1">
        <v>45689.348645833335</v>
      </c>
      <c r="C616" t="s">
        <v>27</v>
      </c>
      <c r="D616">
        <v>29</v>
      </c>
      <c r="E616">
        <v>158</v>
      </c>
      <c r="F616">
        <v>94</v>
      </c>
      <c r="G616">
        <v>1</v>
      </c>
      <c r="H616" t="s">
        <v>590</v>
      </c>
      <c r="I616" t="s">
        <v>5</v>
      </c>
      <c r="J616" t="s">
        <v>6</v>
      </c>
      <c r="K616" t="s">
        <v>63</v>
      </c>
      <c r="L616" t="s">
        <v>40</v>
      </c>
      <c r="M616" t="s">
        <v>9</v>
      </c>
      <c r="N616" t="s">
        <v>20</v>
      </c>
      <c r="O616" t="s">
        <v>11</v>
      </c>
      <c r="P616" t="s">
        <v>31</v>
      </c>
      <c r="Q616" t="s">
        <v>13</v>
      </c>
      <c r="R616" t="s">
        <v>50</v>
      </c>
      <c r="S616" t="s">
        <v>47</v>
      </c>
      <c r="T616" t="s">
        <v>24</v>
      </c>
      <c r="U616" t="s">
        <v>5</v>
      </c>
      <c r="V616" s="94" t="s">
        <v>1220</v>
      </c>
      <c r="W616" t="s">
        <v>34</v>
      </c>
    </row>
    <row r="617" spans="1:23" ht="12.75">
      <c r="A617" s="1">
        <v>45731.631296296298</v>
      </c>
      <c r="C617" t="s">
        <v>265</v>
      </c>
      <c r="D617">
        <v>37</v>
      </c>
      <c r="E617">
        <v>177</v>
      </c>
      <c r="F617">
        <v>52</v>
      </c>
      <c r="G617">
        <v>1.5</v>
      </c>
      <c r="H617" t="s">
        <v>590</v>
      </c>
      <c r="I617" t="s">
        <v>29</v>
      </c>
      <c r="J617" t="s">
        <v>36</v>
      </c>
      <c r="K617" t="s">
        <v>37</v>
      </c>
      <c r="L617" t="s">
        <v>10</v>
      </c>
      <c r="M617" t="s">
        <v>52</v>
      </c>
      <c r="N617" t="s">
        <v>20</v>
      </c>
      <c r="O617" t="s">
        <v>46</v>
      </c>
      <c r="P617" t="s">
        <v>40</v>
      </c>
      <c r="Q617" t="s">
        <v>55</v>
      </c>
      <c r="R617" t="s">
        <v>33</v>
      </c>
      <c r="S617" t="s">
        <v>47</v>
      </c>
      <c r="T617" t="s">
        <v>25</v>
      </c>
      <c r="U617" t="s">
        <v>5</v>
      </c>
      <c r="V617" s="94" t="s">
        <v>1221</v>
      </c>
      <c r="W617" t="s">
        <v>16</v>
      </c>
    </row>
    <row r="618" spans="1:23" ht="12.75">
      <c r="A618" s="1">
        <v>45777.758900462963</v>
      </c>
      <c r="C618" t="s">
        <v>72</v>
      </c>
      <c r="D618">
        <v>29</v>
      </c>
      <c r="E618">
        <v>186</v>
      </c>
      <c r="F618">
        <v>77</v>
      </c>
      <c r="G618">
        <v>1</v>
      </c>
      <c r="H618" t="s">
        <v>28</v>
      </c>
      <c r="I618" t="s">
        <v>5</v>
      </c>
      <c r="J618" t="s">
        <v>6</v>
      </c>
      <c r="K618" t="s">
        <v>7</v>
      </c>
      <c r="L618" t="s">
        <v>10</v>
      </c>
      <c r="M618" t="s">
        <v>21</v>
      </c>
      <c r="N618" t="s">
        <v>8</v>
      </c>
      <c r="O618" t="s">
        <v>22</v>
      </c>
      <c r="P618" t="s">
        <v>40</v>
      </c>
      <c r="Q618" t="s">
        <v>23</v>
      </c>
      <c r="R618" t="s">
        <v>50</v>
      </c>
      <c r="S618" t="s">
        <v>15</v>
      </c>
      <c r="T618" t="s">
        <v>25</v>
      </c>
      <c r="U618" t="s">
        <v>5</v>
      </c>
      <c r="V618" s="94" t="s">
        <v>1222</v>
      </c>
      <c r="W618" t="s">
        <v>26</v>
      </c>
    </row>
    <row r="619" spans="1:23" ht="12.75">
      <c r="A619" s="1">
        <v>45734.216620370367</v>
      </c>
      <c r="C619" t="s">
        <v>95</v>
      </c>
      <c r="D619">
        <v>52</v>
      </c>
      <c r="E619">
        <v>182</v>
      </c>
      <c r="F619">
        <v>106</v>
      </c>
      <c r="G619">
        <v>3</v>
      </c>
      <c r="H619" t="s">
        <v>590</v>
      </c>
      <c r="I619" t="s">
        <v>29</v>
      </c>
      <c r="J619" t="s">
        <v>6</v>
      </c>
      <c r="K619" t="s">
        <v>30</v>
      </c>
      <c r="L619" t="s">
        <v>12</v>
      </c>
      <c r="M619" t="s">
        <v>38</v>
      </c>
      <c r="N619" t="s">
        <v>10</v>
      </c>
      <c r="O619" t="s">
        <v>11</v>
      </c>
      <c r="P619" t="s">
        <v>8</v>
      </c>
      <c r="Q619" t="s">
        <v>32</v>
      </c>
      <c r="R619" t="s">
        <v>14</v>
      </c>
      <c r="S619" t="s">
        <v>24</v>
      </c>
      <c r="T619" t="s">
        <v>15</v>
      </c>
      <c r="U619" t="s">
        <v>5</v>
      </c>
      <c r="V619" s="94" t="s">
        <v>1223</v>
      </c>
      <c r="W619" t="s">
        <v>39</v>
      </c>
    </row>
    <row r="620" spans="1:23" ht="12.75">
      <c r="A620" s="1">
        <v>45728.099652777775</v>
      </c>
      <c r="C620" t="s">
        <v>180</v>
      </c>
      <c r="D620">
        <v>57</v>
      </c>
      <c r="E620">
        <v>168</v>
      </c>
      <c r="F620">
        <v>99</v>
      </c>
      <c r="G620">
        <v>2.5</v>
      </c>
      <c r="H620" t="s">
        <v>590</v>
      </c>
      <c r="I620" t="s">
        <v>29</v>
      </c>
      <c r="J620" t="s">
        <v>6</v>
      </c>
      <c r="K620" t="s">
        <v>60</v>
      </c>
      <c r="L620" t="s">
        <v>12</v>
      </c>
      <c r="M620" t="s">
        <v>38</v>
      </c>
      <c r="N620" t="s">
        <v>12</v>
      </c>
      <c r="O620" t="s">
        <v>46</v>
      </c>
      <c r="P620" t="s">
        <v>20</v>
      </c>
      <c r="Q620" t="s">
        <v>32</v>
      </c>
      <c r="R620" t="s">
        <v>14</v>
      </c>
      <c r="S620" t="s">
        <v>24</v>
      </c>
      <c r="T620" t="s">
        <v>47</v>
      </c>
      <c r="U620" t="s">
        <v>29</v>
      </c>
      <c r="V620" s="94" t="s">
        <v>1224</v>
      </c>
      <c r="W620" t="s">
        <v>34</v>
      </c>
    </row>
    <row r="621" spans="1:23" ht="12.75">
      <c r="A621" s="1">
        <v>45758.161956018521</v>
      </c>
      <c r="C621" t="s">
        <v>200</v>
      </c>
      <c r="D621">
        <v>30</v>
      </c>
      <c r="E621">
        <v>163</v>
      </c>
      <c r="F621">
        <v>76</v>
      </c>
      <c r="G621">
        <v>2.5</v>
      </c>
      <c r="H621" t="s">
        <v>590</v>
      </c>
      <c r="I621" t="s">
        <v>29</v>
      </c>
      <c r="J621" t="s">
        <v>6</v>
      </c>
      <c r="K621" t="s">
        <v>60</v>
      </c>
      <c r="L621" t="s">
        <v>8</v>
      </c>
      <c r="M621" t="s">
        <v>52</v>
      </c>
      <c r="N621" t="s">
        <v>31</v>
      </c>
      <c r="O621" t="s">
        <v>46</v>
      </c>
      <c r="P621" t="s">
        <v>10</v>
      </c>
      <c r="Q621" t="s">
        <v>23</v>
      </c>
      <c r="R621" t="s">
        <v>50</v>
      </c>
      <c r="S621" t="s">
        <v>15</v>
      </c>
      <c r="T621" t="s">
        <v>15</v>
      </c>
      <c r="U621" t="s">
        <v>29</v>
      </c>
      <c r="V621" s="94" t="s">
        <v>1225</v>
      </c>
      <c r="W621" t="s">
        <v>16</v>
      </c>
    </row>
    <row r="622" spans="1:23" ht="12.75">
      <c r="A622" s="1">
        <v>45743.838067129633</v>
      </c>
      <c r="C622" t="s">
        <v>146</v>
      </c>
      <c r="D622">
        <v>43</v>
      </c>
      <c r="E622">
        <v>179</v>
      </c>
      <c r="F622">
        <v>103</v>
      </c>
      <c r="G622">
        <v>2</v>
      </c>
      <c r="H622" t="s">
        <v>592</v>
      </c>
      <c r="I622" t="s">
        <v>29</v>
      </c>
      <c r="J622" t="s">
        <v>6</v>
      </c>
      <c r="K622" t="s">
        <v>30</v>
      </c>
      <c r="L622" t="s">
        <v>8</v>
      </c>
      <c r="M622" t="s">
        <v>38</v>
      </c>
      <c r="N622" t="s">
        <v>12</v>
      </c>
      <c r="O622" t="s">
        <v>46</v>
      </c>
      <c r="P622" t="s">
        <v>20</v>
      </c>
      <c r="Q622" t="s">
        <v>55</v>
      </c>
      <c r="R622" t="s">
        <v>50</v>
      </c>
      <c r="S622" t="s">
        <v>24</v>
      </c>
      <c r="T622" t="s">
        <v>47</v>
      </c>
      <c r="U622" t="s">
        <v>5</v>
      </c>
      <c r="V622" s="94" t="s">
        <v>1226</v>
      </c>
      <c r="W622" t="s">
        <v>26</v>
      </c>
    </row>
    <row r="623" spans="1:23" ht="12.75">
      <c r="A623" s="1">
        <v>45762.778854166667</v>
      </c>
      <c r="C623" t="s">
        <v>189</v>
      </c>
      <c r="D623">
        <v>50</v>
      </c>
      <c r="E623">
        <v>179</v>
      </c>
      <c r="F623">
        <v>107</v>
      </c>
      <c r="G623">
        <v>1.5</v>
      </c>
      <c r="H623" t="s">
        <v>592</v>
      </c>
      <c r="I623" t="s">
        <v>5</v>
      </c>
      <c r="J623" t="s">
        <v>36</v>
      </c>
      <c r="K623" t="s">
        <v>30</v>
      </c>
      <c r="L623" t="s">
        <v>10</v>
      </c>
      <c r="M623" t="s">
        <v>38</v>
      </c>
      <c r="N623" t="s">
        <v>31</v>
      </c>
      <c r="O623" t="s">
        <v>22</v>
      </c>
      <c r="P623" t="s">
        <v>8</v>
      </c>
      <c r="Q623" t="s">
        <v>13</v>
      </c>
      <c r="R623" t="s">
        <v>50</v>
      </c>
      <c r="S623" t="s">
        <v>24</v>
      </c>
      <c r="T623" t="s">
        <v>24</v>
      </c>
      <c r="U623" t="s">
        <v>5</v>
      </c>
      <c r="V623" s="94" t="s">
        <v>1227</v>
      </c>
      <c r="W623" t="s">
        <v>16</v>
      </c>
    </row>
    <row r="624" spans="1:23" ht="12.75">
      <c r="A624" s="1">
        <v>45710.112118055556</v>
      </c>
      <c r="C624" t="s">
        <v>315</v>
      </c>
      <c r="D624">
        <v>36</v>
      </c>
      <c r="E624">
        <v>173</v>
      </c>
      <c r="F624">
        <v>84</v>
      </c>
      <c r="G624">
        <v>2.5</v>
      </c>
      <c r="H624" t="s">
        <v>28</v>
      </c>
      <c r="I624" t="s">
        <v>5</v>
      </c>
      <c r="J624" t="s">
        <v>6</v>
      </c>
      <c r="K624" t="s">
        <v>30</v>
      </c>
      <c r="L624" t="s">
        <v>20</v>
      </c>
      <c r="M624" t="s">
        <v>52</v>
      </c>
      <c r="N624" t="s">
        <v>12</v>
      </c>
      <c r="O624" t="s">
        <v>46</v>
      </c>
      <c r="P624" t="s">
        <v>10</v>
      </c>
      <c r="Q624" t="s">
        <v>32</v>
      </c>
      <c r="R624" t="s">
        <v>50</v>
      </c>
      <c r="S624" t="s">
        <v>47</v>
      </c>
      <c r="T624" t="s">
        <v>47</v>
      </c>
      <c r="U624" t="s">
        <v>5</v>
      </c>
      <c r="V624" s="94" t="s">
        <v>1228</v>
      </c>
      <c r="W624" t="s">
        <v>34</v>
      </c>
    </row>
    <row r="625" spans="1:23" ht="12.75">
      <c r="A625" s="1">
        <v>45720.696620370371</v>
      </c>
      <c r="C625" t="s">
        <v>205</v>
      </c>
      <c r="D625">
        <v>31</v>
      </c>
      <c r="E625">
        <v>181</v>
      </c>
      <c r="F625">
        <v>72</v>
      </c>
      <c r="G625">
        <v>3</v>
      </c>
      <c r="H625" t="s">
        <v>28</v>
      </c>
      <c r="I625" t="s">
        <v>29</v>
      </c>
      <c r="J625" t="s">
        <v>36</v>
      </c>
      <c r="K625" t="s">
        <v>37</v>
      </c>
      <c r="L625" t="s">
        <v>20</v>
      </c>
      <c r="M625" t="s">
        <v>52</v>
      </c>
      <c r="N625" t="s">
        <v>10</v>
      </c>
      <c r="O625" t="s">
        <v>46</v>
      </c>
      <c r="P625" t="s">
        <v>40</v>
      </c>
      <c r="Q625" t="s">
        <v>32</v>
      </c>
      <c r="R625" t="s">
        <v>33</v>
      </c>
      <c r="S625" t="s">
        <v>15</v>
      </c>
      <c r="T625" t="s">
        <v>47</v>
      </c>
      <c r="U625" t="s">
        <v>5</v>
      </c>
      <c r="V625" s="94" t="s">
        <v>1229</v>
      </c>
      <c r="W625" t="s">
        <v>26</v>
      </c>
    </row>
    <row r="626" spans="1:23" ht="12.75">
      <c r="A626" s="1">
        <v>45761.49763888889</v>
      </c>
      <c r="C626" t="s">
        <v>247</v>
      </c>
      <c r="D626">
        <v>34</v>
      </c>
      <c r="E626">
        <v>185</v>
      </c>
      <c r="F626">
        <v>83</v>
      </c>
      <c r="G626">
        <v>1</v>
      </c>
      <c r="H626" t="s">
        <v>592</v>
      </c>
      <c r="I626" t="s">
        <v>5</v>
      </c>
      <c r="J626" t="s">
        <v>6</v>
      </c>
      <c r="K626" t="s">
        <v>60</v>
      </c>
      <c r="L626" t="s">
        <v>10</v>
      </c>
      <c r="M626" t="s">
        <v>38</v>
      </c>
      <c r="N626" t="s">
        <v>31</v>
      </c>
      <c r="O626" t="s">
        <v>22</v>
      </c>
      <c r="P626" t="s">
        <v>12</v>
      </c>
      <c r="Q626" t="s">
        <v>55</v>
      </c>
      <c r="R626" t="s">
        <v>14</v>
      </c>
      <c r="S626" t="s">
        <v>25</v>
      </c>
      <c r="T626" t="s">
        <v>47</v>
      </c>
      <c r="U626" t="s">
        <v>5</v>
      </c>
      <c r="V626" s="94" t="s">
        <v>1230</v>
      </c>
      <c r="W626" t="s">
        <v>16</v>
      </c>
    </row>
    <row r="627" spans="1:23" ht="12.75">
      <c r="A627" s="1">
        <v>45724.268437500003</v>
      </c>
      <c r="C627" t="s">
        <v>337</v>
      </c>
      <c r="D627">
        <v>52</v>
      </c>
      <c r="E627">
        <v>187</v>
      </c>
      <c r="F627">
        <v>51</v>
      </c>
      <c r="G627">
        <v>3</v>
      </c>
      <c r="H627" t="s">
        <v>591</v>
      </c>
      <c r="I627" t="s">
        <v>5</v>
      </c>
      <c r="J627" t="s">
        <v>6</v>
      </c>
      <c r="K627" t="s">
        <v>63</v>
      </c>
      <c r="L627" t="s">
        <v>20</v>
      </c>
      <c r="M627" t="s">
        <v>9</v>
      </c>
      <c r="N627" t="s">
        <v>10</v>
      </c>
      <c r="O627" t="s">
        <v>22</v>
      </c>
      <c r="P627" t="s">
        <v>10</v>
      </c>
      <c r="Q627" t="s">
        <v>23</v>
      </c>
      <c r="R627" t="s">
        <v>14</v>
      </c>
      <c r="S627" t="s">
        <v>15</v>
      </c>
      <c r="T627" t="s">
        <v>47</v>
      </c>
      <c r="U627" t="s">
        <v>5</v>
      </c>
      <c r="V627" s="94" t="s">
        <v>1231</v>
      </c>
      <c r="W627" t="s">
        <v>26</v>
      </c>
    </row>
    <row r="628" spans="1:23" ht="12.75">
      <c r="A628" s="1">
        <v>45671.77820601852</v>
      </c>
      <c r="C628" t="s">
        <v>159</v>
      </c>
      <c r="D628">
        <v>52</v>
      </c>
      <c r="E628">
        <v>170</v>
      </c>
      <c r="F628">
        <v>67</v>
      </c>
      <c r="G628">
        <v>3</v>
      </c>
      <c r="H628" t="s">
        <v>591</v>
      </c>
      <c r="I628" t="s">
        <v>5</v>
      </c>
      <c r="J628" t="s">
        <v>6</v>
      </c>
      <c r="K628" t="s">
        <v>37</v>
      </c>
      <c r="L628" t="s">
        <v>20</v>
      </c>
      <c r="M628" t="s">
        <v>38</v>
      </c>
      <c r="N628" t="s">
        <v>40</v>
      </c>
      <c r="O628" t="s">
        <v>44</v>
      </c>
      <c r="P628" t="s">
        <v>12</v>
      </c>
      <c r="Q628" t="s">
        <v>13</v>
      </c>
      <c r="R628" t="s">
        <v>50</v>
      </c>
      <c r="S628" t="s">
        <v>24</v>
      </c>
      <c r="T628" t="s">
        <v>47</v>
      </c>
      <c r="U628" t="s">
        <v>29</v>
      </c>
      <c r="V628" s="94" t="s">
        <v>1232</v>
      </c>
      <c r="W628" t="s">
        <v>39</v>
      </c>
    </row>
    <row r="629" spans="1:23" ht="12.75">
      <c r="A629" s="1">
        <v>45806.411458333336</v>
      </c>
      <c r="C629" t="s">
        <v>302</v>
      </c>
      <c r="D629">
        <v>26</v>
      </c>
      <c r="E629">
        <v>170</v>
      </c>
      <c r="F629">
        <v>67</v>
      </c>
      <c r="G629">
        <v>2.5</v>
      </c>
      <c r="H629" t="s">
        <v>591</v>
      </c>
      <c r="I629" t="s">
        <v>5</v>
      </c>
      <c r="J629" t="s">
        <v>36</v>
      </c>
      <c r="K629" t="s">
        <v>63</v>
      </c>
      <c r="L629" t="s">
        <v>31</v>
      </c>
      <c r="M629" t="s">
        <v>52</v>
      </c>
      <c r="N629" t="s">
        <v>20</v>
      </c>
      <c r="O629" t="s">
        <v>44</v>
      </c>
      <c r="P629" t="s">
        <v>10</v>
      </c>
      <c r="Q629" t="s">
        <v>23</v>
      </c>
      <c r="R629" t="s">
        <v>33</v>
      </c>
      <c r="S629" t="s">
        <v>24</v>
      </c>
      <c r="T629" t="s">
        <v>47</v>
      </c>
      <c r="U629" t="s">
        <v>5</v>
      </c>
      <c r="V629" s="94" t="s">
        <v>1233</v>
      </c>
      <c r="W629" t="s">
        <v>34</v>
      </c>
    </row>
    <row r="630" spans="1:23" ht="12.75">
      <c r="A630" s="1">
        <v>45768.238749999997</v>
      </c>
      <c r="C630" t="s">
        <v>338</v>
      </c>
      <c r="D630">
        <v>32</v>
      </c>
      <c r="E630">
        <v>173</v>
      </c>
      <c r="F630">
        <v>104</v>
      </c>
      <c r="G630">
        <v>2</v>
      </c>
      <c r="H630" t="s">
        <v>591</v>
      </c>
      <c r="I630" t="s">
        <v>29</v>
      </c>
      <c r="J630" t="s">
        <v>36</v>
      </c>
      <c r="K630" t="s">
        <v>60</v>
      </c>
      <c r="L630" t="s">
        <v>31</v>
      </c>
      <c r="M630" t="s">
        <v>38</v>
      </c>
      <c r="N630" t="s">
        <v>10</v>
      </c>
      <c r="O630" t="s">
        <v>44</v>
      </c>
      <c r="P630" t="s">
        <v>31</v>
      </c>
      <c r="Q630" t="s">
        <v>13</v>
      </c>
      <c r="R630" t="s">
        <v>50</v>
      </c>
      <c r="S630" t="s">
        <v>24</v>
      </c>
      <c r="T630" t="s">
        <v>24</v>
      </c>
      <c r="U630" t="s">
        <v>29</v>
      </c>
      <c r="V630" s="94" t="s">
        <v>1234</v>
      </c>
      <c r="W630" t="s">
        <v>26</v>
      </c>
    </row>
    <row r="631" spans="1:23" ht="12.75">
      <c r="A631" s="1">
        <v>45722.704942129632</v>
      </c>
      <c r="C631" t="s">
        <v>339</v>
      </c>
      <c r="D631">
        <v>38</v>
      </c>
      <c r="E631">
        <v>155</v>
      </c>
      <c r="F631">
        <v>104</v>
      </c>
      <c r="G631">
        <v>2</v>
      </c>
      <c r="H631" t="s">
        <v>592</v>
      </c>
      <c r="I631" t="s">
        <v>29</v>
      </c>
      <c r="J631" t="s">
        <v>36</v>
      </c>
      <c r="K631" t="s">
        <v>60</v>
      </c>
      <c r="L631" t="s">
        <v>12</v>
      </c>
      <c r="M631" t="s">
        <v>38</v>
      </c>
      <c r="N631" t="s">
        <v>10</v>
      </c>
      <c r="O631" t="s">
        <v>11</v>
      </c>
      <c r="P631" t="s">
        <v>12</v>
      </c>
      <c r="Q631" t="s">
        <v>23</v>
      </c>
      <c r="R631" t="s">
        <v>50</v>
      </c>
      <c r="S631" t="s">
        <v>25</v>
      </c>
      <c r="T631" t="s">
        <v>15</v>
      </c>
      <c r="U631" t="s">
        <v>5</v>
      </c>
      <c r="V631" s="94" t="s">
        <v>1235</v>
      </c>
      <c r="W631" t="s">
        <v>39</v>
      </c>
    </row>
    <row r="632" spans="1:23" ht="12.75">
      <c r="A632" s="1">
        <v>45754.046712962961</v>
      </c>
      <c r="C632" t="s">
        <v>284</v>
      </c>
      <c r="D632">
        <v>52</v>
      </c>
      <c r="E632">
        <v>157</v>
      </c>
      <c r="F632">
        <v>100</v>
      </c>
      <c r="G632">
        <v>1.5</v>
      </c>
      <c r="H632" t="s">
        <v>28</v>
      </c>
      <c r="I632" t="s">
        <v>29</v>
      </c>
      <c r="J632" t="s">
        <v>36</v>
      </c>
      <c r="K632" t="s">
        <v>37</v>
      </c>
      <c r="L632" t="s">
        <v>20</v>
      </c>
      <c r="M632" t="s">
        <v>52</v>
      </c>
      <c r="N632" t="s">
        <v>31</v>
      </c>
      <c r="O632" t="s">
        <v>22</v>
      </c>
      <c r="P632" t="s">
        <v>40</v>
      </c>
      <c r="Q632" t="s">
        <v>23</v>
      </c>
      <c r="R632" t="s">
        <v>33</v>
      </c>
      <c r="S632" t="s">
        <v>24</v>
      </c>
      <c r="T632" t="s">
        <v>24</v>
      </c>
      <c r="U632" t="s">
        <v>29</v>
      </c>
      <c r="V632" s="94" t="s">
        <v>1236</v>
      </c>
      <c r="W632" t="s">
        <v>26</v>
      </c>
    </row>
    <row r="633" spans="1:23" ht="12.75">
      <c r="A633" s="1">
        <v>45732.047349537039</v>
      </c>
      <c r="C633" t="s">
        <v>340</v>
      </c>
      <c r="D633">
        <v>56</v>
      </c>
      <c r="E633">
        <v>170</v>
      </c>
      <c r="F633">
        <v>83</v>
      </c>
      <c r="G633">
        <v>1.5</v>
      </c>
      <c r="H633" t="s">
        <v>592</v>
      </c>
      <c r="I633" t="s">
        <v>29</v>
      </c>
      <c r="J633" t="s">
        <v>6</v>
      </c>
      <c r="K633" t="s">
        <v>19</v>
      </c>
      <c r="L633" t="s">
        <v>20</v>
      </c>
      <c r="M633" t="s">
        <v>21</v>
      </c>
      <c r="N633" t="s">
        <v>8</v>
      </c>
      <c r="O633" t="s">
        <v>11</v>
      </c>
      <c r="P633" t="s">
        <v>12</v>
      </c>
      <c r="Q633" t="s">
        <v>13</v>
      </c>
      <c r="R633" t="s">
        <v>50</v>
      </c>
      <c r="S633" t="s">
        <v>25</v>
      </c>
      <c r="T633" t="s">
        <v>47</v>
      </c>
      <c r="U633" t="s">
        <v>5</v>
      </c>
      <c r="V633" s="94" t="s">
        <v>1237</v>
      </c>
      <c r="W633" t="s">
        <v>39</v>
      </c>
    </row>
    <row r="634" spans="1:23" ht="12.75">
      <c r="A634" s="1">
        <v>45802.990289351852</v>
      </c>
      <c r="C634" t="s">
        <v>341</v>
      </c>
      <c r="D634">
        <v>25</v>
      </c>
      <c r="E634">
        <v>177</v>
      </c>
      <c r="F634">
        <v>72</v>
      </c>
      <c r="G634">
        <v>2</v>
      </c>
      <c r="H634" t="s">
        <v>590</v>
      </c>
      <c r="I634" t="s">
        <v>29</v>
      </c>
      <c r="J634" t="s">
        <v>6</v>
      </c>
      <c r="K634" t="s">
        <v>7</v>
      </c>
      <c r="L634" t="s">
        <v>20</v>
      </c>
      <c r="M634" t="s">
        <v>9</v>
      </c>
      <c r="N634" t="s">
        <v>12</v>
      </c>
      <c r="O634" t="s">
        <v>11</v>
      </c>
      <c r="P634" t="s">
        <v>10</v>
      </c>
      <c r="Q634" t="s">
        <v>23</v>
      </c>
      <c r="R634" t="s">
        <v>14</v>
      </c>
      <c r="S634" t="s">
        <v>25</v>
      </c>
      <c r="T634" t="s">
        <v>25</v>
      </c>
      <c r="U634" t="s">
        <v>29</v>
      </c>
      <c r="V634" s="94" t="s">
        <v>1238</v>
      </c>
      <c r="W634" t="s">
        <v>34</v>
      </c>
    </row>
    <row r="635" spans="1:23" ht="12.75">
      <c r="A635" s="1">
        <v>45800.08048611111</v>
      </c>
      <c r="C635" t="s">
        <v>73</v>
      </c>
      <c r="D635">
        <v>28</v>
      </c>
      <c r="E635">
        <v>183</v>
      </c>
      <c r="F635">
        <v>83</v>
      </c>
      <c r="G635">
        <v>2.5</v>
      </c>
      <c r="H635" t="s">
        <v>28</v>
      </c>
      <c r="I635" t="s">
        <v>5</v>
      </c>
      <c r="J635" t="s">
        <v>6</v>
      </c>
      <c r="K635" t="s">
        <v>7</v>
      </c>
      <c r="L635" t="s">
        <v>31</v>
      </c>
      <c r="M635" t="s">
        <v>52</v>
      </c>
      <c r="N635" t="s">
        <v>31</v>
      </c>
      <c r="O635" t="s">
        <v>46</v>
      </c>
      <c r="P635" t="s">
        <v>10</v>
      </c>
      <c r="Q635" t="s">
        <v>55</v>
      </c>
      <c r="R635" t="s">
        <v>50</v>
      </c>
      <c r="S635" t="s">
        <v>24</v>
      </c>
      <c r="T635" t="s">
        <v>15</v>
      </c>
      <c r="U635" t="s">
        <v>5</v>
      </c>
      <c r="V635" s="94" t="s">
        <v>1239</v>
      </c>
      <c r="W635" t="s">
        <v>34</v>
      </c>
    </row>
    <row r="636" spans="1:23" ht="12.75">
      <c r="A636" s="1">
        <v>45786.160312499997</v>
      </c>
      <c r="C636" t="s">
        <v>252</v>
      </c>
      <c r="D636">
        <v>39</v>
      </c>
      <c r="E636">
        <v>175</v>
      </c>
      <c r="F636">
        <v>98</v>
      </c>
      <c r="G636">
        <v>1</v>
      </c>
      <c r="H636" t="s">
        <v>591</v>
      </c>
      <c r="I636" t="s">
        <v>5</v>
      </c>
      <c r="J636" t="s">
        <v>36</v>
      </c>
      <c r="K636" t="s">
        <v>30</v>
      </c>
      <c r="L636" t="s">
        <v>8</v>
      </c>
      <c r="M636" t="s">
        <v>21</v>
      </c>
      <c r="N636" t="s">
        <v>12</v>
      </c>
      <c r="O636" t="s">
        <v>46</v>
      </c>
      <c r="P636" t="s">
        <v>8</v>
      </c>
      <c r="Q636" t="s">
        <v>13</v>
      </c>
      <c r="R636" t="s">
        <v>33</v>
      </c>
      <c r="S636" t="s">
        <v>15</v>
      </c>
      <c r="T636" t="s">
        <v>24</v>
      </c>
      <c r="U636" t="s">
        <v>5</v>
      </c>
      <c r="V636" s="94" t="s">
        <v>1240</v>
      </c>
      <c r="W636" t="s">
        <v>16</v>
      </c>
    </row>
    <row r="637" spans="1:23" ht="12.75">
      <c r="A637" s="1">
        <v>45738.170416666668</v>
      </c>
      <c r="C637" t="s">
        <v>342</v>
      </c>
      <c r="D637">
        <v>30</v>
      </c>
      <c r="E637">
        <v>173</v>
      </c>
      <c r="F637">
        <v>71</v>
      </c>
      <c r="G637">
        <v>2</v>
      </c>
      <c r="H637" t="s">
        <v>28</v>
      </c>
      <c r="I637" t="s">
        <v>29</v>
      </c>
      <c r="J637" t="s">
        <v>6</v>
      </c>
      <c r="K637" t="s">
        <v>7</v>
      </c>
      <c r="L637" t="s">
        <v>20</v>
      </c>
      <c r="M637" t="s">
        <v>21</v>
      </c>
      <c r="N637" t="s">
        <v>31</v>
      </c>
      <c r="O637" t="s">
        <v>44</v>
      </c>
      <c r="P637" t="s">
        <v>40</v>
      </c>
      <c r="Q637" t="s">
        <v>32</v>
      </c>
      <c r="R637" t="s">
        <v>50</v>
      </c>
      <c r="S637" t="s">
        <v>47</v>
      </c>
      <c r="T637" t="s">
        <v>25</v>
      </c>
      <c r="U637" t="s">
        <v>5</v>
      </c>
      <c r="V637" s="94" t="s">
        <v>1241</v>
      </c>
      <c r="W637" t="s">
        <v>39</v>
      </c>
    </row>
    <row r="638" spans="1:23" ht="12.75">
      <c r="A638" s="1">
        <v>45711.447245370371</v>
      </c>
      <c r="C638" t="s">
        <v>268</v>
      </c>
      <c r="D638">
        <v>45</v>
      </c>
      <c r="E638">
        <v>163</v>
      </c>
      <c r="F638">
        <v>77</v>
      </c>
      <c r="G638">
        <v>1</v>
      </c>
      <c r="H638" t="s">
        <v>28</v>
      </c>
      <c r="I638" t="s">
        <v>5</v>
      </c>
      <c r="J638" t="s">
        <v>36</v>
      </c>
      <c r="K638" t="s">
        <v>60</v>
      </c>
      <c r="L638" t="s">
        <v>8</v>
      </c>
      <c r="M638" t="s">
        <v>21</v>
      </c>
      <c r="N638" t="s">
        <v>10</v>
      </c>
      <c r="O638" t="s">
        <v>11</v>
      </c>
      <c r="P638" t="s">
        <v>31</v>
      </c>
      <c r="Q638" t="s">
        <v>13</v>
      </c>
      <c r="R638" t="s">
        <v>50</v>
      </c>
      <c r="S638" t="s">
        <v>25</v>
      </c>
      <c r="T638" t="s">
        <v>47</v>
      </c>
      <c r="U638" t="s">
        <v>29</v>
      </c>
      <c r="V638" s="94" t="s">
        <v>1242</v>
      </c>
      <c r="W638" t="s">
        <v>16</v>
      </c>
    </row>
    <row r="639" spans="1:23" ht="12.75">
      <c r="A639" s="1">
        <v>45800.070625</v>
      </c>
      <c r="C639" t="s">
        <v>265</v>
      </c>
      <c r="D639">
        <v>30</v>
      </c>
      <c r="E639">
        <v>162</v>
      </c>
      <c r="F639">
        <v>64</v>
      </c>
      <c r="G639">
        <v>2.5</v>
      </c>
      <c r="H639" t="s">
        <v>590</v>
      </c>
      <c r="I639" t="s">
        <v>29</v>
      </c>
      <c r="J639" t="s">
        <v>6</v>
      </c>
      <c r="K639" t="s">
        <v>7</v>
      </c>
      <c r="L639" t="s">
        <v>20</v>
      </c>
      <c r="M639" t="s">
        <v>52</v>
      </c>
      <c r="N639" t="s">
        <v>12</v>
      </c>
      <c r="O639" t="s">
        <v>22</v>
      </c>
      <c r="P639" t="s">
        <v>8</v>
      </c>
      <c r="Q639" t="s">
        <v>32</v>
      </c>
      <c r="R639" t="s">
        <v>14</v>
      </c>
      <c r="S639" t="s">
        <v>24</v>
      </c>
      <c r="T639" t="s">
        <v>25</v>
      </c>
      <c r="U639" t="s">
        <v>5</v>
      </c>
      <c r="V639" s="94" t="s">
        <v>1243</v>
      </c>
      <c r="W639" t="s">
        <v>39</v>
      </c>
    </row>
    <row r="640" spans="1:23" ht="12.75">
      <c r="A640" s="1">
        <v>45718.705787037034</v>
      </c>
      <c r="C640" t="s">
        <v>51</v>
      </c>
      <c r="D640">
        <v>43</v>
      </c>
      <c r="E640">
        <v>165</v>
      </c>
      <c r="F640">
        <v>75</v>
      </c>
      <c r="G640">
        <v>2.5</v>
      </c>
      <c r="H640" t="s">
        <v>28</v>
      </c>
      <c r="I640" t="s">
        <v>29</v>
      </c>
      <c r="J640" t="s">
        <v>6</v>
      </c>
      <c r="K640" t="s">
        <v>7</v>
      </c>
      <c r="L640" t="s">
        <v>8</v>
      </c>
      <c r="M640" t="s">
        <v>38</v>
      </c>
      <c r="N640" t="s">
        <v>8</v>
      </c>
      <c r="O640" t="s">
        <v>11</v>
      </c>
      <c r="P640" t="s">
        <v>10</v>
      </c>
      <c r="Q640" t="s">
        <v>55</v>
      </c>
      <c r="R640" t="s">
        <v>50</v>
      </c>
      <c r="S640" t="s">
        <v>47</v>
      </c>
      <c r="T640" t="s">
        <v>25</v>
      </c>
      <c r="U640" t="s">
        <v>29</v>
      </c>
      <c r="V640" s="94" t="s">
        <v>1244</v>
      </c>
      <c r="W640" t="s">
        <v>34</v>
      </c>
    </row>
    <row r="641" spans="1:23" ht="12.75">
      <c r="A641" s="1">
        <v>45687.168993055559</v>
      </c>
      <c r="C641" t="s">
        <v>225</v>
      </c>
      <c r="D641">
        <v>46</v>
      </c>
      <c r="E641">
        <v>162</v>
      </c>
      <c r="F641">
        <v>51</v>
      </c>
      <c r="G641">
        <v>1.5</v>
      </c>
      <c r="H641" t="s">
        <v>591</v>
      </c>
      <c r="I641" t="s">
        <v>5</v>
      </c>
      <c r="J641" t="s">
        <v>36</v>
      </c>
      <c r="K641" t="s">
        <v>7</v>
      </c>
      <c r="L641" t="s">
        <v>40</v>
      </c>
      <c r="M641" t="s">
        <v>21</v>
      </c>
      <c r="N641" t="s">
        <v>10</v>
      </c>
      <c r="O641" t="s">
        <v>22</v>
      </c>
      <c r="P641" t="s">
        <v>8</v>
      </c>
      <c r="Q641" t="s">
        <v>55</v>
      </c>
      <c r="R641" t="s">
        <v>50</v>
      </c>
      <c r="S641" t="s">
        <v>47</v>
      </c>
      <c r="T641" t="s">
        <v>24</v>
      </c>
      <c r="U641" t="s">
        <v>29</v>
      </c>
      <c r="V641" s="94" t="s">
        <v>1245</v>
      </c>
      <c r="W641" t="s">
        <v>16</v>
      </c>
    </row>
    <row r="642" spans="1:23" ht="12.75">
      <c r="A642" s="1">
        <v>45763.845381944448</v>
      </c>
      <c r="C642" t="s">
        <v>134</v>
      </c>
      <c r="D642">
        <v>24</v>
      </c>
      <c r="E642">
        <v>168</v>
      </c>
      <c r="F642">
        <v>89</v>
      </c>
      <c r="G642">
        <v>1</v>
      </c>
      <c r="H642" t="s">
        <v>592</v>
      </c>
      <c r="I642" t="s">
        <v>5</v>
      </c>
      <c r="J642" t="s">
        <v>36</v>
      </c>
      <c r="K642" t="s">
        <v>19</v>
      </c>
      <c r="L642" t="s">
        <v>20</v>
      </c>
      <c r="M642" t="s">
        <v>9</v>
      </c>
      <c r="N642" t="s">
        <v>40</v>
      </c>
      <c r="O642" t="s">
        <v>22</v>
      </c>
      <c r="P642" t="s">
        <v>10</v>
      </c>
      <c r="Q642" t="s">
        <v>23</v>
      </c>
      <c r="R642" t="s">
        <v>14</v>
      </c>
      <c r="S642" t="s">
        <v>25</v>
      </c>
      <c r="T642" t="s">
        <v>15</v>
      </c>
      <c r="U642" t="s">
        <v>5</v>
      </c>
      <c r="V642" s="94" t="s">
        <v>1246</v>
      </c>
      <c r="W642" t="s">
        <v>34</v>
      </c>
    </row>
    <row r="643" spans="1:23" ht="12.75">
      <c r="A643" s="1">
        <v>45729.963055555556</v>
      </c>
      <c r="C643" t="s">
        <v>56</v>
      </c>
      <c r="D643">
        <v>39</v>
      </c>
      <c r="E643">
        <v>176</v>
      </c>
      <c r="F643">
        <v>102</v>
      </c>
      <c r="G643">
        <v>1</v>
      </c>
      <c r="H643" t="s">
        <v>591</v>
      </c>
      <c r="I643" t="s">
        <v>29</v>
      </c>
      <c r="J643" t="s">
        <v>36</v>
      </c>
      <c r="K643" t="s">
        <v>7</v>
      </c>
      <c r="L643" t="s">
        <v>31</v>
      </c>
      <c r="M643" t="s">
        <v>38</v>
      </c>
      <c r="N643" t="s">
        <v>10</v>
      </c>
      <c r="O643" t="s">
        <v>46</v>
      </c>
      <c r="P643" t="s">
        <v>8</v>
      </c>
      <c r="Q643" t="s">
        <v>23</v>
      </c>
      <c r="R643" t="s">
        <v>50</v>
      </c>
      <c r="S643" t="s">
        <v>24</v>
      </c>
      <c r="T643" t="s">
        <v>25</v>
      </c>
      <c r="U643" t="s">
        <v>29</v>
      </c>
      <c r="V643" s="94" t="s">
        <v>1247</v>
      </c>
      <c r="W643" t="s">
        <v>16</v>
      </c>
    </row>
    <row r="644" spans="1:23" ht="12.75">
      <c r="A644" s="1">
        <v>45807.130300925928</v>
      </c>
      <c r="C644" t="s">
        <v>102</v>
      </c>
      <c r="D644">
        <v>26</v>
      </c>
      <c r="E644">
        <v>155</v>
      </c>
      <c r="F644">
        <v>92</v>
      </c>
      <c r="G644">
        <v>3</v>
      </c>
      <c r="H644" t="s">
        <v>28</v>
      </c>
      <c r="I644" t="s">
        <v>5</v>
      </c>
      <c r="J644" t="s">
        <v>36</v>
      </c>
      <c r="K644" t="s">
        <v>63</v>
      </c>
      <c r="L644" t="s">
        <v>31</v>
      </c>
      <c r="M644" t="s">
        <v>9</v>
      </c>
      <c r="N644" t="s">
        <v>8</v>
      </c>
      <c r="O644" t="s">
        <v>44</v>
      </c>
      <c r="P644" t="s">
        <v>20</v>
      </c>
      <c r="Q644" t="s">
        <v>23</v>
      </c>
      <c r="R644" t="s">
        <v>33</v>
      </c>
      <c r="S644" t="s">
        <v>15</v>
      </c>
      <c r="T644" t="s">
        <v>15</v>
      </c>
      <c r="U644" t="s">
        <v>29</v>
      </c>
      <c r="V644" s="94" t="s">
        <v>1248</v>
      </c>
      <c r="W644" t="s">
        <v>34</v>
      </c>
    </row>
    <row r="645" spans="1:23" ht="12.75">
      <c r="A645" s="1">
        <v>45773.479351851849</v>
      </c>
      <c r="C645" t="s">
        <v>59</v>
      </c>
      <c r="D645">
        <v>51</v>
      </c>
      <c r="E645">
        <v>168</v>
      </c>
      <c r="F645">
        <v>99</v>
      </c>
      <c r="G645">
        <v>2.5</v>
      </c>
      <c r="H645" t="s">
        <v>590</v>
      </c>
      <c r="I645" t="s">
        <v>29</v>
      </c>
      <c r="J645" t="s">
        <v>36</v>
      </c>
      <c r="K645" t="s">
        <v>63</v>
      </c>
      <c r="L645" t="s">
        <v>31</v>
      </c>
      <c r="M645" t="s">
        <v>52</v>
      </c>
      <c r="N645" t="s">
        <v>40</v>
      </c>
      <c r="O645" t="s">
        <v>44</v>
      </c>
      <c r="P645" t="s">
        <v>10</v>
      </c>
      <c r="Q645" t="s">
        <v>55</v>
      </c>
      <c r="R645" t="s">
        <v>50</v>
      </c>
      <c r="S645" t="s">
        <v>24</v>
      </c>
      <c r="T645" t="s">
        <v>47</v>
      </c>
      <c r="U645" t="s">
        <v>29</v>
      </c>
      <c r="V645" s="94" t="s">
        <v>1249</v>
      </c>
      <c r="W645" t="s">
        <v>16</v>
      </c>
    </row>
    <row r="646" spans="1:23" ht="12.75">
      <c r="A646" s="1">
        <v>45747.56627314815</v>
      </c>
      <c r="C646" t="s">
        <v>343</v>
      </c>
      <c r="D646">
        <v>27</v>
      </c>
      <c r="E646">
        <v>189</v>
      </c>
      <c r="F646">
        <v>57</v>
      </c>
      <c r="G646">
        <v>2</v>
      </c>
      <c r="H646" t="s">
        <v>591</v>
      </c>
      <c r="I646" t="s">
        <v>5</v>
      </c>
      <c r="J646" t="s">
        <v>36</v>
      </c>
      <c r="K646" t="s">
        <v>63</v>
      </c>
      <c r="L646" t="s">
        <v>8</v>
      </c>
      <c r="M646" t="s">
        <v>38</v>
      </c>
      <c r="N646" t="s">
        <v>40</v>
      </c>
      <c r="O646" t="s">
        <v>11</v>
      </c>
      <c r="P646" t="s">
        <v>12</v>
      </c>
      <c r="Q646" t="s">
        <v>32</v>
      </c>
      <c r="R646" t="s">
        <v>33</v>
      </c>
      <c r="S646" t="s">
        <v>24</v>
      </c>
      <c r="T646" t="s">
        <v>25</v>
      </c>
      <c r="U646" t="s">
        <v>5</v>
      </c>
      <c r="V646" s="94" t="s">
        <v>1250</v>
      </c>
      <c r="W646" t="s">
        <v>34</v>
      </c>
    </row>
    <row r="647" spans="1:23" ht="12.75">
      <c r="A647" s="1">
        <v>45682.724456018521</v>
      </c>
      <c r="C647" t="s">
        <v>85</v>
      </c>
      <c r="D647">
        <v>59</v>
      </c>
      <c r="E647">
        <v>173</v>
      </c>
      <c r="F647">
        <v>53</v>
      </c>
      <c r="G647">
        <v>2</v>
      </c>
      <c r="H647" t="s">
        <v>28</v>
      </c>
      <c r="I647" t="s">
        <v>5</v>
      </c>
      <c r="J647" t="s">
        <v>36</v>
      </c>
      <c r="K647" t="s">
        <v>37</v>
      </c>
      <c r="L647" t="s">
        <v>20</v>
      </c>
      <c r="M647" t="s">
        <v>9</v>
      </c>
      <c r="N647" t="s">
        <v>10</v>
      </c>
      <c r="O647" t="s">
        <v>44</v>
      </c>
      <c r="P647" t="s">
        <v>10</v>
      </c>
      <c r="Q647" t="s">
        <v>55</v>
      </c>
      <c r="R647" t="s">
        <v>33</v>
      </c>
      <c r="S647" t="s">
        <v>25</v>
      </c>
      <c r="T647" t="s">
        <v>15</v>
      </c>
      <c r="U647" t="s">
        <v>5</v>
      </c>
      <c r="V647" s="94" t="s">
        <v>1251</v>
      </c>
      <c r="W647" t="s">
        <v>16</v>
      </c>
    </row>
    <row r="648" spans="1:23" ht="12.75">
      <c r="A648" s="1">
        <v>45788.164178240739</v>
      </c>
      <c r="C648" t="s">
        <v>344</v>
      </c>
      <c r="D648">
        <v>37</v>
      </c>
      <c r="E648">
        <v>179</v>
      </c>
      <c r="F648">
        <v>57</v>
      </c>
      <c r="G648">
        <v>1</v>
      </c>
      <c r="H648" t="s">
        <v>28</v>
      </c>
      <c r="I648" t="s">
        <v>5</v>
      </c>
      <c r="J648" t="s">
        <v>36</v>
      </c>
      <c r="K648" t="s">
        <v>60</v>
      </c>
      <c r="L648" t="s">
        <v>31</v>
      </c>
      <c r="M648" t="s">
        <v>21</v>
      </c>
      <c r="N648" t="s">
        <v>40</v>
      </c>
      <c r="O648" t="s">
        <v>11</v>
      </c>
      <c r="P648" t="s">
        <v>10</v>
      </c>
      <c r="Q648" t="s">
        <v>32</v>
      </c>
      <c r="R648" t="s">
        <v>50</v>
      </c>
      <c r="S648" t="s">
        <v>24</v>
      </c>
      <c r="T648" t="s">
        <v>15</v>
      </c>
      <c r="U648" t="s">
        <v>29</v>
      </c>
      <c r="V648" s="94" t="s">
        <v>1252</v>
      </c>
      <c r="W648" t="s">
        <v>39</v>
      </c>
    </row>
    <row r="649" spans="1:23" ht="12.75">
      <c r="A649" s="1">
        <v>45690.252997685187</v>
      </c>
      <c r="C649" t="s">
        <v>172</v>
      </c>
      <c r="D649">
        <v>37</v>
      </c>
      <c r="E649">
        <v>177</v>
      </c>
      <c r="F649">
        <v>74</v>
      </c>
      <c r="G649">
        <v>1.5</v>
      </c>
      <c r="H649" t="s">
        <v>590</v>
      </c>
      <c r="I649" t="s">
        <v>5</v>
      </c>
      <c r="J649" t="s">
        <v>6</v>
      </c>
      <c r="K649" t="s">
        <v>30</v>
      </c>
      <c r="L649" t="s">
        <v>10</v>
      </c>
      <c r="M649" t="s">
        <v>52</v>
      </c>
      <c r="N649" t="s">
        <v>31</v>
      </c>
      <c r="O649" t="s">
        <v>11</v>
      </c>
      <c r="P649" t="s">
        <v>40</v>
      </c>
      <c r="Q649" t="s">
        <v>23</v>
      </c>
      <c r="R649" t="s">
        <v>33</v>
      </c>
      <c r="S649" t="s">
        <v>15</v>
      </c>
      <c r="T649" t="s">
        <v>15</v>
      </c>
      <c r="U649" t="s">
        <v>5</v>
      </c>
      <c r="V649" s="94" t="s">
        <v>1253</v>
      </c>
      <c r="W649" t="s">
        <v>39</v>
      </c>
    </row>
    <row r="650" spans="1:23" ht="12.75">
      <c r="A650" s="1">
        <v>45658.754791666666</v>
      </c>
      <c r="C650" t="s">
        <v>316</v>
      </c>
      <c r="D650">
        <v>23</v>
      </c>
      <c r="E650">
        <v>179</v>
      </c>
      <c r="F650">
        <v>105</v>
      </c>
      <c r="G650">
        <v>2</v>
      </c>
      <c r="H650" t="s">
        <v>28</v>
      </c>
      <c r="I650" t="s">
        <v>5</v>
      </c>
      <c r="J650" t="s">
        <v>6</v>
      </c>
      <c r="K650" t="s">
        <v>30</v>
      </c>
      <c r="L650" t="s">
        <v>31</v>
      </c>
      <c r="M650" t="s">
        <v>38</v>
      </c>
      <c r="N650" t="s">
        <v>20</v>
      </c>
      <c r="O650" t="s">
        <v>46</v>
      </c>
      <c r="P650" t="s">
        <v>20</v>
      </c>
      <c r="Q650" t="s">
        <v>23</v>
      </c>
      <c r="R650" t="s">
        <v>14</v>
      </c>
      <c r="S650" t="s">
        <v>15</v>
      </c>
      <c r="T650" t="s">
        <v>24</v>
      </c>
      <c r="U650" t="s">
        <v>29</v>
      </c>
      <c r="V650" s="94" t="s">
        <v>1254</v>
      </c>
      <c r="W650" t="s">
        <v>39</v>
      </c>
    </row>
    <row r="651" spans="1:23" ht="12.75">
      <c r="A651" s="1">
        <v>45694.443368055552</v>
      </c>
      <c r="C651" t="s">
        <v>255</v>
      </c>
      <c r="D651">
        <v>56</v>
      </c>
      <c r="E651">
        <v>157</v>
      </c>
      <c r="F651">
        <v>51</v>
      </c>
      <c r="G651">
        <v>2.5</v>
      </c>
      <c r="H651" t="s">
        <v>590</v>
      </c>
      <c r="I651" t="s">
        <v>5</v>
      </c>
      <c r="J651" t="s">
        <v>36</v>
      </c>
      <c r="K651" t="s">
        <v>19</v>
      </c>
      <c r="L651" t="s">
        <v>8</v>
      </c>
      <c r="M651" t="s">
        <v>9</v>
      </c>
      <c r="N651" t="s">
        <v>10</v>
      </c>
      <c r="O651" t="s">
        <v>44</v>
      </c>
      <c r="P651" t="s">
        <v>8</v>
      </c>
      <c r="Q651" t="s">
        <v>23</v>
      </c>
      <c r="R651" t="s">
        <v>14</v>
      </c>
      <c r="S651" t="s">
        <v>47</v>
      </c>
      <c r="T651" t="s">
        <v>25</v>
      </c>
      <c r="U651" t="s">
        <v>5</v>
      </c>
      <c r="V651" s="94" t="s">
        <v>1255</v>
      </c>
      <c r="W651" t="s">
        <v>16</v>
      </c>
    </row>
    <row r="652" spans="1:23" ht="12.75">
      <c r="A652" s="1">
        <v>45680.381111111114</v>
      </c>
      <c r="C652" t="s">
        <v>127</v>
      </c>
      <c r="D652">
        <v>26</v>
      </c>
      <c r="E652">
        <v>164</v>
      </c>
      <c r="F652">
        <v>105</v>
      </c>
      <c r="G652">
        <v>1.5</v>
      </c>
      <c r="H652" t="s">
        <v>590</v>
      </c>
      <c r="I652" t="s">
        <v>29</v>
      </c>
      <c r="J652" t="s">
        <v>36</v>
      </c>
      <c r="K652" t="s">
        <v>30</v>
      </c>
      <c r="L652" t="s">
        <v>31</v>
      </c>
      <c r="M652" t="s">
        <v>21</v>
      </c>
      <c r="N652" t="s">
        <v>10</v>
      </c>
      <c r="O652" t="s">
        <v>46</v>
      </c>
      <c r="P652" t="s">
        <v>8</v>
      </c>
      <c r="Q652" t="s">
        <v>13</v>
      </c>
      <c r="R652" t="s">
        <v>33</v>
      </c>
      <c r="S652" t="s">
        <v>25</v>
      </c>
      <c r="T652" t="s">
        <v>15</v>
      </c>
      <c r="U652" t="s">
        <v>29</v>
      </c>
      <c r="V652" s="94" t="s">
        <v>1256</v>
      </c>
      <c r="W652" t="s">
        <v>34</v>
      </c>
    </row>
    <row r="653" spans="1:23" ht="12.75">
      <c r="A653" s="1">
        <v>45777.504027777781</v>
      </c>
      <c r="C653" t="s">
        <v>180</v>
      </c>
      <c r="D653">
        <v>27</v>
      </c>
      <c r="E653">
        <v>173</v>
      </c>
      <c r="F653">
        <v>93</v>
      </c>
      <c r="G653">
        <v>2</v>
      </c>
      <c r="H653" t="s">
        <v>28</v>
      </c>
      <c r="I653" t="s">
        <v>29</v>
      </c>
      <c r="J653" t="s">
        <v>36</v>
      </c>
      <c r="K653" t="s">
        <v>30</v>
      </c>
      <c r="L653" t="s">
        <v>8</v>
      </c>
      <c r="M653" t="s">
        <v>9</v>
      </c>
      <c r="N653" t="s">
        <v>8</v>
      </c>
      <c r="O653" t="s">
        <v>22</v>
      </c>
      <c r="P653" t="s">
        <v>10</v>
      </c>
      <c r="Q653" t="s">
        <v>13</v>
      </c>
      <c r="R653" t="s">
        <v>33</v>
      </c>
      <c r="S653" t="s">
        <v>15</v>
      </c>
      <c r="T653" t="s">
        <v>25</v>
      </c>
      <c r="U653" t="s">
        <v>29</v>
      </c>
      <c r="V653" s="94" t="s">
        <v>1257</v>
      </c>
      <c r="W653" t="s">
        <v>26</v>
      </c>
    </row>
    <row r="654" spans="1:23" ht="12.75">
      <c r="A654" s="1">
        <v>45717.309236111112</v>
      </c>
      <c r="C654" t="s">
        <v>300</v>
      </c>
      <c r="D654">
        <v>25</v>
      </c>
      <c r="E654">
        <v>155</v>
      </c>
      <c r="F654">
        <v>73</v>
      </c>
      <c r="G654">
        <v>2.5</v>
      </c>
      <c r="H654" t="s">
        <v>28</v>
      </c>
      <c r="I654" t="s">
        <v>5</v>
      </c>
      <c r="J654" t="s">
        <v>6</v>
      </c>
      <c r="K654" t="s">
        <v>37</v>
      </c>
      <c r="L654" t="s">
        <v>40</v>
      </c>
      <c r="M654" t="s">
        <v>9</v>
      </c>
      <c r="N654" t="s">
        <v>8</v>
      </c>
      <c r="O654" t="s">
        <v>11</v>
      </c>
      <c r="P654" t="s">
        <v>10</v>
      </c>
      <c r="Q654" t="s">
        <v>55</v>
      </c>
      <c r="R654" t="s">
        <v>50</v>
      </c>
      <c r="S654" t="s">
        <v>24</v>
      </c>
      <c r="T654" t="s">
        <v>47</v>
      </c>
      <c r="U654" t="s">
        <v>5</v>
      </c>
      <c r="V654" s="94" t="s">
        <v>1258</v>
      </c>
      <c r="W654" t="s">
        <v>34</v>
      </c>
    </row>
    <row r="655" spans="1:23" ht="12.75">
      <c r="A655" s="1">
        <v>45676.290300925924</v>
      </c>
      <c r="C655" t="s">
        <v>92</v>
      </c>
      <c r="D655">
        <v>49</v>
      </c>
      <c r="E655">
        <v>176</v>
      </c>
      <c r="F655">
        <v>60</v>
      </c>
      <c r="G655">
        <v>2.5</v>
      </c>
      <c r="H655" t="s">
        <v>28</v>
      </c>
      <c r="I655" t="s">
        <v>29</v>
      </c>
      <c r="J655" t="s">
        <v>36</v>
      </c>
      <c r="K655" t="s">
        <v>63</v>
      </c>
      <c r="L655" t="s">
        <v>8</v>
      </c>
      <c r="M655" t="s">
        <v>9</v>
      </c>
      <c r="N655" t="s">
        <v>12</v>
      </c>
      <c r="O655" t="s">
        <v>44</v>
      </c>
      <c r="P655" t="s">
        <v>20</v>
      </c>
      <c r="Q655" t="s">
        <v>32</v>
      </c>
      <c r="R655" t="s">
        <v>50</v>
      </c>
      <c r="S655" t="s">
        <v>15</v>
      </c>
      <c r="T655" t="s">
        <v>24</v>
      </c>
      <c r="U655" t="s">
        <v>29</v>
      </c>
      <c r="V655" s="94" t="s">
        <v>1259</v>
      </c>
      <c r="W655" t="s">
        <v>26</v>
      </c>
    </row>
    <row r="656" spans="1:23" ht="12.75">
      <c r="A656" s="1">
        <v>45751.915405092594</v>
      </c>
      <c r="C656" t="s">
        <v>196</v>
      </c>
      <c r="D656">
        <v>27</v>
      </c>
      <c r="E656">
        <v>181</v>
      </c>
      <c r="F656">
        <v>88</v>
      </c>
      <c r="G656">
        <v>1.5</v>
      </c>
      <c r="H656" t="s">
        <v>591</v>
      </c>
      <c r="I656" t="s">
        <v>5</v>
      </c>
      <c r="J656" t="s">
        <v>6</v>
      </c>
      <c r="K656" t="s">
        <v>37</v>
      </c>
      <c r="L656" t="s">
        <v>40</v>
      </c>
      <c r="M656" t="s">
        <v>21</v>
      </c>
      <c r="N656" t="s">
        <v>12</v>
      </c>
      <c r="O656" t="s">
        <v>11</v>
      </c>
      <c r="P656" t="s">
        <v>20</v>
      </c>
      <c r="Q656" t="s">
        <v>23</v>
      </c>
      <c r="R656" t="s">
        <v>33</v>
      </c>
      <c r="S656" t="s">
        <v>15</v>
      </c>
      <c r="T656" t="s">
        <v>24</v>
      </c>
      <c r="U656" t="s">
        <v>5</v>
      </c>
      <c r="V656" s="94" t="s">
        <v>1260</v>
      </c>
      <c r="W656" t="s">
        <v>26</v>
      </c>
    </row>
    <row r="657" spans="1:23" ht="12.75">
      <c r="A657" s="1">
        <v>45706.329664351855</v>
      </c>
      <c r="C657" t="s">
        <v>70</v>
      </c>
      <c r="D657">
        <v>41</v>
      </c>
      <c r="E657">
        <v>172</v>
      </c>
      <c r="F657">
        <v>58</v>
      </c>
      <c r="G657">
        <v>3</v>
      </c>
      <c r="H657" t="s">
        <v>590</v>
      </c>
      <c r="I657" t="s">
        <v>29</v>
      </c>
      <c r="J657" t="s">
        <v>36</v>
      </c>
      <c r="K657" t="s">
        <v>37</v>
      </c>
      <c r="L657" t="s">
        <v>40</v>
      </c>
      <c r="M657" t="s">
        <v>9</v>
      </c>
      <c r="N657" t="s">
        <v>20</v>
      </c>
      <c r="O657" t="s">
        <v>11</v>
      </c>
      <c r="P657" t="s">
        <v>40</v>
      </c>
      <c r="Q657" t="s">
        <v>32</v>
      </c>
      <c r="R657" t="s">
        <v>50</v>
      </c>
      <c r="S657" t="s">
        <v>15</v>
      </c>
      <c r="T657" t="s">
        <v>24</v>
      </c>
      <c r="U657" t="s">
        <v>29</v>
      </c>
      <c r="V657" s="94" t="s">
        <v>1261</v>
      </c>
      <c r="W657" t="s">
        <v>26</v>
      </c>
    </row>
    <row r="658" spans="1:23" ht="12.75">
      <c r="A658" s="1">
        <v>45696.958518518521</v>
      </c>
      <c r="C658" t="s">
        <v>239</v>
      </c>
      <c r="D658">
        <v>47</v>
      </c>
      <c r="E658">
        <v>174</v>
      </c>
      <c r="F658">
        <v>102</v>
      </c>
      <c r="G658">
        <v>1</v>
      </c>
      <c r="H658" t="s">
        <v>28</v>
      </c>
      <c r="I658" t="s">
        <v>5</v>
      </c>
      <c r="J658" t="s">
        <v>36</v>
      </c>
      <c r="K658" t="s">
        <v>60</v>
      </c>
      <c r="L658" t="s">
        <v>10</v>
      </c>
      <c r="M658" t="s">
        <v>52</v>
      </c>
      <c r="N658" t="s">
        <v>20</v>
      </c>
      <c r="O658" t="s">
        <v>44</v>
      </c>
      <c r="P658" t="s">
        <v>20</v>
      </c>
      <c r="Q658" t="s">
        <v>13</v>
      </c>
      <c r="R658" t="s">
        <v>33</v>
      </c>
      <c r="S658" t="s">
        <v>24</v>
      </c>
      <c r="T658" t="s">
        <v>47</v>
      </c>
      <c r="U658" t="s">
        <v>29</v>
      </c>
      <c r="V658" s="94" t="s">
        <v>1262</v>
      </c>
      <c r="W658" t="s">
        <v>39</v>
      </c>
    </row>
    <row r="659" spans="1:23" ht="12.75">
      <c r="A659" s="1">
        <v>45659.872407407405</v>
      </c>
      <c r="C659" t="s">
        <v>252</v>
      </c>
      <c r="D659">
        <v>57</v>
      </c>
      <c r="E659">
        <v>173</v>
      </c>
      <c r="F659">
        <v>66</v>
      </c>
      <c r="G659">
        <v>3</v>
      </c>
      <c r="H659" t="s">
        <v>590</v>
      </c>
      <c r="I659" t="s">
        <v>29</v>
      </c>
      <c r="J659" t="s">
        <v>36</v>
      </c>
      <c r="K659" t="s">
        <v>7</v>
      </c>
      <c r="L659" t="s">
        <v>20</v>
      </c>
      <c r="M659" t="s">
        <v>9</v>
      </c>
      <c r="N659" t="s">
        <v>8</v>
      </c>
      <c r="O659" t="s">
        <v>44</v>
      </c>
      <c r="P659" t="s">
        <v>20</v>
      </c>
      <c r="Q659" t="s">
        <v>55</v>
      </c>
      <c r="R659" t="s">
        <v>14</v>
      </c>
      <c r="S659" t="s">
        <v>15</v>
      </c>
      <c r="T659" t="s">
        <v>47</v>
      </c>
      <c r="U659" t="s">
        <v>5</v>
      </c>
      <c r="V659" s="94" t="s">
        <v>1263</v>
      </c>
      <c r="W659" t="s">
        <v>39</v>
      </c>
    </row>
    <row r="660" spans="1:23" ht="12.75">
      <c r="A660" s="1">
        <v>45757.828541666669</v>
      </c>
      <c r="C660" t="s">
        <v>345</v>
      </c>
      <c r="D660">
        <v>30</v>
      </c>
      <c r="E660">
        <v>185</v>
      </c>
      <c r="F660">
        <v>62</v>
      </c>
      <c r="G660">
        <v>3</v>
      </c>
      <c r="H660" t="s">
        <v>591</v>
      </c>
      <c r="I660" t="s">
        <v>29</v>
      </c>
      <c r="J660" t="s">
        <v>6</v>
      </c>
      <c r="K660" t="s">
        <v>19</v>
      </c>
      <c r="L660" t="s">
        <v>31</v>
      </c>
      <c r="M660" t="s">
        <v>9</v>
      </c>
      <c r="N660" t="s">
        <v>40</v>
      </c>
      <c r="O660" t="s">
        <v>11</v>
      </c>
      <c r="P660" t="s">
        <v>10</v>
      </c>
      <c r="Q660" t="s">
        <v>32</v>
      </c>
      <c r="R660" t="s">
        <v>50</v>
      </c>
      <c r="S660" t="s">
        <v>24</v>
      </c>
      <c r="T660" t="s">
        <v>25</v>
      </c>
      <c r="U660" t="s">
        <v>29</v>
      </c>
      <c r="V660" s="94" t="s">
        <v>1264</v>
      </c>
      <c r="W660" t="s">
        <v>26</v>
      </c>
    </row>
    <row r="661" spans="1:23" ht="12.75">
      <c r="A661" s="1">
        <v>45660.835868055554</v>
      </c>
      <c r="C661" t="s">
        <v>196</v>
      </c>
      <c r="D661">
        <v>35</v>
      </c>
      <c r="E661">
        <v>183</v>
      </c>
      <c r="F661">
        <v>56</v>
      </c>
      <c r="G661">
        <v>1</v>
      </c>
      <c r="H661" t="s">
        <v>591</v>
      </c>
      <c r="I661" t="s">
        <v>5</v>
      </c>
      <c r="J661" t="s">
        <v>36</v>
      </c>
      <c r="K661" t="s">
        <v>37</v>
      </c>
      <c r="L661" t="s">
        <v>31</v>
      </c>
      <c r="M661" t="s">
        <v>52</v>
      </c>
      <c r="N661" t="s">
        <v>20</v>
      </c>
      <c r="O661" t="s">
        <v>46</v>
      </c>
      <c r="P661" t="s">
        <v>8</v>
      </c>
      <c r="Q661" t="s">
        <v>23</v>
      </c>
      <c r="R661" t="s">
        <v>14</v>
      </c>
      <c r="S661" t="s">
        <v>47</v>
      </c>
      <c r="T661" t="s">
        <v>24</v>
      </c>
      <c r="U661" t="s">
        <v>29</v>
      </c>
      <c r="V661" s="94" t="s">
        <v>1265</v>
      </c>
      <c r="W661" t="s">
        <v>26</v>
      </c>
    </row>
    <row r="662" spans="1:23" ht="12.75">
      <c r="A662" s="1">
        <v>45736.658182870371</v>
      </c>
      <c r="C662" t="s">
        <v>56</v>
      </c>
      <c r="D662">
        <v>38</v>
      </c>
      <c r="E662">
        <v>157</v>
      </c>
      <c r="F662">
        <v>103</v>
      </c>
      <c r="G662">
        <v>2.5</v>
      </c>
      <c r="H662" t="s">
        <v>28</v>
      </c>
      <c r="I662" t="s">
        <v>5</v>
      </c>
      <c r="J662" t="s">
        <v>6</v>
      </c>
      <c r="K662" t="s">
        <v>19</v>
      </c>
      <c r="L662" t="s">
        <v>40</v>
      </c>
      <c r="M662" t="s">
        <v>9</v>
      </c>
      <c r="N662" t="s">
        <v>40</v>
      </c>
      <c r="O662" t="s">
        <v>46</v>
      </c>
      <c r="P662" t="s">
        <v>31</v>
      </c>
      <c r="Q662" t="s">
        <v>32</v>
      </c>
      <c r="R662" t="s">
        <v>14</v>
      </c>
      <c r="S662" t="s">
        <v>15</v>
      </c>
      <c r="T662" t="s">
        <v>15</v>
      </c>
      <c r="U662" t="s">
        <v>5</v>
      </c>
      <c r="V662" s="94" t="s">
        <v>1266</v>
      </c>
      <c r="W662" t="s">
        <v>34</v>
      </c>
    </row>
    <row r="663" spans="1:23" ht="12.75">
      <c r="A663" s="1">
        <v>45673.295775462961</v>
      </c>
      <c r="C663" t="s">
        <v>88</v>
      </c>
      <c r="D663">
        <v>52</v>
      </c>
      <c r="E663">
        <v>173</v>
      </c>
      <c r="F663">
        <v>56</v>
      </c>
      <c r="G663">
        <v>3</v>
      </c>
      <c r="H663" t="s">
        <v>591</v>
      </c>
      <c r="I663" t="s">
        <v>29</v>
      </c>
      <c r="J663" t="s">
        <v>36</v>
      </c>
      <c r="K663" t="s">
        <v>7</v>
      </c>
      <c r="L663" t="s">
        <v>20</v>
      </c>
      <c r="M663" t="s">
        <v>9</v>
      </c>
      <c r="N663" t="s">
        <v>40</v>
      </c>
      <c r="O663" t="s">
        <v>46</v>
      </c>
      <c r="P663" t="s">
        <v>8</v>
      </c>
      <c r="Q663" t="s">
        <v>13</v>
      </c>
      <c r="R663" t="s">
        <v>33</v>
      </c>
      <c r="S663" t="s">
        <v>24</v>
      </c>
      <c r="T663" t="s">
        <v>47</v>
      </c>
      <c r="U663" t="s">
        <v>5</v>
      </c>
      <c r="V663" s="94" t="s">
        <v>1267</v>
      </c>
      <c r="W663" t="s">
        <v>26</v>
      </c>
    </row>
    <row r="664" spans="1:23" ht="12.75">
      <c r="A664" s="1">
        <v>45801.957592592589</v>
      </c>
      <c r="C664" t="s">
        <v>152</v>
      </c>
      <c r="D664">
        <v>56</v>
      </c>
      <c r="E664">
        <v>155</v>
      </c>
      <c r="F664">
        <v>108</v>
      </c>
      <c r="G664">
        <v>2.5</v>
      </c>
      <c r="H664" t="s">
        <v>28</v>
      </c>
      <c r="I664" t="s">
        <v>29</v>
      </c>
      <c r="J664" t="s">
        <v>6</v>
      </c>
      <c r="K664" t="s">
        <v>63</v>
      </c>
      <c r="L664" t="s">
        <v>31</v>
      </c>
      <c r="M664" t="s">
        <v>38</v>
      </c>
      <c r="N664" t="s">
        <v>10</v>
      </c>
      <c r="O664" t="s">
        <v>46</v>
      </c>
      <c r="P664" t="s">
        <v>10</v>
      </c>
      <c r="Q664" t="s">
        <v>13</v>
      </c>
      <c r="R664" t="s">
        <v>33</v>
      </c>
      <c r="S664" t="s">
        <v>47</v>
      </c>
      <c r="T664" t="s">
        <v>25</v>
      </c>
      <c r="U664" t="s">
        <v>5</v>
      </c>
      <c r="V664" s="94" t="s">
        <v>1268</v>
      </c>
      <c r="W664" t="s">
        <v>39</v>
      </c>
    </row>
    <row r="665" spans="1:23" ht="12.75">
      <c r="A665" s="1">
        <v>45720.941412037035</v>
      </c>
      <c r="C665" t="s">
        <v>57</v>
      </c>
      <c r="D665">
        <v>55</v>
      </c>
      <c r="E665">
        <v>170</v>
      </c>
      <c r="F665">
        <v>94</v>
      </c>
      <c r="G665">
        <v>3</v>
      </c>
      <c r="H665" t="s">
        <v>28</v>
      </c>
      <c r="I665" t="s">
        <v>5</v>
      </c>
      <c r="J665" t="s">
        <v>36</v>
      </c>
      <c r="K665" t="s">
        <v>7</v>
      </c>
      <c r="L665" t="s">
        <v>12</v>
      </c>
      <c r="M665" t="s">
        <v>52</v>
      </c>
      <c r="N665" t="s">
        <v>31</v>
      </c>
      <c r="O665" t="s">
        <v>46</v>
      </c>
      <c r="P665" t="s">
        <v>31</v>
      </c>
      <c r="Q665" t="s">
        <v>23</v>
      </c>
      <c r="R665" t="s">
        <v>33</v>
      </c>
      <c r="S665" t="s">
        <v>25</v>
      </c>
      <c r="T665" t="s">
        <v>24</v>
      </c>
      <c r="U665" t="s">
        <v>29</v>
      </c>
      <c r="V665" s="94" t="s">
        <v>1269</v>
      </c>
      <c r="W665" t="s">
        <v>39</v>
      </c>
    </row>
    <row r="666" spans="1:23" ht="12.75">
      <c r="A666" s="1">
        <v>45716.204942129632</v>
      </c>
      <c r="C666" t="s">
        <v>115</v>
      </c>
      <c r="D666">
        <v>30</v>
      </c>
      <c r="E666">
        <v>171</v>
      </c>
      <c r="F666">
        <v>78</v>
      </c>
      <c r="G666">
        <v>3</v>
      </c>
      <c r="H666" t="s">
        <v>28</v>
      </c>
      <c r="I666" t="s">
        <v>5</v>
      </c>
      <c r="J666" t="s">
        <v>36</v>
      </c>
      <c r="K666" t="s">
        <v>19</v>
      </c>
      <c r="L666" t="s">
        <v>31</v>
      </c>
      <c r="M666" t="s">
        <v>38</v>
      </c>
      <c r="N666" t="s">
        <v>31</v>
      </c>
      <c r="O666" t="s">
        <v>11</v>
      </c>
      <c r="P666" t="s">
        <v>40</v>
      </c>
      <c r="Q666" t="s">
        <v>32</v>
      </c>
      <c r="R666" t="s">
        <v>14</v>
      </c>
      <c r="S666" t="s">
        <v>47</v>
      </c>
      <c r="T666" t="s">
        <v>24</v>
      </c>
      <c r="U666" t="s">
        <v>5</v>
      </c>
      <c r="V666" s="94" t="s">
        <v>1270</v>
      </c>
      <c r="W666" t="s">
        <v>39</v>
      </c>
    </row>
    <row r="667" spans="1:23" ht="12.75">
      <c r="A667" s="1">
        <v>45687.57403935185</v>
      </c>
      <c r="C667" t="s">
        <v>346</v>
      </c>
      <c r="D667">
        <v>30</v>
      </c>
      <c r="E667">
        <v>160</v>
      </c>
      <c r="F667">
        <v>95</v>
      </c>
      <c r="G667">
        <v>2</v>
      </c>
      <c r="H667" t="s">
        <v>592</v>
      </c>
      <c r="I667" t="s">
        <v>5</v>
      </c>
      <c r="J667" t="s">
        <v>36</v>
      </c>
      <c r="K667" t="s">
        <v>30</v>
      </c>
      <c r="L667" t="s">
        <v>31</v>
      </c>
      <c r="M667" t="s">
        <v>21</v>
      </c>
      <c r="N667" t="s">
        <v>40</v>
      </c>
      <c r="O667" t="s">
        <v>46</v>
      </c>
      <c r="P667" t="s">
        <v>31</v>
      </c>
      <c r="Q667" t="s">
        <v>32</v>
      </c>
      <c r="R667" t="s">
        <v>33</v>
      </c>
      <c r="S667" t="s">
        <v>24</v>
      </c>
      <c r="T667" t="s">
        <v>25</v>
      </c>
      <c r="U667" t="s">
        <v>29</v>
      </c>
      <c r="V667" s="94" t="s">
        <v>1271</v>
      </c>
      <c r="W667" t="s">
        <v>34</v>
      </c>
    </row>
    <row r="668" spans="1:23" ht="12.75">
      <c r="A668" s="1">
        <v>45728.418692129628</v>
      </c>
      <c r="C668" t="s">
        <v>333</v>
      </c>
      <c r="D668">
        <v>51</v>
      </c>
      <c r="E668">
        <v>155</v>
      </c>
      <c r="F668">
        <v>65</v>
      </c>
      <c r="G668">
        <v>1.5</v>
      </c>
      <c r="H668" t="s">
        <v>591</v>
      </c>
      <c r="I668" t="s">
        <v>29</v>
      </c>
      <c r="J668" t="s">
        <v>36</v>
      </c>
      <c r="K668" t="s">
        <v>63</v>
      </c>
      <c r="L668" t="s">
        <v>8</v>
      </c>
      <c r="M668" t="s">
        <v>38</v>
      </c>
      <c r="N668" t="s">
        <v>8</v>
      </c>
      <c r="O668" t="s">
        <v>44</v>
      </c>
      <c r="P668" t="s">
        <v>40</v>
      </c>
      <c r="Q668" t="s">
        <v>23</v>
      </c>
      <c r="R668" t="s">
        <v>50</v>
      </c>
      <c r="S668" t="s">
        <v>47</v>
      </c>
      <c r="T668" t="s">
        <v>15</v>
      </c>
      <c r="U668" t="s">
        <v>5</v>
      </c>
      <c r="V668" s="94" t="s">
        <v>1272</v>
      </c>
      <c r="W668" t="s">
        <v>16</v>
      </c>
    </row>
    <row r="669" spans="1:23" ht="12.75">
      <c r="A669" s="1">
        <v>45730.000231481485</v>
      </c>
      <c r="C669" t="s">
        <v>96</v>
      </c>
      <c r="D669">
        <v>43</v>
      </c>
      <c r="E669">
        <v>178</v>
      </c>
      <c r="F669">
        <v>82</v>
      </c>
      <c r="G669">
        <v>2.5</v>
      </c>
      <c r="H669" t="s">
        <v>592</v>
      </c>
      <c r="I669" t="s">
        <v>29</v>
      </c>
      <c r="J669" t="s">
        <v>6</v>
      </c>
      <c r="K669" t="s">
        <v>30</v>
      </c>
      <c r="L669" t="s">
        <v>20</v>
      </c>
      <c r="M669" t="s">
        <v>21</v>
      </c>
      <c r="N669" t="s">
        <v>20</v>
      </c>
      <c r="O669" t="s">
        <v>11</v>
      </c>
      <c r="P669" t="s">
        <v>40</v>
      </c>
      <c r="Q669" t="s">
        <v>32</v>
      </c>
      <c r="R669" t="s">
        <v>14</v>
      </c>
      <c r="S669" t="s">
        <v>47</v>
      </c>
      <c r="T669" t="s">
        <v>47</v>
      </c>
      <c r="U669" t="s">
        <v>5</v>
      </c>
      <c r="V669" s="94" t="s">
        <v>1273</v>
      </c>
      <c r="W669" t="s">
        <v>26</v>
      </c>
    </row>
    <row r="670" spans="1:23" ht="12.75">
      <c r="A670" s="1">
        <v>45726.986655092594</v>
      </c>
      <c r="C670" t="s">
        <v>167</v>
      </c>
      <c r="D670">
        <v>38</v>
      </c>
      <c r="E670">
        <v>167</v>
      </c>
      <c r="F670">
        <v>86</v>
      </c>
      <c r="G670">
        <v>3</v>
      </c>
      <c r="H670" t="s">
        <v>590</v>
      </c>
      <c r="I670" t="s">
        <v>5</v>
      </c>
      <c r="J670" t="s">
        <v>6</v>
      </c>
      <c r="K670" t="s">
        <v>60</v>
      </c>
      <c r="L670" t="s">
        <v>31</v>
      </c>
      <c r="M670" t="s">
        <v>21</v>
      </c>
      <c r="N670" t="s">
        <v>31</v>
      </c>
      <c r="O670" t="s">
        <v>44</v>
      </c>
      <c r="P670" t="s">
        <v>10</v>
      </c>
      <c r="Q670" t="s">
        <v>23</v>
      </c>
      <c r="R670" t="s">
        <v>33</v>
      </c>
      <c r="S670" t="s">
        <v>24</v>
      </c>
      <c r="T670" t="s">
        <v>25</v>
      </c>
      <c r="U670" t="s">
        <v>29</v>
      </c>
      <c r="V670" s="94" t="s">
        <v>1274</v>
      </c>
      <c r="W670" t="s">
        <v>34</v>
      </c>
    </row>
    <row r="671" spans="1:23" ht="12.75">
      <c r="A671" s="1">
        <v>45661.610393518517</v>
      </c>
      <c r="C671" t="s">
        <v>162</v>
      </c>
      <c r="D671">
        <v>45</v>
      </c>
      <c r="E671">
        <v>176</v>
      </c>
      <c r="F671">
        <v>56</v>
      </c>
      <c r="G671">
        <v>3</v>
      </c>
      <c r="H671" t="s">
        <v>590</v>
      </c>
      <c r="I671" t="s">
        <v>29</v>
      </c>
      <c r="J671" t="s">
        <v>6</v>
      </c>
      <c r="K671" t="s">
        <v>7</v>
      </c>
      <c r="L671" t="s">
        <v>20</v>
      </c>
      <c r="M671" t="s">
        <v>38</v>
      </c>
      <c r="N671" t="s">
        <v>10</v>
      </c>
      <c r="O671" t="s">
        <v>46</v>
      </c>
      <c r="P671" t="s">
        <v>20</v>
      </c>
      <c r="Q671" t="s">
        <v>23</v>
      </c>
      <c r="R671" t="s">
        <v>50</v>
      </c>
      <c r="S671" t="s">
        <v>25</v>
      </c>
      <c r="T671" t="s">
        <v>24</v>
      </c>
      <c r="U671" t="s">
        <v>29</v>
      </c>
      <c r="V671" s="3" t="s">
        <v>1275</v>
      </c>
      <c r="W671" t="s">
        <v>26</v>
      </c>
    </row>
    <row r="672" spans="1:23" ht="12.75">
      <c r="A672" s="1">
        <v>45663.817280092589</v>
      </c>
      <c r="C672" t="s">
        <v>105</v>
      </c>
      <c r="D672">
        <v>51</v>
      </c>
      <c r="E672">
        <v>163</v>
      </c>
      <c r="F672">
        <v>50</v>
      </c>
      <c r="G672">
        <v>2.5</v>
      </c>
      <c r="H672" t="s">
        <v>590</v>
      </c>
      <c r="I672" t="s">
        <v>29</v>
      </c>
      <c r="J672" t="s">
        <v>36</v>
      </c>
      <c r="K672" t="s">
        <v>19</v>
      </c>
      <c r="L672" t="s">
        <v>20</v>
      </c>
      <c r="M672" t="s">
        <v>38</v>
      </c>
      <c r="N672" t="s">
        <v>10</v>
      </c>
      <c r="O672" t="s">
        <v>44</v>
      </c>
      <c r="P672" t="s">
        <v>8</v>
      </c>
      <c r="Q672" t="s">
        <v>32</v>
      </c>
      <c r="R672" t="s">
        <v>33</v>
      </c>
      <c r="S672" t="s">
        <v>47</v>
      </c>
      <c r="T672" t="s">
        <v>15</v>
      </c>
      <c r="U672" t="s">
        <v>5</v>
      </c>
      <c r="V672" s="2" t="s">
        <v>1276</v>
      </c>
      <c r="W672" t="s">
        <v>26</v>
      </c>
    </row>
    <row r="673" spans="1:23" ht="12.75">
      <c r="A673" s="1">
        <v>45714.303020833337</v>
      </c>
      <c r="C673" t="s">
        <v>159</v>
      </c>
      <c r="D673">
        <v>22</v>
      </c>
      <c r="E673">
        <v>162</v>
      </c>
      <c r="F673">
        <v>101</v>
      </c>
      <c r="G673">
        <v>1</v>
      </c>
      <c r="H673" t="s">
        <v>28</v>
      </c>
      <c r="I673" t="s">
        <v>29</v>
      </c>
      <c r="J673" t="s">
        <v>36</v>
      </c>
      <c r="K673" t="s">
        <v>19</v>
      </c>
      <c r="L673" t="s">
        <v>20</v>
      </c>
      <c r="M673" t="s">
        <v>21</v>
      </c>
      <c r="N673" t="s">
        <v>10</v>
      </c>
      <c r="O673" t="s">
        <v>22</v>
      </c>
      <c r="P673" t="s">
        <v>40</v>
      </c>
      <c r="Q673" t="s">
        <v>13</v>
      </c>
      <c r="R673" t="s">
        <v>33</v>
      </c>
      <c r="S673" t="s">
        <v>47</v>
      </c>
      <c r="T673" t="s">
        <v>15</v>
      </c>
      <c r="U673" t="s">
        <v>29</v>
      </c>
      <c r="V673" s="3" t="s">
        <v>1277</v>
      </c>
      <c r="W673" t="s">
        <v>16</v>
      </c>
    </row>
    <row r="674" spans="1:23" ht="12.75">
      <c r="A674" s="1">
        <v>45767.622627314813</v>
      </c>
      <c r="C674" t="s">
        <v>201</v>
      </c>
      <c r="D674">
        <v>34</v>
      </c>
      <c r="E674">
        <v>176</v>
      </c>
      <c r="F674">
        <v>64</v>
      </c>
      <c r="G674">
        <v>1</v>
      </c>
      <c r="H674" t="s">
        <v>590</v>
      </c>
      <c r="I674" t="s">
        <v>5</v>
      </c>
      <c r="J674" t="s">
        <v>36</v>
      </c>
      <c r="K674" t="s">
        <v>7</v>
      </c>
      <c r="L674" t="s">
        <v>8</v>
      </c>
      <c r="M674" t="s">
        <v>21</v>
      </c>
      <c r="N674" t="s">
        <v>40</v>
      </c>
      <c r="O674" t="s">
        <v>44</v>
      </c>
      <c r="P674" t="s">
        <v>10</v>
      </c>
      <c r="Q674" t="s">
        <v>32</v>
      </c>
      <c r="R674" t="s">
        <v>14</v>
      </c>
      <c r="S674" t="s">
        <v>25</v>
      </c>
      <c r="T674" t="s">
        <v>15</v>
      </c>
      <c r="U674" t="s">
        <v>5</v>
      </c>
      <c r="V674" s="3" t="s">
        <v>1278</v>
      </c>
      <c r="W674" t="s">
        <v>34</v>
      </c>
    </row>
    <row r="675" spans="1:23" ht="12.75">
      <c r="A675" s="1">
        <v>45658.445196759261</v>
      </c>
      <c r="C675" t="s">
        <v>162</v>
      </c>
      <c r="D675">
        <v>50</v>
      </c>
      <c r="E675">
        <v>173</v>
      </c>
      <c r="F675">
        <v>73</v>
      </c>
      <c r="G675">
        <v>1.5</v>
      </c>
      <c r="H675" t="s">
        <v>28</v>
      </c>
      <c r="I675" t="s">
        <v>29</v>
      </c>
      <c r="J675" t="s">
        <v>6</v>
      </c>
      <c r="K675" t="s">
        <v>60</v>
      </c>
      <c r="L675" t="s">
        <v>12</v>
      </c>
      <c r="M675" t="s">
        <v>52</v>
      </c>
      <c r="N675" t="s">
        <v>10</v>
      </c>
      <c r="O675" t="s">
        <v>11</v>
      </c>
      <c r="P675" t="s">
        <v>12</v>
      </c>
      <c r="Q675" t="s">
        <v>13</v>
      </c>
      <c r="R675" t="s">
        <v>50</v>
      </c>
      <c r="S675" t="s">
        <v>25</v>
      </c>
      <c r="T675" t="s">
        <v>47</v>
      </c>
      <c r="U675" t="s">
        <v>5</v>
      </c>
      <c r="V675" s="3" t="s">
        <v>1279</v>
      </c>
      <c r="W675" t="s">
        <v>34</v>
      </c>
    </row>
    <row r="676" spans="1:23" ht="12.75">
      <c r="A676" s="1">
        <v>45747.799178240741</v>
      </c>
      <c r="C676" t="s">
        <v>347</v>
      </c>
      <c r="D676">
        <v>42</v>
      </c>
      <c r="E676">
        <v>169</v>
      </c>
      <c r="F676">
        <v>93</v>
      </c>
      <c r="G676">
        <v>1</v>
      </c>
      <c r="H676" t="s">
        <v>591</v>
      </c>
      <c r="I676" t="s">
        <v>29</v>
      </c>
      <c r="J676" t="s">
        <v>36</v>
      </c>
      <c r="K676" t="s">
        <v>30</v>
      </c>
      <c r="L676" t="s">
        <v>12</v>
      </c>
      <c r="M676" t="s">
        <v>9</v>
      </c>
      <c r="N676" t="s">
        <v>20</v>
      </c>
      <c r="O676" t="s">
        <v>44</v>
      </c>
      <c r="P676" t="s">
        <v>8</v>
      </c>
      <c r="Q676" t="s">
        <v>32</v>
      </c>
      <c r="R676" t="s">
        <v>50</v>
      </c>
      <c r="S676" t="s">
        <v>15</v>
      </c>
      <c r="T676" t="s">
        <v>24</v>
      </c>
      <c r="U676" t="s">
        <v>29</v>
      </c>
      <c r="V676" s="3" t="s">
        <v>1280</v>
      </c>
      <c r="W676" t="s">
        <v>39</v>
      </c>
    </row>
    <row r="677" spans="1:23" ht="12.75">
      <c r="A677" s="1">
        <v>45769.60665509259</v>
      </c>
      <c r="C677" t="s">
        <v>265</v>
      </c>
      <c r="D677">
        <v>32</v>
      </c>
      <c r="E677">
        <v>182</v>
      </c>
      <c r="F677">
        <v>103</v>
      </c>
      <c r="G677">
        <v>3</v>
      </c>
      <c r="H677" t="s">
        <v>591</v>
      </c>
      <c r="I677" t="s">
        <v>29</v>
      </c>
      <c r="J677" t="s">
        <v>36</v>
      </c>
      <c r="K677" t="s">
        <v>63</v>
      </c>
      <c r="L677" t="s">
        <v>8</v>
      </c>
      <c r="M677" t="s">
        <v>9</v>
      </c>
      <c r="N677" t="s">
        <v>8</v>
      </c>
      <c r="O677" t="s">
        <v>44</v>
      </c>
      <c r="P677" t="s">
        <v>31</v>
      </c>
      <c r="Q677" t="s">
        <v>55</v>
      </c>
      <c r="R677" t="s">
        <v>33</v>
      </c>
      <c r="S677" t="s">
        <v>47</v>
      </c>
      <c r="T677" t="s">
        <v>24</v>
      </c>
      <c r="U677" t="s">
        <v>29</v>
      </c>
      <c r="V677" s="3" t="s">
        <v>1281</v>
      </c>
      <c r="W677" t="s">
        <v>16</v>
      </c>
    </row>
    <row r="678" spans="1:23" ht="12.75">
      <c r="A678" s="1">
        <v>45696.769016203703</v>
      </c>
      <c r="C678" t="s">
        <v>99</v>
      </c>
      <c r="D678">
        <v>27</v>
      </c>
      <c r="E678">
        <v>188</v>
      </c>
      <c r="F678">
        <v>84</v>
      </c>
      <c r="G678">
        <v>1.5</v>
      </c>
      <c r="H678" t="s">
        <v>592</v>
      </c>
      <c r="I678" t="s">
        <v>29</v>
      </c>
      <c r="J678" t="s">
        <v>6</v>
      </c>
      <c r="K678" t="s">
        <v>60</v>
      </c>
      <c r="L678" t="s">
        <v>20</v>
      </c>
      <c r="M678" t="s">
        <v>52</v>
      </c>
      <c r="N678" t="s">
        <v>31</v>
      </c>
      <c r="O678" t="s">
        <v>22</v>
      </c>
      <c r="P678" t="s">
        <v>12</v>
      </c>
      <c r="Q678" t="s">
        <v>23</v>
      </c>
      <c r="R678" t="s">
        <v>33</v>
      </c>
      <c r="S678" t="s">
        <v>15</v>
      </c>
      <c r="T678" t="s">
        <v>47</v>
      </c>
      <c r="U678" t="s">
        <v>5</v>
      </c>
      <c r="V678" s="3" t="s">
        <v>1282</v>
      </c>
      <c r="W678" t="s">
        <v>16</v>
      </c>
    </row>
    <row r="679" spans="1:23" ht="12.75">
      <c r="A679" s="1">
        <v>45722.606469907405</v>
      </c>
      <c r="C679" t="s">
        <v>195</v>
      </c>
      <c r="D679">
        <v>37</v>
      </c>
      <c r="E679">
        <v>184</v>
      </c>
      <c r="F679">
        <v>78</v>
      </c>
      <c r="G679">
        <v>2</v>
      </c>
      <c r="H679" t="s">
        <v>28</v>
      </c>
      <c r="I679" t="s">
        <v>5</v>
      </c>
      <c r="J679" t="s">
        <v>6</v>
      </c>
      <c r="K679" t="s">
        <v>60</v>
      </c>
      <c r="L679" t="s">
        <v>8</v>
      </c>
      <c r="M679" t="s">
        <v>9</v>
      </c>
      <c r="N679" t="s">
        <v>40</v>
      </c>
      <c r="O679" t="s">
        <v>46</v>
      </c>
      <c r="P679" t="s">
        <v>12</v>
      </c>
      <c r="Q679" t="s">
        <v>32</v>
      </c>
      <c r="R679" t="s">
        <v>33</v>
      </c>
      <c r="S679" t="s">
        <v>24</v>
      </c>
      <c r="T679" t="s">
        <v>15</v>
      </c>
      <c r="U679" t="s">
        <v>29</v>
      </c>
      <c r="V679" s="3" t="s">
        <v>1283</v>
      </c>
      <c r="W679" t="s">
        <v>26</v>
      </c>
    </row>
    <row r="680" spans="1:23" ht="12.75">
      <c r="A680" s="1">
        <v>45789.38417824074</v>
      </c>
      <c r="C680" t="s">
        <v>176</v>
      </c>
      <c r="D680">
        <v>52</v>
      </c>
      <c r="E680">
        <v>167</v>
      </c>
      <c r="F680">
        <v>58</v>
      </c>
      <c r="G680">
        <v>2.5</v>
      </c>
      <c r="H680" t="s">
        <v>28</v>
      </c>
      <c r="I680" t="s">
        <v>5</v>
      </c>
      <c r="J680" t="s">
        <v>6</v>
      </c>
      <c r="K680" t="s">
        <v>19</v>
      </c>
      <c r="L680" t="s">
        <v>12</v>
      </c>
      <c r="M680" t="s">
        <v>21</v>
      </c>
      <c r="N680" t="s">
        <v>31</v>
      </c>
      <c r="O680" t="s">
        <v>44</v>
      </c>
      <c r="P680" t="s">
        <v>31</v>
      </c>
      <c r="Q680" t="s">
        <v>23</v>
      </c>
      <c r="R680" t="s">
        <v>14</v>
      </c>
      <c r="S680" t="s">
        <v>15</v>
      </c>
      <c r="T680" t="s">
        <v>15</v>
      </c>
      <c r="U680" t="s">
        <v>29</v>
      </c>
      <c r="V680" s="3" t="s">
        <v>1284</v>
      </c>
      <c r="W680" t="s">
        <v>34</v>
      </c>
    </row>
    <row r="681" spans="1:23" ht="12.75">
      <c r="A681" s="1">
        <v>45669.434687499997</v>
      </c>
      <c r="C681" t="s">
        <v>252</v>
      </c>
      <c r="D681">
        <v>55</v>
      </c>
      <c r="E681">
        <v>176</v>
      </c>
      <c r="F681">
        <v>84</v>
      </c>
      <c r="G681">
        <v>1</v>
      </c>
      <c r="H681" t="s">
        <v>590</v>
      </c>
      <c r="I681" t="s">
        <v>29</v>
      </c>
      <c r="J681" t="s">
        <v>36</v>
      </c>
      <c r="K681" t="s">
        <v>30</v>
      </c>
      <c r="L681" t="s">
        <v>10</v>
      </c>
      <c r="M681" t="s">
        <v>38</v>
      </c>
      <c r="N681" t="s">
        <v>10</v>
      </c>
      <c r="O681" t="s">
        <v>11</v>
      </c>
      <c r="P681" t="s">
        <v>40</v>
      </c>
      <c r="Q681" t="s">
        <v>13</v>
      </c>
      <c r="R681" t="s">
        <v>33</v>
      </c>
      <c r="S681" t="s">
        <v>15</v>
      </c>
      <c r="T681" t="s">
        <v>47</v>
      </c>
      <c r="U681" t="s">
        <v>5</v>
      </c>
      <c r="V681" s="3" t="s">
        <v>1285</v>
      </c>
      <c r="W681" t="s">
        <v>34</v>
      </c>
    </row>
    <row r="682" spans="1:23" ht="12.75">
      <c r="A682" s="1">
        <v>45769.588194444441</v>
      </c>
      <c r="C682" t="s">
        <v>174</v>
      </c>
      <c r="D682">
        <v>54</v>
      </c>
      <c r="E682">
        <v>172</v>
      </c>
      <c r="F682">
        <v>81</v>
      </c>
      <c r="G682">
        <v>3</v>
      </c>
      <c r="H682" t="s">
        <v>591</v>
      </c>
      <c r="I682" t="s">
        <v>5</v>
      </c>
      <c r="J682" t="s">
        <v>36</v>
      </c>
      <c r="K682" t="s">
        <v>63</v>
      </c>
      <c r="L682" t="s">
        <v>12</v>
      </c>
      <c r="M682" t="s">
        <v>52</v>
      </c>
      <c r="N682" t="s">
        <v>31</v>
      </c>
      <c r="O682" t="s">
        <v>11</v>
      </c>
      <c r="P682" t="s">
        <v>8</v>
      </c>
      <c r="Q682" t="s">
        <v>23</v>
      </c>
      <c r="R682" t="s">
        <v>50</v>
      </c>
      <c r="S682" t="s">
        <v>15</v>
      </c>
      <c r="T682" t="s">
        <v>24</v>
      </c>
      <c r="U682" t="s">
        <v>29</v>
      </c>
      <c r="V682" s="3" t="s">
        <v>1286</v>
      </c>
      <c r="W682" t="s">
        <v>34</v>
      </c>
    </row>
    <row r="683" spans="1:23" ht="12.75">
      <c r="A683" s="1">
        <v>45686.940081018518</v>
      </c>
      <c r="C683" t="s">
        <v>67</v>
      </c>
      <c r="D683">
        <v>40</v>
      </c>
      <c r="E683">
        <v>180</v>
      </c>
      <c r="F683">
        <v>80</v>
      </c>
      <c r="G683">
        <v>1</v>
      </c>
      <c r="H683" t="s">
        <v>591</v>
      </c>
      <c r="I683" t="s">
        <v>29</v>
      </c>
      <c r="J683" t="s">
        <v>6</v>
      </c>
      <c r="K683" t="s">
        <v>7</v>
      </c>
      <c r="L683" t="s">
        <v>20</v>
      </c>
      <c r="M683" t="s">
        <v>38</v>
      </c>
      <c r="N683" t="s">
        <v>31</v>
      </c>
      <c r="O683" t="s">
        <v>46</v>
      </c>
      <c r="P683" t="s">
        <v>8</v>
      </c>
      <c r="Q683" t="s">
        <v>55</v>
      </c>
      <c r="R683" t="s">
        <v>50</v>
      </c>
      <c r="S683" t="s">
        <v>47</v>
      </c>
      <c r="T683" t="s">
        <v>15</v>
      </c>
      <c r="U683" t="s">
        <v>29</v>
      </c>
      <c r="V683" s="3" t="s">
        <v>1287</v>
      </c>
      <c r="W683" t="s">
        <v>16</v>
      </c>
    </row>
    <row r="684" spans="1:23" ht="12.75">
      <c r="A684" s="1">
        <v>45674.042638888888</v>
      </c>
      <c r="C684" t="s">
        <v>348</v>
      </c>
      <c r="D684">
        <v>38</v>
      </c>
      <c r="E684">
        <v>182</v>
      </c>
      <c r="F684">
        <v>85</v>
      </c>
      <c r="G684">
        <v>3</v>
      </c>
      <c r="H684" t="s">
        <v>28</v>
      </c>
      <c r="I684" t="s">
        <v>29</v>
      </c>
      <c r="J684" t="s">
        <v>6</v>
      </c>
      <c r="K684" t="s">
        <v>37</v>
      </c>
      <c r="L684" t="s">
        <v>31</v>
      </c>
      <c r="M684" t="s">
        <v>21</v>
      </c>
      <c r="N684" t="s">
        <v>12</v>
      </c>
      <c r="O684" t="s">
        <v>22</v>
      </c>
      <c r="P684" t="s">
        <v>40</v>
      </c>
      <c r="Q684" t="s">
        <v>55</v>
      </c>
      <c r="R684" t="s">
        <v>33</v>
      </c>
      <c r="S684" t="s">
        <v>24</v>
      </c>
      <c r="T684" t="s">
        <v>15</v>
      </c>
      <c r="U684" t="s">
        <v>29</v>
      </c>
      <c r="V684" s="3" t="s">
        <v>1288</v>
      </c>
      <c r="W684" t="s">
        <v>26</v>
      </c>
    </row>
    <row r="685" spans="1:23" ht="12.75">
      <c r="A685" s="1">
        <v>45784.098530092589</v>
      </c>
      <c r="C685" t="s">
        <v>43</v>
      </c>
      <c r="D685">
        <v>56</v>
      </c>
      <c r="E685">
        <v>158</v>
      </c>
      <c r="F685">
        <v>89</v>
      </c>
      <c r="G685">
        <v>3</v>
      </c>
      <c r="H685" t="s">
        <v>592</v>
      </c>
      <c r="I685" t="s">
        <v>5</v>
      </c>
      <c r="J685" t="s">
        <v>6</v>
      </c>
      <c r="K685" t="s">
        <v>30</v>
      </c>
      <c r="L685" t="s">
        <v>40</v>
      </c>
      <c r="M685" t="s">
        <v>9</v>
      </c>
      <c r="N685" t="s">
        <v>10</v>
      </c>
      <c r="O685" t="s">
        <v>11</v>
      </c>
      <c r="P685" t="s">
        <v>20</v>
      </c>
      <c r="Q685" t="s">
        <v>55</v>
      </c>
      <c r="R685" t="s">
        <v>50</v>
      </c>
      <c r="S685" t="s">
        <v>15</v>
      </c>
      <c r="T685" t="s">
        <v>24</v>
      </c>
      <c r="U685" t="s">
        <v>5</v>
      </c>
      <c r="V685" s="3" t="s">
        <v>1289</v>
      </c>
      <c r="W685" t="s">
        <v>39</v>
      </c>
    </row>
    <row r="686" spans="1:23" ht="12.75">
      <c r="A686" s="1">
        <v>45758.371678240743</v>
      </c>
      <c r="C686" t="s">
        <v>291</v>
      </c>
      <c r="D686">
        <v>41</v>
      </c>
      <c r="E686">
        <v>188</v>
      </c>
      <c r="F686">
        <v>85</v>
      </c>
      <c r="G686">
        <v>1.5</v>
      </c>
      <c r="H686" t="s">
        <v>28</v>
      </c>
      <c r="I686" t="s">
        <v>5</v>
      </c>
      <c r="J686" t="s">
        <v>6</v>
      </c>
      <c r="K686" t="s">
        <v>19</v>
      </c>
      <c r="L686" t="s">
        <v>40</v>
      </c>
      <c r="M686" t="s">
        <v>52</v>
      </c>
      <c r="N686" t="s">
        <v>8</v>
      </c>
      <c r="O686" t="s">
        <v>22</v>
      </c>
      <c r="P686" t="s">
        <v>20</v>
      </c>
      <c r="Q686" t="s">
        <v>32</v>
      </c>
      <c r="R686" t="s">
        <v>14</v>
      </c>
      <c r="S686" t="s">
        <v>25</v>
      </c>
      <c r="T686" t="s">
        <v>25</v>
      </c>
      <c r="U686" t="s">
        <v>5</v>
      </c>
      <c r="V686" s="3" t="s">
        <v>1290</v>
      </c>
      <c r="W686" t="s">
        <v>26</v>
      </c>
    </row>
    <row r="687" spans="1:23" ht="12.75">
      <c r="A687" s="1">
        <v>45723.199780092589</v>
      </c>
      <c r="C687" t="s">
        <v>318</v>
      </c>
      <c r="D687">
        <v>37</v>
      </c>
      <c r="E687">
        <v>158</v>
      </c>
      <c r="F687">
        <v>108</v>
      </c>
      <c r="G687">
        <v>2</v>
      </c>
      <c r="H687" t="s">
        <v>590</v>
      </c>
      <c r="I687" t="s">
        <v>5</v>
      </c>
      <c r="J687" t="s">
        <v>6</v>
      </c>
      <c r="K687" t="s">
        <v>19</v>
      </c>
      <c r="L687" t="s">
        <v>12</v>
      </c>
      <c r="M687" t="s">
        <v>52</v>
      </c>
      <c r="N687" t="s">
        <v>10</v>
      </c>
      <c r="O687" t="s">
        <v>44</v>
      </c>
      <c r="P687" t="s">
        <v>20</v>
      </c>
      <c r="Q687" t="s">
        <v>13</v>
      </c>
      <c r="R687" t="s">
        <v>50</v>
      </c>
      <c r="S687" t="s">
        <v>25</v>
      </c>
      <c r="T687" t="s">
        <v>24</v>
      </c>
      <c r="U687" t="s">
        <v>5</v>
      </c>
      <c r="V687" s="3" t="s">
        <v>1291</v>
      </c>
      <c r="W687" t="s">
        <v>16</v>
      </c>
    </row>
    <row r="688" spans="1:23" ht="12.75">
      <c r="A688" s="1">
        <v>45776.394016203703</v>
      </c>
      <c r="C688" t="s">
        <v>163</v>
      </c>
      <c r="D688">
        <v>37</v>
      </c>
      <c r="E688">
        <v>171</v>
      </c>
      <c r="F688">
        <v>99</v>
      </c>
      <c r="G688">
        <v>2.5</v>
      </c>
      <c r="H688" t="s">
        <v>591</v>
      </c>
      <c r="I688" t="s">
        <v>5</v>
      </c>
      <c r="J688" t="s">
        <v>36</v>
      </c>
      <c r="K688" t="s">
        <v>19</v>
      </c>
      <c r="L688" t="s">
        <v>10</v>
      </c>
      <c r="M688" t="s">
        <v>21</v>
      </c>
      <c r="N688" t="s">
        <v>10</v>
      </c>
      <c r="O688" t="s">
        <v>22</v>
      </c>
      <c r="P688" t="s">
        <v>20</v>
      </c>
      <c r="Q688" t="s">
        <v>55</v>
      </c>
      <c r="R688" t="s">
        <v>33</v>
      </c>
      <c r="S688" t="s">
        <v>25</v>
      </c>
      <c r="T688" t="s">
        <v>15</v>
      </c>
      <c r="U688" t="s">
        <v>5</v>
      </c>
      <c r="V688" s="3" t="s">
        <v>1292</v>
      </c>
      <c r="W688" t="s">
        <v>39</v>
      </c>
    </row>
    <row r="689" spans="1:23" ht="12.75">
      <c r="A689" s="1">
        <v>45793.246006944442</v>
      </c>
      <c r="C689" t="s">
        <v>145</v>
      </c>
      <c r="D689">
        <v>43</v>
      </c>
      <c r="E689">
        <v>169</v>
      </c>
      <c r="F689">
        <v>70</v>
      </c>
      <c r="G689">
        <v>1</v>
      </c>
      <c r="H689" t="s">
        <v>590</v>
      </c>
      <c r="I689" t="s">
        <v>5</v>
      </c>
      <c r="J689" t="s">
        <v>6</v>
      </c>
      <c r="K689" t="s">
        <v>60</v>
      </c>
      <c r="L689" t="s">
        <v>31</v>
      </c>
      <c r="M689" t="s">
        <v>38</v>
      </c>
      <c r="N689" t="s">
        <v>40</v>
      </c>
      <c r="O689" t="s">
        <v>44</v>
      </c>
      <c r="P689" t="s">
        <v>10</v>
      </c>
      <c r="Q689" t="s">
        <v>55</v>
      </c>
      <c r="R689" t="s">
        <v>50</v>
      </c>
      <c r="S689" t="s">
        <v>24</v>
      </c>
      <c r="T689" t="s">
        <v>24</v>
      </c>
      <c r="U689" t="s">
        <v>29</v>
      </c>
      <c r="V689" s="3" t="s">
        <v>1293</v>
      </c>
      <c r="W689" t="s">
        <v>26</v>
      </c>
    </row>
    <row r="690" spans="1:23" ht="12.75">
      <c r="A690" s="1">
        <v>45776.94222222222</v>
      </c>
      <c r="C690" t="s">
        <v>349</v>
      </c>
      <c r="D690">
        <v>27</v>
      </c>
      <c r="E690">
        <v>163</v>
      </c>
      <c r="F690">
        <v>108</v>
      </c>
      <c r="G690">
        <v>2</v>
      </c>
      <c r="H690" t="s">
        <v>28</v>
      </c>
      <c r="I690" t="s">
        <v>29</v>
      </c>
      <c r="J690" t="s">
        <v>36</v>
      </c>
      <c r="K690" t="s">
        <v>7</v>
      </c>
      <c r="L690" t="s">
        <v>20</v>
      </c>
      <c r="M690" t="s">
        <v>52</v>
      </c>
      <c r="N690" t="s">
        <v>12</v>
      </c>
      <c r="O690" t="s">
        <v>22</v>
      </c>
      <c r="P690" t="s">
        <v>31</v>
      </c>
      <c r="Q690" t="s">
        <v>55</v>
      </c>
      <c r="R690" t="s">
        <v>14</v>
      </c>
      <c r="S690" t="s">
        <v>24</v>
      </c>
      <c r="T690" t="s">
        <v>24</v>
      </c>
      <c r="U690" t="s">
        <v>5</v>
      </c>
      <c r="V690" s="3" t="s">
        <v>1294</v>
      </c>
      <c r="W690" t="s">
        <v>16</v>
      </c>
    </row>
    <row r="691" spans="1:23" ht="12.75">
      <c r="A691" s="1">
        <v>45751.57</v>
      </c>
      <c r="C691" t="s">
        <v>350</v>
      </c>
      <c r="D691">
        <v>53</v>
      </c>
      <c r="E691">
        <v>170</v>
      </c>
      <c r="F691">
        <v>65</v>
      </c>
      <c r="G691">
        <v>2</v>
      </c>
      <c r="H691" t="s">
        <v>591</v>
      </c>
      <c r="I691" t="s">
        <v>29</v>
      </c>
      <c r="J691" t="s">
        <v>6</v>
      </c>
      <c r="K691" t="s">
        <v>63</v>
      </c>
      <c r="L691" t="s">
        <v>40</v>
      </c>
      <c r="M691" t="s">
        <v>52</v>
      </c>
      <c r="N691" t="s">
        <v>40</v>
      </c>
      <c r="O691" t="s">
        <v>44</v>
      </c>
      <c r="P691" t="s">
        <v>8</v>
      </c>
      <c r="Q691" t="s">
        <v>23</v>
      </c>
      <c r="R691" t="s">
        <v>14</v>
      </c>
      <c r="S691" t="s">
        <v>24</v>
      </c>
      <c r="T691" t="s">
        <v>47</v>
      </c>
      <c r="U691" t="s">
        <v>29</v>
      </c>
      <c r="V691" s="3" t="s">
        <v>1295</v>
      </c>
      <c r="W691" t="s">
        <v>39</v>
      </c>
    </row>
    <row r="692" spans="1:23" ht="12.75">
      <c r="A692" s="1">
        <v>45765.789861111109</v>
      </c>
      <c r="C692" t="s">
        <v>57</v>
      </c>
      <c r="D692">
        <v>53</v>
      </c>
      <c r="E692">
        <v>164</v>
      </c>
      <c r="F692">
        <v>89</v>
      </c>
      <c r="G692">
        <v>2.5</v>
      </c>
      <c r="H692" t="s">
        <v>591</v>
      </c>
      <c r="I692" t="s">
        <v>5</v>
      </c>
      <c r="J692" t="s">
        <v>6</v>
      </c>
      <c r="K692" t="s">
        <v>63</v>
      </c>
      <c r="L692" t="s">
        <v>40</v>
      </c>
      <c r="M692" t="s">
        <v>21</v>
      </c>
      <c r="N692" t="s">
        <v>20</v>
      </c>
      <c r="O692" t="s">
        <v>44</v>
      </c>
      <c r="P692" t="s">
        <v>40</v>
      </c>
      <c r="Q692" t="s">
        <v>32</v>
      </c>
      <c r="R692" t="s">
        <v>50</v>
      </c>
      <c r="S692" t="s">
        <v>47</v>
      </c>
      <c r="T692" t="s">
        <v>47</v>
      </c>
      <c r="U692" t="s">
        <v>5</v>
      </c>
      <c r="V692" s="3" t="s">
        <v>1296</v>
      </c>
      <c r="W692" t="s">
        <v>34</v>
      </c>
    </row>
    <row r="693" spans="1:23" ht="12.75">
      <c r="A693" s="1">
        <v>45801.402581018519</v>
      </c>
      <c r="C693" t="s">
        <v>70</v>
      </c>
      <c r="D693">
        <v>45</v>
      </c>
      <c r="E693">
        <v>159</v>
      </c>
      <c r="F693">
        <v>105</v>
      </c>
      <c r="G693">
        <v>2.5</v>
      </c>
      <c r="H693" t="s">
        <v>592</v>
      </c>
      <c r="I693" t="s">
        <v>5</v>
      </c>
      <c r="J693" t="s">
        <v>36</v>
      </c>
      <c r="K693" t="s">
        <v>60</v>
      </c>
      <c r="L693" t="s">
        <v>40</v>
      </c>
      <c r="M693" t="s">
        <v>38</v>
      </c>
      <c r="N693" t="s">
        <v>31</v>
      </c>
      <c r="O693" t="s">
        <v>44</v>
      </c>
      <c r="P693" t="s">
        <v>31</v>
      </c>
      <c r="Q693" t="s">
        <v>32</v>
      </c>
      <c r="R693" t="s">
        <v>33</v>
      </c>
      <c r="S693" t="s">
        <v>15</v>
      </c>
      <c r="T693" t="s">
        <v>24</v>
      </c>
      <c r="U693" t="s">
        <v>5</v>
      </c>
      <c r="V693" s="3" t="s">
        <v>1297</v>
      </c>
      <c r="W693" t="s">
        <v>16</v>
      </c>
    </row>
    <row r="694" spans="1:23" ht="12.75">
      <c r="A694" s="1">
        <v>45787.772476851853</v>
      </c>
      <c r="C694" t="s">
        <v>172</v>
      </c>
      <c r="D694">
        <v>59</v>
      </c>
      <c r="E694">
        <v>170</v>
      </c>
      <c r="F694">
        <v>109</v>
      </c>
      <c r="G694">
        <v>1.5</v>
      </c>
      <c r="H694" t="s">
        <v>592</v>
      </c>
      <c r="I694" t="s">
        <v>29</v>
      </c>
      <c r="J694" t="s">
        <v>6</v>
      </c>
      <c r="K694" t="s">
        <v>37</v>
      </c>
      <c r="L694" t="s">
        <v>12</v>
      </c>
      <c r="M694" t="s">
        <v>38</v>
      </c>
      <c r="N694" t="s">
        <v>31</v>
      </c>
      <c r="O694" t="s">
        <v>44</v>
      </c>
      <c r="P694" t="s">
        <v>10</v>
      </c>
      <c r="Q694" t="s">
        <v>55</v>
      </c>
      <c r="R694" t="s">
        <v>33</v>
      </c>
      <c r="S694" t="s">
        <v>24</v>
      </c>
      <c r="T694" t="s">
        <v>25</v>
      </c>
      <c r="U694" t="s">
        <v>5</v>
      </c>
      <c r="V694" s="3" t="s">
        <v>1298</v>
      </c>
      <c r="W694" t="s">
        <v>26</v>
      </c>
    </row>
    <row r="695" spans="1:23" ht="12.75">
      <c r="A695" s="1">
        <v>45763.204375000001</v>
      </c>
      <c r="C695" t="s">
        <v>95</v>
      </c>
      <c r="D695">
        <v>50</v>
      </c>
      <c r="E695">
        <v>166</v>
      </c>
      <c r="F695">
        <v>64</v>
      </c>
      <c r="G695">
        <v>1</v>
      </c>
      <c r="H695" t="s">
        <v>592</v>
      </c>
      <c r="I695" t="s">
        <v>29</v>
      </c>
      <c r="J695" t="s">
        <v>6</v>
      </c>
      <c r="K695" t="s">
        <v>19</v>
      </c>
      <c r="L695" t="s">
        <v>31</v>
      </c>
      <c r="M695" t="s">
        <v>38</v>
      </c>
      <c r="N695" t="s">
        <v>40</v>
      </c>
      <c r="O695" t="s">
        <v>44</v>
      </c>
      <c r="P695" t="s">
        <v>10</v>
      </c>
      <c r="Q695" t="s">
        <v>32</v>
      </c>
      <c r="R695" t="s">
        <v>50</v>
      </c>
      <c r="S695" t="s">
        <v>15</v>
      </c>
      <c r="T695" t="s">
        <v>47</v>
      </c>
      <c r="U695" t="s">
        <v>5</v>
      </c>
      <c r="V695" s="3" t="s">
        <v>1299</v>
      </c>
      <c r="W695" t="s">
        <v>34</v>
      </c>
    </row>
    <row r="696" spans="1:23" ht="12.75">
      <c r="A696" s="1">
        <v>45780.549340277779</v>
      </c>
      <c r="C696" t="s">
        <v>115</v>
      </c>
      <c r="D696">
        <v>33</v>
      </c>
      <c r="E696">
        <v>175</v>
      </c>
      <c r="F696">
        <v>81</v>
      </c>
      <c r="G696">
        <v>2.5</v>
      </c>
      <c r="H696" t="s">
        <v>591</v>
      </c>
      <c r="I696" t="s">
        <v>29</v>
      </c>
      <c r="J696" t="s">
        <v>36</v>
      </c>
      <c r="K696" t="s">
        <v>7</v>
      </c>
      <c r="L696" t="s">
        <v>12</v>
      </c>
      <c r="M696" t="s">
        <v>9</v>
      </c>
      <c r="N696" t="s">
        <v>40</v>
      </c>
      <c r="O696" t="s">
        <v>11</v>
      </c>
      <c r="P696" t="s">
        <v>20</v>
      </c>
      <c r="Q696" t="s">
        <v>13</v>
      </c>
      <c r="R696" t="s">
        <v>33</v>
      </c>
      <c r="S696" t="s">
        <v>47</v>
      </c>
      <c r="T696" t="s">
        <v>25</v>
      </c>
      <c r="U696" t="s">
        <v>5</v>
      </c>
      <c r="V696" s="3" t="s">
        <v>1300</v>
      </c>
      <c r="W696" t="s">
        <v>16</v>
      </c>
    </row>
    <row r="697" spans="1:23" ht="12.75">
      <c r="A697" s="1">
        <v>45674.051377314812</v>
      </c>
      <c r="C697" t="s">
        <v>73</v>
      </c>
      <c r="D697">
        <v>28</v>
      </c>
      <c r="E697">
        <v>167</v>
      </c>
      <c r="F697">
        <v>92</v>
      </c>
      <c r="G697">
        <v>1</v>
      </c>
      <c r="H697" t="s">
        <v>591</v>
      </c>
      <c r="I697" t="s">
        <v>29</v>
      </c>
      <c r="J697" t="s">
        <v>6</v>
      </c>
      <c r="K697" t="s">
        <v>7</v>
      </c>
      <c r="L697" t="s">
        <v>40</v>
      </c>
      <c r="M697" t="s">
        <v>52</v>
      </c>
      <c r="N697" t="s">
        <v>31</v>
      </c>
      <c r="O697" t="s">
        <v>11</v>
      </c>
      <c r="P697" t="s">
        <v>20</v>
      </c>
      <c r="Q697" t="s">
        <v>23</v>
      </c>
      <c r="R697" t="s">
        <v>33</v>
      </c>
      <c r="S697" t="s">
        <v>24</v>
      </c>
      <c r="T697" t="s">
        <v>47</v>
      </c>
      <c r="U697" t="s">
        <v>5</v>
      </c>
      <c r="V697" s="3" t="s">
        <v>1301</v>
      </c>
      <c r="W697" t="s">
        <v>26</v>
      </c>
    </row>
    <row r="698" spans="1:23" ht="12.75">
      <c r="A698" s="1">
        <v>45704.386921296296</v>
      </c>
      <c r="C698" t="s">
        <v>163</v>
      </c>
      <c r="D698">
        <v>51</v>
      </c>
      <c r="E698">
        <v>176</v>
      </c>
      <c r="F698">
        <v>52</v>
      </c>
      <c r="G698">
        <v>2.5</v>
      </c>
      <c r="H698" t="s">
        <v>592</v>
      </c>
      <c r="I698" t="s">
        <v>29</v>
      </c>
      <c r="J698" t="s">
        <v>6</v>
      </c>
      <c r="K698" t="s">
        <v>30</v>
      </c>
      <c r="L698" t="s">
        <v>10</v>
      </c>
      <c r="M698" t="s">
        <v>21</v>
      </c>
      <c r="N698" t="s">
        <v>12</v>
      </c>
      <c r="O698" t="s">
        <v>22</v>
      </c>
      <c r="P698" t="s">
        <v>12</v>
      </c>
      <c r="Q698" t="s">
        <v>23</v>
      </c>
      <c r="R698" t="s">
        <v>33</v>
      </c>
      <c r="S698" t="s">
        <v>15</v>
      </c>
      <c r="T698" t="s">
        <v>24</v>
      </c>
      <c r="U698" t="s">
        <v>29</v>
      </c>
      <c r="V698" s="3" t="s">
        <v>1302</v>
      </c>
      <c r="W698" t="s">
        <v>39</v>
      </c>
    </row>
    <row r="699" spans="1:23" ht="12.75">
      <c r="A699" s="1">
        <v>45714.187013888892</v>
      </c>
      <c r="C699" t="s">
        <v>144</v>
      </c>
      <c r="D699">
        <v>26</v>
      </c>
      <c r="E699">
        <v>184</v>
      </c>
      <c r="F699">
        <v>89</v>
      </c>
      <c r="G699">
        <v>1</v>
      </c>
      <c r="H699" t="s">
        <v>590</v>
      </c>
      <c r="I699" t="s">
        <v>29</v>
      </c>
      <c r="J699" t="s">
        <v>36</v>
      </c>
      <c r="K699" t="s">
        <v>60</v>
      </c>
      <c r="L699" t="s">
        <v>12</v>
      </c>
      <c r="M699" t="s">
        <v>52</v>
      </c>
      <c r="N699" t="s">
        <v>12</v>
      </c>
      <c r="O699" t="s">
        <v>44</v>
      </c>
      <c r="P699" t="s">
        <v>10</v>
      </c>
      <c r="Q699" t="s">
        <v>32</v>
      </c>
      <c r="R699" t="s">
        <v>50</v>
      </c>
      <c r="S699" t="s">
        <v>47</v>
      </c>
      <c r="T699" t="s">
        <v>47</v>
      </c>
      <c r="U699" t="s">
        <v>29</v>
      </c>
      <c r="V699" s="3" t="s">
        <v>1303</v>
      </c>
      <c r="W699" t="s">
        <v>39</v>
      </c>
    </row>
    <row r="700" spans="1:23" ht="12.75">
      <c r="A700" s="1">
        <v>45776.484594907408</v>
      </c>
      <c r="C700" t="s">
        <v>351</v>
      </c>
      <c r="D700">
        <v>48</v>
      </c>
      <c r="E700">
        <v>176</v>
      </c>
      <c r="F700">
        <v>63</v>
      </c>
      <c r="G700">
        <v>1</v>
      </c>
      <c r="H700" t="s">
        <v>591</v>
      </c>
      <c r="I700" t="s">
        <v>29</v>
      </c>
      <c r="J700" t="s">
        <v>36</v>
      </c>
      <c r="K700" t="s">
        <v>19</v>
      </c>
      <c r="L700" t="s">
        <v>40</v>
      </c>
      <c r="M700" t="s">
        <v>9</v>
      </c>
      <c r="N700" t="s">
        <v>8</v>
      </c>
      <c r="O700" t="s">
        <v>11</v>
      </c>
      <c r="P700" t="s">
        <v>12</v>
      </c>
      <c r="Q700" t="s">
        <v>55</v>
      </c>
      <c r="R700" t="s">
        <v>14</v>
      </c>
      <c r="S700" t="s">
        <v>47</v>
      </c>
      <c r="T700" t="s">
        <v>25</v>
      </c>
      <c r="U700" t="s">
        <v>29</v>
      </c>
      <c r="V700" s="3" t="s">
        <v>1304</v>
      </c>
      <c r="W700" t="s">
        <v>34</v>
      </c>
    </row>
    <row r="701" spans="1:23" ht="12.75">
      <c r="A701" s="1">
        <v>45735.753900462965</v>
      </c>
      <c r="C701" t="s">
        <v>352</v>
      </c>
      <c r="D701">
        <v>30</v>
      </c>
      <c r="E701">
        <v>184</v>
      </c>
      <c r="F701">
        <v>77</v>
      </c>
      <c r="G701">
        <v>2</v>
      </c>
      <c r="H701" t="s">
        <v>592</v>
      </c>
      <c r="I701" t="s">
        <v>5</v>
      </c>
      <c r="J701" t="s">
        <v>36</v>
      </c>
      <c r="K701" t="s">
        <v>60</v>
      </c>
      <c r="L701" t="s">
        <v>31</v>
      </c>
      <c r="M701" t="s">
        <v>9</v>
      </c>
      <c r="N701" t="s">
        <v>8</v>
      </c>
      <c r="O701" t="s">
        <v>46</v>
      </c>
      <c r="P701" t="s">
        <v>8</v>
      </c>
      <c r="Q701" t="s">
        <v>23</v>
      </c>
      <c r="R701" t="s">
        <v>33</v>
      </c>
      <c r="S701" t="s">
        <v>15</v>
      </c>
      <c r="T701" t="s">
        <v>15</v>
      </c>
      <c r="U701" t="s">
        <v>5</v>
      </c>
      <c r="V701" s="3" t="s">
        <v>1305</v>
      </c>
      <c r="W701" t="s">
        <v>34</v>
      </c>
    </row>
    <row r="702" spans="1:23" ht="12.75">
      <c r="A702" s="1">
        <v>45787.794027777774</v>
      </c>
      <c r="C702" t="s">
        <v>199</v>
      </c>
      <c r="D702">
        <v>58</v>
      </c>
      <c r="E702">
        <v>181</v>
      </c>
      <c r="F702">
        <v>57</v>
      </c>
      <c r="G702">
        <v>2</v>
      </c>
      <c r="H702" t="s">
        <v>590</v>
      </c>
      <c r="I702" t="s">
        <v>5</v>
      </c>
      <c r="J702" t="s">
        <v>6</v>
      </c>
      <c r="K702" t="s">
        <v>60</v>
      </c>
      <c r="L702" t="s">
        <v>10</v>
      </c>
      <c r="M702" t="s">
        <v>38</v>
      </c>
      <c r="N702" t="s">
        <v>12</v>
      </c>
      <c r="O702" t="s">
        <v>22</v>
      </c>
      <c r="P702" t="s">
        <v>40</v>
      </c>
      <c r="Q702" t="s">
        <v>23</v>
      </c>
      <c r="R702" t="s">
        <v>50</v>
      </c>
      <c r="S702" t="s">
        <v>15</v>
      </c>
      <c r="T702" t="s">
        <v>24</v>
      </c>
      <c r="U702" t="s">
        <v>29</v>
      </c>
      <c r="V702" s="3" t="s">
        <v>1306</v>
      </c>
      <c r="W702" t="s">
        <v>16</v>
      </c>
    </row>
    <row r="703" spans="1:23" ht="12.75">
      <c r="A703" s="1">
        <v>45755.074780092589</v>
      </c>
      <c r="C703" t="s">
        <v>156</v>
      </c>
      <c r="D703">
        <v>44</v>
      </c>
      <c r="E703">
        <v>172</v>
      </c>
      <c r="F703">
        <v>107</v>
      </c>
      <c r="G703">
        <v>1.5</v>
      </c>
      <c r="H703" t="s">
        <v>590</v>
      </c>
      <c r="I703" t="s">
        <v>5</v>
      </c>
      <c r="J703" t="s">
        <v>6</v>
      </c>
      <c r="K703" t="s">
        <v>19</v>
      </c>
      <c r="L703" t="s">
        <v>31</v>
      </c>
      <c r="M703" t="s">
        <v>9</v>
      </c>
      <c r="N703" t="s">
        <v>10</v>
      </c>
      <c r="O703" t="s">
        <v>46</v>
      </c>
      <c r="P703" t="s">
        <v>12</v>
      </c>
      <c r="Q703" t="s">
        <v>23</v>
      </c>
      <c r="R703" t="s">
        <v>14</v>
      </c>
      <c r="S703" t="s">
        <v>47</v>
      </c>
      <c r="T703" t="s">
        <v>15</v>
      </c>
      <c r="U703" t="s">
        <v>5</v>
      </c>
      <c r="V703" s="3" t="s">
        <v>1307</v>
      </c>
      <c r="W703" t="s">
        <v>26</v>
      </c>
    </row>
    <row r="704" spans="1:23" ht="12.75">
      <c r="A704" s="1">
        <v>45792.257534722223</v>
      </c>
      <c r="C704" t="s">
        <v>353</v>
      </c>
      <c r="D704">
        <v>38</v>
      </c>
      <c r="E704">
        <v>163</v>
      </c>
      <c r="F704">
        <v>78</v>
      </c>
      <c r="G704">
        <v>1</v>
      </c>
      <c r="H704" t="s">
        <v>28</v>
      </c>
      <c r="I704" t="s">
        <v>29</v>
      </c>
      <c r="J704" t="s">
        <v>6</v>
      </c>
      <c r="K704" t="s">
        <v>7</v>
      </c>
      <c r="L704" t="s">
        <v>12</v>
      </c>
      <c r="M704" t="s">
        <v>38</v>
      </c>
      <c r="N704" t="s">
        <v>20</v>
      </c>
      <c r="O704" t="s">
        <v>11</v>
      </c>
      <c r="P704" t="s">
        <v>8</v>
      </c>
      <c r="Q704" t="s">
        <v>32</v>
      </c>
      <c r="R704" t="s">
        <v>50</v>
      </c>
      <c r="S704" t="s">
        <v>47</v>
      </c>
      <c r="T704" t="s">
        <v>25</v>
      </c>
      <c r="U704" t="s">
        <v>5</v>
      </c>
      <c r="V704" s="3" t="s">
        <v>1308</v>
      </c>
      <c r="W704" t="s">
        <v>16</v>
      </c>
    </row>
    <row r="705" spans="1:23" ht="12.75">
      <c r="A705" s="1">
        <v>45705.294803240744</v>
      </c>
      <c r="C705" t="s">
        <v>338</v>
      </c>
      <c r="D705">
        <v>41</v>
      </c>
      <c r="E705">
        <v>175</v>
      </c>
      <c r="F705">
        <v>79</v>
      </c>
      <c r="G705">
        <v>1.5</v>
      </c>
      <c r="H705" t="s">
        <v>592</v>
      </c>
      <c r="I705" t="s">
        <v>5</v>
      </c>
      <c r="J705" t="s">
        <v>36</v>
      </c>
      <c r="K705" t="s">
        <v>19</v>
      </c>
      <c r="L705" t="s">
        <v>20</v>
      </c>
      <c r="M705" t="s">
        <v>52</v>
      </c>
      <c r="N705" t="s">
        <v>12</v>
      </c>
      <c r="O705" t="s">
        <v>22</v>
      </c>
      <c r="P705" t="s">
        <v>31</v>
      </c>
      <c r="Q705" t="s">
        <v>23</v>
      </c>
      <c r="R705" t="s">
        <v>14</v>
      </c>
      <c r="S705" t="s">
        <v>47</v>
      </c>
      <c r="T705" t="s">
        <v>25</v>
      </c>
      <c r="U705" t="s">
        <v>29</v>
      </c>
      <c r="V705" s="3" t="s">
        <v>1309</v>
      </c>
      <c r="W705" t="s">
        <v>26</v>
      </c>
    </row>
    <row r="706" spans="1:23" ht="12.75">
      <c r="A706" s="1">
        <v>45782.182743055557</v>
      </c>
      <c r="C706" t="s">
        <v>145</v>
      </c>
      <c r="D706">
        <v>47</v>
      </c>
      <c r="E706">
        <v>162</v>
      </c>
      <c r="F706">
        <v>94</v>
      </c>
      <c r="G706">
        <v>2.5</v>
      </c>
      <c r="H706" t="s">
        <v>591</v>
      </c>
      <c r="I706" t="s">
        <v>29</v>
      </c>
      <c r="J706" t="s">
        <v>36</v>
      </c>
      <c r="K706" t="s">
        <v>30</v>
      </c>
      <c r="L706" t="s">
        <v>10</v>
      </c>
      <c r="M706" t="s">
        <v>52</v>
      </c>
      <c r="N706" t="s">
        <v>40</v>
      </c>
      <c r="O706" t="s">
        <v>22</v>
      </c>
      <c r="P706" t="s">
        <v>31</v>
      </c>
      <c r="Q706" t="s">
        <v>23</v>
      </c>
      <c r="R706" t="s">
        <v>14</v>
      </c>
      <c r="S706" t="s">
        <v>24</v>
      </c>
      <c r="T706" t="s">
        <v>47</v>
      </c>
      <c r="U706" t="s">
        <v>5</v>
      </c>
      <c r="V706" s="3" t="s">
        <v>1310</v>
      </c>
      <c r="W706" t="s">
        <v>26</v>
      </c>
    </row>
    <row r="707" spans="1:23" ht="12.75">
      <c r="A707" s="1">
        <v>45733.203530092593</v>
      </c>
      <c r="C707" t="s">
        <v>59</v>
      </c>
      <c r="D707">
        <v>57</v>
      </c>
      <c r="E707">
        <v>157</v>
      </c>
      <c r="F707">
        <v>83</v>
      </c>
      <c r="G707">
        <v>2.5</v>
      </c>
      <c r="H707" t="s">
        <v>28</v>
      </c>
      <c r="I707" t="s">
        <v>5</v>
      </c>
      <c r="J707" t="s">
        <v>6</v>
      </c>
      <c r="K707" t="s">
        <v>19</v>
      </c>
      <c r="L707" t="s">
        <v>31</v>
      </c>
      <c r="M707" t="s">
        <v>38</v>
      </c>
      <c r="N707" t="s">
        <v>10</v>
      </c>
      <c r="O707" t="s">
        <v>46</v>
      </c>
      <c r="P707" t="s">
        <v>12</v>
      </c>
      <c r="Q707" t="s">
        <v>13</v>
      </c>
      <c r="R707" t="s">
        <v>50</v>
      </c>
      <c r="S707" t="s">
        <v>24</v>
      </c>
      <c r="T707" t="s">
        <v>25</v>
      </c>
      <c r="U707" t="s">
        <v>5</v>
      </c>
      <c r="V707" s="3" t="s">
        <v>1311</v>
      </c>
      <c r="W707" t="s">
        <v>26</v>
      </c>
    </row>
    <row r="708" spans="1:23" ht="12.75">
      <c r="A708" s="1">
        <v>45669.008576388886</v>
      </c>
      <c r="C708" t="s">
        <v>116</v>
      </c>
      <c r="D708">
        <v>57</v>
      </c>
      <c r="E708">
        <v>166</v>
      </c>
      <c r="F708">
        <v>71</v>
      </c>
      <c r="G708">
        <v>3</v>
      </c>
      <c r="H708" t="s">
        <v>590</v>
      </c>
      <c r="I708" t="s">
        <v>29</v>
      </c>
      <c r="J708" t="s">
        <v>36</v>
      </c>
      <c r="K708" t="s">
        <v>63</v>
      </c>
      <c r="L708" t="s">
        <v>10</v>
      </c>
      <c r="M708" t="s">
        <v>9</v>
      </c>
      <c r="N708" t="s">
        <v>8</v>
      </c>
      <c r="O708" t="s">
        <v>44</v>
      </c>
      <c r="P708" t="s">
        <v>12</v>
      </c>
      <c r="Q708" t="s">
        <v>32</v>
      </c>
      <c r="R708" t="s">
        <v>50</v>
      </c>
      <c r="S708" t="s">
        <v>15</v>
      </c>
      <c r="T708" t="s">
        <v>15</v>
      </c>
      <c r="U708" t="s">
        <v>5</v>
      </c>
      <c r="V708" s="3" t="s">
        <v>1312</v>
      </c>
      <c r="W708" t="s">
        <v>34</v>
      </c>
    </row>
    <row r="709" spans="1:23" ht="12.75">
      <c r="A709" s="1">
        <v>45665.843506944446</v>
      </c>
      <c r="C709" t="s">
        <v>69</v>
      </c>
      <c r="D709">
        <v>36</v>
      </c>
      <c r="E709">
        <v>158</v>
      </c>
      <c r="F709">
        <v>93</v>
      </c>
      <c r="G709">
        <v>1</v>
      </c>
      <c r="H709" t="s">
        <v>28</v>
      </c>
      <c r="I709" t="s">
        <v>5</v>
      </c>
      <c r="J709" t="s">
        <v>6</v>
      </c>
      <c r="K709" t="s">
        <v>30</v>
      </c>
      <c r="L709" t="s">
        <v>40</v>
      </c>
      <c r="M709" t="s">
        <v>21</v>
      </c>
      <c r="N709" t="s">
        <v>40</v>
      </c>
      <c r="O709" t="s">
        <v>22</v>
      </c>
      <c r="P709" t="s">
        <v>31</v>
      </c>
      <c r="Q709" t="s">
        <v>32</v>
      </c>
      <c r="R709" t="s">
        <v>14</v>
      </c>
      <c r="S709" t="s">
        <v>15</v>
      </c>
      <c r="T709" t="s">
        <v>25</v>
      </c>
      <c r="U709" t="s">
        <v>5</v>
      </c>
      <c r="V709" s="3" t="s">
        <v>1313</v>
      </c>
      <c r="W709" t="s">
        <v>34</v>
      </c>
    </row>
    <row r="710" spans="1:23" ht="12.75">
      <c r="A710" s="1">
        <v>45705.671354166669</v>
      </c>
      <c r="C710" t="s">
        <v>256</v>
      </c>
      <c r="D710">
        <v>28</v>
      </c>
      <c r="E710">
        <v>168</v>
      </c>
      <c r="F710">
        <v>79</v>
      </c>
      <c r="G710">
        <v>1</v>
      </c>
      <c r="H710" t="s">
        <v>28</v>
      </c>
      <c r="I710" t="s">
        <v>29</v>
      </c>
      <c r="J710" t="s">
        <v>6</v>
      </c>
      <c r="K710" t="s">
        <v>60</v>
      </c>
      <c r="L710" t="s">
        <v>8</v>
      </c>
      <c r="M710" t="s">
        <v>9</v>
      </c>
      <c r="N710" t="s">
        <v>31</v>
      </c>
      <c r="O710" t="s">
        <v>11</v>
      </c>
      <c r="P710" t="s">
        <v>12</v>
      </c>
      <c r="Q710" t="s">
        <v>32</v>
      </c>
      <c r="R710" t="s">
        <v>50</v>
      </c>
      <c r="S710" t="s">
        <v>25</v>
      </c>
      <c r="T710" t="s">
        <v>15</v>
      </c>
      <c r="U710" t="s">
        <v>29</v>
      </c>
      <c r="V710" s="3" t="s">
        <v>1314</v>
      </c>
      <c r="W710" t="s">
        <v>34</v>
      </c>
    </row>
    <row r="711" spans="1:23" ht="12.75">
      <c r="A711" s="1">
        <v>45747.959641203706</v>
      </c>
      <c r="C711" t="s">
        <v>184</v>
      </c>
      <c r="D711">
        <v>34</v>
      </c>
      <c r="E711">
        <v>166</v>
      </c>
      <c r="F711">
        <v>103</v>
      </c>
      <c r="G711">
        <v>1</v>
      </c>
      <c r="H711" t="s">
        <v>590</v>
      </c>
      <c r="I711" t="s">
        <v>29</v>
      </c>
      <c r="J711" t="s">
        <v>6</v>
      </c>
      <c r="K711" t="s">
        <v>30</v>
      </c>
      <c r="L711" t="s">
        <v>12</v>
      </c>
      <c r="M711" t="s">
        <v>38</v>
      </c>
      <c r="N711" t="s">
        <v>10</v>
      </c>
      <c r="O711" t="s">
        <v>11</v>
      </c>
      <c r="P711" t="s">
        <v>10</v>
      </c>
      <c r="Q711" t="s">
        <v>13</v>
      </c>
      <c r="R711" t="s">
        <v>50</v>
      </c>
      <c r="S711" t="s">
        <v>24</v>
      </c>
      <c r="T711" t="s">
        <v>24</v>
      </c>
      <c r="U711" t="s">
        <v>5</v>
      </c>
      <c r="V711" s="3" t="s">
        <v>1315</v>
      </c>
      <c r="W711" t="s">
        <v>26</v>
      </c>
    </row>
    <row r="712" spans="1:23" ht="12.75">
      <c r="A712" s="1">
        <v>45690.986932870372</v>
      </c>
      <c r="C712" t="s">
        <v>354</v>
      </c>
      <c r="D712">
        <v>24</v>
      </c>
      <c r="E712">
        <v>166</v>
      </c>
      <c r="F712">
        <v>102</v>
      </c>
      <c r="G712">
        <v>1.5</v>
      </c>
      <c r="H712" t="s">
        <v>591</v>
      </c>
      <c r="I712" t="s">
        <v>5</v>
      </c>
      <c r="J712" t="s">
        <v>36</v>
      </c>
      <c r="K712" t="s">
        <v>63</v>
      </c>
      <c r="L712" t="s">
        <v>10</v>
      </c>
      <c r="M712" t="s">
        <v>38</v>
      </c>
      <c r="N712" t="s">
        <v>12</v>
      </c>
      <c r="O712" t="s">
        <v>46</v>
      </c>
      <c r="P712" t="s">
        <v>12</v>
      </c>
      <c r="Q712" t="s">
        <v>13</v>
      </c>
      <c r="R712" t="s">
        <v>14</v>
      </c>
      <c r="S712" t="s">
        <v>25</v>
      </c>
      <c r="T712" t="s">
        <v>47</v>
      </c>
      <c r="U712" t="s">
        <v>5</v>
      </c>
      <c r="V712" s="3" t="s">
        <v>1316</v>
      </c>
      <c r="W712" t="s">
        <v>34</v>
      </c>
    </row>
    <row r="713" spans="1:23" ht="12.75">
      <c r="A713" s="1">
        <v>45728.231574074074</v>
      </c>
      <c r="C713" t="s">
        <v>294</v>
      </c>
      <c r="D713">
        <v>49</v>
      </c>
      <c r="E713">
        <v>177</v>
      </c>
      <c r="F713">
        <v>66</v>
      </c>
      <c r="G713">
        <v>1.5</v>
      </c>
      <c r="H713" t="s">
        <v>592</v>
      </c>
      <c r="I713" t="s">
        <v>5</v>
      </c>
      <c r="J713" t="s">
        <v>6</v>
      </c>
      <c r="K713" t="s">
        <v>37</v>
      </c>
      <c r="L713" t="s">
        <v>40</v>
      </c>
      <c r="M713" t="s">
        <v>38</v>
      </c>
      <c r="N713" t="s">
        <v>20</v>
      </c>
      <c r="O713" t="s">
        <v>11</v>
      </c>
      <c r="P713" t="s">
        <v>12</v>
      </c>
      <c r="Q713" t="s">
        <v>23</v>
      </c>
      <c r="R713" t="s">
        <v>33</v>
      </c>
      <c r="S713" t="s">
        <v>25</v>
      </c>
      <c r="T713" t="s">
        <v>24</v>
      </c>
      <c r="U713" t="s">
        <v>29</v>
      </c>
      <c r="V713" s="3" t="s">
        <v>1317</v>
      </c>
      <c r="W713" t="s">
        <v>39</v>
      </c>
    </row>
    <row r="714" spans="1:23" ht="12.75">
      <c r="A714" s="1">
        <v>45812.097118055557</v>
      </c>
      <c r="C714" t="s">
        <v>291</v>
      </c>
      <c r="D714">
        <v>25</v>
      </c>
      <c r="E714">
        <v>178</v>
      </c>
      <c r="F714">
        <v>76</v>
      </c>
      <c r="G714">
        <v>1</v>
      </c>
      <c r="H714" t="s">
        <v>590</v>
      </c>
      <c r="I714" t="s">
        <v>29</v>
      </c>
      <c r="J714" t="s">
        <v>36</v>
      </c>
      <c r="K714" t="s">
        <v>60</v>
      </c>
      <c r="L714" t="s">
        <v>20</v>
      </c>
      <c r="M714" t="s">
        <v>38</v>
      </c>
      <c r="N714" t="s">
        <v>10</v>
      </c>
      <c r="O714" t="s">
        <v>46</v>
      </c>
      <c r="P714" t="s">
        <v>31</v>
      </c>
      <c r="Q714" t="s">
        <v>32</v>
      </c>
      <c r="R714" t="s">
        <v>50</v>
      </c>
      <c r="S714" t="s">
        <v>24</v>
      </c>
      <c r="T714" t="s">
        <v>47</v>
      </c>
      <c r="U714" t="s">
        <v>29</v>
      </c>
      <c r="V714" s="3" t="s">
        <v>1318</v>
      </c>
      <c r="W714" t="s">
        <v>34</v>
      </c>
    </row>
    <row r="715" spans="1:23" ht="12.75">
      <c r="A715" s="1">
        <v>45736.407280092593</v>
      </c>
      <c r="C715" t="s">
        <v>56</v>
      </c>
      <c r="D715">
        <v>41</v>
      </c>
      <c r="E715">
        <v>185</v>
      </c>
      <c r="F715">
        <v>106</v>
      </c>
      <c r="G715">
        <v>3</v>
      </c>
      <c r="H715" t="s">
        <v>591</v>
      </c>
      <c r="I715" t="s">
        <v>5</v>
      </c>
      <c r="J715" t="s">
        <v>36</v>
      </c>
      <c r="K715" t="s">
        <v>63</v>
      </c>
      <c r="L715" t="s">
        <v>40</v>
      </c>
      <c r="M715" t="s">
        <v>38</v>
      </c>
      <c r="N715" t="s">
        <v>20</v>
      </c>
      <c r="O715" t="s">
        <v>11</v>
      </c>
      <c r="P715" t="s">
        <v>12</v>
      </c>
      <c r="Q715" t="s">
        <v>55</v>
      </c>
      <c r="R715" t="s">
        <v>50</v>
      </c>
      <c r="S715" t="s">
        <v>47</v>
      </c>
      <c r="T715" t="s">
        <v>25</v>
      </c>
      <c r="U715" t="s">
        <v>29</v>
      </c>
      <c r="V715" s="3" t="s">
        <v>1319</v>
      </c>
      <c r="W715" t="s">
        <v>39</v>
      </c>
    </row>
    <row r="716" spans="1:23" ht="12.75">
      <c r="A716" s="1">
        <v>45733.743657407409</v>
      </c>
      <c r="C716" t="s">
        <v>196</v>
      </c>
      <c r="D716">
        <v>46</v>
      </c>
      <c r="E716">
        <v>158</v>
      </c>
      <c r="F716">
        <v>55</v>
      </c>
      <c r="G716">
        <v>2</v>
      </c>
      <c r="H716" t="s">
        <v>591</v>
      </c>
      <c r="I716" t="s">
        <v>29</v>
      </c>
      <c r="J716" t="s">
        <v>6</v>
      </c>
      <c r="K716" t="s">
        <v>63</v>
      </c>
      <c r="L716" t="s">
        <v>8</v>
      </c>
      <c r="M716" t="s">
        <v>9</v>
      </c>
      <c r="N716" t="s">
        <v>40</v>
      </c>
      <c r="O716" t="s">
        <v>22</v>
      </c>
      <c r="P716" t="s">
        <v>8</v>
      </c>
      <c r="Q716" t="s">
        <v>55</v>
      </c>
      <c r="R716" t="s">
        <v>50</v>
      </c>
      <c r="S716" t="s">
        <v>15</v>
      </c>
      <c r="T716" t="s">
        <v>25</v>
      </c>
      <c r="U716" t="s">
        <v>5</v>
      </c>
      <c r="V716" s="3" t="s">
        <v>1320</v>
      </c>
      <c r="W716" t="s">
        <v>16</v>
      </c>
    </row>
    <row r="717" spans="1:23" ht="12.75">
      <c r="A717" s="1">
        <v>45766.912812499999</v>
      </c>
      <c r="C717" t="s">
        <v>145</v>
      </c>
      <c r="D717">
        <v>44</v>
      </c>
      <c r="E717">
        <v>172</v>
      </c>
      <c r="F717">
        <v>98</v>
      </c>
      <c r="G717">
        <v>2</v>
      </c>
      <c r="H717" t="s">
        <v>590</v>
      </c>
      <c r="I717" t="s">
        <v>29</v>
      </c>
      <c r="J717" t="s">
        <v>36</v>
      </c>
      <c r="K717" t="s">
        <v>37</v>
      </c>
      <c r="L717" t="s">
        <v>31</v>
      </c>
      <c r="M717" t="s">
        <v>21</v>
      </c>
      <c r="N717" t="s">
        <v>12</v>
      </c>
      <c r="O717" t="s">
        <v>44</v>
      </c>
      <c r="P717" t="s">
        <v>12</v>
      </c>
      <c r="Q717" t="s">
        <v>13</v>
      </c>
      <c r="R717" t="s">
        <v>33</v>
      </c>
      <c r="S717" t="s">
        <v>47</v>
      </c>
      <c r="T717" t="s">
        <v>24</v>
      </c>
      <c r="U717" t="s">
        <v>29</v>
      </c>
      <c r="V717" s="3" t="s">
        <v>1321</v>
      </c>
      <c r="W717" t="s">
        <v>39</v>
      </c>
    </row>
    <row r="718" spans="1:23" ht="12.75">
      <c r="A718" s="1">
        <v>45768.274988425925</v>
      </c>
      <c r="C718" t="s">
        <v>85</v>
      </c>
      <c r="D718">
        <v>29</v>
      </c>
      <c r="E718">
        <v>182</v>
      </c>
      <c r="F718">
        <v>68</v>
      </c>
      <c r="G718">
        <v>1.5</v>
      </c>
      <c r="H718" t="s">
        <v>28</v>
      </c>
      <c r="I718" t="s">
        <v>29</v>
      </c>
      <c r="J718" t="s">
        <v>36</v>
      </c>
      <c r="K718" t="s">
        <v>19</v>
      </c>
      <c r="L718" t="s">
        <v>12</v>
      </c>
      <c r="M718" t="s">
        <v>9</v>
      </c>
      <c r="N718" t="s">
        <v>40</v>
      </c>
      <c r="O718" t="s">
        <v>11</v>
      </c>
      <c r="P718" t="s">
        <v>40</v>
      </c>
      <c r="Q718" t="s">
        <v>13</v>
      </c>
      <c r="R718" t="s">
        <v>50</v>
      </c>
      <c r="S718" t="s">
        <v>25</v>
      </c>
      <c r="T718" t="s">
        <v>15</v>
      </c>
      <c r="U718" t="s">
        <v>29</v>
      </c>
      <c r="V718" s="3" t="s">
        <v>1322</v>
      </c>
      <c r="W718" t="s">
        <v>34</v>
      </c>
    </row>
    <row r="719" spans="1:23" ht="12.75">
      <c r="A719" s="1">
        <v>45808.1096412037</v>
      </c>
      <c r="C719" t="s">
        <v>355</v>
      </c>
      <c r="D719">
        <v>24</v>
      </c>
      <c r="E719">
        <v>169</v>
      </c>
      <c r="F719">
        <v>55</v>
      </c>
      <c r="G719">
        <v>2.5</v>
      </c>
      <c r="H719" t="s">
        <v>592</v>
      </c>
      <c r="I719" t="s">
        <v>29</v>
      </c>
      <c r="J719" t="s">
        <v>36</v>
      </c>
      <c r="K719" t="s">
        <v>30</v>
      </c>
      <c r="L719" t="s">
        <v>40</v>
      </c>
      <c r="M719" t="s">
        <v>52</v>
      </c>
      <c r="N719" t="s">
        <v>8</v>
      </c>
      <c r="O719" t="s">
        <v>11</v>
      </c>
      <c r="P719" t="s">
        <v>8</v>
      </c>
      <c r="Q719" t="s">
        <v>55</v>
      </c>
      <c r="R719" t="s">
        <v>50</v>
      </c>
      <c r="S719" t="s">
        <v>25</v>
      </c>
      <c r="T719" t="s">
        <v>24</v>
      </c>
      <c r="U719" t="s">
        <v>29</v>
      </c>
      <c r="V719" s="3" t="s">
        <v>1323</v>
      </c>
      <c r="W719" t="s">
        <v>16</v>
      </c>
    </row>
    <row r="720" spans="1:23" ht="12.75">
      <c r="A720" s="1">
        <v>45792.25540509259</v>
      </c>
      <c r="C720" t="s">
        <v>332</v>
      </c>
      <c r="D720">
        <v>54</v>
      </c>
      <c r="E720">
        <v>164</v>
      </c>
      <c r="F720">
        <v>71</v>
      </c>
      <c r="G720">
        <v>1.5</v>
      </c>
      <c r="H720" t="s">
        <v>592</v>
      </c>
      <c r="I720" t="s">
        <v>29</v>
      </c>
      <c r="J720" t="s">
        <v>36</v>
      </c>
      <c r="K720" t="s">
        <v>30</v>
      </c>
      <c r="L720" t="s">
        <v>8</v>
      </c>
      <c r="M720" t="s">
        <v>52</v>
      </c>
      <c r="N720" t="s">
        <v>31</v>
      </c>
      <c r="O720" t="s">
        <v>11</v>
      </c>
      <c r="P720" t="s">
        <v>10</v>
      </c>
      <c r="Q720" t="s">
        <v>55</v>
      </c>
      <c r="R720" t="s">
        <v>14</v>
      </c>
      <c r="S720" t="s">
        <v>24</v>
      </c>
      <c r="T720" t="s">
        <v>24</v>
      </c>
      <c r="U720" t="s">
        <v>5</v>
      </c>
      <c r="V720" s="3" t="s">
        <v>1324</v>
      </c>
      <c r="W720" t="s">
        <v>39</v>
      </c>
    </row>
    <row r="721" spans="1:23" ht="12.75">
      <c r="A721" s="1">
        <v>45684.237847222219</v>
      </c>
      <c r="C721" t="s">
        <v>102</v>
      </c>
      <c r="D721">
        <v>54</v>
      </c>
      <c r="E721">
        <v>177</v>
      </c>
      <c r="F721">
        <v>79</v>
      </c>
      <c r="G721">
        <v>2</v>
      </c>
      <c r="H721" t="s">
        <v>28</v>
      </c>
      <c r="I721" t="s">
        <v>5</v>
      </c>
      <c r="J721" t="s">
        <v>6</v>
      </c>
      <c r="K721" t="s">
        <v>60</v>
      </c>
      <c r="L721" t="s">
        <v>12</v>
      </c>
      <c r="M721" t="s">
        <v>38</v>
      </c>
      <c r="N721" t="s">
        <v>31</v>
      </c>
      <c r="O721" t="s">
        <v>44</v>
      </c>
      <c r="P721" t="s">
        <v>20</v>
      </c>
      <c r="Q721" t="s">
        <v>23</v>
      </c>
      <c r="R721" t="s">
        <v>33</v>
      </c>
      <c r="S721" t="s">
        <v>15</v>
      </c>
      <c r="T721" t="s">
        <v>15</v>
      </c>
      <c r="U721" t="s">
        <v>5</v>
      </c>
      <c r="V721" s="3" t="s">
        <v>1325</v>
      </c>
      <c r="W721" t="s">
        <v>16</v>
      </c>
    </row>
    <row r="722" spans="1:23" ht="12.75">
      <c r="A722" s="1">
        <v>45695.966180555559</v>
      </c>
      <c r="C722" t="s">
        <v>196</v>
      </c>
      <c r="D722">
        <v>21</v>
      </c>
      <c r="E722">
        <v>164</v>
      </c>
      <c r="F722">
        <v>57</v>
      </c>
      <c r="G722">
        <v>3</v>
      </c>
      <c r="H722" t="s">
        <v>591</v>
      </c>
      <c r="I722" t="s">
        <v>5</v>
      </c>
      <c r="J722" t="s">
        <v>36</v>
      </c>
      <c r="K722" t="s">
        <v>60</v>
      </c>
      <c r="L722" t="s">
        <v>12</v>
      </c>
      <c r="M722" t="s">
        <v>38</v>
      </c>
      <c r="N722" t="s">
        <v>8</v>
      </c>
      <c r="O722" t="s">
        <v>46</v>
      </c>
      <c r="P722" t="s">
        <v>40</v>
      </c>
      <c r="Q722" t="s">
        <v>32</v>
      </c>
      <c r="R722" t="s">
        <v>14</v>
      </c>
      <c r="S722" t="s">
        <v>24</v>
      </c>
      <c r="T722" t="s">
        <v>47</v>
      </c>
      <c r="U722" t="s">
        <v>5</v>
      </c>
      <c r="V722" s="3" t="s">
        <v>1326</v>
      </c>
      <c r="W722" t="s">
        <v>39</v>
      </c>
    </row>
    <row r="723" spans="1:23" ht="12.75">
      <c r="A723" s="1">
        <v>45793.922546296293</v>
      </c>
      <c r="C723" t="s">
        <v>356</v>
      </c>
      <c r="D723">
        <v>59</v>
      </c>
      <c r="E723">
        <v>182</v>
      </c>
      <c r="F723">
        <v>97</v>
      </c>
      <c r="G723">
        <v>2.5</v>
      </c>
      <c r="H723" t="s">
        <v>592</v>
      </c>
      <c r="I723" t="s">
        <v>5</v>
      </c>
      <c r="J723" t="s">
        <v>36</v>
      </c>
      <c r="K723" t="s">
        <v>30</v>
      </c>
      <c r="L723" t="s">
        <v>12</v>
      </c>
      <c r="M723" t="s">
        <v>52</v>
      </c>
      <c r="N723" t="s">
        <v>40</v>
      </c>
      <c r="O723" t="s">
        <v>46</v>
      </c>
      <c r="P723" t="s">
        <v>20</v>
      </c>
      <c r="Q723" t="s">
        <v>32</v>
      </c>
      <c r="R723" t="s">
        <v>33</v>
      </c>
      <c r="S723" t="s">
        <v>24</v>
      </c>
      <c r="T723" t="s">
        <v>15</v>
      </c>
      <c r="U723" t="s">
        <v>5</v>
      </c>
      <c r="V723" s="3" t="s">
        <v>1327</v>
      </c>
      <c r="W723" t="s">
        <v>26</v>
      </c>
    </row>
    <row r="724" spans="1:23" ht="12.75">
      <c r="A724" s="1">
        <v>45680.497708333336</v>
      </c>
      <c r="C724" t="s">
        <v>154</v>
      </c>
      <c r="D724">
        <v>24</v>
      </c>
      <c r="E724">
        <v>174</v>
      </c>
      <c r="F724">
        <v>51</v>
      </c>
      <c r="G724">
        <v>1.5</v>
      </c>
      <c r="H724" t="s">
        <v>591</v>
      </c>
      <c r="I724" t="s">
        <v>5</v>
      </c>
      <c r="J724" t="s">
        <v>6</v>
      </c>
      <c r="K724" t="s">
        <v>63</v>
      </c>
      <c r="L724" t="s">
        <v>31</v>
      </c>
      <c r="M724" t="s">
        <v>38</v>
      </c>
      <c r="N724" t="s">
        <v>20</v>
      </c>
      <c r="O724" t="s">
        <v>22</v>
      </c>
      <c r="P724" t="s">
        <v>12</v>
      </c>
      <c r="Q724" t="s">
        <v>55</v>
      </c>
      <c r="R724" t="s">
        <v>14</v>
      </c>
      <c r="S724" t="s">
        <v>24</v>
      </c>
      <c r="T724" t="s">
        <v>47</v>
      </c>
      <c r="U724" t="s">
        <v>5</v>
      </c>
      <c r="V724" s="3" t="s">
        <v>1328</v>
      </c>
      <c r="W724" t="s">
        <v>26</v>
      </c>
    </row>
    <row r="725" spans="1:23" ht="12.75">
      <c r="A725" s="1">
        <v>45764.588738425926</v>
      </c>
      <c r="C725" t="s">
        <v>293</v>
      </c>
      <c r="D725">
        <v>52</v>
      </c>
      <c r="E725">
        <v>179</v>
      </c>
      <c r="F725">
        <v>107</v>
      </c>
      <c r="G725">
        <v>2</v>
      </c>
      <c r="H725" t="s">
        <v>590</v>
      </c>
      <c r="I725" t="s">
        <v>29</v>
      </c>
      <c r="J725" t="s">
        <v>6</v>
      </c>
      <c r="K725" t="s">
        <v>7</v>
      </c>
      <c r="L725" t="s">
        <v>10</v>
      </c>
      <c r="M725" t="s">
        <v>38</v>
      </c>
      <c r="N725" t="s">
        <v>20</v>
      </c>
      <c r="O725" t="s">
        <v>22</v>
      </c>
      <c r="P725" t="s">
        <v>10</v>
      </c>
      <c r="Q725" t="s">
        <v>13</v>
      </c>
      <c r="R725" t="s">
        <v>14</v>
      </c>
      <c r="S725" t="s">
        <v>24</v>
      </c>
      <c r="T725" t="s">
        <v>47</v>
      </c>
      <c r="U725" t="s">
        <v>5</v>
      </c>
      <c r="V725" s="3" t="s">
        <v>1329</v>
      </c>
      <c r="W725" t="s">
        <v>16</v>
      </c>
    </row>
    <row r="726" spans="1:23" ht="12.75">
      <c r="A726" s="1">
        <v>45719.899050925924</v>
      </c>
      <c r="C726" t="s">
        <v>180</v>
      </c>
      <c r="D726">
        <v>27</v>
      </c>
      <c r="E726">
        <v>168</v>
      </c>
      <c r="F726">
        <v>84</v>
      </c>
      <c r="G726">
        <v>1</v>
      </c>
      <c r="H726" t="s">
        <v>591</v>
      </c>
      <c r="I726" t="s">
        <v>29</v>
      </c>
      <c r="J726" t="s">
        <v>6</v>
      </c>
      <c r="K726" t="s">
        <v>19</v>
      </c>
      <c r="L726" t="s">
        <v>40</v>
      </c>
      <c r="M726" t="s">
        <v>9</v>
      </c>
      <c r="N726" t="s">
        <v>8</v>
      </c>
      <c r="O726" t="s">
        <v>44</v>
      </c>
      <c r="P726" t="s">
        <v>10</v>
      </c>
      <c r="Q726" t="s">
        <v>55</v>
      </c>
      <c r="R726" t="s">
        <v>33</v>
      </c>
      <c r="S726" t="s">
        <v>25</v>
      </c>
      <c r="T726" t="s">
        <v>15</v>
      </c>
      <c r="U726" t="s">
        <v>5</v>
      </c>
      <c r="V726" s="3" t="s">
        <v>1330</v>
      </c>
      <c r="W726" t="s">
        <v>34</v>
      </c>
    </row>
    <row r="727" spans="1:23" ht="12.75">
      <c r="A727" s="1">
        <v>45730.923796296294</v>
      </c>
      <c r="C727" t="s">
        <v>357</v>
      </c>
      <c r="D727">
        <v>38</v>
      </c>
      <c r="E727">
        <v>176</v>
      </c>
      <c r="F727">
        <v>85</v>
      </c>
      <c r="G727">
        <v>3</v>
      </c>
      <c r="H727" t="s">
        <v>28</v>
      </c>
      <c r="I727" t="s">
        <v>5</v>
      </c>
      <c r="J727" t="s">
        <v>36</v>
      </c>
      <c r="K727" t="s">
        <v>60</v>
      </c>
      <c r="L727" t="s">
        <v>10</v>
      </c>
      <c r="M727" t="s">
        <v>52</v>
      </c>
      <c r="N727" t="s">
        <v>10</v>
      </c>
      <c r="O727" t="s">
        <v>44</v>
      </c>
      <c r="P727" t="s">
        <v>12</v>
      </c>
      <c r="Q727" t="s">
        <v>32</v>
      </c>
      <c r="R727" t="s">
        <v>50</v>
      </c>
      <c r="S727" t="s">
        <v>25</v>
      </c>
      <c r="T727" t="s">
        <v>25</v>
      </c>
      <c r="U727" t="s">
        <v>29</v>
      </c>
      <c r="V727" s="3" t="s">
        <v>1331</v>
      </c>
      <c r="W727" t="s">
        <v>39</v>
      </c>
    </row>
    <row r="728" spans="1:23" ht="12.75">
      <c r="A728" s="1">
        <v>45719.164768518516</v>
      </c>
      <c r="C728" t="s">
        <v>187</v>
      </c>
      <c r="D728">
        <v>24</v>
      </c>
      <c r="E728">
        <v>181</v>
      </c>
      <c r="F728">
        <v>102</v>
      </c>
      <c r="G728">
        <v>3</v>
      </c>
      <c r="H728" t="s">
        <v>28</v>
      </c>
      <c r="I728" t="s">
        <v>5</v>
      </c>
      <c r="J728" t="s">
        <v>36</v>
      </c>
      <c r="K728" t="s">
        <v>7</v>
      </c>
      <c r="L728" t="s">
        <v>8</v>
      </c>
      <c r="M728" t="s">
        <v>9</v>
      </c>
      <c r="N728" t="s">
        <v>40</v>
      </c>
      <c r="O728" t="s">
        <v>11</v>
      </c>
      <c r="P728" t="s">
        <v>20</v>
      </c>
      <c r="Q728" t="s">
        <v>13</v>
      </c>
      <c r="R728" t="s">
        <v>50</v>
      </c>
      <c r="S728" t="s">
        <v>47</v>
      </c>
      <c r="T728" t="s">
        <v>15</v>
      </c>
      <c r="U728" t="s">
        <v>29</v>
      </c>
      <c r="V728" s="3" t="s">
        <v>1332</v>
      </c>
      <c r="W728" t="s">
        <v>16</v>
      </c>
    </row>
    <row r="729" spans="1:23" ht="12.75">
      <c r="A729" s="1">
        <v>45809.667268518519</v>
      </c>
      <c r="C729" t="s">
        <v>358</v>
      </c>
      <c r="D729">
        <v>44</v>
      </c>
      <c r="E729">
        <v>167</v>
      </c>
      <c r="F729">
        <v>63</v>
      </c>
      <c r="G729">
        <v>3</v>
      </c>
      <c r="H729" t="s">
        <v>591</v>
      </c>
      <c r="I729" t="s">
        <v>29</v>
      </c>
      <c r="J729" t="s">
        <v>6</v>
      </c>
      <c r="K729" t="s">
        <v>19</v>
      </c>
      <c r="L729" t="s">
        <v>10</v>
      </c>
      <c r="M729" t="s">
        <v>38</v>
      </c>
      <c r="N729" t="s">
        <v>10</v>
      </c>
      <c r="O729" t="s">
        <v>22</v>
      </c>
      <c r="P729" t="s">
        <v>10</v>
      </c>
      <c r="Q729" t="s">
        <v>13</v>
      </c>
      <c r="R729" t="s">
        <v>33</v>
      </c>
      <c r="S729" t="s">
        <v>25</v>
      </c>
      <c r="T729" t="s">
        <v>47</v>
      </c>
      <c r="U729" t="s">
        <v>5</v>
      </c>
      <c r="V729" s="3" t="s">
        <v>1333</v>
      </c>
      <c r="W729" t="s">
        <v>26</v>
      </c>
    </row>
    <row r="730" spans="1:23" ht="12.75">
      <c r="A730" s="1">
        <v>45741.719942129632</v>
      </c>
      <c r="C730" t="s">
        <v>280</v>
      </c>
      <c r="D730">
        <v>58</v>
      </c>
      <c r="E730">
        <v>171</v>
      </c>
      <c r="F730">
        <v>84</v>
      </c>
      <c r="G730">
        <v>2</v>
      </c>
      <c r="H730" t="s">
        <v>28</v>
      </c>
      <c r="I730" t="s">
        <v>5</v>
      </c>
      <c r="J730" t="s">
        <v>36</v>
      </c>
      <c r="K730" t="s">
        <v>19</v>
      </c>
      <c r="L730" t="s">
        <v>40</v>
      </c>
      <c r="M730" t="s">
        <v>52</v>
      </c>
      <c r="N730" t="s">
        <v>20</v>
      </c>
      <c r="O730" t="s">
        <v>46</v>
      </c>
      <c r="P730" t="s">
        <v>10</v>
      </c>
      <c r="Q730" t="s">
        <v>55</v>
      </c>
      <c r="R730" t="s">
        <v>33</v>
      </c>
      <c r="S730" t="s">
        <v>15</v>
      </c>
      <c r="T730" t="s">
        <v>15</v>
      </c>
      <c r="U730" t="s">
        <v>29</v>
      </c>
      <c r="V730" s="3" t="s">
        <v>1334</v>
      </c>
      <c r="W730" t="s">
        <v>34</v>
      </c>
    </row>
    <row r="731" spans="1:23" ht="12.75">
      <c r="A731" s="1">
        <v>45668.481111111112</v>
      </c>
      <c r="C731" t="s">
        <v>311</v>
      </c>
      <c r="D731">
        <v>51</v>
      </c>
      <c r="E731">
        <v>189</v>
      </c>
      <c r="F731">
        <v>63</v>
      </c>
      <c r="G731">
        <v>2</v>
      </c>
      <c r="H731" t="s">
        <v>590</v>
      </c>
      <c r="I731" t="s">
        <v>5</v>
      </c>
      <c r="J731" t="s">
        <v>6</v>
      </c>
      <c r="K731" t="s">
        <v>19</v>
      </c>
      <c r="L731" t="s">
        <v>20</v>
      </c>
      <c r="M731" t="s">
        <v>52</v>
      </c>
      <c r="N731" t="s">
        <v>10</v>
      </c>
      <c r="O731" t="s">
        <v>46</v>
      </c>
      <c r="P731" t="s">
        <v>31</v>
      </c>
      <c r="Q731" t="s">
        <v>55</v>
      </c>
      <c r="R731" t="s">
        <v>33</v>
      </c>
      <c r="S731" t="s">
        <v>25</v>
      </c>
      <c r="T731" t="s">
        <v>47</v>
      </c>
      <c r="U731" t="s">
        <v>5</v>
      </c>
      <c r="V731" s="3" t="s">
        <v>1335</v>
      </c>
      <c r="W731" t="s">
        <v>34</v>
      </c>
    </row>
    <row r="732" spans="1:23" ht="12.75">
      <c r="A732" s="1">
        <v>45703.097337962965</v>
      </c>
      <c r="C732" t="s">
        <v>180</v>
      </c>
      <c r="D732">
        <v>44</v>
      </c>
      <c r="E732">
        <v>176</v>
      </c>
      <c r="F732">
        <v>64</v>
      </c>
      <c r="G732">
        <v>2.5</v>
      </c>
      <c r="H732" t="s">
        <v>591</v>
      </c>
      <c r="I732" t="s">
        <v>5</v>
      </c>
      <c r="J732" t="s">
        <v>36</v>
      </c>
      <c r="K732" t="s">
        <v>60</v>
      </c>
      <c r="L732" t="s">
        <v>20</v>
      </c>
      <c r="M732" t="s">
        <v>21</v>
      </c>
      <c r="N732" t="s">
        <v>12</v>
      </c>
      <c r="O732" t="s">
        <v>22</v>
      </c>
      <c r="P732" t="s">
        <v>40</v>
      </c>
      <c r="Q732" t="s">
        <v>23</v>
      </c>
      <c r="R732" t="s">
        <v>33</v>
      </c>
      <c r="S732" t="s">
        <v>47</v>
      </c>
      <c r="T732" t="s">
        <v>24</v>
      </c>
      <c r="U732" t="s">
        <v>29</v>
      </c>
      <c r="V732" s="3" t="s">
        <v>1336</v>
      </c>
      <c r="W732" t="s">
        <v>26</v>
      </c>
    </row>
    <row r="733" spans="1:23" ht="12.75">
      <c r="A733" s="1">
        <v>45778.238796296297</v>
      </c>
      <c r="C733" t="s">
        <v>359</v>
      </c>
      <c r="D733">
        <v>40</v>
      </c>
      <c r="E733">
        <v>159</v>
      </c>
      <c r="F733">
        <v>81</v>
      </c>
      <c r="G733">
        <v>2</v>
      </c>
      <c r="H733" t="s">
        <v>592</v>
      </c>
      <c r="I733" t="s">
        <v>29</v>
      </c>
      <c r="J733" t="s">
        <v>36</v>
      </c>
      <c r="K733" t="s">
        <v>63</v>
      </c>
      <c r="L733" t="s">
        <v>40</v>
      </c>
      <c r="M733" t="s">
        <v>9</v>
      </c>
      <c r="N733" t="s">
        <v>40</v>
      </c>
      <c r="O733" t="s">
        <v>44</v>
      </c>
      <c r="P733" t="s">
        <v>12</v>
      </c>
      <c r="Q733" t="s">
        <v>32</v>
      </c>
      <c r="R733" t="s">
        <v>14</v>
      </c>
      <c r="S733" t="s">
        <v>15</v>
      </c>
      <c r="T733" t="s">
        <v>25</v>
      </c>
      <c r="U733" t="s">
        <v>5</v>
      </c>
      <c r="V733" s="3" t="s">
        <v>1337</v>
      </c>
      <c r="W733" t="s">
        <v>34</v>
      </c>
    </row>
    <row r="734" spans="1:23" ht="12.75">
      <c r="A734" s="1">
        <v>45689.127280092594</v>
      </c>
      <c r="C734" t="s">
        <v>41</v>
      </c>
      <c r="D734">
        <v>54</v>
      </c>
      <c r="E734">
        <v>175</v>
      </c>
      <c r="F734">
        <v>64</v>
      </c>
      <c r="G734">
        <v>2.5</v>
      </c>
      <c r="H734" t="s">
        <v>592</v>
      </c>
      <c r="I734" t="s">
        <v>29</v>
      </c>
      <c r="J734" t="s">
        <v>36</v>
      </c>
      <c r="K734" t="s">
        <v>60</v>
      </c>
      <c r="L734" t="s">
        <v>31</v>
      </c>
      <c r="M734" t="s">
        <v>9</v>
      </c>
      <c r="N734" t="s">
        <v>40</v>
      </c>
      <c r="O734" t="s">
        <v>22</v>
      </c>
      <c r="P734" t="s">
        <v>10</v>
      </c>
      <c r="Q734" t="s">
        <v>23</v>
      </c>
      <c r="R734" t="s">
        <v>14</v>
      </c>
      <c r="S734" t="s">
        <v>47</v>
      </c>
      <c r="T734" t="s">
        <v>25</v>
      </c>
      <c r="U734" t="s">
        <v>5</v>
      </c>
      <c r="V734" s="3" t="s">
        <v>1338</v>
      </c>
      <c r="W734" t="s">
        <v>39</v>
      </c>
    </row>
    <row r="735" spans="1:23" ht="12.75">
      <c r="A735" s="1">
        <v>45775.292337962965</v>
      </c>
      <c r="C735" t="s">
        <v>57</v>
      </c>
      <c r="D735">
        <v>34</v>
      </c>
      <c r="E735">
        <v>174</v>
      </c>
      <c r="F735">
        <v>104</v>
      </c>
      <c r="G735">
        <v>2</v>
      </c>
      <c r="H735" t="s">
        <v>591</v>
      </c>
      <c r="I735" t="s">
        <v>29</v>
      </c>
      <c r="J735" t="s">
        <v>6</v>
      </c>
      <c r="K735" t="s">
        <v>60</v>
      </c>
      <c r="L735" t="s">
        <v>40</v>
      </c>
      <c r="M735" t="s">
        <v>9</v>
      </c>
      <c r="N735" t="s">
        <v>20</v>
      </c>
      <c r="O735" t="s">
        <v>22</v>
      </c>
      <c r="P735" t="s">
        <v>40</v>
      </c>
      <c r="Q735" t="s">
        <v>13</v>
      </c>
      <c r="R735" t="s">
        <v>33</v>
      </c>
      <c r="S735" t="s">
        <v>24</v>
      </c>
      <c r="T735" t="s">
        <v>47</v>
      </c>
      <c r="U735" t="s">
        <v>29</v>
      </c>
      <c r="V735" s="3" t="s">
        <v>1339</v>
      </c>
      <c r="W735" t="s">
        <v>34</v>
      </c>
    </row>
    <row r="736" spans="1:23" ht="12.75">
      <c r="A736" s="1">
        <v>45771.525763888887</v>
      </c>
      <c r="C736" t="s">
        <v>70</v>
      </c>
      <c r="D736">
        <v>34</v>
      </c>
      <c r="E736">
        <v>155</v>
      </c>
      <c r="F736">
        <v>99</v>
      </c>
      <c r="G736">
        <v>2.5</v>
      </c>
      <c r="H736" t="s">
        <v>28</v>
      </c>
      <c r="I736" t="s">
        <v>5</v>
      </c>
      <c r="J736" t="s">
        <v>6</v>
      </c>
      <c r="K736" t="s">
        <v>19</v>
      </c>
      <c r="L736" t="s">
        <v>8</v>
      </c>
      <c r="M736" t="s">
        <v>9</v>
      </c>
      <c r="N736" t="s">
        <v>12</v>
      </c>
      <c r="O736" t="s">
        <v>44</v>
      </c>
      <c r="P736" t="s">
        <v>12</v>
      </c>
      <c r="Q736" t="s">
        <v>32</v>
      </c>
      <c r="R736" t="s">
        <v>33</v>
      </c>
      <c r="S736" t="s">
        <v>47</v>
      </c>
      <c r="T736" t="s">
        <v>25</v>
      </c>
      <c r="U736" t="s">
        <v>5</v>
      </c>
      <c r="V736" s="3" t="s">
        <v>1340</v>
      </c>
      <c r="W736" t="s">
        <v>26</v>
      </c>
    </row>
    <row r="737" spans="1:23" ht="12.75">
      <c r="A737" s="1">
        <v>45808.936076388891</v>
      </c>
      <c r="C737" t="s">
        <v>41</v>
      </c>
      <c r="D737">
        <v>35</v>
      </c>
      <c r="E737">
        <v>167</v>
      </c>
      <c r="F737">
        <v>65</v>
      </c>
      <c r="G737">
        <v>2.5</v>
      </c>
      <c r="H737" t="s">
        <v>592</v>
      </c>
      <c r="I737" t="s">
        <v>29</v>
      </c>
      <c r="J737" t="s">
        <v>6</v>
      </c>
      <c r="K737" t="s">
        <v>7</v>
      </c>
      <c r="L737" t="s">
        <v>20</v>
      </c>
      <c r="M737" t="s">
        <v>9</v>
      </c>
      <c r="N737" t="s">
        <v>8</v>
      </c>
      <c r="O737" t="s">
        <v>22</v>
      </c>
      <c r="P737" t="s">
        <v>12</v>
      </c>
      <c r="Q737" t="s">
        <v>23</v>
      </c>
      <c r="R737" t="s">
        <v>14</v>
      </c>
      <c r="S737" t="s">
        <v>24</v>
      </c>
      <c r="T737" t="s">
        <v>25</v>
      </c>
      <c r="U737" t="s">
        <v>29</v>
      </c>
      <c r="V737" s="3" t="s">
        <v>1341</v>
      </c>
      <c r="W737" t="s">
        <v>26</v>
      </c>
    </row>
    <row r="738" spans="1:23" ht="12.75">
      <c r="A738" s="1">
        <v>45797.619768518518</v>
      </c>
      <c r="C738" t="s">
        <v>164</v>
      </c>
      <c r="D738">
        <v>45</v>
      </c>
      <c r="E738">
        <v>161</v>
      </c>
      <c r="F738">
        <v>103</v>
      </c>
      <c r="G738">
        <v>1.5</v>
      </c>
      <c r="H738" t="s">
        <v>590</v>
      </c>
      <c r="I738" t="s">
        <v>5</v>
      </c>
      <c r="J738" t="s">
        <v>6</v>
      </c>
      <c r="K738" t="s">
        <v>30</v>
      </c>
      <c r="L738" t="s">
        <v>8</v>
      </c>
      <c r="M738" t="s">
        <v>38</v>
      </c>
      <c r="N738" t="s">
        <v>40</v>
      </c>
      <c r="O738" t="s">
        <v>46</v>
      </c>
      <c r="P738" t="s">
        <v>31</v>
      </c>
      <c r="Q738" t="s">
        <v>23</v>
      </c>
      <c r="R738" t="s">
        <v>14</v>
      </c>
      <c r="S738" t="s">
        <v>15</v>
      </c>
      <c r="T738" t="s">
        <v>24</v>
      </c>
      <c r="U738" t="s">
        <v>5</v>
      </c>
      <c r="V738" s="3" t="s">
        <v>1342</v>
      </c>
      <c r="W738" t="s">
        <v>34</v>
      </c>
    </row>
    <row r="739" spans="1:23" ht="12.75">
      <c r="A739" s="1">
        <v>45782.517199074071</v>
      </c>
      <c r="C739" t="s">
        <v>35</v>
      </c>
      <c r="D739">
        <v>55</v>
      </c>
      <c r="E739">
        <v>163</v>
      </c>
      <c r="F739">
        <v>73</v>
      </c>
      <c r="G739">
        <v>3</v>
      </c>
      <c r="H739" t="s">
        <v>590</v>
      </c>
      <c r="I739" t="s">
        <v>29</v>
      </c>
      <c r="J739" t="s">
        <v>6</v>
      </c>
      <c r="K739" t="s">
        <v>60</v>
      </c>
      <c r="L739" t="s">
        <v>10</v>
      </c>
      <c r="M739" t="s">
        <v>21</v>
      </c>
      <c r="N739" t="s">
        <v>40</v>
      </c>
      <c r="O739" t="s">
        <v>22</v>
      </c>
      <c r="P739" t="s">
        <v>31</v>
      </c>
      <c r="Q739" t="s">
        <v>32</v>
      </c>
      <c r="R739" t="s">
        <v>33</v>
      </c>
      <c r="S739" t="s">
        <v>15</v>
      </c>
      <c r="T739" t="s">
        <v>25</v>
      </c>
      <c r="U739" t="s">
        <v>5</v>
      </c>
      <c r="V739" s="3" t="s">
        <v>1343</v>
      </c>
      <c r="W739" t="s">
        <v>34</v>
      </c>
    </row>
    <row r="740" spans="1:23" ht="12.75">
      <c r="A740" s="1">
        <v>45750.76122685185</v>
      </c>
      <c r="C740" t="s">
        <v>197</v>
      </c>
      <c r="D740">
        <v>54</v>
      </c>
      <c r="E740">
        <v>166</v>
      </c>
      <c r="F740">
        <v>105</v>
      </c>
      <c r="G740">
        <v>3</v>
      </c>
      <c r="H740" t="s">
        <v>591</v>
      </c>
      <c r="I740" t="s">
        <v>5</v>
      </c>
      <c r="J740" t="s">
        <v>36</v>
      </c>
      <c r="K740" t="s">
        <v>37</v>
      </c>
      <c r="L740" t="s">
        <v>31</v>
      </c>
      <c r="M740" t="s">
        <v>38</v>
      </c>
      <c r="N740" t="s">
        <v>20</v>
      </c>
      <c r="O740" t="s">
        <v>11</v>
      </c>
      <c r="P740" t="s">
        <v>31</v>
      </c>
      <c r="Q740" t="s">
        <v>23</v>
      </c>
      <c r="R740" t="s">
        <v>33</v>
      </c>
      <c r="S740" t="s">
        <v>47</v>
      </c>
      <c r="T740" t="s">
        <v>15</v>
      </c>
      <c r="U740" t="s">
        <v>5</v>
      </c>
      <c r="V740" s="3" t="s">
        <v>1344</v>
      </c>
      <c r="W740" t="s">
        <v>34</v>
      </c>
    </row>
    <row r="741" spans="1:23" ht="12.75">
      <c r="A741" s="1">
        <v>45739.263425925928</v>
      </c>
      <c r="C741" t="s">
        <v>360</v>
      </c>
      <c r="D741">
        <v>24</v>
      </c>
      <c r="E741">
        <v>156</v>
      </c>
      <c r="F741">
        <v>98</v>
      </c>
      <c r="G741">
        <v>2</v>
      </c>
      <c r="H741" t="s">
        <v>28</v>
      </c>
      <c r="I741" t="s">
        <v>5</v>
      </c>
      <c r="J741" t="s">
        <v>6</v>
      </c>
      <c r="K741" t="s">
        <v>7</v>
      </c>
      <c r="L741" t="s">
        <v>8</v>
      </c>
      <c r="M741" t="s">
        <v>52</v>
      </c>
      <c r="N741" t="s">
        <v>10</v>
      </c>
      <c r="O741" t="s">
        <v>44</v>
      </c>
      <c r="P741" t="s">
        <v>20</v>
      </c>
      <c r="Q741" t="s">
        <v>23</v>
      </c>
      <c r="R741" t="s">
        <v>50</v>
      </c>
      <c r="S741" t="s">
        <v>25</v>
      </c>
      <c r="T741" t="s">
        <v>15</v>
      </c>
      <c r="U741" t="s">
        <v>29</v>
      </c>
      <c r="V741" s="3" t="s">
        <v>1345</v>
      </c>
      <c r="W741" t="s">
        <v>26</v>
      </c>
    </row>
    <row r="742" spans="1:23" ht="12.75">
      <c r="A742" s="1">
        <v>45677.122615740744</v>
      </c>
      <c r="C742" t="s">
        <v>176</v>
      </c>
      <c r="D742">
        <v>42</v>
      </c>
      <c r="E742">
        <v>163</v>
      </c>
      <c r="F742">
        <v>74</v>
      </c>
      <c r="G742">
        <v>3</v>
      </c>
      <c r="H742" t="s">
        <v>592</v>
      </c>
      <c r="I742" t="s">
        <v>5</v>
      </c>
      <c r="J742" t="s">
        <v>36</v>
      </c>
      <c r="K742" t="s">
        <v>19</v>
      </c>
      <c r="L742" t="s">
        <v>10</v>
      </c>
      <c r="M742" t="s">
        <v>38</v>
      </c>
      <c r="N742" t="s">
        <v>31</v>
      </c>
      <c r="O742" t="s">
        <v>11</v>
      </c>
      <c r="P742" t="s">
        <v>12</v>
      </c>
      <c r="Q742" t="s">
        <v>32</v>
      </c>
      <c r="R742" t="s">
        <v>33</v>
      </c>
      <c r="S742" t="s">
        <v>24</v>
      </c>
      <c r="T742" t="s">
        <v>47</v>
      </c>
      <c r="U742" t="s">
        <v>5</v>
      </c>
      <c r="V742" s="3" t="s">
        <v>1346</v>
      </c>
      <c r="W742" t="s">
        <v>39</v>
      </c>
    </row>
    <row r="743" spans="1:23" ht="12.75">
      <c r="A743" s="1">
        <v>45702.319386574076</v>
      </c>
      <c r="C743" t="s">
        <v>191</v>
      </c>
      <c r="D743">
        <v>25</v>
      </c>
      <c r="E743">
        <v>173</v>
      </c>
      <c r="F743">
        <v>84</v>
      </c>
      <c r="G743">
        <v>2.5</v>
      </c>
      <c r="H743" t="s">
        <v>28</v>
      </c>
      <c r="I743" t="s">
        <v>29</v>
      </c>
      <c r="J743" t="s">
        <v>6</v>
      </c>
      <c r="K743" t="s">
        <v>19</v>
      </c>
      <c r="L743" t="s">
        <v>8</v>
      </c>
      <c r="M743" t="s">
        <v>52</v>
      </c>
      <c r="N743" t="s">
        <v>20</v>
      </c>
      <c r="O743" t="s">
        <v>11</v>
      </c>
      <c r="P743" t="s">
        <v>12</v>
      </c>
      <c r="Q743" t="s">
        <v>23</v>
      </c>
      <c r="R743" t="s">
        <v>14</v>
      </c>
      <c r="S743" t="s">
        <v>15</v>
      </c>
      <c r="T743" t="s">
        <v>24</v>
      </c>
      <c r="U743" t="s">
        <v>5</v>
      </c>
      <c r="V743" s="3" t="s">
        <v>1347</v>
      </c>
      <c r="W743" t="s">
        <v>39</v>
      </c>
    </row>
    <row r="744" spans="1:23" ht="12.75">
      <c r="A744" s="1">
        <v>45749.591099537036</v>
      </c>
      <c r="C744" t="s">
        <v>107</v>
      </c>
      <c r="D744">
        <v>51</v>
      </c>
      <c r="E744">
        <v>160</v>
      </c>
      <c r="F744">
        <v>62</v>
      </c>
      <c r="G744">
        <v>3</v>
      </c>
      <c r="H744" t="s">
        <v>592</v>
      </c>
      <c r="I744" t="s">
        <v>5</v>
      </c>
      <c r="J744" t="s">
        <v>6</v>
      </c>
      <c r="K744" t="s">
        <v>19</v>
      </c>
      <c r="L744" t="s">
        <v>10</v>
      </c>
      <c r="M744" t="s">
        <v>9</v>
      </c>
      <c r="N744" t="s">
        <v>20</v>
      </c>
      <c r="O744" t="s">
        <v>11</v>
      </c>
      <c r="P744" t="s">
        <v>40</v>
      </c>
      <c r="Q744" t="s">
        <v>55</v>
      </c>
      <c r="R744" t="s">
        <v>33</v>
      </c>
      <c r="S744" t="s">
        <v>15</v>
      </c>
      <c r="T744" t="s">
        <v>47</v>
      </c>
      <c r="U744" t="s">
        <v>29</v>
      </c>
      <c r="V744" s="3" t="s">
        <v>1348</v>
      </c>
      <c r="W744" t="s">
        <v>34</v>
      </c>
    </row>
    <row r="745" spans="1:23" ht="12.75">
      <c r="A745" s="1">
        <v>45714.644386574073</v>
      </c>
      <c r="C745" t="s">
        <v>67</v>
      </c>
      <c r="D745">
        <v>35</v>
      </c>
      <c r="E745">
        <v>178</v>
      </c>
      <c r="F745">
        <v>88</v>
      </c>
      <c r="G745">
        <v>1.5</v>
      </c>
      <c r="H745" t="s">
        <v>590</v>
      </c>
      <c r="I745" t="s">
        <v>29</v>
      </c>
      <c r="J745" t="s">
        <v>36</v>
      </c>
      <c r="K745" t="s">
        <v>37</v>
      </c>
      <c r="L745" t="s">
        <v>10</v>
      </c>
      <c r="M745" t="s">
        <v>9</v>
      </c>
      <c r="N745" t="s">
        <v>8</v>
      </c>
      <c r="O745" t="s">
        <v>11</v>
      </c>
      <c r="P745" t="s">
        <v>8</v>
      </c>
      <c r="Q745" t="s">
        <v>23</v>
      </c>
      <c r="R745" t="s">
        <v>50</v>
      </c>
      <c r="S745" t="s">
        <v>47</v>
      </c>
      <c r="T745" t="s">
        <v>25</v>
      </c>
      <c r="U745" t="s">
        <v>5</v>
      </c>
      <c r="V745" s="3" t="s">
        <v>1349</v>
      </c>
      <c r="W745" t="s">
        <v>16</v>
      </c>
    </row>
    <row r="746" spans="1:23" ht="12.75">
      <c r="A746" s="1">
        <v>45739.032268518517</v>
      </c>
      <c r="C746" t="s">
        <v>165</v>
      </c>
      <c r="D746">
        <v>45</v>
      </c>
      <c r="E746">
        <v>165</v>
      </c>
      <c r="F746">
        <v>66</v>
      </c>
      <c r="G746">
        <v>2</v>
      </c>
      <c r="H746" t="s">
        <v>28</v>
      </c>
      <c r="I746" t="s">
        <v>5</v>
      </c>
      <c r="J746" t="s">
        <v>36</v>
      </c>
      <c r="K746" t="s">
        <v>37</v>
      </c>
      <c r="L746" t="s">
        <v>40</v>
      </c>
      <c r="M746" t="s">
        <v>38</v>
      </c>
      <c r="N746" t="s">
        <v>10</v>
      </c>
      <c r="O746" t="s">
        <v>11</v>
      </c>
      <c r="P746" t="s">
        <v>40</v>
      </c>
      <c r="Q746" t="s">
        <v>32</v>
      </c>
      <c r="R746" t="s">
        <v>50</v>
      </c>
      <c r="S746" t="s">
        <v>24</v>
      </c>
      <c r="T746" t="s">
        <v>24</v>
      </c>
      <c r="U746" t="s">
        <v>5</v>
      </c>
      <c r="V746" s="3" t="s">
        <v>1350</v>
      </c>
      <c r="W746" t="s">
        <v>16</v>
      </c>
    </row>
    <row r="747" spans="1:23" ht="12.75">
      <c r="A747" s="1">
        <v>45664.672465277778</v>
      </c>
      <c r="C747" t="s">
        <v>361</v>
      </c>
      <c r="D747">
        <v>39</v>
      </c>
      <c r="E747">
        <v>187</v>
      </c>
      <c r="F747">
        <v>77</v>
      </c>
      <c r="G747">
        <v>1</v>
      </c>
      <c r="H747" t="s">
        <v>592</v>
      </c>
      <c r="I747" t="s">
        <v>5</v>
      </c>
      <c r="J747" t="s">
        <v>6</v>
      </c>
      <c r="K747" t="s">
        <v>63</v>
      </c>
      <c r="L747" t="s">
        <v>20</v>
      </c>
      <c r="M747" t="s">
        <v>38</v>
      </c>
      <c r="N747" t="s">
        <v>10</v>
      </c>
      <c r="O747" t="s">
        <v>46</v>
      </c>
      <c r="P747" t="s">
        <v>12</v>
      </c>
      <c r="Q747" t="s">
        <v>55</v>
      </c>
      <c r="R747" t="s">
        <v>14</v>
      </c>
      <c r="S747" t="s">
        <v>47</v>
      </c>
      <c r="T747" t="s">
        <v>25</v>
      </c>
      <c r="U747" t="s">
        <v>29</v>
      </c>
      <c r="V747" s="3" t="s">
        <v>1351</v>
      </c>
      <c r="W747" t="s">
        <v>16</v>
      </c>
    </row>
    <row r="748" spans="1:23" ht="12.75">
      <c r="A748" s="1">
        <v>45756.240451388891</v>
      </c>
      <c r="C748" t="s">
        <v>258</v>
      </c>
      <c r="D748">
        <v>29</v>
      </c>
      <c r="E748">
        <v>170</v>
      </c>
      <c r="F748">
        <v>105</v>
      </c>
      <c r="G748">
        <v>1</v>
      </c>
      <c r="H748" t="s">
        <v>592</v>
      </c>
      <c r="I748" t="s">
        <v>29</v>
      </c>
      <c r="J748" t="s">
        <v>6</v>
      </c>
      <c r="K748" t="s">
        <v>19</v>
      </c>
      <c r="L748" t="s">
        <v>10</v>
      </c>
      <c r="M748" t="s">
        <v>21</v>
      </c>
      <c r="N748" t="s">
        <v>12</v>
      </c>
      <c r="O748" t="s">
        <v>11</v>
      </c>
      <c r="P748" t="s">
        <v>31</v>
      </c>
      <c r="Q748" t="s">
        <v>13</v>
      </c>
      <c r="R748" t="s">
        <v>50</v>
      </c>
      <c r="S748" t="s">
        <v>24</v>
      </c>
      <c r="T748" t="s">
        <v>24</v>
      </c>
      <c r="U748" t="s">
        <v>29</v>
      </c>
      <c r="V748" s="3" t="s">
        <v>1352</v>
      </c>
      <c r="W748" t="s">
        <v>26</v>
      </c>
    </row>
    <row r="749" spans="1:23" ht="12.75">
      <c r="A749" s="1">
        <v>45740.824097222219</v>
      </c>
      <c r="C749" t="s">
        <v>95</v>
      </c>
      <c r="D749">
        <v>38</v>
      </c>
      <c r="E749">
        <v>182</v>
      </c>
      <c r="F749">
        <v>63</v>
      </c>
      <c r="G749">
        <v>1.5</v>
      </c>
      <c r="H749" t="s">
        <v>592</v>
      </c>
      <c r="I749" t="s">
        <v>29</v>
      </c>
      <c r="J749" t="s">
        <v>6</v>
      </c>
      <c r="K749" t="s">
        <v>30</v>
      </c>
      <c r="L749" t="s">
        <v>40</v>
      </c>
      <c r="M749" t="s">
        <v>21</v>
      </c>
      <c r="N749" t="s">
        <v>31</v>
      </c>
      <c r="O749" t="s">
        <v>44</v>
      </c>
      <c r="P749" t="s">
        <v>10</v>
      </c>
      <c r="Q749" t="s">
        <v>55</v>
      </c>
      <c r="R749" t="s">
        <v>33</v>
      </c>
      <c r="S749" t="s">
        <v>15</v>
      </c>
      <c r="T749" t="s">
        <v>47</v>
      </c>
      <c r="U749" t="s">
        <v>29</v>
      </c>
      <c r="V749" s="3" t="s">
        <v>1353</v>
      </c>
      <c r="W749" t="s">
        <v>39</v>
      </c>
    </row>
    <row r="750" spans="1:23" ht="12.75">
      <c r="A750" s="1">
        <v>45673.929351851853</v>
      </c>
      <c r="C750" t="s">
        <v>196</v>
      </c>
      <c r="D750">
        <v>58</v>
      </c>
      <c r="E750">
        <v>188</v>
      </c>
      <c r="F750">
        <v>102</v>
      </c>
      <c r="G750">
        <v>1.5</v>
      </c>
      <c r="H750" t="s">
        <v>592</v>
      </c>
      <c r="I750" t="s">
        <v>5</v>
      </c>
      <c r="J750" t="s">
        <v>36</v>
      </c>
      <c r="K750" t="s">
        <v>19</v>
      </c>
      <c r="L750" t="s">
        <v>12</v>
      </c>
      <c r="M750" t="s">
        <v>21</v>
      </c>
      <c r="N750" t="s">
        <v>31</v>
      </c>
      <c r="O750" t="s">
        <v>44</v>
      </c>
      <c r="P750" t="s">
        <v>40</v>
      </c>
      <c r="Q750" t="s">
        <v>13</v>
      </c>
      <c r="R750" t="s">
        <v>14</v>
      </c>
      <c r="S750" t="s">
        <v>25</v>
      </c>
      <c r="T750" t="s">
        <v>24</v>
      </c>
      <c r="U750" t="s">
        <v>29</v>
      </c>
      <c r="V750" s="3" t="s">
        <v>1354</v>
      </c>
      <c r="W750" t="s">
        <v>26</v>
      </c>
    </row>
    <row r="751" spans="1:23" ht="12.75">
      <c r="A751" s="1">
        <v>45673.101643518516</v>
      </c>
      <c r="C751" t="s">
        <v>290</v>
      </c>
      <c r="D751">
        <v>46</v>
      </c>
      <c r="E751">
        <v>171</v>
      </c>
      <c r="F751">
        <v>107</v>
      </c>
      <c r="G751">
        <v>2</v>
      </c>
      <c r="H751" t="s">
        <v>592</v>
      </c>
      <c r="I751" t="s">
        <v>5</v>
      </c>
      <c r="J751" t="s">
        <v>36</v>
      </c>
      <c r="K751" t="s">
        <v>37</v>
      </c>
      <c r="L751" t="s">
        <v>10</v>
      </c>
      <c r="M751" t="s">
        <v>38</v>
      </c>
      <c r="N751" t="s">
        <v>8</v>
      </c>
      <c r="O751" t="s">
        <v>44</v>
      </c>
      <c r="P751" t="s">
        <v>12</v>
      </c>
      <c r="Q751" t="s">
        <v>13</v>
      </c>
      <c r="R751" t="s">
        <v>33</v>
      </c>
      <c r="S751" t="s">
        <v>25</v>
      </c>
      <c r="T751" t="s">
        <v>25</v>
      </c>
      <c r="U751" t="s">
        <v>5</v>
      </c>
      <c r="V751" s="3" t="s">
        <v>1355</v>
      </c>
      <c r="W751" t="s">
        <v>34</v>
      </c>
    </row>
    <row r="752" spans="1:23" ht="12.75">
      <c r="A752" s="1">
        <v>45753.67496527778</v>
      </c>
      <c r="C752" t="s">
        <v>362</v>
      </c>
      <c r="D752">
        <v>40</v>
      </c>
      <c r="E752">
        <v>173</v>
      </c>
      <c r="F752">
        <v>67</v>
      </c>
      <c r="G752">
        <v>2</v>
      </c>
      <c r="H752" t="s">
        <v>591</v>
      </c>
      <c r="I752" t="s">
        <v>5</v>
      </c>
      <c r="J752" t="s">
        <v>36</v>
      </c>
      <c r="K752" t="s">
        <v>63</v>
      </c>
      <c r="L752" t="s">
        <v>12</v>
      </c>
      <c r="M752" t="s">
        <v>38</v>
      </c>
      <c r="N752" t="s">
        <v>12</v>
      </c>
      <c r="O752" t="s">
        <v>22</v>
      </c>
      <c r="P752" t="s">
        <v>20</v>
      </c>
      <c r="Q752" t="s">
        <v>23</v>
      </c>
      <c r="R752" t="s">
        <v>14</v>
      </c>
      <c r="S752" t="s">
        <v>15</v>
      </c>
      <c r="T752" t="s">
        <v>24</v>
      </c>
      <c r="U752" t="s">
        <v>29</v>
      </c>
      <c r="V752" s="3" t="s">
        <v>1356</v>
      </c>
      <c r="W752" t="s">
        <v>26</v>
      </c>
    </row>
    <row r="753" spans="1:23" ht="12.75">
      <c r="A753" s="1">
        <v>45780.698587962965</v>
      </c>
      <c r="C753" t="s">
        <v>212</v>
      </c>
      <c r="D753">
        <v>20</v>
      </c>
      <c r="E753">
        <v>175</v>
      </c>
      <c r="F753">
        <v>103</v>
      </c>
      <c r="G753">
        <v>3</v>
      </c>
      <c r="H753" t="s">
        <v>28</v>
      </c>
      <c r="I753" t="s">
        <v>29</v>
      </c>
      <c r="J753" t="s">
        <v>6</v>
      </c>
      <c r="K753" t="s">
        <v>19</v>
      </c>
      <c r="L753" t="s">
        <v>31</v>
      </c>
      <c r="M753" t="s">
        <v>38</v>
      </c>
      <c r="N753" t="s">
        <v>12</v>
      </c>
      <c r="O753" t="s">
        <v>22</v>
      </c>
      <c r="P753" t="s">
        <v>10</v>
      </c>
      <c r="Q753" t="s">
        <v>32</v>
      </c>
      <c r="R753" t="s">
        <v>50</v>
      </c>
      <c r="S753" t="s">
        <v>47</v>
      </c>
      <c r="T753" t="s">
        <v>15</v>
      </c>
      <c r="U753" t="s">
        <v>29</v>
      </c>
      <c r="V753" s="3" t="s">
        <v>1357</v>
      </c>
      <c r="W753" t="s">
        <v>39</v>
      </c>
    </row>
    <row r="754" spans="1:23" ht="12.75">
      <c r="A754" s="1">
        <v>45690.87122685185</v>
      </c>
      <c r="C754" t="s">
        <v>154</v>
      </c>
      <c r="D754">
        <v>34</v>
      </c>
      <c r="E754">
        <v>160</v>
      </c>
      <c r="F754">
        <v>98</v>
      </c>
      <c r="G754">
        <v>2.5</v>
      </c>
      <c r="H754" t="s">
        <v>590</v>
      </c>
      <c r="I754" t="s">
        <v>5</v>
      </c>
      <c r="J754" t="s">
        <v>36</v>
      </c>
      <c r="K754" t="s">
        <v>19</v>
      </c>
      <c r="L754" t="s">
        <v>12</v>
      </c>
      <c r="M754" t="s">
        <v>38</v>
      </c>
      <c r="N754" t="s">
        <v>31</v>
      </c>
      <c r="O754" t="s">
        <v>46</v>
      </c>
      <c r="P754" t="s">
        <v>12</v>
      </c>
      <c r="Q754" t="s">
        <v>23</v>
      </c>
      <c r="R754" t="s">
        <v>33</v>
      </c>
      <c r="S754" t="s">
        <v>15</v>
      </c>
      <c r="T754" t="s">
        <v>15</v>
      </c>
      <c r="U754" t="s">
        <v>5</v>
      </c>
      <c r="V754" s="3" t="s">
        <v>1358</v>
      </c>
      <c r="W754" t="s">
        <v>34</v>
      </c>
    </row>
    <row r="755" spans="1:23" ht="12.75">
      <c r="A755" s="1">
        <v>45686.197893518518</v>
      </c>
      <c r="C755" t="s">
        <v>112</v>
      </c>
      <c r="D755">
        <v>41</v>
      </c>
      <c r="E755">
        <v>179</v>
      </c>
      <c r="F755">
        <v>94</v>
      </c>
      <c r="G755">
        <v>2.5</v>
      </c>
      <c r="H755" t="s">
        <v>592</v>
      </c>
      <c r="I755" t="s">
        <v>29</v>
      </c>
      <c r="J755" t="s">
        <v>6</v>
      </c>
      <c r="K755" t="s">
        <v>30</v>
      </c>
      <c r="L755" t="s">
        <v>12</v>
      </c>
      <c r="M755" t="s">
        <v>38</v>
      </c>
      <c r="N755" t="s">
        <v>10</v>
      </c>
      <c r="O755" t="s">
        <v>11</v>
      </c>
      <c r="P755" t="s">
        <v>8</v>
      </c>
      <c r="Q755" t="s">
        <v>55</v>
      </c>
      <c r="R755" t="s">
        <v>33</v>
      </c>
      <c r="S755" t="s">
        <v>24</v>
      </c>
      <c r="T755" t="s">
        <v>24</v>
      </c>
      <c r="U755" t="s">
        <v>5</v>
      </c>
      <c r="V755" s="3" t="s">
        <v>1359</v>
      </c>
      <c r="W755" t="s">
        <v>39</v>
      </c>
    </row>
    <row r="756" spans="1:23" ht="12.75">
      <c r="A756" s="1">
        <v>45703.593958333331</v>
      </c>
      <c r="C756" t="s">
        <v>59</v>
      </c>
      <c r="D756">
        <v>46</v>
      </c>
      <c r="E756">
        <v>182</v>
      </c>
      <c r="F756">
        <v>53</v>
      </c>
      <c r="G756">
        <v>2.5</v>
      </c>
      <c r="H756" t="s">
        <v>28</v>
      </c>
      <c r="I756" t="s">
        <v>5</v>
      </c>
      <c r="J756" t="s">
        <v>6</v>
      </c>
      <c r="K756" t="s">
        <v>7</v>
      </c>
      <c r="L756" t="s">
        <v>8</v>
      </c>
      <c r="M756" t="s">
        <v>21</v>
      </c>
      <c r="N756" t="s">
        <v>8</v>
      </c>
      <c r="O756" t="s">
        <v>22</v>
      </c>
      <c r="P756" t="s">
        <v>31</v>
      </c>
      <c r="Q756" t="s">
        <v>23</v>
      </c>
      <c r="R756" t="s">
        <v>50</v>
      </c>
      <c r="S756" t="s">
        <v>25</v>
      </c>
      <c r="T756" t="s">
        <v>24</v>
      </c>
      <c r="U756" t="s">
        <v>29</v>
      </c>
      <c r="V756" s="3" t="s">
        <v>1360</v>
      </c>
      <c r="W756" t="s">
        <v>39</v>
      </c>
    </row>
    <row r="757" spans="1:23" ht="12.75">
      <c r="A757" s="1">
        <v>45713.448634259257</v>
      </c>
      <c r="C757" t="s">
        <v>363</v>
      </c>
      <c r="D757">
        <v>27</v>
      </c>
      <c r="E757">
        <v>177</v>
      </c>
      <c r="F757">
        <v>80</v>
      </c>
      <c r="G757">
        <v>1</v>
      </c>
      <c r="H757" t="s">
        <v>592</v>
      </c>
      <c r="I757" t="s">
        <v>29</v>
      </c>
      <c r="J757" t="s">
        <v>6</v>
      </c>
      <c r="K757" t="s">
        <v>7</v>
      </c>
      <c r="L757" t="s">
        <v>31</v>
      </c>
      <c r="M757" t="s">
        <v>52</v>
      </c>
      <c r="N757" t="s">
        <v>40</v>
      </c>
      <c r="O757" t="s">
        <v>22</v>
      </c>
      <c r="P757" t="s">
        <v>12</v>
      </c>
      <c r="Q757" t="s">
        <v>32</v>
      </c>
      <c r="R757" t="s">
        <v>33</v>
      </c>
      <c r="S757" t="s">
        <v>25</v>
      </c>
      <c r="T757" t="s">
        <v>24</v>
      </c>
      <c r="U757" t="s">
        <v>29</v>
      </c>
      <c r="V757" s="3" t="s">
        <v>1361</v>
      </c>
      <c r="W757" t="s">
        <v>34</v>
      </c>
    </row>
    <row r="758" spans="1:23" ht="12.75">
      <c r="A758" s="1">
        <v>45730.283564814818</v>
      </c>
      <c r="C758" t="s">
        <v>364</v>
      </c>
      <c r="D758">
        <v>47</v>
      </c>
      <c r="E758">
        <v>183</v>
      </c>
      <c r="F758">
        <v>71</v>
      </c>
      <c r="G758">
        <v>1</v>
      </c>
      <c r="H758" t="s">
        <v>28</v>
      </c>
      <c r="I758" t="s">
        <v>29</v>
      </c>
      <c r="J758" t="s">
        <v>36</v>
      </c>
      <c r="K758" t="s">
        <v>19</v>
      </c>
      <c r="L758" t="s">
        <v>8</v>
      </c>
      <c r="M758" t="s">
        <v>9</v>
      </c>
      <c r="N758" t="s">
        <v>8</v>
      </c>
      <c r="O758" t="s">
        <v>46</v>
      </c>
      <c r="P758" t="s">
        <v>12</v>
      </c>
      <c r="Q758" t="s">
        <v>32</v>
      </c>
      <c r="R758" t="s">
        <v>14</v>
      </c>
      <c r="S758" t="s">
        <v>25</v>
      </c>
      <c r="T758" t="s">
        <v>47</v>
      </c>
      <c r="U758" t="s">
        <v>29</v>
      </c>
      <c r="V758" s="3" t="s">
        <v>1362</v>
      </c>
      <c r="W758" t="s">
        <v>16</v>
      </c>
    </row>
    <row r="759" spans="1:23" ht="12.75">
      <c r="A759" s="1">
        <v>45696.448067129626</v>
      </c>
      <c r="C759" t="s">
        <v>85</v>
      </c>
      <c r="D759">
        <v>39</v>
      </c>
      <c r="E759">
        <v>188</v>
      </c>
      <c r="F759">
        <v>66</v>
      </c>
      <c r="G759">
        <v>1.5</v>
      </c>
      <c r="H759" t="s">
        <v>591</v>
      </c>
      <c r="I759" t="s">
        <v>29</v>
      </c>
      <c r="J759" t="s">
        <v>6</v>
      </c>
      <c r="K759" t="s">
        <v>63</v>
      </c>
      <c r="L759" t="s">
        <v>8</v>
      </c>
      <c r="M759" t="s">
        <v>52</v>
      </c>
      <c r="N759" t="s">
        <v>8</v>
      </c>
      <c r="O759" t="s">
        <v>22</v>
      </c>
      <c r="P759" t="s">
        <v>31</v>
      </c>
      <c r="Q759" t="s">
        <v>32</v>
      </c>
      <c r="R759" t="s">
        <v>14</v>
      </c>
      <c r="S759" t="s">
        <v>15</v>
      </c>
      <c r="T759" t="s">
        <v>15</v>
      </c>
      <c r="U759" t="s">
        <v>5</v>
      </c>
      <c r="V759" s="3" t="s">
        <v>1363</v>
      </c>
      <c r="W759" t="s">
        <v>26</v>
      </c>
    </row>
    <row r="760" spans="1:23" ht="12.75">
      <c r="A760" s="1">
        <v>45799.246238425927</v>
      </c>
      <c r="C760" t="s">
        <v>308</v>
      </c>
      <c r="D760">
        <v>20</v>
      </c>
      <c r="E760">
        <v>183</v>
      </c>
      <c r="F760">
        <v>72</v>
      </c>
      <c r="G760">
        <v>2.5</v>
      </c>
      <c r="H760" t="s">
        <v>28</v>
      </c>
      <c r="I760" t="s">
        <v>29</v>
      </c>
      <c r="J760" t="s">
        <v>36</v>
      </c>
      <c r="K760" t="s">
        <v>60</v>
      </c>
      <c r="L760" t="s">
        <v>8</v>
      </c>
      <c r="M760" t="s">
        <v>38</v>
      </c>
      <c r="N760" t="s">
        <v>20</v>
      </c>
      <c r="O760" t="s">
        <v>22</v>
      </c>
      <c r="P760" t="s">
        <v>20</v>
      </c>
      <c r="Q760" t="s">
        <v>32</v>
      </c>
      <c r="R760" t="s">
        <v>33</v>
      </c>
      <c r="S760" t="s">
        <v>15</v>
      </c>
      <c r="T760" t="s">
        <v>47</v>
      </c>
      <c r="U760" t="s">
        <v>5</v>
      </c>
      <c r="V760" s="3" t="s">
        <v>1364</v>
      </c>
      <c r="W760" t="s">
        <v>34</v>
      </c>
    </row>
    <row r="761" spans="1:23" ht="12.75">
      <c r="A761" s="1">
        <v>45760.565682870372</v>
      </c>
      <c r="C761" t="s">
        <v>100</v>
      </c>
      <c r="D761">
        <v>59</v>
      </c>
      <c r="E761">
        <v>184</v>
      </c>
      <c r="F761">
        <v>96</v>
      </c>
      <c r="G761">
        <v>3</v>
      </c>
      <c r="H761" t="s">
        <v>590</v>
      </c>
      <c r="I761" t="s">
        <v>5</v>
      </c>
      <c r="J761" t="s">
        <v>36</v>
      </c>
      <c r="K761" t="s">
        <v>7</v>
      </c>
      <c r="L761" t="s">
        <v>10</v>
      </c>
      <c r="M761" t="s">
        <v>52</v>
      </c>
      <c r="N761" t="s">
        <v>10</v>
      </c>
      <c r="O761" t="s">
        <v>22</v>
      </c>
      <c r="P761" t="s">
        <v>10</v>
      </c>
      <c r="Q761" t="s">
        <v>13</v>
      </c>
      <c r="R761" t="s">
        <v>14</v>
      </c>
      <c r="S761" t="s">
        <v>24</v>
      </c>
      <c r="T761" t="s">
        <v>25</v>
      </c>
      <c r="U761" t="s">
        <v>29</v>
      </c>
      <c r="V761" s="3" t="s">
        <v>1365</v>
      </c>
      <c r="W761" t="s">
        <v>39</v>
      </c>
    </row>
    <row r="762" spans="1:23" ht="12.75">
      <c r="A762" s="1">
        <v>45672.145543981482</v>
      </c>
      <c r="C762" t="s">
        <v>67</v>
      </c>
      <c r="D762">
        <v>43</v>
      </c>
      <c r="E762">
        <v>189</v>
      </c>
      <c r="F762">
        <v>99</v>
      </c>
      <c r="G762">
        <v>3</v>
      </c>
      <c r="H762" t="s">
        <v>591</v>
      </c>
      <c r="I762" t="s">
        <v>29</v>
      </c>
      <c r="J762" t="s">
        <v>36</v>
      </c>
      <c r="K762" t="s">
        <v>7</v>
      </c>
      <c r="L762" t="s">
        <v>40</v>
      </c>
      <c r="M762" t="s">
        <v>9</v>
      </c>
      <c r="N762" t="s">
        <v>20</v>
      </c>
      <c r="O762" t="s">
        <v>11</v>
      </c>
      <c r="P762" t="s">
        <v>12</v>
      </c>
      <c r="Q762" t="s">
        <v>13</v>
      </c>
      <c r="R762" t="s">
        <v>33</v>
      </c>
      <c r="S762" t="s">
        <v>24</v>
      </c>
      <c r="T762" t="s">
        <v>15</v>
      </c>
      <c r="U762" t="s">
        <v>5</v>
      </c>
      <c r="V762" s="3" t="s">
        <v>1366</v>
      </c>
      <c r="W762" t="s">
        <v>34</v>
      </c>
    </row>
    <row r="763" spans="1:23" ht="12.75">
      <c r="A763" s="1">
        <v>45674.241527777776</v>
      </c>
      <c r="C763" t="s">
        <v>193</v>
      </c>
      <c r="D763">
        <v>50</v>
      </c>
      <c r="E763">
        <v>165</v>
      </c>
      <c r="F763">
        <v>87</v>
      </c>
      <c r="G763">
        <v>2.5</v>
      </c>
      <c r="H763" t="s">
        <v>591</v>
      </c>
      <c r="I763" t="s">
        <v>5</v>
      </c>
      <c r="J763" t="s">
        <v>36</v>
      </c>
      <c r="K763" t="s">
        <v>63</v>
      </c>
      <c r="L763" t="s">
        <v>40</v>
      </c>
      <c r="M763" t="s">
        <v>52</v>
      </c>
      <c r="N763" t="s">
        <v>8</v>
      </c>
      <c r="O763" t="s">
        <v>22</v>
      </c>
      <c r="P763" t="s">
        <v>40</v>
      </c>
      <c r="Q763" t="s">
        <v>32</v>
      </c>
      <c r="R763" t="s">
        <v>33</v>
      </c>
      <c r="S763" t="s">
        <v>25</v>
      </c>
      <c r="T763" t="s">
        <v>24</v>
      </c>
      <c r="U763" t="s">
        <v>29</v>
      </c>
      <c r="V763" s="3" t="s">
        <v>1367</v>
      </c>
      <c r="W763" t="s">
        <v>39</v>
      </c>
    </row>
    <row r="764" spans="1:23" ht="12.75">
      <c r="A764" s="1">
        <v>45662.309907407405</v>
      </c>
      <c r="C764" t="s">
        <v>365</v>
      </c>
      <c r="D764">
        <v>22</v>
      </c>
      <c r="E764">
        <v>175</v>
      </c>
      <c r="F764">
        <v>63</v>
      </c>
      <c r="G764">
        <v>2</v>
      </c>
      <c r="H764" t="s">
        <v>28</v>
      </c>
      <c r="I764" t="s">
        <v>29</v>
      </c>
      <c r="J764" t="s">
        <v>36</v>
      </c>
      <c r="K764" t="s">
        <v>60</v>
      </c>
      <c r="L764" t="s">
        <v>8</v>
      </c>
      <c r="M764" t="s">
        <v>21</v>
      </c>
      <c r="N764" t="s">
        <v>40</v>
      </c>
      <c r="O764" t="s">
        <v>44</v>
      </c>
      <c r="P764" t="s">
        <v>8</v>
      </c>
      <c r="Q764" t="s">
        <v>32</v>
      </c>
      <c r="R764" t="s">
        <v>50</v>
      </c>
      <c r="S764" t="s">
        <v>47</v>
      </c>
      <c r="T764" t="s">
        <v>25</v>
      </c>
      <c r="U764" t="s">
        <v>29</v>
      </c>
      <c r="V764" s="3" t="s">
        <v>1368</v>
      </c>
      <c r="W764" t="s">
        <v>34</v>
      </c>
    </row>
    <row r="765" spans="1:23" ht="12.75">
      <c r="A765" s="1">
        <v>45744.331064814818</v>
      </c>
      <c r="C765" t="s">
        <v>78</v>
      </c>
      <c r="D765">
        <v>59</v>
      </c>
      <c r="E765">
        <v>176</v>
      </c>
      <c r="F765">
        <v>55</v>
      </c>
      <c r="G765">
        <v>3</v>
      </c>
      <c r="H765" t="s">
        <v>28</v>
      </c>
      <c r="I765" t="s">
        <v>29</v>
      </c>
      <c r="J765" t="s">
        <v>6</v>
      </c>
      <c r="K765" t="s">
        <v>63</v>
      </c>
      <c r="L765" t="s">
        <v>31</v>
      </c>
      <c r="M765" t="s">
        <v>21</v>
      </c>
      <c r="N765" t="s">
        <v>12</v>
      </c>
      <c r="O765" t="s">
        <v>22</v>
      </c>
      <c r="P765" t="s">
        <v>40</v>
      </c>
      <c r="Q765" t="s">
        <v>23</v>
      </c>
      <c r="R765" t="s">
        <v>33</v>
      </c>
      <c r="S765" t="s">
        <v>15</v>
      </c>
      <c r="T765" t="s">
        <v>15</v>
      </c>
      <c r="U765" t="s">
        <v>5</v>
      </c>
      <c r="V765" s="3" t="s">
        <v>1369</v>
      </c>
      <c r="W765" t="s">
        <v>34</v>
      </c>
    </row>
    <row r="766" spans="1:23" ht="12.75">
      <c r="A766" s="1">
        <v>45730.74150462963</v>
      </c>
      <c r="C766" t="s">
        <v>95</v>
      </c>
      <c r="D766">
        <v>36</v>
      </c>
      <c r="E766">
        <v>179</v>
      </c>
      <c r="F766">
        <v>57</v>
      </c>
      <c r="G766">
        <v>1.5</v>
      </c>
      <c r="H766" t="s">
        <v>592</v>
      </c>
      <c r="I766" t="s">
        <v>29</v>
      </c>
      <c r="J766" t="s">
        <v>36</v>
      </c>
      <c r="K766" t="s">
        <v>63</v>
      </c>
      <c r="L766" t="s">
        <v>12</v>
      </c>
      <c r="M766" t="s">
        <v>21</v>
      </c>
      <c r="N766" t="s">
        <v>12</v>
      </c>
      <c r="O766" t="s">
        <v>46</v>
      </c>
      <c r="P766" t="s">
        <v>20</v>
      </c>
      <c r="Q766" t="s">
        <v>32</v>
      </c>
      <c r="R766" t="s">
        <v>14</v>
      </c>
      <c r="S766" t="s">
        <v>15</v>
      </c>
      <c r="T766" t="s">
        <v>15</v>
      </c>
      <c r="U766" t="s">
        <v>29</v>
      </c>
      <c r="V766" s="3" t="s">
        <v>1370</v>
      </c>
      <c r="W766" t="s">
        <v>16</v>
      </c>
    </row>
    <row r="767" spans="1:23" ht="12.75">
      <c r="A767" s="1">
        <v>45779.523576388892</v>
      </c>
      <c r="C767" t="s">
        <v>142</v>
      </c>
      <c r="D767">
        <v>52</v>
      </c>
      <c r="E767">
        <v>161</v>
      </c>
      <c r="F767">
        <v>65</v>
      </c>
      <c r="G767">
        <v>2</v>
      </c>
      <c r="H767" t="s">
        <v>590</v>
      </c>
      <c r="I767" t="s">
        <v>29</v>
      </c>
      <c r="J767" t="s">
        <v>36</v>
      </c>
      <c r="K767" t="s">
        <v>63</v>
      </c>
      <c r="L767" t="s">
        <v>12</v>
      </c>
      <c r="M767" t="s">
        <v>9</v>
      </c>
      <c r="N767" t="s">
        <v>31</v>
      </c>
      <c r="O767" t="s">
        <v>46</v>
      </c>
      <c r="P767" t="s">
        <v>12</v>
      </c>
      <c r="Q767" t="s">
        <v>32</v>
      </c>
      <c r="R767" t="s">
        <v>33</v>
      </c>
      <c r="S767" t="s">
        <v>47</v>
      </c>
      <c r="T767" t="s">
        <v>47</v>
      </c>
      <c r="U767" t="s">
        <v>29</v>
      </c>
      <c r="V767" s="3" t="s">
        <v>1371</v>
      </c>
      <c r="W767" t="s">
        <v>16</v>
      </c>
    </row>
    <row r="768" spans="1:23" ht="12.75">
      <c r="A768" s="1">
        <v>45740.31144675926</v>
      </c>
      <c r="C768" t="s">
        <v>162</v>
      </c>
      <c r="D768">
        <v>32</v>
      </c>
      <c r="E768">
        <v>179</v>
      </c>
      <c r="F768">
        <v>106</v>
      </c>
      <c r="G768">
        <v>1</v>
      </c>
      <c r="H768" t="s">
        <v>28</v>
      </c>
      <c r="I768" t="s">
        <v>5</v>
      </c>
      <c r="J768" t="s">
        <v>6</v>
      </c>
      <c r="K768" t="s">
        <v>30</v>
      </c>
      <c r="L768" t="s">
        <v>12</v>
      </c>
      <c r="M768" t="s">
        <v>21</v>
      </c>
      <c r="N768" t="s">
        <v>8</v>
      </c>
      <c r="O768" t="s">
        <v>46</v>
      </c>
      <c r="P768" t="s">
        <v>10</v>
      </c>
      <c r="Q768" t="s">
        <v>55</v>
      </c>
      <c r="R768" t="s">
        <v>50</v>
      </c>
      <c r="S768" t="s">
        <v>25</v>
      </c>
      <c r="T768" t="s">
        <v>25</v>
      </c>
      <c r="U768" t="s">
        <v>5</v>
      </c>
      <c r="V768" s="3" t="s">
        <v>1372</v>
      </c>
      <c r="W768" t="s">
        <v>39</v>
      </c>
    </row>
    <row r="769" spans="1:23" ht="12.75">
      <c r="A769" s="1">
        <v>45712.140752314815</v>
      </c>
      <c r="C769" t="s">
        <v>291</v>
      </c>
      <c r="D769">
        <v>42</v>
      </c>
      <c r="E769">
        <v>159</v>
      </c>
      <c r="F769">
        <v>99</v>
      </c>
      <c r="G769">
        <v>3</v>
      </c>
      <c r="H769" t="s">
        <v>591</v>
      </c>
      <c r="I769" t="s">
        <v>29</v>
      </c>
      <c r="J769" t="s">
        <v>6</v>
      </c>
      <c r="K769" t="s">
        <v>7</v>
      </c>
      <c r="L769" t="s">
        <v>20</v>
      </c>
      <c r="M769" t="s">
        <v>38</v>
      </c>
      <c r="N769" t="s">
        <v>31</v>
      </c>
      <c r="O769" t="s">
        <v>22</v>
      </c>
      <c r="P769" t="s">
        <v>10</v>
      </c>
      <c r="Q769" t="s">
        <v>32</v>
      </c>
      <c r="R769" t="s">
        <v>33</v>
      </c>
      <c r="S769" t="s">
        <v>47</v>
      </c>
      <c r="T769" t="s">
        <v>15</v>
      </c>
      <c r="U769" t="s">
        <v>29</v>
      </c>
      <c r="V769" s="3" t="s">
        <v>1373</v>
      </c>
      <c r="W769" t="s">
        <v>26</v>
      </c>
    </row>
    <row r="770" spans="1:23" ht="12.75">
      <c r="A770" s="1">
        <v>45737.017291666663</v>
      </c>
      <c r="C770" t="s">
        <v>123</v>
      </c>
      <c r="D770">
        <v>45</v>
      </c>
      <c r="E770">
        <v>158</v>
      </c>
      <c r="F770">
        <v>59</v>
      </c>
      <c r="G770">
        <v>1.5</v>
      </c>
      <c r="H770" t="s">
        <v>592</v>
      </c>
      <c r="I770" t="s">
        <v>5</v>
      </c>
      <c r="J770" t="s">
        <v>36</v>
      </c>
      <c r="K770" t="s">
        <v>60</v>
      </c>
      <c r="L770" t="s">
        <v>12</v>
      </c>
      <c r="M770" t="s">
        <v>21</v>
      </c>
      <c r="N770" t="s">
        <v>10</v>
      </c>
      <c r="O770" t="s">
        <v>22</v>
      </c>
      <c r="P770" t="s">
        <v>20</v>
      </c>
      <c r="Q770" t="s">
        <v>23</v>
      </c>
      <c r="R770" t="s">
        <v>50</v>
      </c>
      <c r="S770" t="s">
        <v>24</v>
      </c>
      <c r="T770" t="s">
        <v>47</v>
      </c>
      <c r="U770" t="s">
        <v>29</v>
      </c>
      <c r="V770" s="3" t="s">
        <v>1374</v>
      </c>
      <c r="W770" t="s">
        <v>16</v>
      </c>
    </row>
    <row r="771" spans="1:23" ht="12.75">
      <c r="A771" s="1">
        <v>45682.326550925929</v>
      </c>
      <c r="C771" t="s">
        <v>365</v>
      </c>
      <c r="D771">
        <v>56</v>
      </c>
      <c r="E771">
        <v>182</v>
      </c>
      <c r="F771">
        <v>75</v>
      </c>
      <c r="G771">
        <v>3</v>
      </c>
      <c r="H771" t="s">
        <v>28</v>
      </c>
      <c r="I771" t="s">
        <v>29</v>
      </c>
      <c r="J771" t="s">
        <v>36</v>
      </c>
      <c r="K771" t="s">
        <v>63</v>
      </c>
      <c r="L771" t="s">
        <v>40</v>
      </c>
      <c r="M771" t="s">
        <v>38</v>
      </c>
      <c r="N771" t="s">
        <v>31</v>
      </c>
      <c r="O771" t="s">
        <v>44</v>
      </c>
      <c r="P771" t="s">
        <v>31</v>
      </c>
      <c r="Q771" t="s">
        <v>32</v>
      </c>
      <c r="R771" t="s">
        <v>14</v>
      </c>
      <c r="S771" t="s">
        <v>15</v>
      </c>
      <c r="T771" t="s">
        <v>24</v>
      </c>
      <c r="U771" t="s">
        <v>29</v>
      </c>
      <c r="V771" s="3" t="s">
        <v>1375</v>
      </c>
      <c r="W771" t="s">
        <v>39</v>
      </c>
    </row>
    <row r="772" spans="1:23" ht="12.75">
      <c r="A772" s="1">
        <v>45809.230219907404</v>
      </c>
      <c r="C772" t="s">
        <v>203</v>
      </c>
      <c r="D772">
        <v>42</v>
      </c>
      <c r="E772">
        <v>184</v>
      </c>
      <c r="F772">
        <v>82</v>
      </c>
      <c r="G772">
        <v>1.5</v>
      </c>
      <c r="H772" t="s">
        <v>590</v>
      </c>
      <c r="I772" t="s">
        <v>29</v>
      </c>
      <c r="J772" t="s">
        <v>6</v>
      </c>
      <c r="K772" t="s">
        <v>60</v>
      </c>
      <c r="L772" t="s">
        <v>10</v>
      </c>
      <c r="M772" t="s">
        <v>9</v>
      </c>
      <c r="N772" t="s">
        <v>40</v>
      </c>
      <c r="O772" t="s">
        <v>44</v>
      </c>
      <c r="P772" t="s">
        <v>20</v>
      </c>
      <c r="Q772" t="s">
        <v>55</v>
      </c>
      <c r="R772" t="s">
        <v>50</v>
      </c>
      <c r="S772" t="s">
        <v>15</v>
      </c>
      <c r="T772" t="s">
        <v>15</v>
      </c>
      <c r="U772" t="s">
        <v>29</v>
      </c>
      <c r="V772" s="3" t="s">
        <v>1376</v>
      </c>
      <c r="W772" t="s">
        <v>16</v>
      </c>
    </row>
    <row r="773" spans="1:23" ht="12.75">
      <c r="A773" s="1">
        <v>45729.260046296295</v>
      </c>
      <c r="C773" t="s">
        <v>99</v>
      </c>
      <c r="D773">
        <v>35</v>
      </c>
      <c r="E773">
        <v>175</v>
      </c>
      <c r="F773">
        <v>74</v>
      </c>
      <c r="G773">
        <v>2</v>
      </c>
      <c r="H773" t="s">
        <v>592</v>
      </c>
      <c r="I773" t="s">
        <v>29</v>
      </c>
      <c r="J773" t="s">
        <v>6</v>
      </c>
      <c r="K773" t="s">
        <v>19</v>
      </c>
      <c r="L773" t="s">
        <v>40</v>
      </c>
      <c r="M773" t="s">
        <v>21</v>
      </c>
      <c r="N773" t="s">
        <v>8</v>
      </c>
      <c r="O773" t="s">
        <v>22</v>
      </c>
      <c r="P773" t="s">
        <v>31</v>
      </c>
      <c r="Q773" t="s">
        <v>13</v>
      </c>
      <c r="R773" t="s">
        <v>50</v>
      </c>
      <c r="S773" t="s">
        <v>47</v>
      </c>
      <c r="T773" t="s">
        <v>47</v>
      </c>
      <c r="U773" t="s">
        <v>29</v>
      </c>
      <c r="V773" s="3" t="s">
        <v>1377</v>
      </c>
      <c r="W773" t="s">
        <v>26</v>
      </c>
    </row>
    <row r="774" spans="1:23" ht="12.75">
      <c r="A774" s="1">
        <v>45696.276412037034</v>
      </c>
      <c r="C774" t="s">
        <v>57</v>
      </c>
      <c r="D774">
        <v>41</v>
      </c>
      <c r="E774">
        <v>160</v>
      </c>
      <c r="F774">
        <v>87</v>
      </c>
      <c r="G774">
        <v>2</v>
      </c>
      <c r="H774" t="s">
        <v>28</v>
      </c>
      <c r="I774" t="s">
        <v>29</v>
      </c>
      <c r="J774" t="s">
        <v>36</v>
      </c>
      <c r="K774" t="s">
        <v>60</v>
      </c>
      <c r="L774" t="s">
        <v>12</v>
      </c>
      <c r="M774" t="s">
        <v>52</v>
      </c>
      <c r="N774" t="s">
        <v>31</v>
      </c>
      <c r="O774" t="s">
        <v>44</v>
      </c>
      <c r="P774" t="s">
        <v>31</v>
      </c>
      <c r="Q774" t="s">
        <v>13</v>
      </c>
      <c r="R774" t="s">
        <v>14</v>
      </c>
      <c r="S774" t="s">
        <v>15</v>
      </c>
      <c r="T774" t="s">
        <v>15</v>
      </c>
      <c r="U774" t="s">
        <v>5</v>
      </c>
      <c r="V774" s="3" t="s">
        <v>1378</v>
      </c>
      <c r="W774" t="s">
        <v>34</v>
      </c>
    </row>
    <row r="775" spans="1:23" ht="12.75">
      <c r="A775" s="1">
        <v>45693.475717592592</v>
      </c>
      <c r="C775" t="s">
        <v>350</v>
      </c>
      <c r="D775">
        <v>34</v>
      </c>
      <c r="E775">
        <v>166</v>
      </c>
      <c r="F775">
        <v>76</v>
      </c>
      <c r="G775">
        <v>3</v>
      </c>
      <c r="H775" t="s">
        <v>592</v>
      </c>
      <c r="I775" t="s">
        <v>29</v>
      </c>
      <c r="J775" t="s">
        <v>36</v>
      </c>
      <c r="K775" t="s">
        <v>7</v>
      </c>
      <c r="L775" t="s">
        <v>20</v>
      </c>
      <c r="M775" t="s">
        <v>38</v>
      </c>
      <c r="N775" t="s">
        <v>20</v>
      </c>
      <c r="O775" t="s">
        <v>44</v>
      </c>
      <c r="P775" t="s">
        <v>31</v>
      </c>
      <c r="Q775" t="s">
        <v>55</v>
      </c>
      <c r="R775" t="s">
        <v>33</v>
      </c>
      <c r="S775" t="s">
        <v>47</v>
      </c>
      <c r="T775" t="s">
        <v>15</v>
      </c>
      <c r="U775" t="s">
        <v>29</v>
      </c>
      <c r="V775" s="3" t="s">
        <v>1379</v>
      </c>
      <c r="W775" t="s">
        <v>16</v>
      </c>
    </row>
    <row r="776" spans="1:23" ht="12.75">
      <c r="A776" s="1">
        <v>45690.93136574074</v>
      </c>
      <c r="C776" t="s">
        <v>212</v>
      </c>
      <c r="D776">
        <v>51</v>
      </c>
      <c r="E776">
        <v>180</v>
      </c>
      <c r="F776">
        <v>78</v>
      </c>
      <c r="G776">
        <v>1.5</v>
      </c>
      <c r="H776" t="s">
        <v>590</v>
      </c>
      <c r="I776" t="s">
        <v>5</v>
      </c>
      <c r="J776" t="s">
        <v>6</v>
      </c>
      <c r="K776" t="s">
        <v>19</v>
      </c>
      <c r="L776" t="s">
        <v>8</v>
      </c>
      <c r="M776" t="s">
        <v>21</v>
      </c>
      <c r="N776" t="s">
        <v>12</v>
      </c>
      <c r="O776" t="s">
        <v>11</v>
      </c>
      <c r="P776" t="s">
        <v>20</v>
      </c>
      <c r="Q776" t="s">
        <v>23</v>
      </c>
      <c r="R776" t="s">
        <v>50</v>
      </c>
      <c r="S776" t="s">
        <v>25</v>
      </c>
      <c r="T776" t="s">
        <v>47</v>
      </c>
      <c r="U776" t="s">
        <v>29</v>
      </c>
      <c r="V776" s="3" t="s">
        <v>1380</v>
      </c>
      <c r="W776" t="s">
        <v>34</v>
      </c>
    </row>
    <row r="777" spans="1:23" ht="12.75">
      <c r="A777" s="1">
        <v>45750.161898148152</v>
      </c>
      <c r="C777" t="s">
        <v>366</v>
      </c>
      <c r="D777">
        <v>35</v>
      </c>
      <c r="E777">
        <v>175</v>
      </c>
      <c r="F777">
        <v>80</v>
      </c>
      <c r="G777">
        <v>2</v>
      </c>
      <c r="H777" t="s">
        <v>592</v>
      </c>
      <c r="I777" t="s">
        <v>29</v>
      </c>
      <c r="J777" t="s">
        <v>36</v>
      </c>
      <c r="K777" t="s">
        <v>60</v>
      </c>
      <c r="L777" t="s">
        <v>8</v>
      </c>
      <c r="M777" t="s">
        <v>52</v>
      </c>
      <c r="N777" t="s">
        <v>10</v>
      </c>
      <c r="O777" t="s">
        <v>22</v>
      </c>
      <c r="P777" t="s">
        <v>20</v>
      </c>
      <c r="Q777" t="s">
        <v>23</v>
      </c>
      <c r="R777" t="s">
        <v>33</v>
      </c>
      <c r="S777" t="s">
        <v>15</v>
      </c>
      <c r="T777" t="s">
        <v>25</v>
      </c>
      <c r="U777" t="s">
        <v>5</v>
      </c>
      <c r="V777" s="3" t="s">
        <v>1381</v>
      </c>
      <c r="W777" t="s">
        <v>26</v>
      </c>
    </row>
    <row r="778" spans="1:23" ht="12.75">
      <c r="A778" s="1">
        <v>45665.985636574071</v>
      </c>
      <c r="C778" t="s">
        <v>367</v>
      </c>
      <c r="D778">
        <v>51</v>
      </c>
      <c r="E778">
        <v>158</v>
      </c>
      <c r="F778">
        <v>83</v>
      </c>
      <c r="G778">
        <v>1.5</v>
      </c>
      <c r="H778" t="s">
        <v>590</v>
      </c>
      <c r="I778" t="s">
        <v>5</v>
      </c>
      <c r="J778" t="s">
        <v>36</v>
      </c>
      <c r="K778" t="s">
        <v>30</v>
      </c>
      <c r="L778" t="s">
        <v>40</v>
      </c>
      <c r="M778" t="s">
        <v>21</v>
      </c>
      <c r="N778" t="s">
        <v>31</v>
      </c>
      <c r="O778" t="s">
        <v>11</v>
      </c>
      <c r="P778" t="s">
        <v>8</v>
      </c>
      <c r="Q778" t="s">
        <v>55</v>
      </c>
      <c r="R778" t="s">
        <v>50</v>
      </c>
      <c r="S778" t="s">
        <v>24</v>
      </c>
      <c r="T778" t="s">
        <v>25</v>
      </c>
      <c r="U778" t="s">
        <v>29</v>
      </c>
      <c r="V778" s="3" t="s">
        <v>1382</v>
      </c>
      <c r="W778" t="s">
        <v>26</v>
      </c>
    </row>
    <row r="779" spans="1:23" ht="12.75">
      <c r="A779" s="1">
        <v>45809.839363425926</v>
      </c>
      <c r="C779" t="s">
        <v>79</v>
      </c>
      <c r="D779">
        <v>59</v>
      </c>
      <c r="E779">
        <v>175</v>
      </c>
      <c r="F779">
        <v>88</v>
      </c>
      <c r="G779">
        <v>1.5</v>
      </c>
      <c r="H779" t="s">
        <v>591</v>
      </c>
      <c r="I779" t="s">
        <v>29</v>
      </c>
      <c r="J779" t="s">
        <v>6</v>
      </c>
      <c r="K779" t="s">
        <v>60</v>
      </c>
      <c r="L779" t="s">
        <v>40</v>
      </c>
      <c r="M779" t="s">
        <v>9</v>
      </c>
      <c r="N779" t="s">
        <v>8</v>
      </c>
      <c r="O779" t="s">
        <v>44</v>
      </c>
      <c r="P779" t="s">
        <v>10</v>
      </c>
      <c r="Q779" t="s">
        <v>32</v>
      </c>
      <c r="R779" t="s">
        <v>14</v>
      </c>
      <c r="S779" t="s">
        <v>24</v>
      </c>
      <c r="T779" t="s">
        <v>24</v>
      </c>
      <c r="U779" t="s">
        <v>29</v>
      </c>
      <c r="V779" s="3" t="s">
        <v>1383</v>
      </c>
      <c r="W779" t="s">
        <v>16</v>
      </c>
    </row>
    <row r="780" spans="1:23" ht="12.75">
      <c r="A780" s="1">
        <v>45795.755798611113</v>
      </c>
      <c r="C780" t="s">
        <v>57</v>
      </c>
      <c r="D780">
        <v>39</v>
      </c>
      <c r="E780">
        <v>188</v>
      </c>
      <c r="F780">
        <v>100</v>
      </c>
      <c r="G780">
        <v>1.5</v>
      </c>
      <c r="H780" t="s">
        <v>28</v>
      </c>
      <c r="I780" t="s">
        <v>5</v>
      </c>
      <c r="J780" t="s">
        <v>36</v>
      </c>
      <c r="K780" t="s">
        <v>37</v>
      </c>
      <c r="L780" t="s">
        <v>12</v>
      </c>
      <c r="M780" t="s">
        <v>52</v>
      </c>
      <c r="N780" t="s">
        <v>20</v>
      </c>
      <c r="O780" t="s">
        <v>44</v>
      </c>
      <c r="P780" t="s">
        <v>31</v>
      </c>
      <c r="Q780" t="s">
        <v>23</v>
      </c>
      <c r="R780" t="s">
        <v>33</v>
      </c>
      <c r="S780" t="s">
        <v>25</v>
      </c>
      <c r="T780" t="s">
        <v>24</v>
      </c>
      <c r="U780" t="s">
        <v>29</v>
      </c>
      <c r="V780" s="3" t="s">
        <v>1384</v>
      </c>
      <c r="W780" t="s">
        <v>26</v>
      </c>
    </row>
    <row r="781" spans="1:23" ht="12.75">
      <c r="A781" s="1">
        <v>45691.308969907404</v>
      </c>
      <c r="C781" t="s">
        <v>368</v>
      </c>
      <c r="D781">
        <v>44</v>
      </c>
      <c r="E781">
        <v>178</v>
      </c>
      <c r="F781">
        <v>52</v>
      </c>
      <c r="G781">
        <v>1</v>
      </c>
      <c r="H781" t="s">
        <v>592</v>
      </c>
      <c r="I781" t="s">
        <v>5</v>
      </c>
      <c r="J781" t="s">
        <v>6</v>
      </c>
      <c r="K781" t="s">
        <v>63</v>
      </c>
      <c r="L781" t="s">
        <v>31</v>
      </c>
      <c r="M781" t="s">
        <v>52</v>
      </c>
      <c r="N781" t="s">
        <v>8</v>
      </c>
      <c r="O781" t="s">
        <v>22</v>
      </c>
      <c r="P781" t="s">
        <v>40</v>
      </c>
      <c r="Q781" t="s">
        <v>32</v>
      </c>
      <c r="R781" t="s">
        <v>50</v>
      </c>
      <c r="S781" t="s">
        <v>25</v>
      </c>
      <c r="T781" t="s">
        <v>47</v>
      </c>
      <c r="U781" t="s">
        <v>5</v>
      </c>
      <c r="V781" s="3" t="s">
        <v>1385</v>
      </c>
      <c r="W781" t="s">
        <v>34</v>
      </c>
    </row>
    <row r="782" spans="1:23" ht="12.75">
      <c r="A782" s="1">
        <v>45711.500289351854</v>
      </c>
      <c r="C782" t="s">
        <v>51</v>
      </c>
      <c r="D782">
        <v>36</v>
      </c>
      <c r="E782">
        <v>163</v>
      </c>
      <c r="F782">
        <v>109</v>
      </c>
      <c r="G782">
        <v>3</v>
      </c>
      <c r="H782" t="s">
        <v>591</v>
      </c>
      <c r="I782" t="s">
        <v>5</v>
      </c>
      <c r="J782" t="s">
        <v>6</v>
      </c>
      <c r="K782" t="s">
        <v>60</v>
      </c>
      <c r="L782" t="s">
        <v>31</v>
      </c>
      <c r="M782" t="s">
        <v>52</v>
      </c>
      <c r="N782" t="s">
        <v>31</v>
      </c>
      <c r="O782" t="s">
        <v>11</v>
      </c>
      <c r="P782" t="s">
        <v>12</v>
      </c>
      <c r="Q782" t="s">
        <v>55</v>
      </c>
      <c r="R782" t="s">
        <v>33</v>
      </c>
      <c r="S782" t="s">
        <v>15</v>
      </c>
      <c r="T782" t="s">
        <v>47</v>
      </c>
      <c r="U782" t="s">
        <v>5</v>
      </c>
      <c r="V782" s="3" t="s">
        <v>1386</v>
      </c>
      <c r="W782" t="s">
        <v>16</v>
      </c>
    </row>
    <row r="783" spans="1:23" ht="12.75">
      <c r="A783" s="1">
        <v>45773.221944444442</v>
      </c>
      <c r="C783" t="s">
        <v>258</v>
      </c>
      <c r="D783">
        <v>51</v>
      </c>
      <c r="E783">
        <v>182</v>
      </c>
      <c r="F783">
        <v>95</v>
      </c>
      <c r="G783">
        <v>3</v>
      </c>
      <c r="H783" t="s">
        <v>591</v>
      </c>
      <c r="I783" t="s">
        <v>29</v>
      </c>
      <c r="J783" t="s">
        <v>6</v>
      </c>
      <c r="K783" t="s">
        <v>60</v>
      </c>
      <c r="L783" t="s">
        <v>40</v>
      </c>
      <c r="M783" t="s">
        <v>52</v>
      </c>
      <c r="N783" t="s">
        <v>10</v>
      </c>
      <c r="O783" t="s">
        <v>46</v>
      </c>
      <c r="P783" t="s">
        <v>12</v>
      </c>
      <c r="Q783" t="s">
        <v>55</v>
      </c>
      <c r="R783" t="s">
        <v>33</v>
      </c>
      <c r="S783" t="s">
        <v>25</v>
      </c>
      <c r="T783" t="s">
        <v>47</v>
      </c>
      <c r="U783" t="s">
        <v>5</v>
      </c>
      <c r="V783" s="3" t="s">
        <v>1387</v>
      </c>
      <c r="W783" t="s">
        <v>34</v>
      </c>
    </row>
    <row r="784" spans="1:23" ht="12.75">
      <c r="A784" s="1">
        <v>45756.754108796296</v>
      </c>
      <c r="C784" t="s">
        <v>167</v>
      </c>
      <c r="D784">
        <v>47</v>
      </c>
      <c r="E784">
        <v>165</v>
      </c>
      <c r="F784">
        <v>108</v>
      </c>
      <c r="G784">
        <v>3</v>
      </c>
      <c r="H784" t="s">
        <v>590</v>
      </c>
      <c r="I784" t="s">
        <v>5</v>
      </c>
      <c r="J784" t="s">
        <v>6</v>
      </c>
      <c r="K784" t="s">
        <v>63</v>
      </c>
      <c r="L784" t="s">
        <v>40</v>
      </c>
      <c r="M784" t="s">
        <v>52</v>
      </c>
      <c r="N784" t="s">
        <v>20</v>
      </c>
      <c r="O784" t="s">
        <v>46</v>
      </c>
      <c r="P784" t="s">
        <v>20</v>
      </c>
      <c r="Q784" t="s">
        <v>32</v>
      </c>
      <c r="R784" t="s">
        <v>33</v>
      </c>
      <c r="S784" t="s">
        <v>47</v>
      </c>
      <c r="T784" t="s">
        <v>47</v>
      </c>
      <c r="U784" t="s">
        <v>29</v>
      </c>
      <c r="V784" s="3" t="s">
        <v>1388</v>
      </c>
      <c r="W784" t="s">
        <v>16</v>
      </c>
    </row>
    <row r="785" spans="1:23" ht="12.75">
      <c r="A785" s="1">
        <v>45809.33326388889</v>
      </c>
      <c r="C785" t="s">
        <v>247</v>
      </c>
      <c r="D785">
        <v>50</v>
      </c>
      <c r="E785">
        <v>188</v>
      </c>
      <c r="F785">
        <v>101</v>
      </c>
      <c r="G785">
        <v>2.5</v>
      </c>
      <c r="H785" t="s">
        <v>592</v>
      </c>
      <c r="I785" t="s">
        <v>29</v>
      </c>
      <c r="J785" t="s">
        <v>36</v>
      </c>
      <c r="K785" t="s">
        <v>63</v>
      </c>
      <c r="L785" t="s">
        <v>10</v>
      </c>
      <c r="M785" t="s">
        <v>38</v>
      </c>
      <c r="N785" t="s">
        <v>10</v>
      </c>
      <c r="O785" t="s">
        <v>22</v>
      </c>
      <c r="P785" t="s">
        <v>10</v>
      </c>
      <c r="Q785" t="s">
        <v>23</v>
      </c>
      <c r="R785" t="s">
        <v>50</v>
      </c>
      <c r="S785" t="s">
        <v>15</v>
      </c>
      <c r="T785" t="s">
        <v>47</v>
      </c>
      <c r="U785" t="s">
        <v>5</v>
      </c>
      <c r="V785" s="3" t="s">
        <v>1389</v>
      </c>
      <c r="W785" t="s">
        <v>39</v>
      </c>
    </row>
    <row r="786" spans="1:23" ht="12.75">
      <c r="A786" s="1">
        <v>45722.076319444444</v>
      </c>
      <c r="C786" t="s">
        <v>53</v>
      </c>
      <c r="D786">
        <v>39</v>
      </c>
      <c r="E786">
        <v>175</v>
      </c>
      <c r="F786">
        <v>60</v>
      </c>
      <c r="G786">
        <v>3</v>
      </c>
      <c r="H786" t="s">
        <v>28</v>
      </c>
      <c r="I786" t="s">
        <v>5</v>
      </c>
      <c r="J786" t="s">
        <v>36</v>
      </c>
      <c r="K786" t="s">
        <v>37</v>
      </c>
      <c r="L786" t="s">
        <v>8</v>
      </c>
      <c r="M786" t="s">
        <v>52</v>
      </c>
      <c r="N786" t="s">
        <v>31</v>
      </c>
      <c r="O786" t="s">
        <v>46</v>
      </c>
      <c r="P786" t="s">
        <v>40</v>
      </c>
      <c r="Q786" t="s">
        <v>23</v>
      </c>
      <c r="R786" t="s">
        <v>14</v>
      </c>
      <c r="S786" t="s">
        <v>47</v>
      </c>
      <c r="T786" t="s">
        <v>15</v>
      </c>
      <c r="U786" t="s">
        <v>5</v>
      </c>
      <c r="V786" s="3" t="s">
        <v>1390</v>
      </c>
      <c r="W786" t="s">
        <v>26</v>
      </c>
    </row>
    <row r="787" spans="1:23" ht="12.75">
      <c r="A787" s="1">
        <v>45697.291759259257</v>
      </c>
      <c r="C787" t="s">
        <v>225</v>
      </c>
      <c r="D787">
        <v>42</v>
      </c>
      <c r="E787">
        <v>171</v>
      </c>
      <c r="F787">
        <v>97</v>
      </c>
      <c r="G787">
        <v>2</v>
      </c>
      <c r="H787" t="s">
        <v>592</v>
      </c>
      <c r="I787" t="s">
        <v>29</v>
      </c>
      <c r="J787" t="s">
        <v>36</v>
      </c>
      <c r="K787" t="s">
        <v>19</v>
      </c>
      <c r="L787" t="s">
        <v>20</v>
      </c>
      <c r="M787" t="s">
        <v>38</v>
      </c>
      <c r="N787" t="s">
        <v>8</v>
      </c>
      <c r="O787" t="s">
        <v>46</v>
      </c>
      <c r="P787" t="s">
        <v>10</v>
      </c>
      <c r="Q787" t="s">
        <v>32</v>
      </c>
      <c r="R787" t="s">
        <v>50</v>
      </c>
      <c r="S787" t="s">
        <v>24</v>
      </c>
      <c r="T787" t="s">
        <v>25</v>
      </c>
      <c r="U787" t="s">
        <v>29</v>
      </c>
      <c r="V787" s="3" t="s">
        <v>1391</v>
      </c>
      <c r="W787" t="s">
        <v>16</v>
      </c>
    </row>
    <row r="788" spans="1:23" ht="12.75">
      <c r="A788" s="1">
        <v>45729.160324074073</v>
      </c>
      <c r="C788" t="s">
        <v>369</v>
      </c>
      <c r="D788">
        <v>42</v>
      </c>
      <c r="E788">
        <v>177</v>
      </c>
      <c r="F788">
        <v>57</v>
      </c>
      <c r="G788">
        <v>1.5</v>
      </c>
      <c r="H788" t="s">
        <v>28</v>
      </c>
      <c r="I788" t="s">
        <v>29</v>
      </c>
      <c r="J788" t="s">
        <v>36</v>
      </c>
      <c r="K788" t="s">
        <v>63</v>
      </c>
      <c r="L788" t="s">
        <v>40</v>
      </c>
      <c r="M788" t="s">
        <v>52</v>
      </c>
      <c r="N788" t="s">
        <v>31</v>
      </c>
      <c r="O788" t="s">
        <v>44</v>
      </c>
      <c r="P788" t="s">
        <v>40</v>
      </c>
      <c r="Q788" t="s">
        <v>23</v>
      </c>
      <c r="R788" t="s">
        <v>33</v>
      </c>
      <c r="S788" t="s">
        <v>25</v>
      </c>
      <c r="T788" t="s">
        <v>47</v>
      </c>
      <c r="U788" t="s">
        <v>29</v>
      </c>
      <c r="V788" s="3" t="s">
        <v>1392</v>
      </c>
      <c r="W788" t="s">
        <v>26</v>
      </c>
    </row>
    <row r="789" spans="1:23" ht="12.75">
      <c r="A789" s="1">
        <v>45709.551435185182</v>
      </c>
      <c r="C789" t="s">
        <v>146</v>
      </c>
      <c r="D789">
        <v>36</v>
      </c>
      <c r="E789">
        <v>175</v>
      </c>
      <c r="F789">
        <v>58</v>
      </c>
      <c r="G789">
        <v>3</v>
      </c>
      <c r="H789" t="s">
        <v>590</v>
      </c>
      <c r="I789" t="s">
        <v>29</v>
      </c>
      <c r="J789" t="s">
        <v>36</v>
      </c>
      <c r="K789" t="s">
        <v>63</v>
      </c>
      <c r="L789" t="s">
        <v>8</v>
      </c>
      <c r="M789" t="s">
        <v>9</v>
      </c>
      <c r="N789" t="s">
        <v>12</v>
      </c>
      <c r="O789" t="s">
        <v>22</v>
      </c>
      <c r="P789" t="s">
        <v>8</v>
      </c>
      <c r="Q789" t="s">
        <v>23</v>
      </c>
      <c r="R789" t="s">
        <v>14</v>
      </c>
      <c r="S789" t="s">
        <v>25</v>
      </c>
      <c r="T789" t="s">
        <v>25</v>
      </c>
      <c r="U789" t="s">
        <v>5</v>
      </c>
      <c r="V789" s="3" t="s">
        <v>1393</v>
      </c>
      <c r="W789" t="s">
        <v>16</v>
      </c>
    </row>
    <row r="790" spans="1:23" ht="12.75">
      <c r="A790" s="1">
        <v>45697.136967592596</v>
      </c>
      <c r="C790" t="s">
        <v>115</v>
      </c>
      <c r="D790">
        <v>46</v>
      </c>
      <c r="E790">
        <v>158</v>
      </c>
      <c r="F790">
        <v>75</v>
      </c>
      <c r="G790">
        <v>1.5</v>
      </c>
      <c r="H790" t="s">
        <v>590</v>
      </c>
      <c r="I790" t="s">
        <v>5</v>
      </c>
      <c r="J790" t="s">
        <v>6</v>
      </c>
      <c r="K790" t="s">
        <v>30</v>
      </c>
      <c r="L790" t="s">
        <v>40</v>
      </c>
      <c r="M790" t="s">
        <v>38</v>
      </c>
      <c r="N790" t="s">
        <v>8</v>
      </c>
      <c r="O790" t="s">
        <v>11</v>
      </c>
      <c r="P790" t="s">
        <v>20</v>
      </c>
      <c r="Q790" t="s">
        <v>32</v>
      </c>
      <c r="R790" t="s">
        <v>14</v>
      </c>
      <c r="S790" t="s">
        <v>25</v>
      </c>
      <c r="T790" t="s">
        <v>24</v>
      </c>
      <c r="U790" t="s">
        <v>29</v>
      </c>
      <c r="V790" s="3" t="s">
        <v>1394</v>
      </c>
      <c r="W790" t="s">
        <v>26</v>
      </c>
    </row>
    <row r="791" spans="1:23" ht="12.75">
      <c r="A791" s="1">
        <v>45757.763310185182</v>
      </c>
      <c r="C791" t="s">
        <v>210</v>
      </c>
      <c r="D791">
        <v>23</v>
      </c>
      <c r="E791">
        <v>185</v>
      </c>
      <c r="F791">
        <v>94</v>
      </c>
      <c r="G791">
        <v>3</v>
      </c>
      <c r="H791" t="s">
        <v>592</v>
      </c>
      <c r="I791" t="s">
        <v>29</v>
      </c>
      <c r="J791" t="s">
        <v>6</v>
      </c>
      <c r="K791" t="s">
        <v>37</v>
      </c>
      <c r="L791" t="s">
        <v>12</v>
      </c>
      <c r="M791" t="s">
        <v>21</v>
      </c>
      <c r="N791" t="s">
        <v>20</v>
      </c>
      <c r="O791" t="s">
        <v>44</v>
      </c>
      <c r="P791" t="s">
        <v>8</v>
      </c>
      <c r="Q791" t="s">
        <v>32</v>
      </c>
      <c r="R791" t="s">
        <v>50</v>
      </c>
      <c r="S791" t="s">
        <v>47</v>
      </c>
      <c r="T791" t="s">
        <v>25</v>
      </c>
      <c r="U791" t="s">
        <v>5</v>
      </c>
      <c r="V791" s="3" t="s">
        <v>1395</v>
      </c>
      <c r="W791" t="s">
        <v>26</v>
      </c>
    </row>
    <row r="792" spans="1:23" ht="12.75">
      <c r="A792" s="1">
        <v>45786.770590277774</v>
      </c>
      <c r="C792" t="s">
        <v>154</v>
      </c>
      <c r="D792">
        <v>23</v>
      </c>
      <c r="E792">
        <v>155</v>
      </c>
      <c r="F792">
        <v>103</v>
      </c>
      <c r="G792">
        <v>2.5</v>
      </c>
      <c r="H792" t="s">
        <v>592</v>
      </c>
      <c r="I792" t="s">
        <v>5</v>
      </c>
      <c r="J792" t="s">
        <v>6</v>
      </c>
      <c r="K792" t="s">
        <v>30</v>
      </c>
      <c r="L792" t="s">
        <v>10</v>
      </c>
      <c r="M792" t="s">
        <v>38</v>
      </c>
      <c r="N792" t="s">
        <v>40</v>
      </c>
      <c r="O792" t="s">
        <v>46</v>
      </c>
      <c r="P792" t="s">
        <v>20</v>
      </c>
      <c r="Q792" t="s">
        <v>55</v>
      </c>
      <c r="R792" t="s">
        <v>33</v>
      </c>
      <c r="S792" t="s">
        <v>47</v>
      </c>
      <c r="T792" t="s">
        <v>47</v>
      </c>
      <c r="U792" t="s">
        <v>5</v>
      </c>
      <c r="V792" s="3" t="s">
        <v>1396</v>
      </c>
      <c r="W792" t="s">
        <v>26</v>
      </c>
    </row>
    <row r="793" spans="1:23" ht="12.75">
      <c r="A793" s="1">
        <v>45740.552245370367</v>
      </c>
      <c r="C793" t="s">
        <v>222</v>
      </c>
      <c r="D793">
        <v>51</v>
      </c>
      <c r="E793">
        <v>158</v>
      </c>
      <c r="F793">
        <v>83</v>
      </c>
      <c r="G793">
        <v>2.5</v>
      </c>
      <c r="H793" t="s">
        <v>590</v>
      </c>
      <c r="I793" t="s">
        <v>5</v>
      </c>
      <c r="J793" t="s">
        <v>36</v>
      </c>
      <c r="K793" t="s">
        <v>7</v>
      </c>
      <c r="L793" t="s">
        <v>10</v>
      </c>
      <c r="M793" t="s">
        <v>21</v>
      </c>
      <c r="N793" t="s">
        <v>12</v>
      </c>
      <c r="O793" t="s">
        <v>11</v>
      </c>
      <c r="P793" t="s">
        <v>31</v>
      </c>
      <c r="Q793" t="s">
        <v>55</v>
      </c>
      <c r="R793" t="s">
        <v>33</v>
      </c>
      <c r="S793" t="s">
        <v>15</v>
      </c>
      <c r="T793" t="s">
        <v>47</v>
      </c>
      <c r="U793" t="s">
        <v>29</v>
      </c>
      <c r="V793" s="3" t="s">
        <v>1397</v>
      </c>
      <c r="W793" t="s">
        <v>39</v>
      </c>
    </row>
    <row r="794" spans="1:23" ht="12.75">
      <c r="A794" s="1">
        <v>45683.434224537035</v>
      </c>
      <c r="C794" t="s">
        <v>217</v>
      </c>
      <c r="D794">
        <v>48</v>
      </c>
      <c r="E794">
        <v>176</v>
      </c>
      <c r="F794">
        <v>100</v>
      </c>
      <c r="G794">
        <v>2.5</v>
      </c>
      <c r="H794" t="s">
        <v>591</v>
      </c>
      <c r="I794" t="s">
        <v>5</v>
      </c>
      <c r="J794" t="s">
        <v>6</v>
      </c>
      <c r="K794" t="s">
        <v>60</v>
      </c>
      <c r="L794" t="s">
        <v>8</v>
      </c>
      <c r="M794" t="s">
        <v>52</v>
      </c>
      <c r="N794" t="s">
        <v>12</v>
      </c>
      <c r="O794" t="s">
        <v>44</v>
      </c>
      <c r="P794" t="s">
        <v>20</v>
      </c>
      <c r="Q794" t="s">
        <v>55</v>
      </c>
      <c r="R794" t="s">
        <v>50</v>
      </c>
      <c r="S794" t="s">
        <v>24</v>
      </c>
      <c r="T794" t="s">
        <v>24</v>
      </c>
      <c r="U794" t="s">
        <v>5</v>
      </c>
      <c r="V794" s="3" t="s">
        <v>1398</v>
      </c>
      <c r="W794" t="s">
        <v>16</v>
      </c>
    </row>
    <row r="795" spans="1:23" ht="12.75">
      <c r="A795" s="1">
        <v>45740.207546296297</v>
      </c>
      <c r="C795" t="s">
        <v>290</v>
      </c>
      <c r="D795">
        <v>47</v>
      </c>
      <c r="E795">
        <v>171</v>
      </c>
      <c r="F795">
        <v>107</v>
      </c>
      <c r="G795">
        <v>1.5</v>
      </c>
      <c r="H795" t="s">
        <v>28</v>
      </c>
      <c r="I795" t="s">
        <v>5</v>
      </c>
      <c r="J795" t="s">
        <v>6</v>
      </c>
      <c r="K795" t="s">
        <v>7</v>
      </c>
      <c r="L795" t="s">
        <v>10</v>
      </c>
      <c r="M795" t="s">
        <v>9</v>
      </c>
      <c r="N795" t="s">
        <v>12</v>
      </c>
      <c r="O795" t="s">
        <v>11</v>
      </c>
      <c r="P795" t="s">
        <v>10</v>
      </c>
      <c r="Q795" t="s">
        <v>32</v>
      </c>
      <c r="R795" t="s">
        <v>14</v>
      </c>
      <c r="S795" t="s">
        <v>47</v>
      </c>
      <c r="T795" t="s">
        <v>47</v>
      </c>
      <c r="U795" t="s">
        <v>29</v>
      </c>
      <c r="V795" s="3" t="s">
        <v>1399</v>
      </c>
      <c r="W795" t="s">
        <v>34</v>
      </c>
    </row>
    <row r="796" spans="1:23" ht="12.75">
      <c r="A796" s="1">
        <v>45702.847256944442</v>
      </c>
      <c r="C796" t="s">
        <v>126</v>
      </c>
      <c r="D796">
        <v>23</v>
      </c>
      <c r="E796">
        <v>184</v>
      </c>
      <c r="F796">
        <v>50</v>
      </c>
      <c r="G796">
        <v>1.5</v>
      </c>
      <c r="H796" t="s">
        <v>591</v>
      </c>
      <c r="I796" t="s">
        <v>29</v>
      </c>
      <c r="J796" t="s">
        <v>6</v>
      </c>
      <c r="K796" t="s">
        <v>63</v>
      </c>
      <c r="L796" t="s">
        <v>12</v>
      </c>
      <c r="M796" t="s">
        <v>52</v>
      </c>
      <c r="N796" t="s">
        <v>31</v>
      </c>
      <c r="O796" t="s">
        <v>22</v>
      </c>
      <c r="P796" t="s">
        <v>40</v>
      </c>
      <c r="Q796" t="s">
        <v>23</v>
      </c>
      <c r="R796" t="s">
        <v>33</v>
      </c>
      <c r="S796" t="s">
        <v>15</v>
      </c>
      <c r="T796" t="s">
        <v>25</v>
      </c>
      <c r="U796" t="s">
        <v>29</v>
      </c>
      <c r="V796" s="3" t="s">
        <v>1400</v>
      </c>
      <c r="W796" t="s">
        <v>26</v>
      </c>
    </row>
    <row r="797" spans="1:23" ht="12.75">
      <c r="A797" s="1">
        <v>45666.612696759257</v>
      </c>
      <c r="C797" t="s">
        <v>163</v>
      </c>
      <c r="D797">
        <v>52</v>
      </c>
      <c r="E797">
        <v>178</v>
      </c>
      <c r="F797">
        <v>84</v>
      </c>
      <c r="G797">
        <v>1</v>
      </c>
      <c r="H797" t="s">
        <v>28</v>
      </c>
      <c r="I797" t="s">
        <v>29</v>
      </c>
      <c r="J797" t="s">
        <v>36</v>
      </c>
      <c r="K797" t="s">
        <v>30</v>
      </c>
      <c r="L797" t="s">
        <v>40</v>
      </c>
      <c r="M797" t="s">
        <v>52</v>
      </c>
      <c r="N797" t="s">
        <v>40</v>
      </c>
      <c r="O797" t="s">
        <v>11</v>
      </c>
      <c r="P797" t="s">
        <v>31</v>
      </c>
      <c r="Q797" t="s">
        <v>13</v>
      </c>
      <c r="R797" t="s">
        <v>14</v>
      </c>
      <c r="S797" t="s">
        <v>15</v>
      </c>
      <c r="T797" t="s">
        <v>25</v>
      </c>
      <c r="U797" t="s">
        <v>5</v>
      </c>
      <c r="V797" s="3" t="s">
        <v>1401</v>
      </c>
      <c r="W797" t="s">
        <v>34</v>
      </c>
    </row>
    <row r="798" spans="1:23" ht="12.75">
      <c r="A798" s="1">
        <v>45672.47859953704</v>
      </c>
      <c r="C798" t="s">
        <v>98</v>
      </c>
      <c r="D798">
        <v>24</v>
      </c>
      <c r="E798">
        <v>177</v>
      </c>
      <c r="F798">
        <v>78</v>
      </c>
      <c r="G798">
        <v>2.5</v>
      </c>
      <c r="H798" t="s">
        <v>591</v>
      </c>
      <c r="I798" t="s">
        <v>29</v>
      </c>
      <c r="J798" t="s">
        <v>36</v>
      </c>
      <c r="K798" t="s">
        <v>30</v>
      </c>
      <c r="L798" t="s">
        <v>20</v>
      </c>
      <c r="M798" t="s">
        <v>38</v>
      </c>
      <c r="N798" t="s">
        <v>31</v>
      </c>
      <c r="O798" t="s">
        <v>22</v>
      </c>
      <c r="P798" t="s">
        <v>10</v>
      </c>
      <c r="Q798" t="s">
        <v>23</v>
      </c>
      <c r="R798" t="s">
        <v>33</v>
      </c>
      <c r="S798" t="s">
        <v>25</v>
      </c>
      <c r="T798" t="s">
        <v>25</v>
      </c>
      <c r="U798" t="s">
        <v>5</v>
      </c>
      <c r="V798" s="3" t="s">
        <v>1402</v>
      </c>
      <c r="W798" t="s">
        <v>34</v>
      </c>
    </row>
    <row r="799" spans="1:23" ht="12.75">
      <c r="A799" s="1">
        <v>45659.117037037038</v>
      </c>
      <c r="C799" t="s">
        <v>370</v>
      </c>
      <c r="D799">
        <v>55</v>
      </c>
      <c r="E799">
        <v>160</v>
      </c>
      <c r="F799">
        <v>67</v>
      </c>
      <c r="G799">
        <v>1</v>
      </c>
      <c r="H799" t="s">
        <v>591</v>
      </c>
      <c r="I799" t="s">
        <v>29</v>
      </c>
      <c r="J799" t="s">
        <v>6</v>
      </c>
      <c r="K799" t="s">
        <v>37</v>
      </c>
      <c r="L799" t="s">
        <v>12</v>
      </c>
      <c r="M799" t="s">
        <v>21</v>
      </c>
      <c r="N799" t="s">
        <v>31</v>
      </c>
      <c r="O799" t="s">
        <v>22</v>
      </c>
      <c r="P799" t="s">
        <v>20</v>
      </c>
      <c r="Q799" t="s">
        <v>55</v>
      </c>
      <c r="R799" t="s">
        <v>14</v>
      </c>
      <c r="S799" t="s">
        <v>15</v>
      </c>
      <c r="T799" t="s">
        <v>47</v>
      </c>
      <c r="U799" t="s">
        <v>29</v>
      </c>
      <c r="V799" s="3" t="s">
        <v>1403</v>
      </c>
      <c r="W799" t="s">
        <v>39</v>
      </c>
    </row>
    <row r="800" spans="1:23" ht="12.75">
      <c r="A800" s="1">
        <v>45725.759189814817</v>
      </c>
      <c r="C800" t="s">
        <v>351</v>
      </c>
      <c r="D800">
        <v>55</v>
      </c>
      <c r="E800">
        <v>168</v>
      </c>
      <c r="F800">
        <v>95</v>
      </c>
      <c r="G800">
        <v>2</v>
      </c>
      <c r="H800" t="s">
        <v>28</v>
      </c>
      <c r="I800" t="s">
        <v>5</v>
      </c>
      <c r="J800" t="s">
        <v>36</v>
      </c>
      <c r="K800" t="s">
        <v>60</v>
      </c>
      <c r="L800" t="s">
        <v>31</v>
      </c>
      <c r="M800" t="s">
        <v>52</v>
      </c>
      <c r="N800" t="s">
        <v>8</v>
      </c>
      <c r="O800" t="s">
        <v>44</v>
      </c>
      <c r="P800" t="s">
        <v>31</v>
      </c>
      <c r="Q800" t="s">
        <v>13</v>
      </c>
      <c r="R800" t="s">
        <v>50</v>
      </c>
      <c r="S800" t="s">
        <v>15</v>
      </c>
      <c r="T800" t="s">
        <v>47</v>
      </c>
      <c r="U800" t="s">
        <v>29</v>
      </c>
      <c r="V800" s="3" t="s">
        <v>1404</v>
      </c>
      <c r="W800" t="s">
        <v>34</v>
      </c>
    </row>
    <row r="801" spans="1:23" ht="12.75">
      <c r="A801" s="1">
        <v>45674.698587962965</v>
      </c>
      <c r="C801" t="s">
        <v>84</v>
      </c>
      <c r="D801">
        <v>44</v>
      </c>
      <c r="E801">
        <v>174</v>
      </c>
      <c r="F801">
        <v>53</v>
      </c>
      <c r="G801">
        <v>2</v>
      </c>
      <c r="H801" t="s">
        <v>28</v>
      </c>
      <c r="I801" t="s">
        <v>5</v>
      </c>
      <c r="J801" t="s">
        <v>6</v>
      </c>
      <c r="K801" t="s">
        <v>19</v>
      </c>
      <c r="L801" t="s">
        <v>40</v>
      </c>
      <c r="M801" t="s">
        <v>52</v>
      </c>
      <c r="N801" t="s">
        <v>40</v>
      </c>
      <c r="O801" t="s">
        <v>22</v>
      </c>
      <c r="P801" t="s">
        <v>8</v>
      </c>
      <c r="Q801" t="s">
        <v>13</v>
      </c>
      <c r="R801" t="s">
        <v>33</v>
      </c>
      <c r="S801" t="s">
        <v>47</v>
      </c>
      <c r="T801" t="s">
        <v>24</v>
      </c>
      <c r="U801" t="s">
        <v>5</v>
      </c>
      <c r="V801" s="3" t="s">
        <v>1405</v>
      </c>
      <c r="W801" t="s">
        <v>26</v>
      </c>
    </row>
    <row r="802" spans="1:23" ht="12.75">
      <c r="A802" s="1">
        <v>45738.461770833332</v>
      </c>
      <c r="C802" t="s">
        <v>56</v>
      </c>
      <c r="D802">
        <v>43</v>
      </c>
      <c r="E802">
        <v>162</v>
      </c>
      <c r="F802">
        <v>108</v>
      </c>
      <c r="G802">
        <v>3</v>
      </c>
      <c r="H802" t="s">
        <v>590</v>
      </c>
      <c r="I802" t="s">
        <v>5</v>
      </c>
      <c r="J802" t="s">
        <v>6</v>
      </c>
      <c r="K802" t="s">
        <v>19</v>
      </c>
      <c r="L802" t="s">
        <v>40</v>
      </c>
      <c r="M802" t="s">
        <v>9</v>
      </c>
      <c r="N802" t="s">
        <v>20</v>
      </c>
      <c r="O802" t="s">
        <v>46</v>
      </c>
      <c r="P802" t="s">
        <v>31</v>
      </c>
      <c r="Q802" t="s">
        <v>55</v>
      </c>
      <c r="R802" t="s">
        <v>50</v>
      </c>
      <c r="S802" t="s">
        <v>15</v>
      </c>
      <c r="T802" t="s">
        <v>47</v>
      </c>
      <c r="U802" t="s">
        <v>5</v>
      </c>
      <c r="V802" s="3" t="s">
        <v>1406</v>
      </c>
      <c r="W802" t="s">
        <v>39</v>
      </c>
    </row>
    <row r="803" spans="1:23" ht="12.75">
      <c r="A803" s="1">
        <v>45743.429594907408</v>
      </c>
      <c r="C803" t="s">
        <v>338</v>
      </c>
      <c r="D803">
        <v>33</v>
      </c>
      <c r="E803">
        <v>156</v>
      </c>
      <c r="F803">
        <v>104</v>
      </c>
      <c r="G803">
        <v>2</v>
      </c>
      <c r="H803" t="s">
        <v>28</v>
      </c>
      <c r="I803" t="s">
        <v>29</v>
      </c>
      <c r="J803" t="s">
        <v>6</v>
      </c>
      <c r="K803" t="s">
        <v>37</v>
      </c>
      <c r="L803" t="s">
        <v>10</v>
      </c>
      <c r="M803" t="s">
        <v>21</v>
      </c>
      <c r="N803" t="s">
        <v>31</v>
      </c>
      <c r="O803" t="s">
        <v>11</v>
      </c>
      <c r="P803" t="s">
        <v>8</v>
      </c>
      <c r="Q803" t="s">
        <v>55</v>
      </c>
      <c r="R803" t="s">
        <v>50</v>
      </c>
      <c r="S803" t="s">
        <v>24</v>
      </c>
      <c r="T803" t="s">
        <v>47</v>
      </c>
      <c r="U803" t="s">
        <v>29</v>
      </c>
      <c r="V803" s="3" t="s">
        <v>1407</v>
      </c>
      <c r="W803" t="s">
        <v>26</v>
      </c>
    </row>
    <row r="804" spans="1:23" ht="12.75">
      <c r="A804" s="1">
        <v>45751.514108796298</v>
      </c>
      <c r="C804" t="s">
        <v>219</v>
      </c>
      <c r="D804">
        <v>53</v>
      </c>
      <c r="E804">
        <v>171</v>
      </c>
      <c r="F804">
        <v>90</v>
      </c>
      <c r="G804">
        <v>2.5</v>
      </c>
      <c r="H804" t="s">
        <v>590</v>
      </c>
      <c r="I804" t="s">
        <v>29</v>
      </c>
      <c r="J804" t="s">
        <v>36</v>
      </c>
      <c r="K804" t="s">
        <v>30</v>
      </c>
      <c r="L804" t="s">
        <v>8</v>
      </c>
      <c r="M804" t="s">
        <v>38</v>
      </c>
      <c r="N804" t="s">
        <v>8</v>
      </c>
      <c r="O804" t="s">
        <v>11</v>
      </c>
      <c r="P804" t="s">
        <v>40</v>
      </c>
      <c r="Q804" t="s">
        <v>55</v>
      </c>
      <c r="R804" t="s">
        <v>14</v>
      </c>
      <c r="S804" t="s">
        <v>47</v>
      </c>
      <c r="T804" t="s">
        <v>25</v>
      </c>
      <c r="U804" t="s">
        <v>29</v>
      </c>
      <c r="V804" s="3" t="s">
        <v>1408</v>
      </c>
      <c r="W804" t="s">
        <v>26</v>
      </c>
    </row>
    <row r="805" spans="1:23" ht="12.75">
      <c r="A805" s="1">
        <v>45778.159270833334</v>
      </c>
      <c r="C805" t="s">
        <v>105</v>
      </c>
      <c r="D805">
        <v>29</v>
      </c>
      <c r="E805">
        <v>177</v>
      </c>
      <c r="F805">
        <v>99</v>
      </c>
      <c r="G805">
        <v>2.5</v>
      </c>
      <c r="H805" t="s">
        <v>592</v>
      </c>
      <c r="I805" t="s">
        <v>29</v>
      </c>
      <c r="J805" t="s">
        <v>6</v>
      </c>
      <c r="K805" t="s">
        <v>7</v>
      </c>
      <c r="L805" t="s">
        <v>8</v>
      </c>
      <c r="M805" t="s">
        <v>52</v>
      </c>
      <c r="N805" t="s">
        <v>8</v>
      </c>
      <c r="O805" t="s">
        <v>44</v>
      </c>
      <c r="P805" t="s">
        <v>20</v>
      </c>
      <c r="Q805" t="s">
        <v>23</v>
      </c>
      <c r="R805" t="s">
        <v>14</v>
      </c>
      <c r="S805" t="s">
        <v>47</v>
      </c>
      <c r="T805" t="s">
        <v>25</v>
      </c>
      <c r="U805" t="s">
        <v>29</v>
      </c>
      <c r="V805" s="3" t="s">
        <v>1409</v>
      </c>
      <c r="W805" t="s">
        <v>16</v>
      </c>
    </row>
    <row r="806" spans="1:23" ht="12.75">
      <c r="A806" s="1">
        <v>45769.930300925924</v>
      </c>
      <c r="C806" t="s">
        <v>371</v>
      </c>
      <c r="D806">
        <v>54</v>
      </c>
      <c r="E806">
        <v>177</v>
      </c>
      <c r="F806">
        <v>59</v>
      </c>
      <c r="G806">
        <v>3</v>
      </c>
      <c r="H806" t="s">
        <v>592</v>
      </c>
      <c r="I806" t="s">
        <v>5</v>
      </c>
      <c r="J806" t="s">
        <v>6</v>
      </c>
      <c r="K806" t="s">
        <v>63</v>
      </c>
      <c r="L806" t="s">
        <v>40</v>
      </c>
      <c r="M806" t="s">
        <v>38</v>
      </c>
      <c r="N806" t="s">
        <v>8</v>
      </c>
      <c r="O806" t="s">
        <v>46</v>
      </c>
      <c r="P806" t="s">
        <v>31</v>
      </c>
      <c r="Q806" t="s">
        <v>32</v>
      </c>
      <c r="R806" t="s">
        <v>50</v>
      </c>
      <c r="S806" t="s">
        <v>24</v>
      </c>
      <c r="T806" t="s">
        <v>25</v>
      </c>
      <c r="U806" t="s">
        <v>5</v>
      </c>
      <c r="V806" s="3" t="s">
        <v>1410</v>
      </c>
      <c r="W806" t="s">
        <v>26</v>
      </c>
    </row>
    <row r="807" spans="1:23" ht="12.75">
      <c r="A807" s="1">
        <v>45662.315925925926</v>
      </c>
      <c r="C807" t="s">
        <v>372</v>
      </c>
      <c r="D807">
        <v>49</v>
      </c>
      <c r="E807">
        <v>176</v>
      </c>
      <c r="F807">
        <v>53</v>
      </c>
      <c r="G807">
        <v>2.5</v>
      </c>
      <c r="H807" t="s">
        <v>592</v>
      </c>
      <c r="I807" t="s">
        <v>29</v>
      </c>
      <c r="J807" t="s">
        <v>6</v>
      </c>
      <c r="K807" t="s">
        <v>63</v>
      </c>
      <c r="L807" t="s">
        <v>40</v>
      </c>
      <c r="M807" t="s">
        <v>38</v>
      </c>
      <c r="N807" t="s">
        <v>10</v>
      </c>
      <c r="O807" t="s">
        <v>11</v>
      </c>
      <c r="P807" t="s">
        <v>20</v>
      </c>
      <c r="Q807" t="s">
        <v>55</v>
      </c>
      <c r="R807" t="s">
        <v>50</v>
      </c>
      <c r="S807" t="s">
        <v>24</v>
      </c>
      <c r="T807" t="s">
        <v>25</v>
      </c>
      <c r="U807" t="s">
        <v>5</v>
      </c>
      <c r="V807" s="3" t="s">
        <v>1411</v>
      </c>
      <c r="W807" t="s">
        <v>39</v>
      </c>
    </row>
    <row r="808" spans="1:23" ht="12.75">
      <c r="A808" s="1">
        <v>45681.964861111112</v>
      </c>
      <c r="C808" t="s">
        <v>57</v>
      </c>
      <c r="D808">
        <v>41</v>
      </c>
      <c r="E808">
        <v>176</v>
      </c>
      <c r="F808">
        <v>71</v>
      </c>
      <c r="G808">
        <v>1</v>
      </c>
      <c r="H808" t="s">
        <v>592</v>
      </c>
      <c r="I808" t="s">
        <v>29</v>
      </c>
      <c r="J808" t="s">
        <v>36</v>
      </c>
      <c r="K808" t="s">
        <v>30</v>
      </c>
      <c r="L808" t="s">
        <v>31</v>
      </c>
      <c r="M808" t="s">
        <v>52</v>
      </c>
      <c r="N808" t="s">
        <v>20</v>
      </c>
      <c r="O808" t="s">
        <v>22</v>
      </c>
      <c r="P808" t="s">
        <v>12</v>
      </c>
      <c r="Q808" t="s">
        <v>13</v>
      </c>
      <c r="R808" t="s">
        <v>33</v>
      </c>
      <c r="S808" t="s">
        <v>15</v>
      </c>
      <c r="T808" t="s">
        <v>24</v>
      </c>
      <c r="U808" t="s">
        <v>29</v>
      </c>
      <c r="V808" s="3" t="s">
        <v>1412</v>
      </c>
      <c r="W808" t="s">
        <v>39</v>
      </c>
    </row>
    <row r="809" spans="1:23" ht="12.75">
      <c r="A809" s="1">
        <v>45744.927800925929</v>
      </c>
      <c r="C809" t="s">
        <v>70</v>
      </c>
      <c r="D809">
        <v>40</v>
      </c>
      <c r="E809">
        <v>180</v>
      </c>
      <c r="F809">
        <v>90</v>
      </c>
      <c r="G809">
        <v>2</v>
      </c>
      <c r="H809" t="s">
        <v>590</v>
      </c>
      <c r="I809" t="s">
        <v>29</v>
      </c>
      <c r="J809" t="s">
        <v>6</v>
      </c>
      <c r="K809" t="s">
        <v>30</v>
      </c>
      <c r="L809" t="s">
        <v>10</v>
      </c>
      <c r="M809" t="s">
        <v>52</v>
      </c>
      <c r="N809" t="s">
        <v>31</v>
      </c>
      <c r="O809" t="s">
        <v>44</v>
      </c>
      <c r="P809" t="s">
        <v>8</v>
      </c>
      <c r="Q809" t="s">
        <v>23</v>
      </c>
      <c r="R809" t="s">
        <v>50</v>
      </c>
      <c r="S809" t="s">
        <v>25</v>
      </c>
      <c r="T809" t="s">
        <v>47</v>
      </c>
      <c r="U809" t="s">
        <v>29</v>
      </c>
      <c r="V809" s="3" t="s">
        <v>1413</v>
      </c>
      <c r="W809" t="s">
        <v>34</v>
      </c>
    </row>
    <row r="810" spans="1:23" ht="12.75">
      <c r="A810" s="1">
        <v>45784.186921296299</v>
      </c>
      <c r="C810" t="s">
        <v>126</v>
      </c>
      <c r="D810">
        <v>22</v>
      </c>
      <c r="E810">
        <v>159</v>
      </c>
      <c r="F810">
        <v>83</v>
      </c>
      <c r="G810">
        <v>1</v>
      </c>
      <c r="H810" t="s">
        <v>591</v>
      </c>
      <c r="I810" t="s">
        <v>29</v>
      </c>
      <c r="J810" t="s">
        <v>36</v>
      </c>
      <c r="K810" t="s">
        <v>63</v>
      </c>
      <c r="L810" t="s">
        <v>10</v>
      </c>
      <c r="M810" t="s">
        <v>21</v>
      </c>
      <c r="N810" t="s">
        <v>12</v>
      </c>
      <c r="O810" t="s">
        <v>22</v>
      </c>
      <c r="P810" t="s">
        <v>40</v>
      </c>
      <c r="Q810" t="s">
        <v>23</v>
      </c>
      <c r="R810" t="s">
        <v>50</v>
      </c>
      <c r="S810" t="s">
        <v>24</v>
      </c>
      <c r="T810" t="s">
        <v>25</v>
      </c>
      <c r="U810" t="s">
        <v>29</v>
      </c>
      <c r="V810" s="3" t="s">
        <v>1414</v>
      </c>
      <c r="W810" t="s">
        <v>26</v>
      </c>
    </row>
    <row r="811" spans="1:23" ht="12.75">
      <c r="A811" s="1">
        <v>45728.902083333334</v>
      </c>
      <c r="C811" t="s">
        <v>92</v>
      </c>
      <c r="D811">
        <v>22</v>
      </c>
      <c r="E811">
        <v>183</v>
      </c>
      <c r="F811">
        <v>90</v>
      </c>
      <c r="G811">
        <v>1</v>
      </c>
      <c r="H811" t="s">
        <v>591</v>
      </c>
      <c r="I811" t="s">
        <v>29</v>
      </c>
      <c r="J811" t="s">
        <v>36</v>
      </c>
      <c r="K811" t="s">
        <v>37</v>
      </c>
      <c r="L811" t="s">
        <v>31</v>
      </c>
      <c r="M811" t="s">
        <v>38</v>
      </c>
      <c r="N811" t="s">
        <v>8</v>
      </c>
      <c r="O811" t="s">
        <v>22</v>
      </c>
      <c r="P811" t="s">
        <v>20</v>
      </c>
      <c r="Q811" t="s">
        <v>55</v>
      </c>
      <c r="R811" t="s">
        <v>33</v>
      </c>
      <c r="S811" t="s">
        <v>47</v>
      </c>
      <c r="T811" t="s">
        <v>47</v>
      </c>
      <c r="U811" t="s">
        <v>29</v>
      </c>
      <c r="V811" s="3" t="s">
        <v>1415</v>
      </c>
      <c r="W811" t="s">
        <v>16</v>
      </c>
    </row>
    <row r="812" spans="1:23" ht="12.75">
      <c r="A812" s="1">
        <v>45756.257152777776</v>
      </c>
      <c r="C812" t="s">
        <v>373</v>
      </c>
      <c r="D812">
        <v>58</v>
      </c>
      <c r="E812">
        <v>188</v>
      </c>
      <c r="F812">
        <v>85</v>
      </c>
      <c r="G812">
        <v>3</v>
      </c>
      <c r="H812" t="s">
        <v>28</v>
      </c>
      <c r="I812" t="s">
        <v>29</v>
      </c>
      <c r="J812" t="s">
        <v>6</v>
      </c>
      <c r="K812" t="s">
        <v>60</v>
      </c>
      <c r="L812" t="s">
        <v>10</v>
      </c>
      <c r="M812" t="s">
        <v>9</v>
      </c>
      <c r="N812" t="s">
        <v>31</v>
      </c>
      <c r="O812" t="s">
        <v>11</v>
      </c>
      <c r="P812" t="s">
        <v>20</v>
      </c>
      <c r="Q812" t="s">
        <v>13</v>
      </c>
      <c r="R812" t="s">
        <v>50</v>
      </c>
      <c r="S812" t="s">
        <v>24</v>
      </c>
      <c r="T812" t="s">
        <v>24</v>
      </c>
      <c r="U812" t="s">
        <v>5</v>
      </c>
      <c r="V812" s="3" t="s">
        <v>1416</v>
      </c>
      <c r="W812" t="s">
        <v>39</v>
      </c>
    </row>
    <row r="813" spans="1:23" ht="12.75">
      <c r="A813" s="1">
        <v>45763.404537037037</v>
      </c>
      <c r="C813" t="s">
        <v>374</v>
      </c>
      <c r="D813">
        <v>54</v>
      </c>
      <c r="E813">
        <v>170</v>
      </c>
      <c r="F813">
        <v>73</v>
      </c>
      <c r="G813">
        <v>2</v>
      </c>
      <c r="H813" t="s">
        <v>28</v>
      </c>
      <c r="I813" t="s">
        <v>5</v>
      </c>
      <c r="J813" t="s">
        <v>36</v>
      </c>
      <c r="K813" t="s">
        <v>60</v>
      </c>
      <c r="L813" t="s">
        <v>10</v>
      </c>
      <c r="M813" t="s">
        <v>52</v>
      </c>
      <c r="N813" t="s">
        <v>31</v>
      </c>
      <c r="O813" t="s">
        <v>46</v>
      </c>
      <c r="P813" t="s">
        <v>10</v>
      </c>
      <c r="Q813" t="s">
        <v>32</v>
      </c>
      <c r="R813" t="s">
        <v>14</v>
      </c>
      <c r="S813" t="s">
        <v>47</v>
      </c>
      <c r="T813" t="s">
        <v>47</v>
      </c>
      <c r="U813" t="s">
        <v>5</v>
      </c>
      <c r="V813" s="3" t="s">
        <v>1417</v>
      </c>
      <c r="W813" t="s">
        <v>16</v>
      </c>
    </row>
    <row r="814" spans="1:23" ht="12.75">
      <c r="A814" s="1">
        <v>45806.761365740742</v>
      </c>
      <c r="C814" t="s">
        <v>348</v>
      </c>
      <c r="D814">
        <v>53</v>
      </c>
      <c r="E814">
        <v>170</v>
      </c>
      <c r="F814">
        <v>95</v>
      </c>
      <c r="G814">
        <v>2.5</v>
      </c>
      <c r="H814" t="s">
        <v>590</v>
      </c>
      <c r="I814" t="s">
        <v>29</v>
      </c>
      <c r="J814" t="s">
        <v>6</v>
      </c>
      <c r="K814" t="s">
        <v>19</v>
      </c>
      <c r="L814" t="s">
        <v>12</v>
      </c>
      <c r="M814" t="s">
        <v>52</v>
      </c>
      <c r="N814" t="s">
        <v>40</v>
      </c>
      <c r="O814" t="s">
        <v>44</v>
      </c>
      <c r="P814" t="s">
        <v>8</v>
      </c>
      <c r="Q814" t="s">
        <v>32</v>
      </c>
      <c r="R814" t="s">
        <v>14</v>
      </c>
      <c r="S814" t="s">
        <v>25</v>
      </c>
      <c r="T814" t="s">
        <v>24</v>
      </c>
      <c r="U814" t="s">
        <v>29</v>
      </c>
      <c r="V814" s="3" t="s">
        <v>1418</v>
      </c>
      <c r="W814" t="s">
        <v>16</v>
      </c>
    </row>
    <row r="815" spans="1:23" ht="12.75">
      <c r="A815" s="1">
        <v>45792.686145833337</v>
      </c>
      <c r="C815" t="s">
        <v>41</v>
      </c>
      <c r="D815">
        <v>25</v>
      </c>
      <c r="E815">
        <v>187</v>
      </c>
      <c r="F815">
        <v>81</v>
      </c>
      <c r="G815">
        <v>1</v>
      </c>
      <c r="H815" t="s">
        <v>590</v>
      </c>
      <c r="I815" t="s">
        <v>5</v>
      </c>
      <c r="J815" t="s">
        <v>6</v>
      </c>
      <c r="K815" t="s">
        <v>7</v>
      </c>
      <c r="L815" t="s">
        <v>8</v>
      </c>
      <c r="M815" t="s">
        <v>9</v>
      </c>
      <c r="N815" t="s">
        <v>31</v>
      </c>
      <c r="O815" t="s">
        <v>11</v>
      </c>
      <c r="P815" t="s">
        <v>10</v>
      </c>
      <c r="Q815" t="s">
        <v>13</v>
      </c>
      <c r="R815" t="s">
        <v>50</v>
      </c>
      <c r="S815" t="s">
        <v>47</v>
      </c>
      <c r="T815" t="s">
        <v>25</v>
      </c>
      <c r="U815" t="s">
        <v>5</v>
      </c>
      <c r="V815" s="3" t="s">
        <v>1419</v>
      </c>
      <c r="W815" t="s">
        <v>26</v>
      </c>
    </row>
    <row r="816" spans="1:23" ht="12.75">
      <c r="A816" s="1">
        <v>45809.930081018516</v>
      </c>
      <c r="C816" t="s">
        <v>116</v>
      </c>
      <c r="D816">
        <v>22</v>
      </c>
      <c r="E816">
        <v>155</v>
      </c>
      <c r="F816">
        <v>58</v>
      </c>
      <c r="G816">
        <v>2</v>
      </c>
      <c r="H816" t="s">
        <v>591</v>
      </c>
      <c r="I816" t="s">
        <v>29</v>
      </c>
      <c r="J816" t="s">
        <v>36</v>
      </c>
      <c r="K816" t="s">
        <v>30</v>
      </c>
      <c r="L816" t="s">
        <v>40</v>
      </c>
      <c r="M816" t="s">
        <v>38</v>
      </c>
      <c r="N816" t="s">
        <v>10</v>
      </c>
      <c r="O816" t="s">
        <v>11</v>
      </c>
      <c r="P816" t="s">
        <v>10</v>
      </c>
      <c r="Q816" t="s">
        <v>32</v>
      </c>
      <c r="R816" t="s">
        <v>14</v>
      </c>
      <c r="S816" t="s">
        <v>24</v>
      </c>
      <c r="T816" t="s">
        <v>47</v>
      </c>
      <c r="U816" t="s">
        <v>29</v>
      </c>
      <c r="V816" s="3" t="s">
        <v>1420</v>
      </c>
      <c r="W816" t="s">
        <v>39</v>
      </c>
    </row>
    <row r="817" spans="1:23" ht="12.75">
      <c r="A817" s="1">
        <v>45709.567361111112</v>
      </c>
      <c r="C817" t="s">
        <v>85</v>
      </c>
      <c r="D817">
        <v>43</v>
      </c>
      <c r="E817">
        <v>188</v>
      </c>
      <c r="F817">
        <v>106</v>
      </c>
      <c r="G817">
        <v>1.5</v>
      </c>
      <c r="H817" t="s">
        <v>590</v>
      </c>
      <c r="I817" t="s">
        <v>5</v>
      </c>
      <c r="J817" t="s">
        <v>36</v>
      </c>
      <c r="K817" t="s">
        <v>37</v>
      </c>
      <c r="L817" t="s">
        <v>40</v>
      </c>
      <c r="M817" t="s">
        <v>9</v>
      </c>
      <c r="N817" t="s">
        <v>10</v>
      </c>
      <c r="O817" t="s">
        <v>46</v>
      </c>
      <c r="P817" t="s">
        <v>31</v>
      </c>
      <c r="Q817" t="s">
        <v>13</v>
      </c>
      <c r="R817" t="s">
        <v>33</v>
      </c>
      <c r="S817" t="s">
        <v>25</v>
      </c>
      <c r="T817" t="s">
        <v>25</v>
      </c>
      <c r="U817" t="s">
        <v>5</v>
      </c>
      <c r="V817" s="3" t="s">
        <v>1421</v>
      </c>
      <c r="W817" t="s">
        <v>16</v>
      </c>
    </row>
    <row r="818" spans="1:23" ht="12.75">
      <c r="A818" s="1">
        <v>45733.021608796298</v>
      </c>
      <c r="C818" t="s">
        <v>375</v>
      </c>
      <c r="D818">
        <v>53</v>
      </c>
      <c r="E818">
        <v>182</v>
      </c>
      <c r="F818">
        <v>85</v>
      </c>
      <c r="G818">
        <v>1</v>
      </c>
      <c r="H818" t="s">
        <v>592</v>
      </c>
      <c r="I818" t="s">
        <v>29</v>
      </c>
      <c r="J818" t="s">
        <v>36</v>
      </c>
      <c r="K818" t="s">
        <v>60</v>
      </c>
      <c r="L818" t="s">
        <v>31</v>
      </c>
      <c r="M818" t="s">
        <v>38</v>
      </c>
      <c r="N818" t="s">
        <v>12</v>
      </c>
      <c r="O818" t="s">
        <v>22</v>
      </c>
      <c r="P818" t="s">
        <v>20</v>
      </c>
      <c r="Q818" t="s">
        <v>23</v>
      </c>
      <c r="R818" t="s">
        <v>14</v>
      </c>
      <c r="S818" t="s">
        <v>15</v>
      </c>
      <c r="T818" t="s">
        <v>24</v>
      </c>
      <c r="U818" t="s">
        <v>29</v>
      </c>
      <c r="V818" s="3" t="s">
        <v>1422</v>
      </c>
      <c r="W818" t="s">
        <v>26</v>
      </c>
    </row>
    <row r="819" spans="1:23" ht="12.75">
      <c r="A819" s="1">
        <v>45688.2655787037</v>
      </c>
      <c r="C819" t="s">
        <v>376</v>
      </c>
      <c r="D819">
        <v>31</v>
      </c>
      <c r="E819">
        <v>155</v>
      </c>
      <c r="F819">
        <v>74</v>
      </c>
      <c r="G819">
        <v>1.5</v>
      </c>
      <c r="H819" t="s">
        <v>591</v>
      </c>
      <c r="I819" t="s">
        <v>29</v>
      </c>
      <c r="J819" t="s">
        <v>36</v>
      </c>
      <c r="K819" t="s">
        <v>37</v>
      </c>
      <c r="L819" t="s">
        <v>40</v>
      </c>
      <c r="M819" t="s">
        <v>9</v>
      </c>
      <c r="N819" t="s">
        <v>10</v>
      </c>
      <c r="O819" t="s">
        <v>11</v>
      </c>
      <c r="P819" t="s">
        <v>40</v>
      </c>
      <c r="Q819" t="s">
        <v>55</v>
      </c>
      <c r="R819" t="s">
        <v>33</v>
      </c>
      <c r="S819" t="s">
        <v>47</v>
      </c>
      <c r="T819" t="s">
        <v>24</v>
      </c>
      <c r="U819" t="s">
        <v>29</v>
      </c>
      <c r="V819" s="3" t="s">
        <v>1423</v>
      </c>
      <c r="W819" t="s">
        <v>16</v>
      </c>
    </row>
    <row r="820" spans="1:23" ht="12.75">
      <c r="A820" s="1">
        <v>45713.410370370373</v>
      </c>
      <c r="C820" t="s">
        <v>110</v>
      </c>
      <c r="D820">
        <v>44</v>
      </c>
      <c r="E820">
        <v>184</v>
      </c>
      <c r="F820">
        <v>54</v>
      </c>
      <c r="G820">
        <v>3</v>
      </c>
      <c r="H820" t="s">
        <v>591</v>
      </c>
      <c r="I820" t="s">
        <v>5</v>
      </c>
      <c r="J820" t="s">
        <v>36</v>
      </c>
      <c r="K820" t="s">
        <v>37</v>
      </c>
      <c r="L820" t="s">
        <v>12</v>
      </c>
      <c r="M820" t="s">
        <v>52</v>
      </c>
      <c r="N820" t="s">
        <v>12</v>
      </c>
      <c r="O820" t="s">
        <v>46</v>
      </c>
      <c r="P820" t="s">
        <v>10</v>
      </c>
      <c r="Q820" t="s">
        <v>23</v>
      </c>
      <c r="R820" t="s">
        <v>50</v>
      </c>
      <c r="S820" t="s">
        <v>25</v>
      </c>
      <c r="T820" t="s">
        <v>24</v>
      </c>
      <c r="U820" t="s">
        <v>5</v>
      </c>
      <c r="V820" s="3" t="s">
        <v>1424</v>
      </c>
      <c r="W820" t="s">
        <v>16</v>
      </c>
    </row>
    <row r="821" spans="1:23" ht="12.75">
      <c r="A821" s="1">
        <v>45725.04283564815</v>
      </c>
      <c r="C821" t="s">
        <v>377</v>
      </c>
      <c r="D821">
        <v>36</v>
      </c>
      <c r="E821">
        <v>164</v>
      </c>
      <c r="F821">
        <v>62</v>
      </c>
      <c r="G821">
        <v>3</v>
      </c>
      <c r="H821" t="s">
        <v>28</v>
      </c>
      <c r="I821" t="s">
        <v>5</v>
      </c>
      <c r="J821" t="s">
        <v>36</v>
      </c>
      <c r="K821" t="s">
        <v>7</v>
      </c>
      <c r="L821" t="s">
        <v>8</v>
      </c>
      <c r="M821" t="s">
        <v>9</v>
      </c>
      <c r="N821" t="s">
        <v>40</v>
      </c>
      <c r="O821" t="s">
        <v>46</v>
      </c>
      <c r="P821" t="s">
        <v>12</v>
      </c>
      <c r="Q821" t="s">
        <v>23</v>
      </c>
      <c r="R821" t="s">
        <v>33</v>
      </c>
      <c r="S821" t="s">
        <v>24</v>
      </c>
      <c r="T821" t="s">
        <v>24</v>
      </c>
      <c r="U821" t="s">
        <v>29</v>
      </c>
      <c r="V821" s="3" t="s">
        <v>1425</v>
      </c>
      <c r="W821" t="s">
        <v>16</v>
      </c>
    </row>
    <row r="822" spans="1:23" ht="12.75">
      <c r="A822" s="1">
        <v>45677.095023148147</v>
      </c>
      <c r="C822" t="s">
        <v>192</v>
      </c>
      <c r="D822">
        <v>32</v>
      </c>
      <c r="E822">
        <v>185</v>
      </c>
      <c r="F822">
        <v>97</v>
      </c>
      <c r="G822">
        <v>2.5</v>
      </c>
      <c r="H822" t="s">
        <v>591</v>
      </c>
      <c r="I822" t="s">
        <v>29</v>
      </c>
      <c r="J822" t="s">
        <v>6</v>
      </c>
      <c r="K822" t="s">
        <v>7</v>
      </c>
      <c r="L822" t="s">
        <v>10</v>
      </c>
      <c r="M822" t="s">
        <v>9</v>
      </c>
      <c r="N822" t="s">
        <v>12</v>
      </c>
      <c r="O822" t="s">
        <v>22</v>
      </c>
      <c r="P822" t="s">
        <v>20</v>
      </c>
      <c r="Q822" t="s">
        <v>23</v>
      </c>
      <c r="R822" t="s">
        <v>14</v>
      </c>
      <c r="S822" t="s">
        <v>24</v>
      </c>
      <c r="T822" t="s">
        <v>25</v>
      </c>
      <c r="U822" t="s">
        <v>5</v>
      </c>
      <c r="V822" s="3" t="s">
        <v>1426</v>
      </c>
      <c r="W822" t="s">
        <v>34</v>
      </c>
    </row>
    <row r="823" spans="1:23" ht="12.75">
      <c r="A823" s="1">
        <v>45658.983587962961</v>
      </c>
      <c r="C823" t="s">
        <v>378</v>
      </c>
      <c r="D823">
        <v>56</v>
      </c>
      <c r="E823">
        <v>167</v>
      </c>
      <c r="F823">
        <v>109</v>
      </c>
      <c r="G823">
        <v>1</v>
      </c>
      <c r="H823" t="s">
        <v>28</v>
      </c>
      <c r="I823" t="s">
        <v>29</v>
      </c>
      <c r="J823" t="s">
        <v>6</v>
      </c>
      <c r="K823" t="s">
        <v>63</v>
      </c>
      <c r="L823" t="s">
        <v>8</v>
      </c>
      <c r="M823" t="s">
        <v>21</v>
      </c>
      <c r="N823" t="s">
        <v>12</v>
      </c>
      <c r="O823" t="s">
        <v>11</v>
      </c>
      <c r="P823" t="s">
        <v>20</v>
      </c>
      <c r="Q823" t="s">
        <v>32</v>
      </c>
      <c r="R823" t="s">
        <v>33</v>
      </c>
      <c r="S823" t="s">
        <v>24</v>
      </c>
      <c r="T823" t="s">
        <v>25</v>
      </c>
      <c r="U823" t="s">
        <v>29</v>
      </c>
      <c r="V823" s="3" t="s">
        <v>1427</v>
      </c>
      <c r="W823" t="s">
        <v>26</v>
      </c>
    </row>
    <row r="824" spans="1:23" ht="12.75">
      <c r="A824" s="5">
        <v>45794.013460648152</v>
      </c>
      <c r="C824" t="s">
        <v>131</v>
      </c>
      <c r="D824">
        <v>51</v>
      </c>
      <c r="E824">
        <v>166</v>
      </c>
      <c r="F824">
        <v>80</v>
      </c>
      <c r="G824">
        <v>2.5</v>
      </c>
      <c r="H824" t="s">
        <v>590</v>
      </c>
      <c r="I824" t="s">
        <v>29</v>
      </c>
      <c r="J824" t="s">
        <v>6</v>
      </c>
      <c r="K824" t="s">
        <v>37</v>
      </c>
      <c r="L824" t="s">
        <v>8</v>
      </c>
      <c r="M824" t="s">
        <v>21</v>
      </c>
      <c r="N824" t="s">
        <v>12</v>
      </c>
      <c r="O824" t="s">
        <v>46</v>
      </c>
      <c r="P824" t="s">
        <v>12</v>
      </c>
      <c r="Q824" t="s">
        <v>13</v>
      </c>
      <c r="R824" t="s">
        <v>14</v>
      </c>
      <c r="S824" t="s">
        <v>25</v>
      </c>
      <c r="T824" t="s">
        <v>25</v>
      </c>
      <c r="U824" t="s">
        <v>5</v>
      </c>
      <c r="V824" s="3" t="s">
        <v>1428</v>
      </c>
      <c r="W824" t="s">
        <v>34</v>
      </c>
    </row>
    <row r="825" spans="1:23" ht="12.75">
      <c r="A825" s="5">
        <v>45707.82539351852</v>
      </c>
      <c r="C825" t="s">
        <v>379</v>
      </c>
      <c r="D825">
        <v>26</v>
      </c>
      <c r="E825">
        <v>160</v>
      </c>
      <c r="F825">
        <v>97</v>
      </c>
      <c r="G825">
        <v>2.5</v>
      </c>
      <c r="H825" t="s">
        <v>590</v>
      </c>
      <c r="I825" t="s">
        <v>5</v>
      </c>
      <c r="J825" t="s">
        <v>36</v>
      </c>
      <c r="K825" t="s">
        <v>37</v>
      </c>
      <c r="L825" t="s">
        <v>10</v>
      </c>
      <c r="M825" t="s">
        <v>21</v>
      </c>
      <c r="N825" t="s">
        <v>20</v>
      </c>
      <c r="O825" t="s">
        <v>11</v>
      </c>
      <c r="P825" t="s">
        <v>31</v>
      </c>
      <c r="Q825" t="s">
        <v>13</v>
      </c>
      <c r="R825" t="s">
        <v>50</v>
      </c>
      <c r="S825" t="s">
        <v>47</v>
      </c>
      <c r="T825" t="s">
        <v>24</v>
      </c>
      <c r="U825" t="s">
        <v>5</v>
      </c>
      <c r="V825" s="3" t="s">
        <v>1429</v>
      </c>
      <c r="W825" t="s">
        <v>16</v>
      </c>
    </row>
    <row r="826" spans="1:23" ht="12.75">
      <c r="A826" s="5">
        <v>45694.026655092595</v>
      </c>
      <c r="C826" t="s">
        <v>380</v>
      </c>
      <c r="D826">
        <v>52</v>
      </c>
      <c r="E826">
        <v>184</v>
      </c>
      <c r="F826">
        <v>60</v>
      </c>
      <c r="G826">
        <v>2.5</v>
      </c>
      <c r="H826" t="s">
        <v>592</v>
      </c>
      <c r="I826" t="s">
        <v>29</v>
      </c>
      <c r="J826" t="s">
        <v>36</v>
      </c>
      <c r="K826" t="s">
        <v>7</v>
      </c>
      <c r="L826" t="s">
        <v>31</v>
      </c>
      <c r="M826" t="s">
        <v>52</v>
      </c>
      <c r="N826" t="s">
        <v>12</v>
      </c>
      <c r="O826" t="s">
        <v>11</v>
      </c>
      <c r="P826" t="s">
        <v>12</v>
      </c>
      <c r="Q826" t="s">
        <v>13</v>
      </c>
      <c r="R826" t="s">
        <v>14</v>
      </c>
      <c r="S826" t="s">
        <v>25</v>
      </c>
      <c r="T826" t="s">
        <v>25</v>
      </c>
      <c r="U826" t="s">
        <v>29</v>
      </c>
      <c r="V826" s="3" t="s">
        <v>1430</v>
      </c>
      <c r="W826" t="s">
        <v>26</v>
      </c>
    </row>
    <row r="827" spans="1:23" ht="12.75">
      <c r="A827" s="1">
        <v>45803.684791666667</v>
      </c>
      <c r="C827" t="s">
        <v>367</v>
      </c>
      <c r="D827">
        <v>49</v>
      </c>
      <c r="E827">
        <v>178</v>
      </c>
      <c r="F827">
        <v>101</v>
      </c>
      <c r="G827">
        <v>2</v>
      </c>
      <c r="H827" t="s">
        <v>591</v>
      </c>
      <c r="I827" t="s">
        <v>5</v>
      </c>
      <c r="J827" t="s">
        <v>6</v>
      </c>
      <c r="K827" t="s">
        <v>7</v>
      </c>
      <c r="L827" t="s">
        <v>40</v>
      </c>
      <c r="M827" t="s">
        <v>9</v>
      </c>
      <c r="N827" t="s">
        <v>20</v>
      </c>
      <c r="O827" t="s">
        <v>11</v>
      </c>
      <c r="P827" t="s">
        <v>10</v>
      </c>
      <c r="Q827" t="s">
        <v>55</v>
      </c>
      <c r="R827" t="s">
        <v>50</v>
      </c>
      <c r="S827" t="s">
        <v>15</v>
      </c>
      <c r="T827" t="s">
        <v>15</v>
      </c>
      <c r="U827" t="s">
        <v>29</v>
      </c>
      <c r="V827" s="3" t="s">
        <v>1431</v>
      </c>
      <c r="W827" t="s">
        <v>26</v>
      </c>
    </row>
    <row r="828" spans="1:23" ht="12.75">
      <c r="A828" s="1">
        <v>45686.693819444445</v>
      </c>
      <c r="C828" t="s">
        <v>85</v>
      </c>
      <c r="D828">
        <v>53</v>
      </c>
      <c r="E828">
        <v>157</v>
      </c>
      <c r="F828">
        <v>66</v>
      </c>
      <c r="G828">
        <v>2</v>
      </c>
      <c r="H828" t="s">
        <v>592</v>
      </c>
      <c r="I828" t="s">
        <v>5</v>
      </c>
      <c r="J828" t="s">
        <v>6</v>
      </c>
      <c r="K828" t="s">
        <v>30</v>
      </c>
      <c r="L828" t="s">
        <v>8</v>
      </c>
      <c r="M828" t="s">
        <v>52</v>
      </c>
      <c r="N828" t="s">
        <v>10</v>
      </c>
      <c r="O828" t="s">
        <v>44</v>
      </c>
      <c r="P828" t="s">
        <v>10</v>
      </c>
      <c r="Q828" t="s">
        <v>55</v>
      </c>
      <c r="R828" t="s">
        <v>14</v>
      </c>
      <c r="S828" t="s">
        <v>15</v>
      </c>
      <c r="T828" t="s">
        <v>15</v>
      </c>
      <c r="U828" t="s">
        <v>5</v>
      </c>
      <c r="V828" s="3" t="s">
        <v>1432</v>
      </c>
      <c r="W828" t="s">
        <v>39</v>
      </c>
    </row>
    <row r="829" spans="1:23" ht="12.75">
      <c r="A829" s="1">
        <v>45799.427129629628</v>
      </c>
      <c r="C829" t="s">
        <v>351</v>
      </c>
      <c r="D829">
        <v>40</v>
      </c>
      <c r="E829">
        <v>158</v>
      </c>
      <c r="F829">
        <v>100</v>
      </c>
      <c r="G829">
        <v>1.5</v>
      </c>
      <c r="H829" t="s">
        <v>592</v>
      </c>
      <c r="I829" t="s">
        <v>5</v>
      </c>
      <c r="J829" t="s">
        <v>6</v>
      </c>
      <c r="K829" t="s">
        <v>19</v>
      </c>
      <c r="L829" t="s">
        <v>8</v>
      </c>
      <c r="M829" t="s">
        <v>52</v>
      </c>
      <c r="N829" t="s">
        <v>20</v>
      </c>
      <c r="O829" t="s">
        <v>22</v>
      </c>
      <c r="P829" t="s">
        <v>20</v>
      </c>
      <c r="Q829" t="s">
        <v>55</v>
      </c>
      <c r="R829" t="s">
        <v>14</v>
      </c>
      <c r="S829" t="s">
        <v>24</v>
      </c>
      <c r="T829" t="s">
        <v>15</v>
      </c>
      <c r="U829" t="s">
        <v>29</v>
      </c>
      <c r="V829" s="3" t="s">
        <v>1433</v>
      </c>
      <c r="W829" t="s">
        <v>34</v>
      </c>
    </row>
    <row r="830" spans="1:23" ht="12.75">
      <c r="A830" s="1">
        <v>45782.636840277781</v>
      </c>
      <c r="C830" t="s">
        <v>49</v>
      </c>
      <c r="D830">
        <v>42</v>
      </c>
      <c r="E830">
        <v>188</v>
      </c>
      <c r="F830">
        <v>55</v>
      </c>
      <c r="G830">
        <v>2</v>
      </c>
      <c r="H830" t="s">
        <v>592</v>
      </c>
      <c r="I830" t="s">
        <v>29</v>
      </c>
      <c r="J830" t="s">
        <v>6</v>
      </c>
      <c r="K830" t="s">
        <v>37</v>
      </c>
      <c r="L830" t="s">
        <v>10</v>
      </c>
      <c r="M830" t="s">
        <v>9</v>
      </c>
      <c r="N830" t="s">
        <v>10</v>
      </c>
      <c r="O830" t="s">
        <v>46</v>
      </c>
      <c r="P830" t="s">
        <v>8</v>
      </c>
      <c r="Q830" t="s">
        <v>13</v>
      </c>
      <c r="R830" t="s">
        <v>50</v>
      </c>
      <c r="S830" t="s">
        <v>24</v>
      </c>
      <c r="T830" t="s">
        <v>24</v>
      </c>
      <c r="U830" t="s">
        <v>5</v>
      </c>
      <c r="V830" s="3" t="s">
        <v>1434</v>
      </c>
      <c r="W830" t="s">
        <v>34</v>
      </c>
    </row>
    <row r="831" spans="1:23" ht="12.75">
      <c r="A831" s="1">
        <v>45722.394907407404</v>
      </c>
      <c r="C831" t="s">
        <v>198</v>
      </c>
      <c r="D831">
        <v>37</v>
      </c>
      <c r="E831">
        <v>159</v>
      </c>
      <c r="F831">
        <v>50</v>
      </c>
      <c r="G831">
        <v>2.5</v>
      </c>
      <c r="H831" t="s">
        <v>591</v>
      </c>
      <c r="I831" t="s">
        <v>29</v>
      </c>
      <c r="J831" t="s">
        <v>36</v>
      </c>
      <c r="K831" t="s">
        <v>7</v>
      </c>
      <c r="L831" t="s">
        <v>10</v>
      </c>
      <c r="M831" t="s">
        <v>52</v>
      </c>
      <c r="N831" t="s">
        <v>10</v>
      </c>
      <c r="O831" t="s">
        <v>22</v>
      </c>
      <c r="P831" t="s">
        <v>8</v>
      </c>
      <c r="Q831" t="s">
        <v>13</v>
      </c>
      <c r="R831" t="s">
        <v>33</v>
      </c>
      <c r="S831" t="s">
        <v>24</v>
      </c>
      <c r="T831" t="s">
        <v>15</v>
      </c>
      <c r="U831" t="s">
        <v>5</v>
      </c>
      <c r="V831" s="3" t="s">
        <v>1435</v>
      </c>
      <c r="W831" t="s">
        <v>39</v>
      </c>
    </row>
    <row r="832" spans="1:23" ht="12.75">
      <c r="A832" s="1">
        <v>45699.255023148151</v>
      </c>
      <c r="C832" t="s">
        <v>71</v>
      </c>
      <c r="D832">
        <v>36</v>
      </c>
      <c r="E832">
        <v>158</v>
      </c>
      <c r="F832">
        <v>80</v>
      </c>
      <c r="G832">
        <v>3</v>
      </c>
      <c r="H832" t="s">
        <v>590</v>
      </c>
      <c r="I832" t="s">
        <v>29</v>
      </c>
      <c r="J832" t="s">
        <v>36</v>
      </c>
      <c r="K832" t="s">
        <v>37</v>
      </c>
      <c r="L832" t="s">
        <v>20</v>
      </c>
      <c r="M832" t="s">
        <v>21</v>
      </c>
      <c r="N832" t="s">
        <v>40</v>
      </c>
      <c r="O832" t="s">
        <v>44</v>
      </c>
      <c r="P832" t="s">
        <v>10</v>
      </c>
      <c r="Q832" t="s">
        <v>23</v>
      </c>
      <c r="R832" t="s">
        <v>14</v>
      </c>
      <c r="S832" t="s">
        <v>15</v>
      </c>
      <c r="T832" t="s">
        <v>25</v>
      </c>
      <c r="U832" t="s">
        <v>29</v>
      </c>
      <c r="V832" s="3" t="s">
        <v>1436</v>
      </c>
      <c r="W832" t="s">
        <v>26</v>
      </c>
    </row>
    <row r="833" spans="1:23" ht="12.75">
      <c r="A833" s="1">
        <v>45669.739722222221</v>
      </c>
      <c r="C833" t="s">
        <v>381</v>
      </c>
      <c r="D833">
        <v>50</v>
      </c>
      <c r="E833">
        <v>170</v>
      </c>
      <c r="F833">
        <v>76</v>
      </c>
      <c r="G833">
        <v>1</v>
      </c>
      <c r="H833" t="s">
        <v>590</v>
      </c>
      <c r="I833" t="s">
        <v>29</v>
      </c>
      <c r="J833" t="s">
        <v>36</v>
      </c>
      <c r="K833" t="s">
        <v>63</v>
      </c>
      <c r="L833" t="s">
        <v>8</v>
      </c>
      <c r="M833" t="s">
        <v>52</v>
      </c>
      <c r="N833" t="s">
        <v>31</v>
      </c>
      <c r="O833" t="s">
        <v>46</v>
      </c>
      <c r="P833" t="s">
        <v>20</v>
      </c>
      <c r="Q833" t="s">
        <v>55</v>
      </c>
      <c r="R833" t="s">
        <v>33</v>
      </c>
      <c r="S833" t="s">
        <v>24</v>
      </c>
      <c r="T833" t="s">
        <v>47</v>
      </c>
      <c r="U833" t="s">
        <v>29</v>
      </c>
      <c r="V833" s="3" t="s">
        <v>1437</v>
      </c>
      <c r="W833" t="s">
        <v>34</v>
      </c>
    </row>
    <row r="834" spans="1:23" ht="12.75">
      <c r="A834" s="1">
        <v>45767.094004629631</v>
      </c>
      <c r="C834" t="s">
        <v>154</v>
      </c>
      <c r="D834">
        <v>29</v>
      </c>
      <c r="E834">
        <v>179</v>
      </c>
      <c r="F834">
        <v>107</v>
      </c>
      <c r="G834">
        <v>2.5</v>
      </c>
      <c r="H834" t="s">
        <v>591</v>
      </c>
      <c r="I834" t="s">
        <v>5</v>
      </c>
      <c r="J834" t="s">
        <v>36</v>
      </c>
      <c r="K834" t="s">
        <v>19</v>
      </c>
      <c r="L834" t="s">
        <v>20</v>
      </c>
      <c r="M834" t="s">
        <v>9</v>
      </c>
      <c r="N834" t="s">
        <v>20</v>
      </c>
      <c r="O834" t="s">
        <v>11</v>
      </c>
      <c r="P834" t="s">
        <v>8</v>
      </c>
      <c r="Q834" t="s">
        <v>55</v>
      </c>
      <c r="R834" t="s">
        <v>50</v>
      </c>
      <c r="S834" t="s">
        <v>47</v>
      </c>
      <c r="T834" t="s">
        <v>24</v>
      </c>
      <c r="U834" t="s">
        <v>29</v>
      </c>
      <c r="V834" s="3" t="s">
        <v>1438</v>
      </c>
      <c r="W834" t="s">
        <v>26</v>
      </c>
    </row>
    <row r="835" spans="1:23" ht="12.75">
      <c r="A835" s="1">
        <v>45794.64025462963</v>
      </c>
      <c r="C835" t="s">
        <v>83</v>
      </c>
      <c r="D835">
        <v>28</v>
      </c>
      <c r="E835">
        <v>160</v>
      </c>
      <c r="F835">
        <v>74</v>
      </c>
      <c r="G835">
        <v>2.5</v>
      </c>
      <c r="H835" t="s">
        <v>592</v>
      </c>
      <c r="I835" t="s">
        <v>5</v>
      </c>
      <c r="J835" t="s">
        <v>36</v>
      </c>
      <c r="K835" t="s">
        <v>30</v>
      </c>
      <c r="L835" t="s">
        <v>8</v>
      </c>
      <c r="M835" t="s">
        <v>52</v>
      </c>
      <c r="N835" t="s">
        <v>12</v>
      </c>
      <c r="O835" t="s">
        <v>22</v>
      </c>
      <c r="P835" t="s">
        <v>10</v>
      </c>
      <c r="Q835" t="s">
        <v>55</v>
      </c>
      <c r="R835" t="s">
        <v>33</v>
      </c>
      <c r="S835" t="s">
        <v>25</v>
      </c>
      <c r="T835" t="s">
        <v>24</v>
      </c>
      <c r="U835" t="s">
        <v>29</v>
      </c>
      <c r="V835" s="3" t="s">
        <v>1439</v>
      </c>
      <c r="W835" t="s">
        <v>26</v>
      </c>
    </row>
    <row r="836" spans="1:23" ht="12.75">
      <c r="A836" s="1">
        <v>45670.605439814812</v>
      </c>
      <c r="C836" t="s">
        <v>266</v>
      </c>
      <c r="D836">
        <v>56</v>
      </c>
      <c r="E836">
        <v>161</v>
      </c>
      <c r="F836">
        <v>102</v>
      </c>
      <c r="G836">
        <v>2</v>
      </c>
      <c r="H836" t="s">
        <v>591</v>
      </c>
      <c r="I836" t="s">
        <v>5</v>
      </c>
      <c r="J836" t="s">
        <v>36</v>
      </c>
      <c r="K836" t="s">
        <v>60</v>
      </c>
      <c r="L836" t="s">
        <v>31</v>
      </c>
      <c r="M836" t="s">
        <v>52</v>
      </c>
      <c r="N836" t="s">
        <v>10</v>
      </c>
      <c r="O836" t="s">
        <v>44</v>
      </c>
      <c r="P836" t="s">
        <v>31</v>
      </c>
      <c r="Q836" t="s">
        <v>55</v>
      </c>
      <c r="R836" t="s">
        <v>33</v>
      </c>
      <c r="S836" t="s">
        <v>15</v>
      </c>
      <c r="T836" t="s">
        <v>15</v>
      </c>
      <c r="U836" t="s">
        <v>29</v>
      </c>
      <c r="V836" s="3" t="s">
        <v>1440</v>
      </c>
      <c r="W836" t="s">
        <v>34</v>
      </c>
    </row>
    <row r="837" spans="1:23" ht="12.75">
      <c r="A837" s="1">
        <v>45801.705185185187</v>
      </c>
      <c r="C837" t="s">
        <v>292</v>
      </c>
      <c r="D837">
        <v>57</v>
      </c>
      <c r="E837">
        <v>160</v>
      </c>
      <c r="F837">
        <v>61</v>
      </c>
      <c r="G837">
        <v>2.5</v>
      </c>
      <c r="H837" t="s">
        <v>591</v>
      </c>
      <c r="I837" t="s">
        <v>5</v>
      </c>
      <c r="J837" t="s">
        <v>36</v>
      </c>
      <c r="K837" t="s">
        <v>37</v>
      </c>
      <c r="L837" t="s">
        <v>40</v>
      </c>
      <c r="M837" t="s">
        <v>38</v>
      </c>
      <c r="N837" t="s">
        <v>20</v>
      </c>
      <c r="O837" t="s">
        <v>46</v>
      </c>
      <c r="P837" t="s">
        <v>12</v>
      </c>
      <c r="Q837" t="s">
        <v>55</v>
      </c>
      <c r="R837" t="s">
        <v>14</v>
      </c>
      <c r="S837" t="s">
        <v>25</v>
      </c>
      <c r="T837" t="s">
        <v>47</v>
      </c>
      <c r="U837" t="s">
        <v>5</v>
      </c>
      <c r="V837" s="3" t="s">
        <v>1441</v>
      </c>
      <c r="W837" t="s">
        <v>16</v>
      </c>
    </row>
    <row r="838" spans="1:23" ht="12.75">
      <c r="A838" s="1">
        <v>45666.825428240743</v>
      </c>
      <c r="C838" t="s">
        <v>178</v>
      </c>
      <c r="D838">
        <v>55</v>
      </c>
      <c r="E838">
        <v>170</v>
      </c>
      <c r="F838">
        <v>81</v>
      </c>
      <c r="G838">
        <v>1</v>
      </c>
      <c r="H838" t="s">
        <v>592</v>
      </c>
      <c r="I838" t="s">
        <v>5</v>
      </c>
      <c r="J838" t="s">
        <v>6</v>
      </c>
      <c r="K838" t="s">
        <v>37</v>
      </c>
      <c r="L838" t="s">
        <v>12</v>
      </c>
      <c r="M838" t="s">
        <v>21</v>
      </c>
      <c r="N838" t="s">
        <v>10</v>
      </c>
      <c r="O838" t="s">
        <v>22</v>
      </c>
      <c r="P838" t="s">
        <v>12</v>
      </c>
      <c r="Q838" t="s">
        <v>23</v>
      </c>
      <c r="R838" t="s">
        <v>14</v>
      </c>
      <c r="S838" t="s">
        <v>47</v>
      </c>
      <c r="T838" t="s">
        <v>47</v>
      </c>
      <c r="U838" t="s">
        <v>29</v>
      </c>
      <c r="V838" s="3" t="s">
        <v>1442</v>
      </c>
      <c r="W838" t="s">
        <v>16</v>
      </c>
    </row>
    <row r="839" spans="1:23" ht="12.75">
      <c r="A839" s="1">
        <v>45679.817800925928</v>
      </c>
      <c r="C839" t="s">
        <v>382</v>
      </c>
      <c r="D839">
        <v>42</v>
      </c>
      <c r="E839">
        <v>181</v>
      </c>
      <c r="F839">
        <v>85</v>
      </c>
      <c r="G839">
        <v>1</v>
      </c>
      <c r="H839" t="s">
        <v>591</v>
      </c>
      <c r="I839" t="s">
        <v>5</v>
      </c>
      <c r="J839" t="s">
        <v>36</v>
      </c>
      <c r="K839" t="s">
        <v>30</v>
      </c>
      <c r="L839" t="s">
        <v>10</v>
      </c>
      <c r="M839" t="s">
        <v>21</v>
      </c>
      <c r="N839" t="s">
        <v>40</v>
      </c>
      <c r="O839" t="s">
        <v>46</v>
      </c>
      <c r="P839" t="s">
        <v>12</v>
      </c>
      <c r="Q839" t="s">
        <v>32</v>
      </c>
      <c r="R839" t="s">
        <v>50</v>
      </c>
      <c r="S839" t="s">
        <v>25</v>
      </c>
      <c r="T839" t="s">
        <v>25</v>
      </c>
      <c r="U839" t="s">
        <v>5</v>
      </c>
      <c r="V839" s="3" t="s">
        <v>1443</v>
      </c>
      <c r="W839" t="s">
        <v>34</v>
      </c>
    </row>
    <row r="840" spans="1:23" ht="12.75">
      <c r="A840" s="1">
        <v>45792.257754629631</v>
      </c>
      <c r="C840" t="s">
        <v>172</v>
      </c>
      <c r="D840">
        <v>38</v>
      </c>
      <c r="E840">
        <v>168</v>
      </c>
      <c r="F840">
        <v>63</v>
      </c>
      <c r="G840">
        <v>3</v>
      </c>
      <c r="H840" t="s">
        <v>592</v>
      </c>
      <c r="I840" t="s">
        <v>5</v>
      </c>
      <c r="J840" t="s">
        <v>6</v>
      </c>
      <c r="K840" t="s">
        <v>60</v>
      </c>
      <c r="L840" t="s">
        <v>8</v>
      </c>
      <c r="M840" t="s">
        <v>9</v>
      </c>
      <c r="N840" t="s">
        <v>31</v>
      </c>
      <c r="O840" t="s">
        <v>11</v>
      </c>
      <c r="P840" t="s">
        <v>8</v>
      </c>
      <c r="Q840" t="s">
        <v>32</v>
      </c>
      <c r="R840" t="s">
        <v>50</v>
      </c>
      <c r="S840" t="s">
        <v>25</v>
      </c>
      <c r="T840" t="s">
        <v>25</v>
      </c>
      <c r="U840" t="s">
        <v>5</v>
      </c>
      <c r="V840" s="3" t="s">
        <v>1444</v>
      </c>
      <c r="W840" t="s">
        <v>16</v>
      </c>
    </row>
    <row r="841" spans="1:23" ht="12.75">
      <c r="A841" s="1">
        <v>45660.598819444444</v>
      </c>
      <c r="C841" t="s">
        <v>80</v>
      </c>
      <c r="D841">
        <v>32</v>
      </c>
      <c r="E841">
        <v>170</v>
      </c>
      <c r="F841">
        <v>106</v>
      </c>
      <c r="G841">
        <v>3</v>
      </c>
      <c r="H841" t="s">
        <v>592</v>
      </c>
      <c r="I841" t="s">
        <v>5</v>
      </c>
      <c r="J841" t="s">
        <v>36</v>
      </c>
      <c r="K841" t="s">
        <v>60</v>
      </c>
      <c r="L841" t="s">
        <v>8</v>
      </c>
      <c r="M841" t="s">
        <v>52</v>
      </c>
      <c r="N841" t="s">
        <v>10</v>
      </c>
      <c r="O841" t="s">
        <v>44</v>
      </c>
      <c r="P841" t="s">
        <v>40</v>
      </c>
      <c r="Q841" t="s">
        <v>23</v>
      </c>
      <c r="R841" t="s">
        <v>50</v>
      </c>
      <c r="S841" t="s">
        <v>25</v>
      </c>
      <c r="T841" t="s">
        <v>47</v>
      </c>
      <c r="U841" t="s">
        <v>5</v>
      </c>
      <c r="V841" s="3" t="s">
        <v>1445</v>
      </c>
      <c r="W841" t="s">
        <v>34</v>
      </c>
    </row>
    <row r="842" spans="1:23" ht="12.75">
      <c r="A842" s="1">
        <v>45749.663888888892</v>
      </c>
      <c r="C842" t="s">
        <v>202</v>
      </c>
      <c r="D842">
        <v>26</v>
      </c>
      <c r="E842">
        <v>183</v>
      </c>
      <c r="F842">
        <v>107</v>
      </c>
      <c r="G842">
        <v>3</v>
      </c>
      <c r="H842" t="s">
        <v>28</v>
      </c>
      <c r="I842" t="s">
        <v>29</v>
      </c>
      <c r="J842" t="s">
        <v>36</v>
      </c>
      <c r="K842" t="s">
        <v>19</v>
      </c>
      <c r="L842" t="s">
        <v>20</v>
      </c>
      <c r="M842" t="s">
        <v>52</v>
      </c>
      <c r="N842" t="s">
        <v>20</v>
      </c>
      <c r="O842" t="s">
        <v>46</v>
      </c>
      <c r="P842" t="s">
        <v>31</v>
      </c>
      <c r="Q842" t="s">
        <v>32</v>
      </c>
      <c r="R842" t="s">
        <v>14</v>
      </c>
      <c r="S842" t="s">
        <v>15</v>
      </c>
      <c r="T842" t="s">
        <v>24</v>
      </c>
      <c r="U842" t="s">
        <v>29</v>
      </c>
      <c r="V842" s="3" t="s">
        <v>1446</v>
      </c>
      <c r="W842" t="s">
        <v>34</v>
      </c>
    </row>
    <row r="843" spans="1:23" ht="12.75">
      <c r="A843" s="1">
        <v>45806.295381944445</v>
      </c>
      <c r="C843" t="s">
        <v>167</v>
      </c>
      <c r="D843">
        <v>34</v>
      </c>
      <c r="E843">
        <v>160</v>
      </c>
      <c r="F843">
        <v>82</v>
      </c>
      <c r="G843">
        <v>2.5</v>
      </c>
      <c r="H843" t="s">
        <v>591</v>
      </c>
      <c r="I843" t="s">
        <v>5</v>
      </c>
      <c r="J843" t="s">
        <v>36</v>
      </c>
      <c r="K843" t="s">
        <v>19</v>
      </c>
      <c r="L843" t="s">
        <v>20</v>
      </c>
      <c r="M843" t="s">
        <v>21</v>
      </c>
      <c r="N843" t="s">
        <v>20</v>
      </c>
      <c r="O843" t="s">
        <v>44</v>
      </c>
      <c r="P843" t="s">
        <v>10</v>
      </c>
      <c r="Q843" t="s">
        <v>13</v>
      </c>
      <c r="R843" t="s">
        <v>33</v>
      </c>
      <c r="S843" t="s">
        <v>47</v>
      </c>
      <c r="T843" t="s">
        <v>15</v>
      </c>
      <c r="U843" t="s">
        <v>5</v>
      </c>
      <c r="V843" s="3" t="s">
        <v>1447</v>
      </c>
      <c r="W843" t="s">
        <v>39</v>
      </c>
    </row>
    <row r="844" spans="1:23" ht="12.75">
      <c r="A844" s="1">
        <v>45724.142627314817</v>
      </c>
      <c r="C844" t="s">
        <v>291</v>
      </c>
      <c r="D844">
        <v>54</v>
      </c>
      <c r="E844">
        <v>161</v>
      </c>
      <c r="F844">
        <v>105</v>
      </c>
      <c r="G844">
        <v>2.5</v>
      </c>
      <c r="H844" t="s">
        <v>592</v>
      </c>
      <c r="I844" t="s">
        <v>5</v>
      </c>
      <c r="J844" t="s">
        <v>36</v>
      </c>
      <c r="K844" t="s">
        <v>30</v>
      </c>
      <c r="L844" t="s">
        <v>40</v>
      </c>
      <c r="M844" t="s">
        <v>21</v>
      </c>
      <c r="N844" t="s">
        <v>12</v>
      </c>
      <c r="O844" t="s">
        <v>11</v>
      </c>
      <c r="P844" t="s">
        <v>31</v>
      </c>
      <c r="Q844" t="s">
        <v>23</v>
      </c>
      <c r="R844" t="s">
        <v>14</v>
      </c>
      <c r="S844" t="s">
        <v>24</v>
      </c>
      <c r="T844" t="s">
        <v>25</v>
      </c>
      <c r="U844" t="s">
        <v>5</v>
      </c>
      <c r="V844" s="3" t="s">
        <v>1448</v>
      </c>
      <c r="W844" t="s">
        <v>16</v>
      </c>
    </row>
    <row r="845" spans="1:23" ht="12.75">
      <c r="A845" s="1">
        <v>45724.898368055554</v>
      </c>
      <c r="C845" t="s">
        <v>357</v>
      </c>
      <c r="D845">
        <v>20</v>
      </c>
      <c r="E845">
        <v>174</v>
      </c>
      <c r="F845">
        <v>82</v>
      </c>
      <c r="G845">
        <v>2</v>
      </c>
      <c r="H845" t="s">
        <v>590</v>
      </c>
      <c r="I845" t="s">
        <v>29</v>
      </c>
      <c r="J845" t="s">
        <v>36</v>
      </c>
      <c r="K845" t="s">
        <v>19</v>
      </c>
      <c r="L845" t="s">
        <v>12</v>
      </c>
      <c r="M845" t="s">
        <v>21</v>
      </c>
      <c r="N845" t="s">
        <v>10</v>
      </c>
      <c r="O845" t="s">
        <v>11</v>
      </c>
      <c r="P845" t="s">
        <v>31</v>
      </c>
      <c r="Q845" t="s">
        <v>55</v>
      </c>
      <c r="R845" t="s">
        <v>50</v>
      </c>
      <c r="S845" t="s">
        <v>25</v>
      </c>
      <c r="T845" t="s">
        <v>24</v>
      </c>
      <c r="U845" t="s">
        <v>5</v>
      </c>
      <c r="V845" s="3" t="s">
        <v>1449</v>
      </c>
      <c r="W845" t="s">
        <v>39</v>
      </c>
    </row>
    <row r="846" spans="1:23" ht="12.75">
      <c r="A846" s="1">
        <v>45695.491377314815</v>
      </c>
      <c r="C846" t="s">
        <v>111</v>
      </c>
      <c r="D846">
        <v>28</v>
      </c>
      <c r="E846">
        <v>166</v>
      </c>
      <c r="F846">
        <v>54</v>
      </c>
      <c r="G846">
        <v>1.5</v>
      </c>
      <c r="H846" t="s">
        <v>591</v>
      </c>
      <c r="I846" t="s">
        <v>29</v>
      </c>
      <c r="J846" t="s">
        <v>6</v>
      </c>
      <c r="K846" t="s">
        <v>37</v>
      </c>
      <c r="L846" t="s">
        <v>20</v>
      </c>
      <c r="M846" t="s">
        <v>52</v>
      </c>
      <c r="N846" t="s">
        <v>8</v>
      </c>
      <c r="O846" t="s">
        <v>46</v>
      </c>
      <c r="P846" t="s">
        <v>12</v>
      </c>
      <c r="Q846" t="s">
        <v>13</v>
      </c>
      <c r="R846" t="s">
        <v>14</v>
      </c>
      <c r="S846" t="s">
        <v>47</v>
      </c>
      <c r="T846" t="s">
        <v>15</v>
      </c>
      <c r="U846" t="s">
        <v>5</v>
      </c>
      <c r="V846" s="3" t="s">
        <v>1450</v>
      </c>
      <c r="W846" t="s">
        <v>34</v>
      </c>
    </row>
    <row r="847" spans="1:23" ht="12.75">
      <c r="A847" s="1">
        <v>45678.143171296295</v>
      </c>
      <c r="C847" t="s">
        <v>293</v>
      </c>
      <c r="D847">
        <v>50</v>
      </c>
      <c r="E847">
        <v>165</v>
      </c>
      <c r="F847">
        <v>105</v>
      </c>
      <c r="G847">
        <v>3</v>
      </c>
      <c r="H847" t="s">
        <v>591</v>
      </c>
      <c r="I847" t="s">
        <v>29</v>
      </c>
      <c r="J847" t="s">
        <v>36</v>
      </c>
      <c r="K847" t="s">
        <v>60</v>
      </c>
      <c r="L847" t="s">
        <v>8</v>
      </c>
      <c r="M847" t="s">
        <v>21</v>
      </c>
      <c r="N847" t="s">
        <v>8</v>
      </c>
      <c r="O847" t="s">
        <v>22</v>
      </c>
      <c r="P847" t="s">
        <v>40</v>
      </c>
      <c r="Q847" t="s">
        <v>32</v>
      </c>
      <c r="R847" t="s">
        <v>33</v>
      </c>
      <c r="S847" t="s">
        <v>24</v>
      </c>
      <c r="T847" t="s">
        <v>15</v>
      </c>
      <c r="U847" t="s">
        <v>5</v>
      </c>
      <c r="V847" s="3" t="s">
        <v>1451</v>
      </c>
      <c r="W847" t="s">
        <v>34</v>
      </c>
    </row>
    <row r="848" spans="1:23" ht="12.75">
      <c r="A848" s="1">
        <v>45772.938668981478</v>
      </c>
      <c r="C848" t="s">
        <v>86</v>
      </c>
      <c r="D848">
        <v>36</v>
      </c>
      <c r="E848">
        <v>163</v>
      </c>
      <c r="F848">
        <v>51</v>
      </c>
      <c r="G848">
        <v>1.5</v>
      </c>
      <c r="H848" t="s">
        <v>591</v>
      </c>
      <c r="I848" t="s">
        <v>29</v>
      </c>
      <c r="J848" t="s">
        <v>6</v>
      </c>
      <c r="K848" t="s">
        <v>37</v>
      </c>
      <c r="L848" t="s">
        <v>20</v>
      </c>
      <c r="M848" t="s">
        <v>38</v>
      </c>
      <c r="N848" t="s">
        <v>20</v>
      </c>
      <c r="O848" t="s">
        <v>44</v>
      </c>
      <c r="P848" t="s">
        <v>10</v>
      </c>
      <c r="Q848" t="s">
        <v>13</v>
      </c>
      <c r="R848" t="s">
        <v>33</v>
      </c>
      <c r="S848" t="s">
        <v>15</v>
      </c>
      <c r="T848" t="s">
        <v>15</v>
      </c>
      <c r="U848" t="s">
        <v>29</v>
      </c>
      <c r="V848" s="3" t="s">
        <v>1452</v>
      </c>
      <c r="W848" t="s">
        <v>34</v>
      </c>
    </row>
    <row r="849" spans="1:23" ht="12.75">
      <c r="A849" s="1">
        <v>45680.842638888891</v>
      </c>
      <c r="C849" t="s">
        <v>102</v>
      </c>
      <c r="D849">
        <v>24</v>
      </c>
      <c r="E849">
        <v>170</v>
      </c>
      <c r="F849">
        <v>66</v>
      </c>
      <c r="G849">
        <v>1.5</v>
      </c>
      <c r="H849" t="s">
        <v>590</v>
      </c>
      <c r="I849" t="s">
        <v>29</v>
      </c>
      <c r="J849" t="s">
        <v>36</v>
      </c>
      <c r="K849" t="s">
        <v>37</v>
      </c>
      <c r="L849" t="s">
        <v>8</v>
      </c>
      <c r="M849" t="s">
        <v>38</v>
      </c>
      <c r="N849" t="s">
        <v>31</v>
      </c>
      <c r="O849" t="s">
        <v>11</v>
      </c>
      <c r="P849" t="s">
        <v>8</v>
      </c>
      <c r="Q849" t="s">
        <v>32</v>
      </c>
      <c r="R849" t="s">
        <v>33</v>
      </c>
      <c r="S849" t="s">
        <v>24</v>
      </c>
      <c r="T849" t="s">
        <v>15</v>
      </c>
      <c r="U849" t="s">
        <v>5</v>
      </c>
      <c r="V849" s="3" t="s">
        <v>1453</v>
      </c>
      <c r="W849" t="s">
        <v>16</v>
      </c>
    </row>
    <row r="850" spans="1:23" ht="12.75">
      <c r="A850" s="1">
        <v>45795.246435185189</v>
      </c>
      <c r="C850" t="s">
        <v>249</v>
      </c>
      <c r="D850">
        <v>43</v>
      </c>
      <c r="E850">
        <v>162</v>
      </c>
      <c r="F850">
        <v>51</v>
      </c>
      <c r="G850">
        <v>3</v>
      </c>
      <c r="H850" t="s">
        <v>591</v>
      </c>
      <c r="I850" t="s">
        <v>29</v>
      </c>
      <c r="J850" t="s">
        <v>6</v>
      </c>
      <c r="K850" t="s">
        <v>30</v>
      </c>
      <c r="L850" t="s">
        <v>8</v>
      </c>
      <c r="M850" t="s">
        <v>38</v>
      </c>
      <c r="N850" t="s">
        <v>31</v>
      </c>
      <c r="O850" t="s">
        <v>22</v>
      </c>
      <c r="P850" t="s">
        <v>8</v>
      </c>
      <c r="Q850" t="s">
        <v>23</v>
      </c>
      <c r="R850" t="s">
        <v>14</v>
      </c>
      <c r="S850" t="s">
        <v>15</v>
      </c>
      <c r="T850" t="s">
        <v>15</v>
      </c>
      <c r="U850" t="s">
        <v>29</v>
      </c>
      <c r="V850" s="3" t="s">
        <v>1454</v>
      </c>
      <c r="W850" t="s">
        <v>39</v>
      </c>
    </row>
    <row r="851" spans="1:23" ht="12.75">
      <c r="A851" s="1">
        <v>45727.729259259257</v>
      </c>
      <c r="C851" t="s">
        <v>150</v>
      </c>
      <c r="D851">
        <v>35</v>
      </c>
      <c r="E851">
        <v>188</v>
      </c>
      <c r="F851">
        <v>68</v>
      </c>
      <c r="G851">
        <v>3</v>
      </c>
      <c r="H851" t="s">
        <v>28</v>
      </c>
      <c r="I851" t="s">
        <v>29</v>
      </c>
      <c r="J851" t="s">
        <v>36</v>
      </c>
      <c r="K851" t="s">
        <v>60</v>
      </c>
      <c r="L851" t="s">
        <v>31</v>
      </c>
      <c r="M851" t="s">
        <v>21</v>
      </c>
      <c r="N851" t="s">
        <v>20</v>
      </c>
      <c r="O851" t="s">
        <v>44</v>
      </c>
      <c r="P851" t="s">
        <v>20</v>
      </c>
      <c r="Q851" t="s">
        <v>23</v>
      </c>
      <c r="R851" t="s">
        <v>50</v>
      </c>
      <c r="S851" t="s">
        <v>24</v>
      </c>
      <c r="T851" t="s">
        <v>24</v>
      </c>
      <c r="U851" t="s">
        <v>5</v>
      </c>
      <c r="V851" s="3" t="s">
        <v>1455</v>
      </c>
      <c r="W851" t="s">
        <v>39</v>
      </c>
    </row>
    <row r="852" spans="1:23" ht="12.75">
      <c r="A852" s="1">
        <v>45790.805659722224</v>
      </c>
      <c r="C852" t="s">
        <v>383</v>
      </c>
      <c r="D852">
        <v>44</v>
      </c>
      <c r="E852">
        <v>171</v>
      </c>
      <c r="F852">
        <v>87</v>
      </c>
      <c r="G852">
        <v>1.5</v>
      </c>
      <c r="H852" t="s">
        <v>592</v>
      </c>
      <c r="I852" t="s">
        <v>29</v>
      </c>
      <c r="J852" t="s">
        <v>6</v>
      </c>
      <c r="K852" t="s">
        <v>63</v>
      </c>
      <c r="L852" t="s">
        <v>10</v>
      </c>
      <c r="M852" t="s">
        <v>38</v>
      </c>
      <c r="N852" t="s">
        <v>10</v>
      </c>
      <c r="O852" t="s">
        <v>11</v>
      </c>
      <c r="P852" t="s">
        <v>20</v>
      </c>
      <c r="Q852" t="s">
        <v>55</v>
      </c>
      <c r="R852" t="s">
        <v>50</v>
      </c>
      <c r="S852" t="s">
        <v>47</v>
      </c>
      <c r="T852" t="s">
        <v>47</v>
      </c>
      <c r="U852" t="s">
        <v>5</v>
      </c>
      <c r="V852" s="3" t="s">
        <v>1456</v>
      </c>
      <c r="W852" t="s">
        <v>34</v>
      </c>
    </row>
    <row r="853" spans="1:23" ht="12.75">
      <c r="A853" s="1">
        <v>45781.238587962966</v>
      </c>
      <c r="C853" t="s">
        <v>92</v>
      </c>
      <c r="D853">
        <v>28</v>
      </c>
      <c r="E853">
        <v>167</v>
      </c>
      <c r="F853">
        <v>107</v>
      </c>
      <c r="G853">
        <v>2</v>
      </c>
      <c r="H853" t="s">
        <v>28</v>
      </c>
      <c r="I853" t="s">
        <v>29</v>
      </c>
      <c r="J853" t="s">
        <v>6</v>
      </c>
      <c r="K853" t="s">
        <v>37</v>
      </c>
      <c r="L853" t="s">
        <v>10</v>
      </c>
      <c r="M853" t="s">
        <v>52</v>
      </c>
      <c r="N853" t="s">
        <v>31</v>
      </c>
      <c r="O853" t="s">
        <v>44</v>
      </c>
      <c r="P853" t="s">
        <v>8</v>
      </c>
      <c r="Q853" t="s">
        <v>32</v>
      </c>
      <c r="R853" t="s">
        <v>33</v>
      </c>
      <c r="S853" t="s">
        <v>15</v>
      </c>
      <c r="T853" t="s">
        <v>24</v>
      </c>
      <c r="U853" t="s">
        <v>5</v>
      </c>
      <c r="V853" s="3" t="s">
        <v>1457</v>
      </c>
      <c r="W853" t="s">
        <v>39</v>
      </c>
    </row>
    <row r="854" spans="1:23" ht="12.75">
      <c r="A854" s="1">
        <v>45751.452222222222</v>
      </c>
      <c r="C854" t="s">
        <v>172</v>
      </c>
      <c r="D854">
        <v>20</v>
      </c>
      <c r="E854">
        <v>188</v>
      </c>
      <c r="F854">
        <v>53</v>
      </c>
      <c r="G854">
        <v>3</v>
      </c>
      <c r="H854" t="s">
        <v>592</v>
      </c>
      <c r="I854" t="s">
        <v>29</v>
      </c>
      <c r="J854" t="s">
        <v>36</v>
      </c>
      <c r="K854" t="s">
        <v>60</v>
      </c>
      <c r="L854" t="s">
        <v>31</v>
      </c>
      <c r="M854" t="s">
        <v>52</v>
      </c>
      <c r="N854" t="s">
        <v>31</v>
      </c>
      <c r="O854" t="s">
        <v>22</v>
      </c>
      <c r="P854" t="s">
        <v>20</v>
      </c>
      <c r="Q854" t="s">
        <v>23</v>
      </c>
      <c r="R854" t="s">
        <v>33</v>
      </c>
      <c r="S854" t="s">
        <v>24</v>
      </c>
      <c r="T854" t="s">
        <v>47</v>
      </c>
      <c r="U854" t="s">
        <v>29</v>
      </c>
      <c r="V854" s="3" t="s">
        <v>1458</v>
      </c>
      <c r="W854" t="s">
        <v>39</v>
      </c>
    </row>
    <row r="855" spans="1:23" ht="12.75">
      <c r="A855" s="1">
        <v>45781.339074074072</v>
      </c>
      <c r="C855" t="s">
        <v>239</v>
      </c>
      <c r="D855">
        <v>36</v>
      </c>
      <c r="E855">
        <v>169</v>
      </c>
      <c r="F855">
        <v>72</v>
      </c>
      <c r="G855">
        <v>1</v>
      </c>
      <c r="H855" t="s">
        <v>28</v>
      </c>
      <c r="I855" t="s">
        <v>29</v>
      </c>
      <c r="J855" t="s">
        <v>36</v>
      </c>
      <c r="K855" t="s">
        <v>7</v>
      </c>
      <c r="L855" t="s">
        <v>31</v>
      </c>
      <c r="M855" t="s">
        <v>52</v>
      </c>
      <c r="N855" t="s">
        <v>10</v>
      </c>
      <c r="O855" t="s">
        <v>11</v>
      </c>
      <c r="P855" t="s">
        <v>8</v>
      </c>
      <c r="Q855" t="s">
        <v>55</v>
      </c>
      <c r="R855" t="s">
        <v>14</v>
      </c>
      <c r="S855" t="s">
        <v>25</v>
      </c>
      <c r="T855" t="s">
        <v>24</v>
      </c>
      <c r="U855" t="s">
        <v>5</v>
      </c>
      <c r="V855" s="3" t="s">
        <v>1459</v>
      </c>
      <c r="W855" t="s">
        <v>26</v>
      </c>
    </row>
    <row r="856" spans="1:23" ht="12.75">
      <c r="A856" s="1">
        <v>45689.258923611109</v>
      </c>
      <c r="C856" t="s">
        <v>249</v>
      </c>
      <c r="D856">
        <v>55</v>
      </c>
      <c r="E856">
        <v>156</v>
      </c>
      <c r="F856">
        <v>62</v>
      </c>
      <c r="G856">
        <v>2</v>
      </c>
      <c r="H856" t="s">
        <v>592</v>
      </c>
      <c r="I856" t="s">
        <v>5</v>
      </c>
      <c r="J856" t="s">
        <v>6</v>
      </c>
      <c r="K856" t="s">
        <v>19</v>
      </c>
      <c r="L856" t="s">
        <v>31</v>
      </c>
      <c r="M856" t="s">
        <v>52</v>
      </c>
      <c r="N856" t="s">
        <v>12</v>
      </c>
      <c r="O856" t="s">
        <v>22</v>
      </c>
      <c r="P856" t="s">
        <v>10</v>
      </c>
      <c r="Q856" t="s">
        <v>13</v>
      </c>
      <c r="R856" t="s">
        <v>14</v>
      </c>
      <c r="S856" t="s">
        <v>25</v>
      </c>
      <c r="T856" t="s">
        <v>24</v>
      </c>
      <c r="U856" t="s">
        <v>29</v>
      </c>
      <c r="V856" s="3" t="s">
        <v>1460</v>
      </c>
      <c r="W856" t="s">
        <v>39</v>
      </c>
    </row>
    <row r="857" spans="1:23" ht="12.75">
      <c r="A857" s="1">
        <v>45722.384201388886</v>
      </c>
      <c r="C857" t="s">
        <v>227</v>
      </c>
      <c r="D857">
        <v>35</v>
      </c>
      <c r="E857">
        <v>184</v>
      </c>
      <c r="F857">
        <v>94</v>
      </c>
      <c r="G857">
        <v>1</v>
      </c>
      <c r="H857" t="s">
        <v>592</v>
      </c>
      <c r="I857" t="s">
        <v>5</v>
      </c>
      <c r="J857" t="s">
        <v>6</v>
      </c>
      <c r="K857" t="s">
        <v>37</v>
      </c>
      <c r="L857" t="s">
        <v>8</v>
      </c>
      <c r="M857" t="s">
        <v>38</v>
      </c>
      <c r="N857" t="s">
        <v>8</v>
      </c>
      <c r="O857" t="s">
        <v>11</v>
      </c>
      <c r="P857" t="s">
        <v>8</v>
      </c>
      <c r="Q857" t="s">
        <v>23</v>
      </c>
      <c r="R857" t="s">
        <v>14</v>
      </c>
      <c r="S857" t="s">
        <v>25</v>
      </c>
      <c r="T857" t="s">
        <v>25</v>
      </c>
      <c r="U857" t="s">
        <v>5</v>
      </c>
      <c r="V857" s="3" t="s">
        <v>1461</v>
      </c>
      <c r="W857" t="s">
        <v>39</v>
      </c>
    </row>
    <row r="858" spans="1:23" ht="12.75">
      <c r="A858" s="1">
        <v>45692.753796296296</v>
      </c>
      <c r="C858" t="s">
        <v>194</v>
      </c>
      <c r="D858">
        <v>25</v>
      </c>
      <c r="E858">
        <v>170</v>
      </c>
      <c r="F858">
        <v>75</v>
      </c>
      <c r="G858">
        <v>2</v>
      </c>
      <c r="H858" t="s">
        <v>591</v>
      </c>
      <c r="I858" t="s">
        <v>29</v>
      </c>
      <c r="J858" t="s">
        <v>6</v>
      </c>
      <c r="K858" t="s">
        <v>19</v>
      </c>
      <c r="L858" t="s">
        <v>40</v>
      </c>
      <c r="M858" t="s">
        <v>38</v>
      </c>
      <c r="N858" t="s">
        <v>12</v>
      </c>
      <c r="O858" t="s">
        <v>22</v>
      </c>
      <c r="P858" t="s">
        <v>20</v>
      </c>
      <c r="Q858" t="s">
        <v>55</v>
      </c>
      <c r="R858" t="s">
        <v>14</v>
      </c>
      <c r="S858" t="s">
        <v>24</v>
      </c>
      <c r="T858" t="s">
        <v>24</v>
      </c>
      <c r="U858" t="s">
        <v>29</v>
      </c>
      <c r="V858" s="3" t="s">
        <v>1462</v>
      </c>
      <c r="W858" t="s">
        <v>16</v>
      </c>
    </row>
    <row r="859" spans="1:23" ht="12.75">
      <c r="A859" s="1">
        <v>45708.800833333335</v>
      </c>
      <c r="C859" t="s">
        <v>212</v>
      </c>
      <c r="D859">
        <v>43</v>
      </c>
      <c r="E859">
        <v>188</v>
      </c>
      <c r="F859">
        <v>72</v>
      </c>
      <c r="G859">
        <v>2</v>
      </c>
      <c r="H859" t="s">
        <v>592</v>
      </c>
      <c r="I859" t="s">
        <v>5</v>
      </c>
      <c r="J859" t="s">
        <v>36</v>
      </c>
      <c r="K859" t="s">
        <v>60</v>
      </c>
      <c r="L859" t="s">
        <v>10</v>
      </c>
      <c r="M859" t="s">
        <v>9</v>
      </c>
      <c r="N859" t="s">
        <v>12</v>
      </c>
      <c r="O859" t="s">
        <v>11</v>
      </c>
      <c r="P859" t="s">
        <v>10</v>
      </c>
      <c r="Q859" t="s">
        <v>13</v>
      </c>
      <c r="R859" t="s">
        <v>14</v>
      </c>
      <c r="S859" t="s">
        <v>15</v>
      </c>
      <c r="T859" t="s">
        <v>47</v>
      </c>
      <c r="U859" t="s">
        <v>29</v>
      </c>
      <c r="V859" s="3" t="s">
        <v>1463</v>
      </c>
      <c r="W859" t="s">
        <v>26</v>
      </c>
    </row>
    <row r="860" spans="1:23" ht="12.75">
      <c r="A860" s="1">
        <v>45804.475972222222</v>
      </c>
      <c r="C860" t="s">
        <v>384</v>
      </c>
      <c r="D860">
        <v>47</v>
      </c>
      <c r="E860">
        <v>177</v>
      </c>
      <c r="F860">
        <v>102</v>
      </c>
      <c r="G860">
        <v>2</v>
      </c>
      <c r="H860" t="s">
        <v>590</v>
      </c>
      <c r="I860" t="s">
        <v>5</v>
      </c>
      <c r="J860" t="s">
        <v>6</v>
      </c>
      <c r="K860" t="s">
        <v>7</v>
      </c>
      <c r="L860" t="s">
        <v>40</v>
      </c>
      <c r="M860" t="s">
        <v>52</v>
      </c>
      <c r="N860" t="s">
        <v>20</v>
      </c>
      <c r="O860" t="s">
        <v>22</v>
      </c>
      <c r="P860" t="s">
        <v>10</v>
      </c>
      <c r="Q860" t="s">
        <v>32</v>
      </c>
      <c r="R860" t="s">
        <v>50</v>
      </c>
      <c r="S860" t="s">
        <v>47</v>
      </c>
      <c r="T860" t="s">
        <v>24</v>
      </c>
      <c r="U860" t="s">
        <v>29</v>
      </c>
      <c r="V860" s="3" t="s">
        <v>1464</v>
      </c>
      <c r="W860" t="s">
        <v>16</v>
      </c>
    </row>
    <row r="861" spans="1:23" ht="12.75">
      <c r="A861" s="1">
        <v>45719.829351851855</v>
      </c>
      <c r="C861" t="s">
        <v>365</v>
      </c>
      <c r="D861">
        <v>26</v>
      </c>
      <c r="E861">
        <v>179</v>
      </c>
      <c r="F861">
        <v>104</v>
      </c>
      <c r="G861">
        <v>1.5</v>
      </c>
      <c r="H861" t="s">
        <v>591</v>
      </c>
      <c r="I861" t="s">
        <v>5</v>
      </c>
      <c r="J861" t="s">
        <v>36</v>
      </c>
      <c r="K861" t="s">
        <v>37</v>
      </c>
      <c r="L861" t="s">
        <v>12</v>
      </c>
      <c r="M861" t="s">
        <v>38</v>
      </c>
      <c r="N861" t="s">
        <v>31</v>
      </c>
      <c r="O861" t="s">
        <v>11</v>
      </c>
      <c r="P861" t="s">
        <v>12</v>
      </c>
      <c r="Q861" t="s">
        <v>13</v>
      </c>
      <c r="R861" t="s">
        <v>14</v>
      </c>
      <c r="S861" t="s">
        <v>24</v>
      </c>
      <c r="T861" t="s">
        <v>25</v>
      </c>
      <c r="U861" t="s">
        <v>5</v>
      </c>
      <c r="V861" s="3" t="s">
        <v>1465</v>
      </c>
      <c r="W861" t="s">
        <v>26</v>
      </c>
    </row>
    <row r="862" spans="1:23" ht="12.75">
      <c r="A862" s="1">
        <v>45764.800104166665</v>
      </c>
      <c r="C862" t="s">
        <v>385</v>
      </c>
      <c r="D862">
        <v>32</v>
      </c>
      <c r="E862">
        <v>183</v>
      </c>
      <c r="F862">
        <v>107</v>
      </c>
      <c r="G862">
        <v>3</v>
      </c>
      <c r="H862" t="s">
        <v>592</v>
      </c>
      <c r="I862" t="s">
        <v>29</v>
      </c>
      <c r="J862" t="s">
        <v>6</v>
      </c>
      <c r="K862" t="s">
        <v>19</v>
      </c>
      <c r="L862" t="s">
        <v>40</v>
      </c>
      <c r="M862" t="s">
        <v>9</v>
      </c>
      <c r="N862" t="s">
        <v>20</v>
      </c>
      <c r="O862" t="s">
        <v>44</v>
      </c>
      <c r="P862" t="s">
        <v>8</v>
      </c>
      <c r="Q862" t="s">
        <v>23</v>
      </c>
      <c r="R862" t="s">
        <v>14</v>
      </c>
      <c r="S862" t="s">
        <v>15</v>
      </c>
      <c r="T862" t="s">
        <v>24</v>
      </c>
      <c r="U862" t="s">
        <v>5</v>
      </c>
      <c r="V862" s="3" t="s">
        <v>1466</v>
      </c>
      <c r="W862" t="s">
        <v>26</v>
      </c>
    </row>
    <row r="863" spans="1:23" ht="12.75">
      <c r="A863" s="1">
        <v>45712.233506944445</v>
      </c>
      <c r="C863" t="s">
        <v>74</v>
      </c>
      <c r="D863">
        <v>29</v>
      </c>
      <c r="E863">
        <v>175</v>
      </c>
      <c r="F863">
        <v>102</v>
      </c>
      <c r="G863">
        <v>1.5</v>
      </c>
      <c r="H863" t="s">
        <v>591</v>
      </c>
      <c r="I863" t="s">
        <v>5</v>
      </c>
      <c r="J863" t="s">
        <v>6</v>
      </c>
      <c r="K863" t="s">
        <v>7</v>
      </c>
      <c r="L863" t="s">
        <v>40</v>
      </c>
      <c r="M863" t="s">
        <v>38</v>
      </c>
      <c r="N863" t="s">
        <v>10</v>
      </c>
      <c r="O863" t="s">
        <v>11</v>
      </c>
      <c r="P863" t="s">
        <v>31</v>
      </c>
      <c r="Q863" t="s">
        <v>13</v>
      </c>
      <c r="R863" t="s">
        <v>50</v>
      </c>
      <c r="S863" t="s">
        <v>47</v>
      </c>
      <c r="T863" t="s">
        <v>24</v>
      </c>
      <c r="U863" t="s">
        <v>5</v>
      </c>
      <c r="V863" s="3" t="s">
        <v>1467</v>
      </c>
      <c r="W863" t="s">
        <v>16</v>
      </c>
    </row>
    <row r="864" spans="1:23" ht="12.75">
      <c r="A864" s="1">
        <v>45724.634641203702</v>
      </c>
      <c r="C864" t="s">
        <v>148</v>
      </c>
      <c r="D864">
        <v>46</v>
      </c>
      <c r="E864">
        <v>161</v>
      </c>
      <c r="F864">
        <v>102</v>
      </c>
      <c r="G864">
        <v>2</v>
      </c>
      <c r="H864" t="s">
        <v>592</v>
      </c>
      <c r="I864" t="s">
        <v>29</v>
      </c>
      <c r="J864" t="s">
        <v>6</v>
      </c>
      <c r="K864" t="s">
        <v>63</v>
      </c>
      <c r="L864" t="s">
        <v>31</v>
      </c>
      <c r="M864" t="s">
        <v>9</v>
      </c>
      <c r="N864" t="s">
        <v>8</v>
      </c>
      <c r="O864" t="s">
        <v>22</v>
      </c>
      <c r="P864" t="s">
        <v>20</v>
      </c>
      <c r="Q864" t="s">
        <v>32</v>
      </c>
      <c r="R864" t="s">
        <v>14</v>
      </c>
      <c r="S864" t="s">
        <v>15</v>
      </c>
      <c r="T864" t="s">
        <v>15</v>
      </c>
      <c r="U864" t="s">
        <v>29</v>
      </c>
      <c r="V864" s="3" t="s">
        <v>1468</v>
      </c>
      <c r="W864" t="s">
        <v>26</v>
      </c>
    </row>
    <row r="865" spans="1:23" ht="12.75">
      <c r="A865" s="1">
        <v>45705.880972222221</v>
      </c>
      <c r="C865" t="s">
        <v>57</v>
      </c>
      <c r="D865">
        <v>26</v>
      </c>
      <c r="E865">
        <v>185</v>
      </c>
      <c r="F865">
        <v>109</v>
      </c>
      <c r="G865">
        <v>2.5</v>
      </c>
      <c r="H865" t="s">
        <v>590</v>
      </c>
      <c r="I865" t="s">
        <v>29</v>
      </c>
      <c r="J865" t="s">
        <v>36</v>
      </c>
      <c r="K865" t="s">
        <v>63</v>
      </c>
      <c r="L865" t="s">
        <v>12</v>
      </c>
      <c r="M865" t="s">
        <v>9</v>
      </c>
      <c r="N865" t="s">
        <v>40</v>
      </c>
      <c r="O865" t="s">
        <v>44</v>
      </c>
      <c r="P865" t="s">
        <v>12</v>
      </c>
      <c r="Q865" t="s">
        <v>32</v>
      </c>
      <c r="R865" t="s">
        <v>14</v>
      </c>
      <c r="S865" t="s">
        <v>25</v>
      </c>
      <c r="T865" t="s">
        <v>24</v>
      </c>
      <c r="U865" t="s">
        <v>29</v>
      </c>
      <c r="V865" s="3" t="s">
        <v>1469</v>
      </c>
      <c r="W865" t="s">
        <v>26</v>
      </c>
    </row>
    <row r="866" spans="1:23" ht="12.75">
      <c r="A866" s="1">
        <v>45699.834421296298</v>
      </c>
      <c r="C866" t="s">
        <v>106</v>
      </c>
      <c r="D866">
        <v>32</v>
      </c>
      <c r="E866">
        <v>166</v>
      </c>
      <c r="F866">
        <v>68</v>
      </c>
      <c r="G866">
        <v>3</v>
      </c>
      <c r="H866" t="s">
        <v>28</v>
      </c>
      <c r="I866" t="s">
        <v>29</v>
      </c>
      <c r="J866" t="s">
        <v>6</v>
      </c>
      <c r="K866" t="s">
        <v>60</v>
      </c>
      <c r="L866" t="s">
        <v>8</v>
      </c>
      <c r="M866" t="s">
        <v>9</v>
      </c>
      <c r="N866" t="s">
        <v>10</v>
      </c>
      <c r="O866" t="s">
        <v>44</v>
      </c>
      <c r="P866" t="s">
        <v>40</v>
      </c>
      <c r="Q866" t="s">
        <v>23</v>
      </c>
      <c r="R866" t="s">
        <v>14</v>
      </c>
      <c r="S866" t="s">
        <v>15</v>
      </c>
      <c r="T866" t="s">
        <v>47</v>
      </c>
      <c r="U866" t="s">
        <v>29</v>
      </c>
      <c r="V866" s="3" t="s">
        <v>1470</v>
      </c>
      <c r="W866" t="s">
        <v>34</v>
      </c>
    </row>
    <row r="867" spans="1:23" ht="12.75">
      <c r="A867" s="1">
        <v>45767.048333333332</v>
      </c>
      <c r="C867" t="s">
        <v>145</v>
      </c>
      <c r="D867">
        <v>20</v>
      </c>
      <c r="E867">
        <v>162</v>
      </c>
      <c r="F867">
        <v>107</v>
      </c>
      <c r="G867">
        <v>3</v>
      </c>
      <c r="H867" t="s">
        <v>592</v>
      </c>
      <c r="I867" t="s">
        <v>5</v>
      </c>
      <c r="J867" t="s">
        <v>6</v>
      </c>
      <c r="K867" t="s">
        <v>60</v>
      </c>
      <c r="L867" t="s">
        <v>8</v>
      </c>
      <c r="M867" t="s">
        <v>38</v>
      </c>
      <c r="N867" t="s">
        <v>8</v>
      </c>
      <c r="O867" t="s">
        <v>11</v>
      </c>
      <c r="P867" t="s">
        <v>20</v>
      </c>
      <c r="Q867" t="s">
        <v>55</v>
      </c>
      <c r="R867" t="s">
        <v>33</v>
      </c>
      <c r="S867" t="s">
        <v>15</v>
      </c>
      <c r="T867" t="s">
        <v>25</v>
      </c>
      <c r="U867" t="s">
        <v>5</v>
      </c>
      <c r="V867" s="3" t="s">
        <v>1458</v>
      </c>
      <c r="W867" t="s">
        <v>39</v>
      </c>
    </row>
    <row r="868" spans="1:23" ht="12.75">
      <c r="A868" s="1">
        <v>45706.900972222225</v>
      </c>
      <c r="C868" t="s">
        <v>386</v>
      </c>
      <c r="D868">
        <v>57</v>
      </c>
      <c r="E868">
        <v>181</v>
      </c>
      <c r="F868">
        <v>100</v>
      </c>
      <c r="G868">
        <v>1</v>
      </c>
      <c r="H868" t="s">
        <v>591</v>
      </c>
      <c r="I868" t="s">
        <v>5</v>
      </c>
      <c r="J868" t="s">
        <v>36</v>
      </c>
      <c r="K868" t="s">
        <v>60</v>
      </c>
      <c r="L868" t="s">
        <v>20</v>
      </c>
      <c r="M868" t="s">
        <v>9</v>
      </c>
      <c r="N868" t="s">
        <v>10</v>
      </c>
      <c r="O868" t="s">
        <v>22</v>
      </c>
      <c r="P868" t="s">
        <v>20</v>
      </c>
      <c r="Q868" t="s">
        <v>23</v>
      </c>
      <c r="R868" t="s">
        <v>14</v>
      </c>
      <c r="S868" t="s">
        <v>15</v>
      </c>
      <c r="T868" t="s">
        <v>47</v>
      </c>
      <c r="U868" t="s">
        <v>5</v>
      </c>
      <c r="V868" s="3" t="s">
        <v>1471</v>
      </c>
      <c r="W868" t="s">
        <v>26</v>
      </c>
    </row>
    <row r="869" spans="1:23" ht="12.75">
      <c r="A869" s="1">
        <v>45730.001620370371</v>
      </c>
      <c r="C869" t="s">
        <v>110</v>
      </c>
      <c r="D869">
        <v>37</v>
      </c>
      <c r="E869">
        <v>179</v>
      </c>
      <c r="F869">
        <v>72</v>
      </c>
      <c r="G869">
        <v>2</v>
      </c>
      <c r="H869" t="s">
        <v>590</v>
      </c>
      <c r="I869" t="s">
        <v>5</v>
      </c>
      <c r="J869" t="s">
        <v>36</v>
      </c>
      <c r="K869" t="s">
        <v>19</v>
      </c>
      <c r="L869" t="s">
        <v>12</v>
      </c>
      <c r="M869" t="s">
        <v>21</v>
      </c>
      <c r="N869" t="s">
        <v>10</v>
      </c>
      <c r="O869" t="s">
        <v>22</v>
      </c>
      <c r="P869" t="s">
        <v>31</v>
      </c>
      <c r="Q869" t="s">
        <v>32</v>
      </c>
      <c r="R869" t="s">
        <v>50</v>
      </c>
      <c r="S869" t="s">
        <v>15</v>
      </c>
      <c r="T869" t="s">
        <v>47</v>
      </c>
      <c r="U869" t="s">
        <v>29</v>
      </c>
      <c r="V869" s="3" t="s">
        <v>1472</v>
      </c>
      <c r="W869" t="s">
        <v>39</v>
      </c>
    </row>
    <row r="870" spans="1:23" ht="12.75">
      <c r="A870" s="1">
        <v>45668.662210648145</v>
      </c>
      <c r="C870" t="s">
        <v>141</v>
      </c>
      <c r="D870">
        <v>33</v>
      </c>
      <c r="E870">
        <v>178</v>
      </c>
      <c r="F870">
        <v>99</v>
      </c>
      <c r="G870">
        <v>1</v>
      </c>
      <c r="H870" t="s">
        <v>591</v>
      </c>
      <c r="I870" t="s">
        <v>29</v>
      </c>
      <c r="J870" t="s">
        <v>36</v>
      </c>
      <c r="K870" t="s">
        <v>19</v>
      </c>
      <c r="L870" t="s">
        <v>12</v>
      </c>
      <c r="M870" t="s">
        <v>38</v>
      </c>
      <c r="N870" t="s">
        <v>20</v>
      </c>
      <c r="O870" t="s">
        <v>46</v>
      </c>
      <c r="P870" t="s">
        <v>20</v>
      </c>
      <c r="Q870" t="s">
        <v>13</v>
      </c>
      <c r="R870" t="s">
        <v>33</v>
      </c>
      <c r="S870" t="s">
        <v>15</v>
      </c>
      <c r="T870" t="s">
        <v>15</v>
      </c>
      <c r="U870" t="s">
        <v>29</v>
      </c>
      <c r="V870" s="3" t="s">
        <v>1473</v>
      </c>
      <c r="W870" t="s">
        <v>39</v>
      </c>
    </row>
    <row r="871" spans="1:23" ht="12.75">
      <c r="A871" s="1">
        <v>45749.24560185185</v>
      </c>
      <c r="C871" t="s">
        <v>154</v>
      </c>
      <c r="D871">
        <v>26</v>
      </c>
      <c r="E871">
        <v>179</v>
      </c>
      <c r="F871">
        <v>75</v>
      </c>
      <c r="G871">
        <v>2.5</v>
      </c>
      <c r="H871" t="s">
        <v>592</v>
      </c>
      <c r="I871" t="s">
        <v>29</v>
      </c>
      <c r="J871" t="s">
        <v>36</v>
      </c>
      <c r="K871" t="s">
        <v>30</v>
      </c>
      <c r="L871" t="s">
        <v>20</v>
      </c>
      <c r="M871" t="s">
        <v>21</v>
      </c>
      <c r="N871" t="s">
        <v>40</v>
      </c>
      <c r="O871" t="s">
        <v>46</v>
      </c>
      <c r="P871" t="s">
        <v>20</v>
      </c>
      <c r="Q871" t="s">
        <v>13</v>
      </c>
      <c r="R871" t="s">
        <v>50</v>
      </c>
      <c r="S871" t="s">
        <v>47</v>
      </c>
      <c r="T871" t="s">
        <v>47</v>
      </c>
      <c r="U871" t="s">
        <v>29</v>
      </c>
      <c r="V871" s="3" t="s">
        <v>1474</v>
      </c>
      <c r="W871" t="s">
        <v>39</v>
      </c>
    </row>
    <row r="872" spans="1:23" ht="12.75">
      <c r="A872" s="1">
        <v>45785.106111111112</v>
      </c>
      <c r="C872" t="s">
        <v>387</v>
      </c>
      <c r="D872">
        <v>33</v>
      </c>
      <c r="E872">
        <v>163</v>
      </c>
      <c r="F872">
        <v>80</v>
      </c>
      <c r="G872">
        <v>2</v>
      </c>
      <c r="H872" t="s">
        <v>591</v>
      </c>
      <c r="I872" t="s">
        <v>29</v>
      </c>
      <c r="J872" t="s">
        <v>36</v>
      </c>
      <c r="K872" t="s">
        <v>7</v>
      </c>
      <c r="L872" t="s">
        <v>40</v>
      </c>
      <c r="M872" t="s">
        <v>21</v>
      </c>
      <c r="N872" t="s">
        <v>10</v>
      </c>
      <c r="O872" t="s">
        <v>22</v>
      </c>
      <c r="P872" t="s">
        <v>20</v>
      </c>
      <c r="Q872" t="s">
        <v>55</v>
      </c>
      <c r="R872" t="s">
        <v>14</v>
      </c>
      <c r="S872" t="s">
        <v>15</v>
      </c>
      <c r="T872" t="s">
        <v>15</v>
      </c>
      <c r="U872" t="s">
        <v>29</v>
      </c>
      <c r="V872" s="3" t="s">
        <v>1475</v>
      </c>
      <c r="W872" t="s">
        <v>34</v>
      </c>
    </row>
    <row r="873" spans="1:23" ht="12.75">
      <c r="A873" s="1">
        <v>45773.855196759258</v>
      </c>
      <c r="C873" t="s">
        <v>388</v>
      </c>
      <c r="D873">
        <v>45</v>
      </c>
      <c r="E873">
        <v>157</v>
      </c>
      <c r="F873">
        <v>54</v>
      </c>
      <c r="G873">
        <v>2.5</v>
      </c>
      <c r="H873" t="s">
        <v>591</v>
      </c>
      <c r="I873" t="s">
        <v>29</v>
      </c>
      <c r="J873" t="s">
        <v>6</v>
      </c>
      <c r="K873" t="s">
        <v>19</v>
      </c>
      <c r="L873" t="s">
        <v>12</v>
      </c>
      <c r="M873" t="s">
        <v>21</v>
      </c>
      <c r="N873" t="s">
        <v>20</v>
      </c>
      <c r="O873" t="s">
        <v>44</v>
      </c>
      <c r="P873" t="s">
        <v>31</v>
      </c>
      <c r="Q873" t="s">
        <v>32</v>
      </c>
      <c r="R873" t="s">
        <v>14</v>
      </c>
      <c r="S873" t="s">
        <v>15</v>
      </c>
      <c r="T873" t="s">
        <v>47</v>
      </c>
      <c r="U873" t="s">
        <v>5</v>
      </c>
      <c r="V873" s="3" t="s">
        <v>1476</v>
      </c>
      <c r="W873" t="s">
        <v>16</v>
      </c>
    </row>
    <row r="874" spans="1:23" ht="12.75">
      <c r="A874" s="1">
        <v>45691.305277777778</v>
      </c>
      <c r="C874" t="s">
        <v>43</v>
      </c>
      <c r="D874">
        <v>27</v>
      </c>
      <c r="E874">
        <v>175</v>
      </c>
      <c r="F874">
        <v>106</v>
      </c>
      <c r="G874">
        <v>1</v>
      </c>
      <c r="H874" t="s">
        <v>590</v>
      </c>
      <c r="I874" t="s">
        <v>29</v>
      </c>
      <c r="J874" t="s">
        <v>36</v>
      </c>
      <c r="K874" t="s">
        <v>60</v>
      </c>
      <c r="L874" t="s">
        <v>10</v>
      </c>
      <c r="M874" t="s">
        <v>52</v>
      </c>
      <c r="N874" t="s">
        <v>8</v>
      </c>
      <c r="O874" t="s">
        <v>22</v>
      </c>
      <c r="P874" t="s">
        <v>8</v>
      </c>
      <c r="Q874" t="s">
        <v>23</v>
      </c>
      <c r="R874" t="s">
        <v>33</v>
      </c>
      <c r="S874" t="s">
        <v>15</v>
      </c>
      <c r="T874" t="s">
        <v>25</v>
      </c>
      <c r="U874" t="s">
        <v>29</v>
      </c>
      <c r="V874" s="3" t="s">
        <v>1477</v>
      </c>
      <c r="W874" t="s">
        <v>26</v>
      </c>
    </row>
    <row r="875" spans="1:23" ht="12.75">
      <c r="A875" s="1">
        <v>45811.491064814814</v>
      </c>
      <c r="C875" t="s">
        <v>389</v>
      </c>
      <c r="D875">
        <v>25</v>
      </c>
      <c r="E875">
        <v>175</v>
      </c>
      <c r="F875">
        <v>60</v>
      </c>
      <c r="G875">
        <v>2.5</v>
      </c>
      <c r="H875" t="s">
        <v>28</v>
      </c>
      <c r="I875" t="s">
        <v>5</v>
      </c>
      <c r="J875" t="s">
        <v>6</v>
      </c>
      <c r="K875" t="s">
        <v>60</v>
      </c>
      <c r="L875" t="s">
        <v>20</v>
      </c>
      <c r="M875" t="s">
        <v>21</v>
      </c>
      <c r="N875" t="s">
        <v>8</v>
      </c>
      <c r="O875" t="s">
        <v>22</v>
      </c>
      <c r="P875" t="s">
        <v>12</v>
      </c>
      <c r="Q875" t="s">
        <v>55</v>
      </c>
      <c r="R875" t="s">
        <v>14</v>
      </c>
      <c r="S875" t="s">
        <v>47</v>
      </c>
      <c r="T875" t="s">
        <v>25</v>
      </c>
      <c r="U875" t="s">
        <v>29</v>
      </c>
      <c r="V875" s="3" t="s">
        <v>1478</v>
      </c>
      <c r="W875" t="s">
        <v>39</v>
      </c>
    </row>
    <row r="876" spans="1:23" ht="12.75">
      <c r="A876" s="1">
        <v>45675.971724537034</v>
      </c>
      <c r="C876" t="s">
        <v>196</v>
      </c>
      <c r="D876">
        <v>49</v>
      </c>
      <c r="E876">
        <v>174</v>
      </c>
      <c r="F876">
        <v>62</v>
      </c>
      <c r="G876">
        <v>1</v>
      </c>
      <c r="H876" t="s">
        <v>590</v>
      </c>
      <c r="I876" t="s">
        <v>5</v>
      </c>
      <c r="J876" t="s">
        <v>6</v>
      </c>
      <c r="K876" t="s">
        <v>60</v>
      </c>
      <c r="L876" t="s">
        <v>12</v>
      </c>
      <c r="M876" t="s">
        <v>21</v>
      </c>
      <c r="N876" t="s">
        <v>20</v>
      </c>
      <c r="O876" t="s">
        <v>44</v>
      </c>
      <c r="P876" t="s">
        <v>20</v>
      </c>
      <c r="Q876" t="s">
        <v>32</v>
      </c>
      <c r="R876" t="s">
        <v>33</v>
      </c>
      <c r="S876" t="s">
        <v>15</v>
      </c>
      <c r="T876" t="s">
        <v>47</v>
      </c>
      <c r="U876" t="s">
        <v>5</v>
      </c>
      <c r="V876" s="3" t="s">
        <v>1479</v>
      </c>
      <c r="W876" t="s">
        <v>16</v>
      </c>
    </row>
    <row r="877" spans="1:23" ht="12.75">
      <c r="A877" s="1">
        <v>45740.81927083333</v>
      </c>
      <c r="C877" t="s">
        <v>161</v>
      </c>
      <c r="D877">
        <v>29</v>
      </c>
      <c r="E877">
        <v>185</v>
      </c>
      <c r="F877">
        <v>78</v>
      </c>
      <c r="G877">
        <v>1.5</v>
      </c>
      <c r="H877" t="s">
        <v>592</v>
      </c>
      <c r="I877" t="s">
        <v>29</v>
      </c>
      <c r="J877" t="s">
        <v>6</v>
      </c>
      <c r="K877" t="s">
        <v>30</v>
      </c>
      <c r="L877" t="s">
        <v>8</v>
      </c>
      <c r="M877" t="s">
        <v>38</v>
      </c>
      <c r="N877" t="s">
        <v>40</v>
      </c>
      <c r="O877" t="s">
        <v>11</v>
      </c>
      <c r="P877" t="s">
        <v>31</v>
      </c>
      <c r="Q877" t="s">
        <v>32</v>
      </c>
      <c r="R877" t="s">
        <v>50</v>
      </c>
      <c r="S877" t="s">
        <v>15</v>
      </c>
      <c r="T877" t="s">
        <v>24</v>
      </c>
      <c r="U877" t="s">
        <v>5</v>
      </c>
      <c r="V877" s="3" t="s">
        <v>1480</v>
      </c>
      <c r="W877" t="s">
        <v>39</v>
      </c>
    </row>
    <row r="878" spans="1:23" ht="12.75">
      <c r="A878" s="1">
        <v>45807.175046296295</v>
      </c>
      <c r="C878" t="s">
        <v>390</v>
      </c>
      <c r="D878">
        <v>35</v>
      </c>
      <c r="E878">
        <v>183</v>
      </c>
      <c r="F878">
        <v>68</v>
      </c>
      <c r="G878">
        <v>1</v>
      </c>
      <c r="H878" t="s">
        <v>591</v>
      </c>
      <c r="I878" t="s">
        <v>29</v>
      </c>
      <c r="J878" t="s">
        <v>6</v>
      </c>
      <c r="K878" t="s">
        <v>37</v>
      </c>
      <c r="L878" t="s">
        <v>8</v>
      </c>
      <c r="M878" t="s">
        <v>38</v>
      </c>
      <c r="N878" t="s">
        <v>31</v>
      </c>
      <c r="O878" t="s">
        <v>22</v>
      </c>
      <c r="P878" t="s">
        <v>40</v>
      </c>
      <c r="Q878" t="s">
        <v>13</v>
      </c>
      <c r="R878" t="s">
        <v>14</v>
      </c>
      <c r="S878" t="s">
        <v>47</v>
      </c>
      <c r="T878" t="s">
        <v>24</v>
      </c>
      <c r="U878" t="s">
        <v>5</v>
      </c>
      <c r="V878" s="3" t="s">
        <v>1481</v>
      </c>
      <c r="W878" t="s">
        <v>26</v>
      </c>
    </row>
    <row r="879" spans="1:23" ht="12.75">
      <c r="A879" s="1">
        <v>45684.640046296299</v>
      </c>
      <c r="C879" t="s">
        <v>106</v>
      </c>
      <c r="D879">
        <v>54</v>
      </c>
      <c r="E879">
        <v>155</v>
      </c>
      <c r="F879">
        <v>79</v>
      </c>
      <c r="G879">
        <v>3</v>
      </c>
      <c r="H879" t="s">
        <v>591</v>
      </c>
      <c r="I879" t="s">
        <v>5</v>
      </c>
      <c r="J879" t="s">
        <v>6</v>
      </c>
      <c r="K879" t="s">
        <v>37</v>
      </c>
      <c r="L879" t="s">
        <v>10</v>
      </c>
      <c r="M879" t="s">
        <v>9</v>
      </c>
      <c r="N879" t="s">
        <v>12</v>
      </c>
      <c r="O879" t="s">
        <v>22</v>
      </c>
      <c r="P879" t="s">
        <v>31</v>
      </c>
      <c r="Q879" t="s">
        <v>13</v>
      </c>
      <c r="R879" t="s">
        <v>33</v>
      </c>
      <c r="S879" t="s">
        <v>25</v>
      </c>
      <c r="T879" t="s">
        <v>24</v>
      </c>
      <c r="U879" t="s">
        <v>5</v>
      </c>
      <c r="V879" s="3" t="s">
        <v>1482</v>
      </c>
      <c r="W879" t="s">
        <v>16</v>
      </c>
    </row>
    <row r="880" spans="1:23" ht="12.75">
      <c r="A880" s="1">
        <v>45722.135682870372</v>
      </c>
      <c r="C880" t="s">
        <v>252</v>
      </c>
      <c r="D880">
        <v>47</v>
      </c>
      <c r="E880">
        <v>162</v>
      </c>
      <c r="F880">
        <v>109</v>
      </c>
      <c r="G880">
        <v>1</v>
      </c>
      <c r="H880" t="s">
        <v>592</v>
      </c>
      <c r="I880" t="s">
        <v>5</v>
      </c>
      <c r="J880" t="s">
        <v>6</v>
      </c>
      <c r="K880" t="s">
        <v>7</v>
      </c>
      <c r="L880" t="s">
        <v>10</v>
      </c>
      <c r="M880" t="s">
        <v>9</v>
      </c>
      <c r="N880" t="s">
        <v>40</v>
      </c>
      <c r="O880" t="s">
        <v>44</v>
      </c>
      <c r="P880" t="s">
        <v>10</v>
      </c>
      <c r="Q880" t="s">
        <v>32</v>
      </c>
      <c r="R880" t="s">
        <v>50</v>
      </c>
      <c r="S880" t="s">
        <v>24</v>
      </c>
      <c r="T880" t="s">
        <v>25</v>
      </c>
      <c r="U880" t="s">
        <v>29</v>
      </c>
      <c r="V880" s="3" t="s">
        <v>1483</v>
      </c>
      <c r="W880" t="s">
        <v>34</v>
      </c>
    </row>
    <row r="881" spans="1:23" ht="12.75">
      <c r="A881" s="1">
        <v>45740.540266203701</v>
      </c>
      <c r="C881" t="s">
        <v>83</v>
      </c>
      <c r="D881">
        <v>27</v>
      </c>
      <c r="E881">
        <v>189</v>
      </c>
      <c r="F881">
        <v>106</v>
      </c>
      <c r="G881">
        <v>2.5</v>
      </c>
      <c r="H881" t="s">
        <v>591</v>
      </c>
      <c r="I881" t="s">
        <v>29</v>
      </c>
      <c r="J881" t="s">
        <v>36</v>
      </c>
      <c r="K881" t="s">
        <v>63</v>
      </c>
      <c r="L881" t="s">
        <v>8</v>
      </c>
      <c r="M881" t="s">
        <v>9</v>
      </c>
      <c r="N881" t="s">
        <v>31</v>
      </c>
      <c r="O881" t="s">
        <v>44</v>
      </c>
      <c r="P881" t="s">
        <v>10</v>
      </c>
      <c r="Q881" t="s">
        <v>23</v>
      </c>
      <c r="R881" t="s">
        <v>14</v>
      </c>
      <c r="S881" t="s">
        <v>47</v>
      </c>
      <c r="T881" t="s">
        <v>25</v>
      </c>
      <c r="U881" t="s">
        <v>29</v>
      </c>
      <c r="V881" s="3" t="s">
        <v>1484</v>
      </c>
      <c r="W881" t="s">
        <v>39</v>
      </c>
    </row>
    <row r="882" spans="1:23" ht="12.75">
      <c r="A882" s="1">
        <v>45804.185624999998</v>
      </c>
      <c r="C882" t="s">
        <v>234</v>
      </c>
      <c r="D882">
        <v>58</v>
      </c>
      <c r="E882">
        <v>159</v>
      </c>
      <c r="F882">
        <v>58</v>
      </c>
      <c r="G882">
        <v>2</v>
      </c>
      <c r="H882" t="s">
        <v>592</v>
      </c>
      <c r="I882" t="s">
        <v>29</v>
      </c>
      <c r="J882" t="s">
        <v>6</v>
      </c>
      <c r="K882" t="s">
        <v>60</v>
      </c>
      <c r="L882" t="s">
        <v>20</v>
      </c>
      <c r="M882" t="s">
        <v>21</v>
      </c>
      <c r="N882" t="s">
        <v>8</v>
      </c>
      <c r="O882" t="s">
        <v>44</v>
      </c>
      <c r="P882" t="s">
        <v>10</v>
      </c>
      <c r="Q882" t="s">
        <v>32</v>
      </c>
      <c r="R882" t="s">
        <v>14</v>
      </c>
      <c r="S882" t="s">
        <v>15</v>
      </c>
      <c r="T882" t="s">
        <v>47</v>
      </c>
      <c r="U882" t="s">
        <v>29</v>
      </c>
      <c r="V882" s="3" t="s">
        <v>1485</v>
      </c>
      <c r="W882" t="s">
        <v>39</v>
      </c>
    </row>
    <row r="883" spans="1:23" ht="12.75">
      <c r="A883" s="1">
        <v>45776.893553240741</v>
      </c>
      <c r="C883" t="s">
        <v>193</v>
      </c>
      <c r="D883">
        <v>23</v>
      </c>
      <c r="E883">
        <v>173</v>
      </c>
      <c r="F883">
        <v>82</v>
      </c>
      <c r="G883">
        <v>2</v>
      </c>
      <c r="H883" t="s">
        <v>590</v>
      </c>
      <c r="I883" t="s">
        <v>5</v>
      </c>
      <c r="J883" t="s">
        <v>6</v>
      </c>
      <c r="K883" t="s">
        <v>7</v>
      </c>
      <c r="L883" t="s">
        <v>10</v>
      </c>
      <c r="M883" t="s">
        <v>38</v>
      </c>
      <c r="N883" t="s">
        <v>10</v>
      </c>
      <c r="O883" t="s">
        <v>46</v>
      </c>
      <c r="P883" t="s">
        <v>10</v>
      </c>
      <c r="Q883" t="s">
        <v>55</v>
      </c>
      <c r="R883" t="s">
        <v>33</v>
      </c>
      <c r="S883" t="s">
        <v>25</v>
      </c>
      <c r="T883" t="s">
        <v>15</v>
      </c>
      <c r="U883" t="s">
        <v>5</v>
      </c>
      <c r="V883" s="3" t="s">
        <v>1486</v>
      </c>
      <c r="W883" t="s">
        <v>34</v>
      </c>
    </row>
    <row r="884" spans="1:23" ht="12.75">
      <c r="A884" s="1">
        <v>45789.690567129626</v>
      </c>
      <c r="C884" t="s">
        <v>161</v>
      </c>
      <c r="D884">
        <v>44</v>
      </c>
      <c r="E884">
        <v>188</v>
      </c>
      <c r="F884">
        <v>101</v>
      </c>
      <c r="G884">
        <v>2.5</v>
      </c>
      <c r="H884" t="s">
        <v>590</v>
      </c>
      <c r="I884" t="s">
        <v>29</v>
      </c>
      <c r="J884" t="s">
        <v>36</v>
      </c>
      <c r="K884" t="s">
        <v>37</v>
      </c>
      <c r="L884" t="s">
        <v>10</v>
      </c>
      <c r="M884" t="s">
        <v>9</v>
      </c>
      <c r="N884" t="s">
        <v>8</v>
      </c>
      <c r="O884" t="s">
        <v>11</v>
      </c>
      <c r="P884" t="s">
        <v>12</v>
      </c>
      <c r="Q884" t="s">
        <v>32</v>
      </c>
      <c r="R884" t="s">
        <v>33</v>
      </c>
      <c r="S884" t="s">
        <v>15</v>
      </c>
      <c r="T884" t="s">
        <v>15</v>
      </c>
      <c r="U884" t="s">
        <v>29</v>
      </c>
      <c r="V884" s="3" t="s">
        <v>1487</v>
      </c>
      <c r="W884" t="s">
        <v>26</v>
      </c>
    </row>
    <row r="885" spans="1:23" ht="12.75">
      <c r="A885" s="1">
        <v>45726.182974537034</v>
      </c>
      <c r="C885" t="s">
        <v>43</v>
      </c>
      <c r="D885">
        <v>51</v>
      </c>
      <c r="E885">
        <v>189</v>
      </c>
      <c r="F885">
        <v>71</v>
      </c>
      <c r="G885">
        <v>2</v>
      </c>
      <c r="H885" t="s">
        <v>591</v>
      </c>
      <c r="I885" t="s">
        <v>29</v>
      </c>
      <c r="J885" t="s">
        <v>6</v>
      </c>
      <c r="K885" t="s">
        <v>60</v>
      </c>
      <c r="L885" t="s">
        <v>31</v>
      </c>
      <c r="M885" t="s">
        <v>52</v>
      </c>
      <c r="N885" t="s">
        <v>12</v>
      </c>
      <c r="O885" t="s">
        <v>11</v>
      </c>
      <c r="P885" t="s">
        <v>8</v>
      </c>
      <c r="Q885" t="s">
        <v>32</v>
      </c>
      <c r="R885" t="s">
        <v>33</v>
      </c>
      <c r="S885" t="s">
        <v>24</v>
      </c>
      <c r="T885" t="s">
        <v>24</v>
      </c>
      <c r="U885" t="s">
        <v>29</v>
      </c>
      <c r="V885" s="3" t="s">
        <v>1488</v>
      </c>
      <c r="W885" t="s">
        <v>16</v>
      </c>
    </row>
    <row r="886" spans="1:23" ht="12.75">
      <c r="A886" s="1">
        <v>45751.529699074075</v>
      </c>
      <c r="C886" t="s">
        <v>293</v>
      </c>
      <c r="D886">
        <v>23</v>
      </c>
      <c r="E886">
        <v>172</v>
      </c>
      <c r="F886">
        <v>65</v>
      </c>
      <c r="G886">
        <v>2</v>
      </c>
      <c r="H886" t="s">
        <v>592</v>
      </c>
      <c r="I886" t="s">
        <v>5</v>
      </c>
      <c r="J886" t="s">
        <v>6</v>
      </c>
      <c r="K886" t="s">
        <v>60</v>
      </c>
      <c r="L886" t="s">
        <v>12</v>
      </c>
      <c r="M886" t="s">
        <v>21</v>
      </c>
      <c r="N886" t="s">
        <v>12</v>
      </c>
      <c r="O886" t="s">
        <v>44</v>
      </c>
      <c r="P886" t="s">
        <v>8</v>
      </c>
      <c r="Q886" t="s">
        <v>55</v>
      </c>
      <c r="R886" t="s">
        <v>33</v>
      </c>
      <c r="S886" t="s">
        <v>47</v>
      </c>
      <c r="T886" t="s">
        <v>24</v>
      </c>
      <c r="U886" t="s">
        <v>5</v>
      </c>
      <c r="V886" s="3" t="s">
        <v>1489</v>
      </c>
      <c r="W886" t="s">
        <v>16</v>
      </c>
    </row>
    <row r="887" spans="1:23" ht="12.75">
      <c r="A887" s="1">
        <v>45710.769432870373</v>
      </c>
      <c r="C887" t="s">
        <v>391</v>
      </c>
      <c r="D887">
        <v>55</v>
      </c>
      <c r="E887">
        <v>164</v>
      </c>
      <c r="F887">
        <v>59</v>
      </c>
      <c r="G887">
        <v>2</v>
      </c>
      <c r="H887" t="s">
        <v>590</v>
      </c>
      <c r="I887" t="s">
        <v>29</v>
      </c>
      <c r="J887" t="s">
        <v>36</v>
      </c>
      <c r="K887" t="s">
        <v>60</v>
      </c>
      <c r="L887" t="s">
        <v>20</v>
      </c>
      <c r="M887" t="s">
        <v>9</v>
      </c>
      <c r="N887" t="s">
        <v>12</v>
      </c>
      <c r="O887" t="s">
        <v>44</v>
      </c>
      <c r="P887" t="s">
        <v>40</v>
      </c>
      <c r="Q887" t="s">
        <v>23</v>
      </c>
      <c r="R887" t="s">
        <v>50</v>
      </c>
      <c r="S887" t="s">
        <v>47</v>
      </c>
      <c r="T887" t="s">
        <v>25</v>
      </c>
      <c r="U887" t="s">
        <v>5</v>
      </c>
      <c r="V887" s="3" t="s">
        <v>1490</v>
      </c>
      <c r="W887" t="s">
        <v>26</v>
      </c>
    </row>
    <row r="888" spans="1:23" ht="12.75">
      <c r="A888" s="1">
        <v>45702.428877314815</v>
      </c>
      <c r="C888" t="s">
        <v>116</v>
      </c>
      <c r="D888">
        <v>49</v>
      </c>
      <c r="E888">
        <v>155</v>
      </c>
      <c r="F888">
        <v>81</v>
      </c>
      <c r="G888">
        <v>1.5</v>
      </c>
      <c r="H888" t="s">
        <v>28</v>
      </c>
      <c r="I888" t="s">
        <v>29</v>
      </c>
      <c r="J888" t="s">
        <v>6</v>
      </c>
      <c r="K888" t="s">
        <v>37</v>
      </c>
      <c r="L888" t="s">
        <v>40</v>
      </c>
      <c r="M888" t="s">
        <v>9</v>
      </c>
      <c r="N888" t="s">
        <v>40</v>
      </c>
      <c r="O888" t="s">
        <v>11</v>
      </c>
      <c r="P888" t="s">
        <v>8</v>
      </c>
      <c r="Q888" t="s">
        <v>32</v>
      </c>
      <c r="R888" t="s">
        <v>33</v>
      </c>
      <c r="S888" t="s">
        <v>25</v>
      </c>
      <c r="T888" t="s">
        <v>24</v>
      </c>
      <c r="U888" t="s">
        <v>29</v>
      </c>
      <c r="V888" s="3" t="s">
        <v>1491</v>
      </c>
      <c r="W888" t="s">
        <v>34</v>
      </c>
    </row>
    <row r="889" spans="1:23" ht="12.75">
      <c r="A889" s="1">
        <v>45671.284108796295</v>
      </c>
      <c r="C889" t="s">
        <v>392</v>
      </c>
      <c r="D889">
        <v>57</v>
      </c>
      <c r="E889">
        <v>162</v>
      </c>
      <c r="F889">
        <v>62</v>
      </c>
      <c r="G889">
        <v>2.5</v>
      </c>
      <c r="H889" t="s">
        <v>591</v>
      </c>
      <c r="I889" t="s">
        <v>29</v>
      </c>
      <c r="J889" t="s">
        <v>36</v>
      </c>
      <c r="K889" t="s">
        <v>19</v>
      </c>
      <c r="L889" t="s">
        <v>10</v>
      </c>
      <c r="M889" t="s">
        <v>21</v>
      </c>
      <c r="N889" t="s">
        <v>40</v>
      </c>
      <c r="O889" t="s">
        <v>22</v>
      </c>
      <c r="P889" t="s">
        <v>40</v>
      </c>
      <c r="Q889" t="s">
        <v>23</v>
      </c>
      <c r="R889" t="s">
        <v>50</v>
      </c>
      <c r="S889" t="s">
        <v>47</v>
      </c>
      <c r="T889" t="s">
        <v>24</v>
      </c>
      <c r="U889" t="s">
        <v>29</v>
      </c>
      <c r="V889" s="3" t="s">
        <v>1492</v>
      </c>
      <c r="W889" t="s">
        <v>16</v>
      </c>
    </row>
    <row r="890" spans="1:23" ht="12.75">
      <c r="A890" s="1">
        <v>45677.722557870373</v>
      </c>
      <c r="C890" t="s">
        <v>126</v>
      </c>
      <c r="D890">
        <v>29</v>
      </c>
      <c r="E890">
        <v>161</v>
      </c>
      <c r="F890">
        <v>99</v>
      </c>
      <c r="G890">
        <v>1</v>
      </c>
      <c r="H890" t="s">
        <v>592</v>
      </c>
      <c r="I890" t="s">
        <v>5</v>
      </c>
      <c r="J890" t="s">
        <v>6</v>
      </c>
      <c r="K890" t="s">
        <v>7</v>
      </c>
      <c r="L890" t="s">
        <v>10</v>
      </c>
      <c r="M890" t="s">
        <v>21</v>
      </c>
      <c r="N890" t="s">
        <v>12</v>
      </c>
      <c r="O890" t="s">
        <v>44</v>
      </c>
      <c r="P890" t="s">
        <v>40</v>
      </c>
      <c r="Q890" t="s">
        <v>55</v>
      </c>
      <c r="R890" t="s">
        <v>50</v>
      </c>
      <c r="S890" t="s">
        <v>15</v>
      </c>
      <c r="T890" t="s">
        <v>47</v>
      </c>
      <c r="U890" t="s">
        <v>29</v>
      </c>
      <c r="V890" s="3" t="s">
        <v>1493</v>
      </c>
      <c r="W890" t="s">
        <v>34</v>
      </c>
    </row>
    <row r="891" spans="1:23" ht="12.75">
      <c r="A891" s="1">
        <v>45689.348645833335</v>
      </c>
      <c r="C891" t="s">
        <v>41</v>
      </c>
      <c r="D891">
        <v>49</v>
      </c>
      <c r="E891">
        <v>176</v>
      </c>
      <c r="F891">
        <v>104</v>
      </c>
      <c r="G891">
        <v>1</v>
      </c>
      <c r="H891" t="s">
        <v>590</v>
      </c>
      <c r="I891" t="s">
        <v>29</v>
      </c>
      <c r="J891" t="s">
        <v>6</v>
      </c>
      <c r="K891" t="s">
        <v>60</v>
      </c>
      <c r="L891" t="s">
        <v>20</v>
      </c>
      <c r="M891" t="s">
        <v>52</v>
      </c>
      <c r="N891" t="s">
        <v>12</v>
      </c>
      <c r="O891" t="s">
        <v>22</v>
      </c>
      <c r="P891" t="s">
        <v>40</v>
      </c>
      <c r="Q891" t="s">
        <v>23</v>
      </c>
      <c r="R891" t="s">
        <v>14</v>
      </c>
      <c r="S891" t="s">
        <v>15</v>
      </c>
      <c r="T891" t="s">
        <v>15</v>
      </c>
      <c r="U891" t="s">
        <v>5</v>
      </c>
      <c r="V891" s="3" t="s">
        <v>1494</v>
      </c>
      <c r="W891" t="s">
        <v>34</v>
      </c>
    </row>
    <row r="892" spans="1:23" ht="12.75">
      <c r="A892" s="1">
        <v>45731.631296296298</v>
      </c>
      <c r="C892" t="s">
        <v>59</v>
      </c>
      <c r="D892">
        <v>22</v>
      </c>
      <c r="E892">
        <v>188</v>
      </c>
      <c r="F892">
        <v>108</v>
      </c>
      <c r="G892">
        <v>1</v>
      </c>
      <c r="H892" t="s">
        <v>28</v>
      </c>
      <c r="I892" t="s">
        <v>5</v>
      </c>
      <c r="J892" t="s">
        <v>36</v>
      </c>
      <c r="K892" t="s">
        <v>37</v>
      </c>
      <c r="L892" t="s">
        <v>40</v>
      </c>
      <c r="M892" t="s">
        <v>21</v>
      </c>
      <c r="N892" t="s">
        <v>8</v>
      </c>
      <c r="O892" t="s">
        <v>11</v>
      </c>
      <c r="P892" t="s">
        <v>10</v>
      </c>
      <c r="Q892" t="s">
        <v>23</v>
      </c>
      <c r="R892" t="s">
        <v>33</v>
      </c>
      <c r="S892" t="s">
        <v>25</v>
      </c>
      <c r="T892" t="s">
        <v>24</v>
      </c>
      <c r="U892" t="s">
        <v>29</v>
      </c>
      <c r="V892" s="3" t="s">
        <v>1495</v>
      </c>
      <c r="W892" t="s">
        <v>16</v>
      </c>
    </row>
    <row r="893" spans="1:23" ht="12.75">
      <c r="A893" s="1">
        <v>45777.758900462963</v>
      </c>
      <c r="C893" t="s">
        <v>80</v>
      </c>
      <c r="D893">
        <v>21</v>
      </c>
      <c r="E893">
        <v>172</v>
      </c>
      <c r="F893">
        <v>68</v>
      </c>
      <c r="G893">
        <v>1.5</v>
      </c>
      <c r="H893" t="s">
        <v>591</v>
      </c>
      <c r="I893" t="s">
        <v>29</v>
      </c>
      <c r="J893" t="s">
        <v>36</v>
      </c>
      <c r="K893" t="s">
        <v>30</v>
      </c>
      <c r="L893" t="s">
        <v>20</v>
      </c>
      <c r="M893" t="s">
        <v>38</v>
      </c>
      <c r="N893" t="s">
        <v>8</v>
      </c>
      <c r="O893" t="s">
        <v>11</v>
      </c>
      <c r="P893" t="s">
        <v>20</v>
      </c>
      <c r="Q893" t="s">
        <v>32</v>
      </c>
      <c r="R893" t="s">
        <v>14</v>
      </c>
      <c r="S893" t="s">
        <v>25</v>
      </c>
      <c r="T893" t="s">
        <v>24</v>
      </c>
      <c r="U893" t="s">
        <v>29</v>
      </c>
      <c r="V893" s="3" t="s">
        <v>1496</v>
      </c>
      <c r="W893" t="s">
        <v>39</v>
      </c>
    </row>
    <row r="894" spans="1:23" ht="12.75">
      <c r="A894" s="1">
        <v>45734.216620370367</v>
      </c>
      <c r="C894" t="s">
        <v>381</v>
      </c>
      <c r="D894">
        <v>35</v>
      </c>
      <c r="E894">
        <v>184</v>
      </c>
      <c r="F894">
        <v>90</v>
      </c>
      <c r="G894">
        <v>1</v>
      </c>
      <c r="H894" t="s">
        <v>591</v>
      </c>
      <c r="I894" t="s">
        <v>5</v>
      </c>
      <c r="J894" t="s">
        <v>6</v>
      </c>
      <c r="K894" t="s">
        <v>60</v>
      </c>
      <c r="L894" t="s">
        <v>31</v>
      </c>
      <c r="M894" t="s">
        <v>9</v>
      </c>
      <c r="N894" t="s">
        <v>10</v>
      </c>
      <c r="O894" t="s">
        <v>46</v>
      </c>
      <c r="P894" t="s">
        <v>20</v>
      </c>
      <c r="Q894" t="s">
        <v>55</v>
      </c>
      <c r="R894" t="s">
        <v>14</v>
      </c>
      <c r="S894" t="s">
        <v>25</v>
      </c>
      <c r="T894" t="s">
        <v>25</v>
      </c>
      <c r="U894" t="s">
        <v>29</v>
      </c>
      <c r="V894" s="3" t="s">
        <v>1497</v>
      </c>
      <c r="W894" t="s">
        <v>34</v>
      </c>
    </row>
    <row r="895" spans="1:23" ht="12.75">
      <c r="A895" s="1">
        <v>45728.099652777775</v>
      </c>
      <c r="C895" t="s">
        <v>150</v>
      </c>
      <c r="D895">
        <v>33</v>
      </c>
      <c r="E895">
        <v>180</v>
      </c>
      <c r="F895">
        <v>109</v>
      </c>
      <c r="G895">
        <v>2</v>
      </c>
      <c r="H895" t="s">
        <v>592</v>
      </c>
      <c r="I895" t="s">
        <v>5</v>
      </c>
      <c r="J895" t="s">
        <v>6</v>
      </c>
      <c r="K895" t="s">
        <v>63</v>
      </c>
      <c r="L895" t="s">
        <v>40</v>
      </c>
      <c r="M895" t="s">
        <v>38</v>
      </c>
      <c r="N895" t="s">
        <v>20</v>
      </c>
      <c r="O895" t="s">
        <v>11</v>
      </c>
      <c r="P895" t="s">
        <v>8</v>
      </c>
      <c r="Q895" t="s">
        <v>32</v>
      </c>
      <c r="R895" t="s">
        <v>14</v>
      </c>
      <c r="S895" t="s">
        <v>47</v>
      </c>
      <c r="T895" t="s">
        <v>24</v>
      </c>
      <c r="U895" t="s">
        <v>5</v>
      </c>
      <c r="V895" s="3" t="s">
        <v>1498</v>
      </c>
      <c r="W895" t="s">
        <v>34</v>
      </c>
    </row>
    <row r="896" spans="1:23" ht="12.75">
      <c r="A896" s="1">
        <v>45758.161956018521</v>
      </c>
      <c r="C896" t="s">
        <v>393</v>
      </c>
      <c r="D896">
        <v>28</v>
      </c>
      <c r="E896">
        <v>179</v>
      </c>
      <c r="F896">
        <v>55</v>
      </c>
      <c r="G896">
        <v>3</v>
      </c>
      <c r="H896" t="s">
        <v>28</v>
      </c>
      <c r="I896" t="s">
        <v>5</v>
      </c>
      <c r="J896" t="s">
        <v>6</v>
      </c>
      <c r="K896" t="s">
        <v>63</v>
      </c>
      <c r="L896" t="s">
        <v>20</v>
      </c>
      <c r="M896" t="s">
        <v>9</v>
      </c>
      <c r="N896" t="s">
        <v>40</v>
      </c>
      <c r="O896" t="s">
        <v>22</v>
      </c>
      <c r="P896" t="s">
        <v>40</v>
      </c>
      <c r="Q896" t="s">
        <v>55</v>
      </c>
      <c r="R896" t="s">
        <v>50</v>
      </c>
      <c r="S896" t="s">
        <v>24</v>
      </c>
      <c r="T896" t="s">
        <v>47</v>
      </c>
      <c r="U896" t="s">
        <v>5</v>
      </c>
      <c r="V896" s="3" t="s">
        <v>1499</v>
      </c>
      <c r="W896" t="s">
        <v>16</v>
      </c>
    </row>
    <row r="897" spans="1:23" ht="12.75">
      <c r="A897" s="1">
        <v>45743.838067129633</v>
      </c>
      <c r="C897" t="s">
        <v>74</v>
      </c>
      <c r="D897">
        <v>25</v>
      </c>
      <c r="E897">
        <v>180</v>
      </c>
      <c r="F897">
        <v>72</v>
      </c>
      <c r="G897">
        <v>3</v>
      </c>
      <c r="H897" t="s">
        <v>592</v>
      </c>
      <c r="I897" t="s">
        <v>29</v>
      </c>
      <c r="J897" t="s">
        <v>36</v>
      </c>
      <c r="K897" t="s">
        <v>7</v>
      </c>
      <c r="L897" t="s">
        <v>8</v>
      </c>
      <c r="M897" t="s">
        <v>9</v>
      </c>
      <c r="N897" t="s">
        <v>20</v>
      </c>
      <c r="O897" t="s">
        <v>22</v>
      </c>
      <c r="P897" t="s">
        <v>40</v>
      </c>
      <c r="Q897" t="s">
        <v>13</v>
      </c>
      <c r="R897" t="s">
        <v>14</v>
      </c>
      <c r="S897" t="s">
        <v>15</v>
      </c>
      <c r="T897" t="s">
        <v>25</v>
      </c>
      <c r="U897" t="s">
        <v>29</v>
      </c>
      <c r="V897" s="3" t="s">
        <v>1500</v>
      </c>
      <c r="W897" t="s">
        <v>34</v>
      </c>
    </row>
    <row r="898" spans="1:23" ht="12.75">
      <c r="A898" s="1">
        <v>45762.778854166667</v>
      </c>
      <c r="C898" t="s">
        <v>48</v>
      </c>
      <c r="D898">
        <v>31</v>
      </c>
      <c r="E898">
        <v>179</v>
      </c>
      <c r="F898">
        <v>82</v>
      </c>
      <c r="G898">
        <v>3</v>
      </c>
      <c r="H898" t="s">
        <v>592</v>
      </c>
      <c r="I898" t="s">
        <v>5</v>
      </c>
      <c r="J898" t="s">
        <v>6</v>
      </c>
      <c r="K898" t="s">
        <v>19</v>
      </c>
      <c r="L898" t="s">
        <v>8</v>
      </c>
      <c r="M898" t="s">
        <v>21</v>
      </c>
      <c r="N898" t="s">
        <v>40</v>
      </c>
      <c r="O898" t="s">
        <v>44</v>
      </c>
      <c r="P898" t="s">
        <v>8</v>
      </c>
      <c r="Q898" t="s">
        <v>32</v>
      </c>
      <c r="R898" t="s">
        <v>14</v>
      </c>
      <c r="S898" t="s">
        <v>47</v>
      </c>
      <c r="T898" t="s">
        <v>47</v>
      </c>
      <c r="U898" t="s">
        <v>5</v>
      </c>
      <c r="V898" s="3" t="s">
        <v>1501</v>
      </c>
      <c r="W898" t="s">
        <v>39</v>
      </c>
    </row>
    <row r="899" spans="1:23" ht="12.75">
      <c r="A899" s="1">
        <v>45710.112118055556</v>
      </c>
      <c r="C899" t="s">
        <v>108</v>
      </c>
      <c r="D899">
        <v>47</v>
      </c>
      <c r="E899">
        <v>181</v>
      </c>
      <c r="F899">
        <v>92</v>
      </c>
      <c r="G899">
        <v>3</v>
      </c>
      <c r="H899" t="s">
        <v>590</v>
      </c>
      <c r="I899" t="s">
        <v>29</v>
      </c>
      <c r="J899" t="s">
        <v>36</v>
      </c>
      <c r="K899" t="s">
        <v>63</v>
      </c>
      <c r="L899" t="s">
        <v>20</v>
      </c>
      <c r="M899" t="s">
        <v>38</v>
      </c>
      <c r="N899" t="s">
        <v>31</v>
      </c>
      <c r="O899" t="s">
        <v>46</v>
      </c>
      <c r="P899" t="s">
        <v>8</v>
      </c>
      <c r="Q899" t="s">
        <v>55</v>
      </c>
      <c r="R899" t="s">
        <v>50</v>
      </c>
      <c r="S899" t="s">
        <v>47</v>
      </c>
      <c r="T899" t="s">
        <v>25</v>
      </c>
      <c r="U899" t="s">
        <v>5</v>
      </c>
      <c r="V899" s="3" t="s">
        <v>1502</v>
      </c>
      <c r="W899" t="s">
        <v>34</v>
      </c>
    </row>
    <row r="900" spans="1:23" ht="12.75">
      <c r="A900" s="1">
        <v>45720.696620370371</v>
      </c>
      <c r="C900" t="s">
        <v>394</v>
      </c>
      <c r="D900">
        <v>35</v>
      </c>
      <c r="E900">
        <v>187</v>
      </c>
      <c r="F900">
        <v>97</v>
      </c>
      <c r="G900">
        <v>1</v>
      </c>
      <c r="H900" t="s">
        <v>28</v>
      </c>
      <c r="I900" t="s">
        <v>29</v>
      </c>
      <c r="J900" t="s">
        <v>36</v>
      </c>
      <c r="K900" t="s">
        <v>7</v>
      </c>
      <c r="L900" t="s">
        <v>12</v>
      </c>
      <c r="M900" t="s">
        <v>9</v>
      </c>
      <c r="N900" t="s">
        <v>12</v>
      </c>
      <c r="O900" t="s">
        <v>46</v>
      </c>
      <c r="P900" t="s">
        <v>8</v>
      </c>
      <c r="Q900" t="s">
        <v>23</v>
      </c>
      <c r="R900" t="s">
        <v>50</v>
      </c>
      <c r="S900" t="s">
        <v>25</v>
      </c>
      <c r="T900" t="s">
        <v>24</v>
      </c>
      <c r="U900" t="s">
        <v>29</v>
      </c>
      <c r="V900" s="3" t="s">
        <v>1503</v>
      </c>
      <c r="W900" t="s">
        <v>34</v>
      </c>
    </row>
    <row r="901" spans="1:23" ht="12.75">
      <c r="A901" s="1">
        <v>45761.49763888889</v>
      </c>
      <c r="C901" t="s">
        <v>368</v>
      </c>
      <c r="D901">
        <v>46</v>
      </c>
      <c r="E901">
        <v>169</v>
      </c>
      <c r="F901">
        <v>103</v>
      </c>
      <c r="G901">
        <v>3</v>
      </c>
      <c r="H901" t="s">
        <v>28</v>
      </c>
      <c r="I901" t="s">
        <v>5</v>
      </c>
      <c r="J901" t="s">
        <v>36</v>
      </c>
      <c r="K901" t="s">
        <v>7</v>
      </c>
      <c r="L901" t="s">
        <v>10</v>
      </c>
      <c r="M901" t="s">
        <v>38</v>
      </c>
      <c r="N901" t="s">
        <v>8</v>
      </c>
      <c r="O901" t="s">
        <v>22</v>
      </c>
      <c r="P901" t="s">
        <v>12</v>
      </c>
      <c r="Q901" t="s">
        <v>23</v>
      </c>
      <c r="R901" t="s">
        <v>33</v>
      </c>
      <c r="S901" t="s">
        <v>15</v>
      </c>
      <c r="T901" t="s">
        <v>24</v>
      </c>
      <c r="U901" t="s">
        <v>29</v>
      </c>
      <c r="V901" s="3" t="s">
        <v>1504</v>
      </c>
      <c r="W901" t="s">
        <v>39</v>
      </c>
    </row>
    <row r="902" spans="1:23" ht="12.75">
      <c r="A902" s="1">
        <v>45724.268437500003</v>
      </c>
      <c r="C902" t="s">
        <v>395</v>
      </c>
      <c r="D902">
        <v>46</v>
      </c>
      <c r="E902">
        <v>162</v>
      </c>
      <c r="F902">
        <v>103</v>
      </c>
      <c r="G902">
        <v>2</v>
      </c>
      <c r="H902" t="s">
        <v>590</v>
      </c>
      <c r="I902" t="s">
        <v>5</v>
      </c>
      <c r="J902" t="s">
        <v>6</v>
      </c>
      <c r="K902" t="s">
        <v>7</v>
      </c>
      <c r="L902" t="s">
        <v>40</v>
      </c>
      <c r="M902" t="s">
        <v>52</v>
      </c>
      <c r="N902" t="s">
        <v>10</v>
      </c>
      <c r="O902" t="s">
        <v>22</v>
      </c>
      <c r="P902" t="s">
        <v>12</v>
      </c>
      <c r="Q902" t="s">
        <v>23</v>
      </c>
      <c r="R902" t="s">
        <v>14</v>
      </c>
      <c r="S902" t="s">
        <v>47</v>
      </c>
      <c r="T902" t="s">
        <v>25</v>
      </c>
      <c r="U902" t="s">
        <v>29</v>
      </c>
      <c r="V902" s="3" t="s">
        <v>1505</v>
      </c>
      <c r="W902" t="s">
        <v>34</v>
      </c>
    </row>
    <row r="903" spans="1:23" ht="12.75">
      <c r="A903" s="1">
        <v>45671.77820601852</v>
      </c>
      <c r="C903" t="s">
        <v>67</v>
      </c>
      <c r="D903">
        <v>29</v>
      </c>
      <c r="E903">
        <v>169</v>
      </c>
      <c r="F903">
        <v>103</v>
      </c>
      <c r="G903">
        <v>1</v>
      </c>
      <c r="H903" t="s">
        <v>591</v>
      </c>
      <c r="I903" t="s">
        <v>5</v>
      </c>
      <c r="J903" t="s">
        <v>6</v>
      </c>
      <c r="K903" t="s">
        <v>30</v>
      </c>
      <c r="L903" t="s">
        <v>31</v>
      </c>
      <c r="M903" t="s">
        <v>38</v>
      </c>
      <c r="N903" t="s">
        <v>20</v>
      </c>
      <c r="O903" t="s">
        <v>46</v>
      </c>
      <c r="P903" t="s">
        <v>10</v>
      </c>
      <c r="Q903" t="s">
        <v>32</v>
      </c>
      <c r="R903" t="s">
        <v>14</v>
      </c>
      <c r="S903" t="s">
        <v>47</v>
      </c>
      <c r="T903" t="s">
        <v>47</v>
      </c>
      <c r="U903" t="s">
        <v>29</v>
      </c>
      <c r="V903" s="3" t="s">
        <v>1506</v>
      </c>
      <c r="W903" t="s">
        <v>39</v>
      </c>
    </row>
    <row r="904" spans="1:23" ht="12.75">
      <c r="A904" s="1">
        <v>45806.411458333336</v>
      </c>
      <c r="C904" t="s">
        <v>77</v>
      </c>
      <c r="D904">
        <v>45</v>
      </c>
      <c r="E904">
        <v>183</v>
      </c>
      <c r="F904">
        <v>79</v>
      </c>
      <c r="G904">
        <v>2.5</v>
      </c>
      <c r="H904" t="s">
        <v>590</v>
      </c>
      <c r="I904" t="s">
        <v>29</v>
      </c>
      <c r="J904" t="s">
        <v>6</v>
      </c>
      <c r="K904" t="s">
        <v>60</v>
      </c>
      <c r="L904" t="s">
        <v>40</v>
      </c>
      <c r="M904" t="s">
        <v>38</v>
      </c>
      <c r="N904" t="s">
        <v>8</v>
      </c>
      <c r="O904" t="s">
        <v>22</v>
      </c>
      <c r="P904" t="s">
        <v>10</v>
      </c>
      <c r="Q904" t="s">
        <v>55</v>
      </c>
      <c r="R904" t="s">
        <v>33</v>
      </c>
      <c r="S904" t="s">
        <v>24</v>
      </c>
      <c r="T904" t="s">
        <v>25</v>
      </c>
      <c r="U904" t="s">
        <v>5</v>
      </c>
      <c r="V904" s="3" t="s">
        <v>1507</v>
      </c>
      <c r="W904" t="s">
        <v>16</v>
      </c>
    </row>
    <row r="905" spans="1:23" ht="12.75">
      <c r="A905" s="1">
        <v>45768.238749999997</v>
      </c>
      <c r="C905" t="s">
        <v>396</v>
      </c>
      <c r="D905">
        <v>22</v>
      </c>
      <c r="E905">
        <v>159</v>
      </c>
      <c r="F905">
        <v>53</v>
      </c>
      <c r="G905">
        <v>3</v>
      </c>
      <c r="H905" t="s">
        <v>590</v>
      </c>
      <c r="I905" t="s">
        <v>5</v>
      </c>
      <c r="J905" t="s">
        <v>6</v>
      </c>
      <c r="K905" t="s">
        <v>19</v>
      </c>
      <c r="L905" t="s">
        <v>12</v>
      </c>
      <c r="M905" t="s">
        <v>9</v>
      </c>
      <c r="N905" t="s">
        <v>12</v>
      </c>
      <c r="O905" t="s">
        <v>22</v>
      </c>
      <c r="P905" t="s">
        <v>8</v>
      </c>
      <c r="Q905" t="s">
        <v>55</v>
      </c>
      <c r="R905" t="s">
        <v>33</v>
      </c>
      <c r="S905" t="s">
        <v>24</v>
      </c>
      <c r="T905" t="s">
        <v>47</v>
      </c>
      <c r="U905" t="s">
        <v>5</v>
      </c>
      <c r="V905" s="3" t="s">
        <v>1508</v>
      </c>
      <c r="W905" t="s">
        <v>26</v>
      </c>
    </row>
    <row r="906" spans="1:23" ht="12.75">
      <c r="A906" s="1">
        <v>45722.704942129632</v>
      </c>
      <c r="C906" t="s">
        <v>221</v>
      </c>
      <c r="D906">
        <v>28</v>
      </c>
      <c r="E906">
        <v>180</v>
      </c>
      <c r="F906">
        <v>89</v>
      </c>
      <c r="G906">
        <v>3</v>
      </c>
      <c r="H906" t="s">
        <v>590</v>
      </c>
      <c r="I906" t="s">
        <v>29</v>
      </c>
      <c r="J906" t="s">
        <v>6</v>
      </c>
      <c r="K906" t="s">
        <v>7</v>
      </c>
      <c r="L906" t="s">
        <v>31</v>
      </c>
      <c r="M906" t="s">
        <v>38</v>
      </c>
      <c r="N906" t="s">
        <v>10</v>
      </c>
      <c r="O906" t="s">
        <v>44</v>
      </c>
      <c r="P906" t="s">
        <v>12</v>
      </c>
      <c r="Q906" t="s">
        <v>32</v>
      </c>
      <c r="R906" t="s">
        <v>50</v>
      </c>
      <c r="S906" t="s">
        <v>47</v>
      </c>
      <c r="T906" t="s">
        <v>25</v>
      </c>
      <c r="U906" t="s">
        <v>5</v>
      </c>
      <c r="V906" s="3" t="s">
        <v>1509</v>
      </c>
      <c r="W906" t="s">
        <v>26</v>
      </c>
    </row>
    <row r="907" spans="1:23" ht="12.75">
      <c r="A907" s="1">
        <v>45754.046712962961</v>
      </c>
      <c r="C907" t="s">
        <v>93</v>
      </c>
      <c r="D907">
        <v>34</v>
      </c>
      <c r="E907">
        <v>164</v>
      </c>
      <c r="F907">
        <v>96</v>
      </c>
      <c r="G907">
        <v>1.5</v>
      </c>
      <c r="H907" t="s">
        <v>590</v>
      </c>
      <c r="I907" t="s">
        <v>29</v>
      </c>
      <c r="J907" t="s">
        <v>6</v>
      </c>
      <c r="K907" t="s">
        <v>37</v>
      </c>
      <c r="L907" t="s">
        <v>20</v>
      </c>
      <c r="M907" t="s">
        <v>52</v>
      </c>
      <c r="N907" t="s">
        <v>31</v>
      </c>
      <c r="O907" t="s">
        <v>46</v>
      </c>
      <c r="P907" t="s">
        <v>12</v>
      </c>
      <c r="Q907" t="s">
        <v>23</v>
      </c>
      <c r="R907" t="s">
        <v>50</v>
      </c>
      <c r="S907" t="s">
        <v>47</v>
      </c>
      <c r="T907" t="s">
        <v>47</v>
      </c>
      <c r="U907" t="s">
        <v>5</v>
      </c>
      <c r="V907" s="3" t="s">
        <v>1510</v>
      </c>
      <c r="W907" t="s">
        <v>34</v>
      </c>
    </row>
    <row r="908" spans="1:23" ht="12.75">
      <c r="A908" s="1">
        <v>45732.047349537039</v>
      </c>
      <c r="C908" t="s">
        <v>273</v>
      </c>
      <c r="D908">
        <v>39</v>
      </c>
      <c r="E908">
        <v>168</v>
      </c>
      <c r="F908">
        <v>94</v>
      </c>
      <c r="G908">
        <v>2.5</v>
      </c>
      <c r="H908" t="s">
        <v>590</v>
      </c>
      <c r="I908" t="s">
        <v>29</v>
      </c>
      <c r="J908" t="s">
        <v>36</v>
      </c>
      <c r="K908" t="s">
        <v>60</v>
      </c>
      <c r="L908" t="s">
        <v>31</v>
      </c>
      <c r="M908" t="s">
        <v>52</v>
      </c>
      <c r="N908" t="s">
        <v>20</v>
      </c>
      <c r="O908" t="s">
        <v>44</v>
      </c>
      <c r="P908" t="s">
        <v>31</v>
      </c>
      <c r="Q908" t="s">
        <v>13</v>
      </c>
      <c r="R908" t="s">
        <v>50</v>
      </c>
      <c r="S908" t="s">
        <v>47</v>
      </c>
      <c r="T908" t="s">
        <v>47</v>
      </c>
      <c r="U908" t="s">
        <v>5</v>
      </c>
      <c r="V908" s="3" t="s">
        <v>1511</v>
      </c>
      <c r="W908" t="s">
        <v>34</v>
      </c>
    </row>
    <row r="909" spans="1:23" ht="12.75">
      <c r="A909" s="1">
        <v>45802.990289351852</v>
      </c>
      <c r="C909" t="s">
        <v>316</v>
      </c>
      <c r="D909">
        <v>40</v>
      </c>
      <c r="E909">
        <v>157</v>
      </c>
      <c r="F909">
        <v>71</v>
      </c>
      <c r="G909">
        <v>3</v>
      </c>
      <c r="H909" t="s">
        <v>28</v>
      </c>
      <c r="I909" t="s">
        <v>5</v>
      </c>
      <c r="J909" t="s">
        <v>6</v>
      </c>
      <c r="K909" t="s">
        <v>37</v>
      </c>
      <c r="L909" t="s">
        <v>31</v>
      </c>
      <c r="M909" t="s">
        <v>52</v>
      </c>
      <c r="N909" t="s">
        <v>31</v>
      </c>
      <c r="O909" t="s">
        <v>46</v>
      </c>
      <c r="P909" t="s">
        <v>20</v>
      </c>
      <c r="Q909" t="s">
        <v>13</v>
      </c>
      <c r="R909" t="s">
        <v>50</v>
      </c>
      <c r="S909" t="s">
        <v>15</v>
      </c>
      <c r="T909" t="s">
        <v>15</v>
      </c>
      <c r="U909" t="s">
        <v>5</v>
      </c>
      <c r="V909" s="3" t="s">
        <v>1512</v>
      </c>
      <c r="W909" t="s">
        <v>26</v>
      </c>
    </row>
    <row r="910" spans="1:23" ht="12.75">
      <c r="A910" s="1">
        <v>45800.08048611111</v>
      </c>
      <c r="C910" t="s">
        <v>113</v>
      </c>
      <c r="D910">
        <v>48</v>
      </c>
      <c r="E910">
        <v>163</v>
      </c>
      <c r="F910">
        <v>88</v>
      </c>
      <c r="G910">
        <v>3</v>
      </c>
      <c r="H910" t="s">
        <v>28</v>
      </c>
      <c r="I910" t="s">
        <v>29</v>
      </c>
      <c r="J910" t="s">
        <v>6</v>
      </c>
      <c r="K910" t="s">
        <v>63</v>
      </c>
      <c r="L910" t="s">
        <v>20</v>
      </c>
      <c r="M910" t="s">
        <v>38</v>
      </c>
      <c r="N910" t="s">
        <v>20</v>
      </c>
      <c r="O910" t="s">
        <v>46</v>
      </c>
      <c r="P910" t="s">
        <v>40</v>
      </c>
      <c r="Q910" t="s">
        <v>55</v>
      </c>
      <c r="R910" t="s">
        <v>50</v>
      </c>
      <c r="S910" t="s">
        <v>15</v>
      </c>
      <c r="T910" t="s">
        <v>24</v>
      </c>
      <c r="U910" t="s">
        <v>5</v>
      </c>
      <c r="V910" s="3" t="s">
        <v>1513</v>
      </c>
      <c r="W910" t="s">
        <v>16</v>
      </c>
    </row>
    <row r="911" spans="1:23" ht="12.75">
      <c r="A911" s="1">
        <v>45786.160312499997</v>
      </c>
      <c r="C911" t="s">
        <v>289</v>
      </c>
      <c r="D911">
        <v>33</v>
      </c>
      <c r="E911">
        <v>158</v>
      </c>
      <c r="F911">
        <v>60</v>
      </c>
      <c r="G911">
        <v>1.5</v>
      </c>
      <c r="H911" t="s">
        <v>28</v>
      </c>
      <c r="I911" t="s">
        <v>5</v>
      </c>
      <c r="J911" t="s">
        <v>36</v>
      </c>
      <c r="K911" t="s">
        <v>60</v>
      </c>
      <c r="L911" t="s">
        <v>8</v>
      </c>
      <c r="M911" t="s">
        <v>52</v>
      </c>
      <c r="N911" t="s">
        <v>8</v>
      </c>
      <c r="O911" t="s">
        <v>11</v>
      </c>
      <c r="P911" t="s">
        <v>12</v>
      </c>
      <c r="Q911" t="s">
        <v>32</v>
      </c>
      <c r="R911" t="s">
        <v>33</v>
      </c>
      <c r="S911" t="s">
        <v>47</v>
      </c>
      <c r="T911" t="s">
        <v>47</v>
      </c>
      <c r="U911" t="s">
        <v>29</v>
      </c>
      <c r="V911" s="3" t="s">
        <v>1514</v>
      </c>
      <c r="W911" t="s">
        <v>34</v>
      </c>
    </row>
    <row r="912" spans="1:23" ht="12.75">
      <c r="A912" s="1">
        <v>45738.170416666668</v>
      </c>
      <c r="C912" t="s">
        <v>212</v>
      </c>
      <c r="D912">
        <v>45</v>
      </c>
      <c r="E912">
        <v>171</v>
      </c>
      <c r="F912">
        <v>66</v>
      </c>
      <c r="G912">
        <v>1.5</v>
      </c>
      <c r="H912" t="s">
        <v>592</v>
      </c>
      <c r="I912" t="s">
        <v>29</v>
      </c>
      <c r="J912" t="s">
        <v>6</v>
      </c>
      <c r="K912" t="s">
        <v>37</v>
      </c>
      <c r="L912" t="s">
        <v>20</v>
      </c>
      <c r="M912" t="s">
        <v>9</v>
      </c>
      <c r="N912" t="s">
        <v>8</v>
      </c>
      <c r="O912" t="s">
        <v>44</v>
      </c>
      <c r="P912" t="s">
        <v>31</v>
      </c>
      <c r="Q912" t="s">
        <v>55</v>
      </c>
      <c r="R912" t="s">
        <v>33</v>
      </c>
      <c r="S912" t="s">
        <v>15</v>
      </c>
      <c r="T912" t="s">
        <v>25</v>
      </c>
      <c r="U912" t="s">
        <v>5</v>
      </c>
      <c r="V912" s="3" t="s">
        <v>1515</v>
      </c>
      <c r="W912" t="s">
        <v>16</v>
      </c>
    </row>
    <row r="913" spans="1:23" ht="12.75">
      <c r="A913" s="1">
        <v>45711.447245370371</v>
      </c>
      <c r="C913" t="s">
        <v>397</v>
      </c>
      <c r="D913">
        <v>44</v>
      </c>
      <c r="E913">
        <v>168</v>
      </c>
      <c r="F913">
        <v>54</v>
      </c>
      <c r="G913">
        <v>3</v>
      </c>
      <c r="H913" t="s">
        <v>592</v>
      </c>
      <c r="I913" t="s">
        <v>29</v>
      </c>
      <c r="J913" t="s">
        <v>36</v>
      </c>
      <c r="K913" t="s">
        <v>37</v>
      </c>
      <c r="L913" t="s">
        <v>8</v>
      </c>
      <c r="M913" t="s">
        <v>9</v>
      </c>
      <c r="N913" t="s">
        <v>8</v>
      </c>
      <c r="O913" t="s">
        <v>11</v>
      </c>
      <c r="P913" t="s">
        <v>40</v>
      </c>
      <c r="Q913" t="s">
        <v>55</v>
      </c>
      <c r="R913" t="s">
        <v>14</v>
      </c>
      <c r="S913" t="s">
        <v>25</v>
      </c>
      <c r="T913" t="s">
        <v>24</v>
      </c>
      <c r="U913" t="s">
        <v>5</v>
      </c>
      <c r="V913" s="3" t="s">
        <v>1516</v>
      </c>
      <c r="W913" t="s">
        <v>16</v>
      </c>
    </row>
    <row r="914" spans="1:23" ht="12.75">
      <c r="A914" s="1">
        <v>45800.070625</v>
      </c>
      <c r="C914" t="s">
        <v>268</v>
      </c>
      <c r="D914">
        <v>54</v>
      </c>
      <c r="E914">
        <v>180</v>
      </c>
      <c r="F914">
        <v>76</v>
      </c>
      <c r="G914">
        <v>2.5</v>
      </c>
      <c r="H914" t="s">
        <v>590</v>
      </c>
      <c r="I914" t="s">
        <v>29</v>
      </c>
      <c r="J914" t="s">
        <v>36</v>
      </c>
      <c r="K914" t="s">
        <v>30</v>
      </c>
      <c r="L914" t="s">
        <v>10</v>
      </c>
      <c r="M914" t="s">
        <v>52</v>
      </c>
      <c r="N914" t="s">
        <v>20</v>
      </c>
      <c r="O914" t="s">
        <v>46</v>
      </c>
      <c r="P914" t="s">
        <v>8</v>
      </c>
      <c r="Q914" t="s">
        <v>32</v>
      </c>
      <c r="R914" t="s">
        <v>33</v>
      </c>
      <c r="S914" t="s">
        <v>25</v>
      </c>
      <c r="T914" t="s">
        <v>24</v>
      </c>
      <c r="U914" t="s">
        <v>5</v>
      </c>
      <c r="V914" s="3" t="s">
        <v>1517</v>
      </c>
      <c r="W914" t="s">
        <v>16</v>
      </c>
    </row>
    <row r="915" spans="1:23" ht="12.75">
      <c r="A915" s="1">
        <v>45718.705787037034</v>
      </c>
      <c r="C915" t="s">
        <v>271</v>
      </c>
      <c r="D915">
        <v>59</v>
      </c>
      <c r="E915">
        <v>184</v>
      </c>
      <c r="F915">
        <v>91</v>
      </c>
      <c r="G915">
        <v>2.5</v>
      </c>
      <c r="H915" t="s">
        <v>28</v>
      </c>
      <c r="I915" t="s">
        <v>5</v>
      </c>
      <c r="J915" t="s">
        <v>6</v>
      </c>
      <c r="K915" t="s">
        <v>19</v>
      </c>
      <c r="L915" t="s">
        <v>31</v>
      </c>
      <c r="M915" t="s">
        <v>9</v>
      </c>
      <c r="N915" t="s">
        <v>20</v>
      </c>
      <c r="O915" t="s">
        <v>22</v>
      </c>
      <c r="P915" t="s">
        <v>40</v>
      </c>
      <c r="Q915" t="s">
        <v>13</v>
      </c>
      <c r="R915" t="s">
        <v>33</v>
      </c>
      <c r="S915" t="s">
        <v>47</v>
      </c>
      <c r="T915" t="s">
        <v>24</v>
      </c>
      <c r="U915" t="s">
        <v>5</v>
      </c>
      <c r="V915" s="3" t="s">
        <v>1518</v>
      </c>
      <c r="W915" t="s">
        <v>34</v>
      </c>
    </row>
    <row r="916" spans="1:23" ht="12.75">
      <c r="A916" s="1">
        <v>45687.168993055559</v>
      </c>
      <c r="C916" t="s">
        <v>266</v>
      </c>
      <c r="D916">
        <v>47</v>
      </c>
      <c r="E916">
        <v>174</v>
      </c>
      <c r="F916">
        <v>93</v>
      </c>
      <c r="G916">
        <v>1</v>
      </c>
      <c r="H916" t="s">
        <v>591</v>
      </c>
      <c r="I916" t="s">
        <v>29</v>
      </c>
      <c r="J916" t="s">
        <v>36</v>
      </c>
      <c r="K916" t="s">
        <v>30</v>
      </c>
      <c r="L916" t="s">
        <v>8</v>
      </c>
      <c r="M916" t="s">
        <v>38</v>
      </c>
      <c r="N916" t="s">
        <v>40</v>
      </c>
      <c r="O916" t="s">
        <v>44</v>
      </c>
      <c r="P916" t="s">
        <v>10</v>
      </c>
      <c r="Q916" t="s">
        <v>32</v>
      </c>
      <c r="R916" t="s">
        <v>33</v>
      </c>
      <c r="S916" t="s">
        <v>24</v>
      </c>
      <c r="T916" t="s">
        <v>15</v>
      </c>
      <c r="U916" t="s">
        <v>29</v>
      </c>
      <c r="V916" s="3" t="s">
        <v>1519</v>
      </c>
      <c r="W916" t="s">
        <v>39</v>
      </c>
    </row>
    <row r="917" spans="1:23" ht="12.75">
      <c r="A917" s="1">
        <v>45763.845381944448</v>
      </c>
      <c r="C917" t="s">
        <v>170</v>
      </c>
      <c r="D917">
        <v>25</v>
      </c>
      <c r="E917">
        <v>183</v>
      </c>
      <c r="F917">
        <v>51</v>
      </c>
      <c r="G917">
        <v>2</v>
      </c>
      <c r="H917" t="s">
        <v>592</v>
      </c>
      <c r="I917" t="s">
        <v>29</v>
      </c>
      <c r="J917" t="s">
        <v>6</v>
      </c>
      <c r="K917" t="s">
        <v>37</v>
      </c>
      <c r="L917" t="s">
        <v>20</v>
      </c>
      <c r="M917" t="s">
        <v>9</v>
      </c>
      <c r="N917" t="s">
        <v>31</v>
      </c>
      <c r="O917" t="s">
        <v>46</v>
      </c>
      <c r="P917" t="s">
        <v>31</v>
      </c>
      <c r="Q917" t="s">
        <v>23</v>
      </c>
      <c r="R917" t="s">
        <v>14</v>
      </c>
      <c r="S917" t="s">
        <v>24</v>
      </c>
      <c r="T917" t="s">
        <v>15</v>
      </c>
      <c r="U917" t="s">
        <v>5</v>
      </c>
      <c r="V917" s="3" t="s">
        <v>1520</v>
      </c>
      <c r="W917" t="s">
        <v>26</v>
      </c>
    </row>
    <row r="918" spans="1:23" ht="12.75">
      <c r="A918" s="1">
        <v>45729.963055555556</v>
      </c>
      <c r="C918" t="s">
        <v>103</v>
      </c>
      <c r="D918">
        <v>28</v>
      </c>
      <c r="E918">
        <v>164</v>
      </c>
      <c r="F918">
        <v>60</v>
      </c>
      <c r="G918">
        <v>3</v>
      </c>
      <c r="H918" t="s">
        <v>591</v>
      </c>
      <c r="I918" t="s">
        <v>29</v>
      </c>
      <c r="J918" t="s">
        <v>6</v>
      </c>
      <c r="K918" t="s">
        <v>63</v>
      </c>
      <c r="L918" t="s">
        <v>40</v>
      </c>
      <c r="M918" t="s">
        <v>38</v>
      </c>
      <c r="N918" t="s">
        <v>40</v>
      </c>
      <c r="O918" t="s">
        <v>46</v>
      </c>
      <c r="P918" t="s">
        <v>40</v>
      </c>
      <c r="Q918" t="s">
        <v>32</v>
      </c>
      <c r="R918" t="s">
        <v>14</v>
      </c>
      <c r="S918" t="s">
        <v>47</v>
      </c>
      <c r="T918" t="s">
        <v>47</v>
      </c>
      <c r="U918" t="s">
        <v>29</v>
      </c>
      <c r="V918" s="3" t="s">
        <v>1521</v>
      </c>
      <c r="W918" t="s">
        <v>26</v>
      </c>
    </row>
    <row r="919" spans="1:23" ht="12.75">
      <c r="A919" s="1">
        <v>45807.130300925928</v>
      </c>
      <c r="C919" t="s">
        <v>170</v>
      </c>
      <c r="D919">
        <v>58</v>
      </c>
      <c r="E919">
        <v>174</v>
      </c>
      <c r="F919">
        <v>50</v>
      </c>
      <c r="G919">
        <v>1</v>
      </c>
      <c r="H919" t="s">
        <v>591</v>
      </c>
      <c r="I919" t="s">
        <v>29</v>
      </c>
      <c r="J919" t="s">
        <v>6</v>
      </c>
      <c r="K919" t="s">
        <v>30</v>
      </c>
      <c r="L919" t="s">
        <v>8</v>
      </c>
      <c r="M919" t="s">
        <v>52</v>
      </c>
      <c r="N919" t="s">
        <v>10</v>
      </c>
      <c r="O919" t="s">
        <v>22</v>
      </c>
      <c r="P919" t="s">
        <v>10</v>
      </c>
      <c r="Q919" t="s">
        <v>55</v>
      </c>
      <c r="R919" t="s">
        <v>50</v>
      </c>
      <c r="S919" t="s">
        <v>15</v>
      </c>
      <c r="T919" t="s">
        <v>24</v>
      </c>
      <c r="U919" t="s">
        <v>5</v>
      </c>
      <c r="V919" s="3" t="s">
        <v>1522</v>
      </c>
      <c r="W919" t="s">
        <v>16</v>
      </c>
    </row>
    <row r="920" spans="1:23" ht="12.75">
      <c r="A920" s="1">
        <v>45773.479351851849</v>
      </c>
      <c r="C920" t="s">
        <v>220</v>
      </c>
      <c r="D920">
        <v>22</v>
      </c>
      <c r="E920">
        <v>163</v>
      </c>
      <c r="F920">
        <v>58</v>
      </c>
      <c r="G920">
        <v>2.5</v>
      </c>
      <c r="H920" t="s">
        <v>28</v>
      </c>
      <c r="I920" t="s">
        <v>29</v>
      </c>
      <c r="J920" t="s">
        <v>36</v>
      </c>
      <c r="K920" t="s">
        <v>63</v>
      </c>
      <c r="L920" t="s">
        <v>12</v>
      </c>
      <c r="M920" t="s">
        <v>52</v>
      </c>
      <c r="N920" t="s">
        <v>12</v>
      </c>
      <c r="O920" t="s">
        <v>22</v>
      </c>
      <c r="P920" t="s">
        <v>8</v>
      </c>
      <c r="Q920" t="s">
        <v>55</v>
      </c>
      <c r="R920" t="s">
        <v>50</v>
      </c>
      <c r="S920" t="s">
        <v>15</v>
      </c>
      <c r="T920" t="s">
        <v>25</v>
      </c>
      <c r="U920" t="s">
        <v>29</v>
      </c>
      <c r="V920" s="3" t="s">
        <v>1523</v>
      </c>
      <c r="W920" t="s">
        <v>39</v>
      </c>
    </row>
    <row r="921" spans="1:23" ht="12.75">
      <c r="A921" s="1">
        <v>45747.56627314815</v>
      </c>
      <c r="C921" t="s">
        <v>398</v>
      </c>
      <c r="D921">
        <v>41</v>
      </c>
      <c r="E921">
        <v>174</v>
      </c>
      <c r="F921">
        <v>56</v>
      </c>
      <c r="G921">
        <v>3</v>
      </c>
      <c r="H921" t="s">
        <v>591</v>
      </c>
      <c r="I921" t="s">
        <v>29</v>
      </c>
      <c r="J921" t="s">
        <v>36</v>
      </c>
      <c r="K921" t="s">
        <v>19</v>
      </c>
      <c r="L921" t="s">
        <v>20</v>
      </c>
      <c r="M921" t="s">
        <v>38</v>
      </c>
      <c r="N921" t="s">
        <v>12</v>
      </c>
      <c r="O921" t="s">
        <v>11</v>
      </c>
      <c r="P921" t="s">
        <v>31</v>
      </c>
      <c r="Q921" t="s">
        <v>23</v>
      </c>
      <c r="R921" t="s">
        <v>33</v>
      </c>
      <c r="S921" t="s">
        <v>24</v>
      </c>
      <c r="T921" t="s">
        <v>15</v>
      </c>
      <c r="U921" t="s">
        <v>5</v>
      </c>
      <c r="V921" s="3" t="s">
        <v>1524</v>
      </c>
      <c r="W921" t="s">
        <v>39</v>
      </c>
    </row>
    <row r="922" spans="1:23" ht="12.75">
      <c r="A922" s="1">
        <v>45682.724456018521</v>
      </c>
      <c r="C922" t="s">
        <v>355</v>
      </c>
      <c r="D922">
        <v>38</v>
      </c>
      <c r="E922">
        <v>180</v>
      </c>
      <c r="F922">
        <v>60</v>
      </c>
      <c r="G922">
        <v>1</v>
      </c>
      <c r="H922" t="s">
        <v>28</v>
      </c>
      <c r="I922" t="s">
        <v>5</v>
      </c>
      <c r="J922" t="s">
        <v>36</v>
      </c>
      <c r="K922" t="s">
        <v>19</v>
      </c>
      <c r="L922" t="s">
        <v>10</v>
      </c>
      <c r="M922" t="s">
        <v>38</v>
      </c>
      <c r="N922" t="s">
        <v>10</v>
      </c>
      <c r="O922" t="s">
        <v>11</v>
      </c>
      <c r="P922" t="s">
        <v>40</v>
      </c>
      <c r="Q922" t="s">
        <v>13</v>
      </c>
      <c r="R922" t="s">
        <v>33</v>
      </c>
      <c r="S922" t="s">
        <v>25</v>
      </c>
      <c r="T922" t="s">
        <v>15</v>
      </c>
      <c r="U922" t="s">
        <v>29</v>
      </c>
      <c r="V922" s="3" t="s">
        <v>1525</v>
      </c>
      <c r="W922" t="s">
        <v>16</v>
      </c>
    </row>
    <row r="923" spans="1:23" ht="12.75">
      <c r="A923" s="1">
        <v>45788.164178240739</v>
      </c>
      <c r="C923" t="s">
        <v>357</v>
      </c>
      <c r="D923">
        <v>23</v>
      </c>
      <c r="E923">
        <v>184</v>
      </c>
      <c r="F923">
        <v>58</v>
      </c>
      <c r="G923">
        <v>1.5</v>
      </c>
      <c r="H923" t="s">
        <v>28</v>
      </c>
      <c r="I923" t="s">
        <v>29</v>
      </c>
      <c r="J923" t="s">
        <v>36</v>
      </c>
      <c r="K923" t="s">
        <v>30</v>
      </c>
      <c r="L923" t="s">
        <v>31</v>
      </c>
      <c r="M923" t="s">
        <v>52</v>
      </c>
      <c r="N923" t="s">
        <v>8</v>
      </c>
      <c r="O923" t="s">
        <v>46</v>
      </c>
      <c r="P923" t="s">
        <v>10</v>
      </c>
      <c r="Q923" t="s">
        <v>55</v>
      </c>
      <c r="R923" t="s">
        <v>33</v>
      </c>
      <c r="S923" t="s">
        <v>24</v>
      </c>
      <c r="T923" t="s">
        <v>25</v>
      </c>
      <c r="U923" t="s">
        <v>29</v>
      </c>
      <c r="V923" s="3" t="s">
        <v>1526</v>
      </c>
      <c r="W923" t="s">
        <v>34</v>
      </c>
    </row>
    <row r="924" spans="1:23" ht="12.75">
      <c r="A924" s="1">
        <v>45690.252997685187</v>
      </c>
      <c r="C924" t="s">
        <v>93</v>
      </c>
      <c r="D924">
        <v>37</v>
      </c>
      <c r="E924">
        <v>161</v>
      </c>
      <c r="F924">
        <v>78</v>
      </c>
      <c r="G924">
        <v>1</v>
      </c>
      <c r="H924" t="s">
        <v>591</v>
      </c>
      <c r="I924" t="s">
        <v>29</v>
      </c>
      <c r="J924" t="s">
        <v>36</v>
      </c>
      <c r="K924" t="s">
        <v>7</v>
      </c>
      <c r="L924" t="s">
        <v>40</v>
      </c>
      <c r="M924" t="s">
        <v>38</v>
      </c>
      <c r="N924" t="s">
        <v>12</v>
      </c>
      <c r="O924" t="s">
        <v>46</v>
      </c>
      <c r="P924" t="s">
        <v>40</v>
      </c>
      <c r="Q924" t="s">
        <v>32</v>
      </c>
      <c r="R924" t="s">
        <v>50</v>
      </c>
      <c r="S924" t="s">
        <v>24</v>
      </c>
      <c r="T924" t="s">
        <v>25</v>
      </c>
      <c r="U924" t="s">
        <v>5</v>
      </c>
      <c r="V924" s="3" t="s">
        <v>1527</v>
      </c>
      <c r="W924" t="s">
        <v>34</v>
      </c>
    </row>
    <row r="925" spans="1:23" ht="12.75">
      <c r="A925" s="1">
        <v>45658.754791666666</v>
      </c>
      <c r="C925" t="s">
        <v>310</v>
      </c>
      <c r="D925">
        <v>33</v>
      </c>
      <c r="E925">
        <v>162</v>
      </c>
      <c r="F925">
        <v>77</v>
      </c>
      <c r="G925">
        <v>3</v>
      </c>
      <c r="H925" t="s">
        <v>591</v>
      </c>
      <c r="I925" t="s">
        <v>5</v>
      </c>
      <c r="J925" t="s">
        <v>6</v>
      </c>
      <c r="K925" t="s">
        <v>37</v>
      </c>
      <c r="L925" t="s">
        <v>20</v>
      </c>
      <c r="M925" t="s">
        <v>38</v>
      </c>
      <c r="N925" t="s">
        <v>8</v>
      </c>
      <c r="O925" t="s">
        <v>11</v>
      </c>
      <c r="P925" t="s">
        <v>20</v>
      </c>
      <c r="Q925" t="s">
        <v>13</v>
      </c>
      <c r="R925" t="s">
        <v>50</v>
      </c>
      <c r="S925" t="s">
        <v>24</v>
      </c>
      <c r="T925" t="s">
        <v>47</v>
      </c>
      <c r="U925" t="s">
        <v>29</v>
      </c>
      <c r="V925" s="3" t="s">
        <v>1528</v>
      </c>
      <c r="W925" t="s">
        <v>34</v>
      </c>
    </row>
    <row r="926" spans="1:23" ht="12.75">
      <c r="A926" s="1">
        <v>45694.443368055552</v>
      </c>
      <c r="C926" t="s">
        <v>399</v>
      </c>
      <c r="D926">
        <v>27</v>
      </c>
      <c r="E926">
        <v>156</v>
      </c>
      <c r="F926">
        <v>97</v>
      </c>
      <c r="G926">
        <v>2.5</v>
      </c>
      <c r="H926" t="s">
        <v>28</v>
      </c>
      <c r="I926" t="s">
        <v>29</v>
      </c>
      <c r="J926" t="s">
        <v>36</v>
      </c>
      <c r="K926" t="s">
        <v>63</v>
      </c>
      <c r="L926" t="s">
        <v>10</v>
      </c>
      <c r="M926" t="s">
        <v>52</v>
      </c>
      <c r="N926" t="s">
        <v>31</v>
      </c>
      <c r="O926" t="s">
        <v>44</v>
      </c>
      <c r="P926" t="s">
        <v>12</v>
      </c>
      <c r="Q926" t="s">
        <v>13</v>
      </c>
      <c r="R926" t="s">
        <v>14</v>
      </c>
      <c r="S926" t="s">
        <v>25</v>
      </c>
      <c r="T926" t="s">
        <v>24</v>
      </c>
      <c r="U926" t="s">
        <v>5</v>
      </c>
      <c r="V926" s="3" t="s">
        <v>1529</v>
      </c>
      <c r="W926" t="s">
        <v>16</v>
      </c>
    </row>
    <row r="927" spans="1:23" ht="12.75">
      <c r="A927" s="1">
        <v>45680.381111111114</v>
      </c>
      <c r="C927" t="s">
        <v>258</v>
      </c>
      <c r="D927">
        <v>49</v>
      </c>
      <c r="E927">
        <v>170</v>
      </c>
      <c r="F927">
        <v>103</v>
      </c>
      <c r="G927">
        <v>2</v>
      </c>
      <c r="H927" t="s">
        <v>592</v>
      </c>
      <c r="I927" t="s">
        <v>29</v>
      </c>
      <c r="J927" t="s">
        <v>36</v>
      </c>
      <c r="K927" t="s">
        <v>19</v>
      </c>
      <c r="L927" t="s">
        <v>20</v>
      </c>
      <c r="M927" t="s">
        <v>21</v>
      </c>
      <c r="N927" t="s">
        <v>8</v>
      </c>
      <c r="O927" t="s">
        <v>22</v>
      </c>
      <c r="P927" t="s">
        <v>20</v>
      </c>
      <c r="Q927" t="s">
        <v>13</v>
      </c>
      <c r="R927" t="s">
        <v>50</v>
      </c>
      <c r="S927" t="s">
        <v>15</v>
      </c>
      <c r="T927" t="s">
        <v>24</v>
      </c>
      <c r="U927" t="s">
        <v>5</v>
      </c>
      <c r="V927" s="3" t="s">
        <v>1530</v>
      </c>
      <c r="W927" t="s">
        <v>39</v>
      </c>
    </row>
    <row r="928" spans="1:23" ht="12.75">
      <c r="A928" s="1">
        <v>45777.504027777781</v>
      </c>
      <c r="C928" t="s">
        <v>109</v>
      </c>
      <c r="D928">
        <v>58</v>
      </c>
      <c r="E928">
        <v>167</v>
      </c>
      <c r="F928">
        <v>87</v>
      </c>
      <c r="G928">
        <v>1.5</v>
      </c>
      <c r="H928" t="s">
        <v>590</v>
      </c>
      <c r="I928" t="s">
        <v>29</v>
      </c>
      <c r="J928" t="s">
        <v>6</v>
      </c>
      <c r="K928" t="s">
        <v>37</v>
      </c>
      <c r="L928" t="s">
        <v>10</v>
      </c>
      <c r="M928" t="s">
        <v>9</v>
      </c>
      <c r="N928" t="s">
        <v>10</v>
      </c>
      <c r="O928" t="s">
        <v>22</v>
      </c>
      <c r="P928" t="s">
        <v>8</v>
      </c>
      <c r="Q928" t="s">
        <v>55</v>
      </c>
      <c r="R928" t="s">
        <v>14</v>
      </c>
      <c r="S928" t="s">
        <v>15</v>
      </c>
      <c r="T928" t="s">
        <v>25</v>
      </c>
      <c r="U928" t="s">
        <v>5</v>
      </c>
      <c r="V928" s="3" t="s">
        <v>1531</v>
      </c>
      <c r="W928" t="s">
        <v>34</v>
      </c>
    </row>
    <row r="929" spans="1:23" ht="12.75">
      <c r="A929" s="1">
        <v>45717.309236111112</v>
      </c>
      <c r="C929" t="s">
        <v>163</v>
      </c>
      <c r="D929">
        <v>38</v>
      </c>
      <c r="E929">
        <v>189</v>
      </c>
      <c r="F929">
        <v>109</v>
      </c>
      <c r="G929">
        <v>1</v>
      </c>
      <c r="H929" t="s">
        <v>28</v>
      </c>
      <c r="I929" t="s">
        <v>5</v>
      </c>
      <c r="J929" t="s">
        <v>36</v>
      </c>
      <c r="K929" t="s">
        <v>19</v>
      </c>
      <c r="L929" t="s">
        <v>10</v>
      </c>
      <c r="M929" t="s">
        <v>52</v>
      </c>
      <c r="N929" t="s">
        <v>40</v>
      </c>
      <c r="O929" t="s">
        <v>46</v>
      </c>
      <c r="P929" t="s">
        <v>20</v>
      </c>
      <c r="Q929" t="s">
        <v>55</v>
      </c>
      <c r="R929" t="s">
        <v>33</v>
      </c>
      <c r="S929" t="s">
        <v>24</v>
      </c>
      <c r="T929" t="s">
        <v>15</v>
      </c>
      <c r="U929" t="s">
        <v>5</v>
      </c>
      <c r="V929" s="3" t="s">
        <v>1532</v>
      </c>
      <c r="W929" t="s">
        <v>39</v>
      </c>
    </row>
    <row r="930" spans="1:23" ht="12.75">
      <c r="A930" s="1">
        <v>45676.290300925924</v>
      </c>
      <c r="C930" t="s">
        <v>165</v>
      </c>
      <c r="D930">
        <v>23</v>
      </c>
      <c r="E930">
        <v>182</v>
      </c>
      <c r="F930">
        <v>81</v>
      </c>
      <c r="G930">
        <v>2.5</v>
      </c>
      <c r="H930" t="s">
        <v>590</v>
      </c>
      <c r="I930" t="s">
        <v>5</v>
      </c>
      <c r="J930" t="s">
        <v>36</v>
      </c>
      <c r="K930" t="s">
        <v>7</v>
      </c>
      <c r="L930" t="s">
        <v>31</v>
      </c>
      <c r="M930" t="s">
        <v>52</v>
      </c>
      <c r="N930" t="s">
        <v>12</v>
      </c>
      <c r="O930" t="s">
        <v>11</v>
      </c>
      <c r="P930" t="s">
        <v>20</v>
      </c>
      <c r="Q930" t="s">
        <v>55</v>
      </c>
      <c r="R930" t="s">
        <v>50</v>
      </c>
      <c r="S930" t="s">
        <v>47</v>
      </c>
      <c r="T930" t="s">
        <v>15</v>
      </c>
      <c r="U930" t="s">
        <v>29</v>
      </c>
      <c r="V930" s="3" t="s">
        <v>1533</v>
      </c>
      <c r="W930" t="s">
        <v>16</v>
      </c>
    </row>
    <row r="931" spans="1:23" ht="12.75">
      <c r="A931" s="1">
        <v>45751.915405092594</v>
      </c>
      <c r="C931" t="s">
        <v>249</v>
      </c>
      <c r="D931">
        <v>30</v>
      </c>
      <c r="E931">
        <v>184</v>
      </c>
      <c r="F931">
        <v>59</v>
      </c>
      <c r="G931">
        <v>3</v>
      </c>
      <c r="H931" t="s">
        <v>592</v>
      </c>
      <c r="I931" t="s">
        <v>29</v>
      </c>
      <c r="J931" t="s">
        <v>6</v>
      </c>
      <c r="K931" t="s">
        <v>7</v>
      </c>
      <c r="L931" t="s">
        <v>8</v>
      </c>
      <c r="M931" t="s">
        <v>9</v>
      </c>
      <c r="N931" t="s">
        <v>31</v>
      </c>
      <c r="O931" t="s">
        <v>11</v>
      </c>
      <c r="P931" t="s">
        <v>40</v>
      </c>
      <c r="Q931" t="s">
        <v>55</v>
      </c>
      <c r="R931" t="s">
        <v>50</v>
      </c>
      <c r="S931" t="s">
        <v>15</v>
      </c>
      <c r="T931" t="s">
        <v>47</v>
      </c>
      <c r="U931" t="s">
        <v>29</v>
      </c>
      <c r="V931" s="3" t="s">
        <v>1534</v>
      </c>
      <c r="W931" t="s">
        <v>26</v>
      </c>
    </row>
    <row r="932" spans="1:23" ht="12.75">
      <c r="A932" s="1">
        <v>45706.329664351855</v>
      </c>
      <c r="C932" t="s">
        <v>83</v>
      </c>
      <c r="D932">
        <v>22</v>
      </c>
      <c r="E932">
        <v>178</v>
      </c>
      <c r="F932">
        <v>105</v>
      </c>
      <c r="G932">
        <v>1</v>
      </c>
      <c r="H932" t="s">
        <v>591</v>
      </c>
      <c r="I932" t="s">
        <v>29</v>
      </c>
      <c r="J932" t="s">
        <v>36</v>
      </c>
      <c r="K932" t="s">
        <v>30</v>
      </c>
      <c r="L932" t="s">
        <v>31</v>
      </c>
      <c r="M932" t="s">
        <v>9</v>
      </c>
      <c r="N932" t="s">
        <v>20</v>
      </c>
      <c r="O932" t="s">
        <v>46</v>
      </c>
      <c r="P932" t="s">
        <v>20</v>
      </c>
      <c r="Q932" t="s">
        <v>13</v>
      </c>
      <c r="R932" t="s">
        <v>50</v>
      </c>
      <c r="S932" t="s">
        <v>24</v>
      </c>
      <c r="T932" t="s">
        <v>24</v>
      </c>
      <c r="U932" t="s">
        <v>5</v>
      </c>
      <c r="V932" s="3" t="s">
        <v>1535</v>
      </c>
      <c r="W932" t="s">
        <v>16</v>
      </c>
    </row>
    <row r="933" spans="1:23" ht="12.75">
      <c r="A933" s="1">
        <v>45696.958518518521</v>
      </c>
      <c r="C933" t="s">
        <v>400</v>
      </c>
      <c r="D933">
        <v>54</v>
      </c>
      <c r="E933">
        <v>176</v>
      </c>
      <c r="F933">
        <v>108</v>
      </c>
      <c r="G933">
        <v>2</v>
      </c>
      <c r="H933" t="s">
        <v>28</v>
      </c>
      <c r="I933" t="s">
        <v>29</v>
      </c>
      <c r="J933" t="s">
        <v>36</v>
      </c>
      <c r="K933" t="s">
        <v>60</v>
      </c>
      <c r="L933" t="s">
        <v>8</v>
      </c>
      <c r="M933" t="s">
        <v>38</v>
      </c>
      <c r="N933" t="s">
        <v>12</v>
      </c>
      <c r="O933" t="s">
        <v>44</v>
      </c>
      <c r="P933" t="s">
        <v>40</v>
      </c>
      <c r="Q933" t="s">
        <v>32</v>
      </c>
      <c r="R933" t="s">
        <v>33</v>
      </c>
      <c r="S933" t="s">
        <v>24</v>
      </c>
      <c r="T933" t="s">
        <v>25</v>
      </c>
      <c r="U933" t="s">
        <v>29</v>
      </c>
      <c r="V933" s="3" t="s">
        <v>1536</v>
      </c>
      <c r="W933" t="s">
        <v>16</v>
      </c>
    </row>
    <row r="934" spans="1:23" ht="12.75">
      <c r="A934" s="1">
        <v>45659.872407407405</v>
      </c>
      <c r="C934" t="s">
        <v>93</v>
      </c>
      <c r="D934">
        <v>57</v>
      </c>
      <c r="E934">
        <v>181</v>
      </c>
      <c r="F934">
        <v>101</v>
      </c>
      <c r="G934">
        <v>3</v>
      </c>
      <c r="H934" t="s">
        <v>591</v>
      </c>
      <c r="I934" t="s">
        <v>29</v>
      </c>
      <c r="J934" t="s">
        <v>6</v>
      </c>
      <c r="K934" t="s">
        <v>30</v>
      </c>
      <c r="L934" t="s">
        <v>10</v>
      </c>
      <c r="M934" t="s">
        <v>38</v>
      </c>
      <c r="N934" t="s">
        <v>31</v>
      </c>
      <c r="O934" t="s">
        <v>44</v>
      </c>
      <c r="P934" t="s">
        <v>10</v>
      </c>
      <c r="Q934" t="s">
        <v>55</v>
      </c>
      <c r="R934" t="s">
        <v>33</v>
      </c>
      <c r="S934" t="s">
        <v>24</v>
      </c>
      <c r="T934" t="s">
        <v>24</v>
      </c>
      <c r="U934" t="s">
        <v>29</v>
      </c>
      <c r="V934" s="3" t="s">
        <v>1537</v>
      </c>
      <c r="W934" t="s">
        <v>26</v>
      </c>
    </row>
    <row r="935" spans="1:23" ht="12.75">
      <c r="A935" s="1">
        <v>45757.828541666669</v>
      </c>
      <c r="C935" t="s">
        <v>56</v>
      </c>
      <c r="D935">
        <v>37</v>
      </c>
      <c r="E935">
        <v>166</v>
      </c>
      <c r="F935">
        <v>72</v>
      </c>
      <c r="G935">
        <v>2</v>
      </c>
      <c r="H935" t="s">
        <v>590</v>
      </c>
      <c r="I935" t="s">
        <v>29</v>
      </c>
      <c r="J935" t="s">
        <v>36</v>
      </c>
      <c r="K935" t="s">
        <v>19</v>
      </c>
      <c r="L935" t="s">
        <v>40</v>
      </c>
      <c r="M935" t="s">
        <v>21</v>
      </c>
      <c r="N935" t="s">
        <v>40</v>
      </c>
      <c r="O935" t="s">
        <v>46</v>
      </c>
      <c r="P935" t="s">
        <v>8</v>
      </c>
      <c r="Q935" t="s">
        <v>32</v>
      </c>
      <c r="R935" t="s">
        <v>14</v>
      </c>
      <c r="S935" t="s">
        <v>25</v>
      </c>
      <c r="T935" t="s">
        <v>24</v>
      </c>
      <c r="U935" t="s">
        <v>5</v>
      </c>
      <c r="V935" s="3" t="s">
        <v>1538</v>
      </c>
      <c r="W935" t="s">
        <v>39</v>
      </c>
    </row>
    <row r="936" spans="1:23" ht="12.75">
      <c r="A936" s="1">
        <v>45660.835868055554</v>
      </c>
      <c r="C936" t="s">
        <v>111</v>
      </c>
      <c r="D936">
        <v>50</v>
      </c>
      <c r="E936">
        <v>160</v>
      </c>
      <c r="F936">
        <v>81</v>
      </c>
      <c r="G936">
        <v>2.5</v>
      </c>
      <c r="H936" t="s">
        <v>591</v>
      </c>
      <c r="I936" t="s">
        <v>29</v>
      </c>
      <c r="J936" t="s">
        <v>36</v>
      </c>
      <c r="K936" t="s">
        <v>30</v>
      </c>
      <c r="L936" t="s">
        <v>8</v>
      </c>
      <c r="M936" t="s">
        <v>21</v>
      </c>
      <c r="N936" t="s">
        <v>8</v>
      </c>
      <c r="O936" t="s">
        <v>11</v>
      </c>
      <c r="P936" t="s">
        <v>40</v>
      </c>
      <c r="Q936" t="s">
        <v>32</v>
      </c>
      <c r="R936" t="s">
        <v>14</v>
      </c>
      <c r="S936" t="s">
        <v>25</v>
      </c>
      <c r="T936" t="s">
        <v>24</v>
      </c>
      <c r="U936" t="s">
        <v>5</v>
      </c>
      <c r="V936" s="3" t="s">
        <v>1539</v>
      </c>
      <c r="W936" t="s">
        <v>34</v>
      </c>
    </row>
    <row r="937" spans="1:23" ht="12.75">
      <c r="A937" s="1">
        <v>45736.658182870371</v>
      </c>
      <c r="C937" t="s">
        <v>401</v>
      </c>
      <c r="D937">
        <v>52</v>
      </c>
      <c r="E937">
        <v>177</v>
      </c>
      <c r="F937">
        <v>59</v>
      </c>
      <c r="G937">
        <v>1</v>
      </c>
      <c r="H937" t="s">
        <v>590</v>
      </c>
      <c r="I937" t="s">
        <v>29</v>
      </c>
      <c r="J937" t="s">
        <v>36</v>
      </c>
      <c r="K937" t="s">
        <v>7</v>
      </c>
      <c r="L937" t="s">
        <v>10</v>
      </c>
      <c r="M937" t="s">
        <v>21</v>
      </c>
      <c r="N937" t="s">
        <v>10</v>
      </c>
      <c r="O937" t="s">
        <v>22</v>
      </c>
      <c r="P937" t="s">
        <v>10</v>
      </c>
      <c r="Q937" t="s">
        <v>32</v>
      </c>
      <c r="R937" t="s">
        <v>50</v>
      </c>
      <c r="S937" t="s">
        <v>24</v>
      </c>
      <c r="T937" t="s">
        <v>15</v>
      </c>
      <c r="U937" t="s">
        <v>29</v>
      </c>
      <c r="V937" s="3" t="s">
        <v>1540</v>
      </c>
      <c r="W937" t="s">
        <v>34</v>
      </c>
    </row>
    <row r="938" spans="1:23" ht="12.75">
      <c r="A938" s="1">
        <v>45673.295775462961</v>
      </c>
      <c r="C938" t="s">
        <v>102</v>
      </c>
      <c r="D938">
        <v>38</v>
      </c>
      <c r="E938">
        <v>178</v>
      </c>
      <c r="F938">
        <v>51</v>
      </c>
      <c r="G938">
        <v>1</v>
      </c>
      <c r="H938" t="s">
        <v>28</v>
      </c>
      <c r="I938" t="s">
        <v>5</v>
      </c>
      <c r="J938" t="s">
        <v>36</v>
      </c>
      <c r="K938" t="s">
        <v>7</v>
      </c>
      <c r="L938" t="s">
        <v>12</v>
      </c>
      <c r="M938" t="s">
        <v>21</v>
      </c>
      <c r="N938" t="s">
        <v>10</v>
      </c>
      <c r="O938" t="s">
        <v>22</v>
      </c>
      <c r="P938" t="s">
        <v>10</v>
      </c>
      <c r="Q938" t="s">
        <v>13</v>
      </c>
      <c r="R938" t="s">
        <v>50</v>
      </c>
      <c r="S938" t="s">
        <v>25</v>
      </c>
      <c r="T938" t="s">
        <v>24</v>
      </c>
      <c r="U938" t="s">
        <v>29</v>
      </c>
      <c r="V938" s="3" t="s">
        <v>1541</v>
      </c>
      <c r="W938" t="s">
        <v>26</v>
      </c>
    </row>
    <row r="939" spans="1:23" ht="12.75">
      <c r="A939" s="1">
        <v>45801.957592592589</v>
      </c>
      <c r="C939" t="s">
        <v>328</v>
      </c>
      <c r="D939">
        <v>20</v>
      </c>
      <c r="E939">
        <v>156</v>
      </c>
      <c r="F939">
        <v>86</v>
      </c>
      <c r="G939">
        <v>1</v>
      </c>
      <c r="H939" t="s">
        <v>590</v>
      </c>
      <c r="I939" t="s">
        <v>5</v>
      </c>
      <c r="J939" t="s">
        <v>36</v>
      </c>
      <c r="K939" t="s">
        <v>63</v>
      </c>
      <c r="L939" t="s">
        <v>40</v>
      </c>
      <c r="M939" t="s">
        <v>52</v>
      </c>
      <c r="N939" t="s">
        <v>10</v>
      </c>
      <c r="O939" t="s">
        <v>46</v>
      </c>
      <c r="P939" t="s">
        <v>10</v>
      </c>
      <c r="Q939" t="s">
        <v>55</v>
      </c>
      <c r="R939" t="s">
        <v>14</v>
      </c>
      <c r="S939" t="s">
        <v>47</v>
      </c>
      <c r="T939" t="s">
        <v>25</v>
      </c>
      <c r="U939" t="s">
        <v>29</v>
      </c>
      <c r="V939" s="3" t="s">
        <v>1542</v>
      </c>
      <c r="W939" t="s">
        <v>26</v>
      </c>
    </row>
    <row r="940" spans="1:23" ht="12.75">
      <c r="A940" s="1">
        <v>45720.941412037035</v>
      </c>
      <c r="C940" t="s">
        <v>93</v>
      </c>
      <c r="D940">
        <v>48</v>
      </c>
      <c r="E940">
        <v>168</v>
      </c>
      <c r="F940">
        <v>53</v>
      </c>
      <c r="G940">
        <v>2.5</v>
      </c>
      <c r="H940" t="s">
        <v>591</v>
      </c>
      <c r="I940" t="s">
        <v>29</v>
      </c>
      <c r="J940" t="s">
        <v>36</v>
      </c>
      <c r="K940" t="s">
        <v>37</v>
      </c>
      <c r="L940" t="s">
        <v>20</v>
      </c>
      <c r="M940" t="s">
        <v>21</v>
      </c>
      <c r="N940" t="s">
        <v>8</v>
      </c>
      <c r="O940" t="s">
        <v>44</v>
      </c>
      <c r="P940" t="s">
        <v>20</v>
      </c>
      <c r="Q940" t="s">
        <v>32</v>
      </c>
      <c r="R940" t="s">
        <v>50</v>
      </c>
      <c r="S940" t="s">
        <v>24</v>
      </c>
      <c r="T940" t="s">
        <v>25</v>
      </c>
      <c r="U940" t="s">
        <v>29</v>
      </c>
      <c r="V940" s="3" t="s">
        <v>1543</v>
      </c>
      <c r="W940" t="s">
        <v>34</v>
      </c>
    </row>
    <row r="941" spans="1:23" ht="12.75">
      <c r="A941" s="1">
        <v>45716.204942129632</v>
      </c>
      <c r="C941" t="s">
        <v>270</v>
      </c>
      <c r="D941">
        <v>47</v>
      </c>
      <c r="E941">
        <v>172</v>
      </c>
      <c r="F941">
        <v>103</v>
      </c>
      <c r="G941">
        <v>1</v>
      </c>
      <c r="H941" t="s">
        <v>591</v>
      </c>
      <c r="I941" t="s">
        <v>5</v>
      </c>
      <c r="J941" t="s">
        <v>6</v>
      </c>
      <c r="K941" t="s">
        <v>63</v>
      </c>
      <c r="L941" t="s">
        <v>31</v>
      </c>
      <c r="M941" t="s">
        <v>52</v>
      </c>
      <c r="N941" t="s">
        <v>8</v>
      </c>
      <c r="O941" t="s">
        <v>44</v>
      </c>
      <c r="P941" t="s">
        <v>20</v>
      </c>
      <c r="Q941" t="s">
        <v>32</v>
      </c>
      <c r="R941" t="s">
        <v>50</v>
      </c>
      <c r="S941" t="s">
        <v>25</v>
      </c>
      <c r="T941" t="s">
        <v>47</v>
      </c>
      <c r="U941" t="s">
        <v>5</v>
      </c>
      <c r="V941" s="3" t="s">
        <v>1544</v>
      </c>
      <c r="W941" t="s">
        <v>34</v>
      </c>
    </row>
    <row r="942" spans="1:23" ht="12.75">
      <c r="A942" s="1">
        <v>45687.57403935185</v>
      </c>
      <c r="C942" t="s">
        <v>134</v>
      </c>
      <c r="D942">
        <v>46</v>
      </c>
      <c r="E942">
        <v>177</v>
      </c>
      <c r="F942">
        <v>93</v>
      </c>
      <c r="G942">
        <v>3</v>
      </c>
      <c r="H942" t="s">
        <v>592</v>
      </c>
      <c r="I942" t="s">
        <v>29</v>
      </c>
      <c r="J942" t="s">
        <v>36</v>
      </c>
      <c r="K942" t="s">
        <v>7</v>
      </c>
      <c r="L942" t="s">
        <v>12</v>
      </c>
      <c r="M942" t="s">
        <v>52</v>
      </c>
      <c r="N942" t="s">
        <v>20</v>
      </c>
      <c r="O942" t="s">
        <v>46</v>
      </c>
      <c r="P942" t="s">
        <v>12</v>
      </c>
      <c r="Q942" t="s">
        <v>55</v>
      </c>
      <c r="R942" t="s">
        <v>14</v>
      </c>
      <c r="S942" t="s">
        <v>25</v>
      </c>
      <c r="T942" t="s">
        <v>15</v>
      </c>
      <c r="U942" t="s">
        <v>29</v>
      </c>
      <c r="V942" s="3" t="s">
        <v>1545</v>
      </c>
      <c r="W942" t="s">
        <v>16</v>
      </c>
    </row>
    <row r="943" spans="1:23" ht="12.75">
      <c r="A943" s="1">
        <v>45728.418692129628</v>
      </c>
      <c r="C943" t="s">
        <v>402</v>
      </c>
      <c r="D943">
        <v>41</v>
      </c>
      <c r="E943">
        <v>166</v>
      </c>
      <c r="F943">
        <v>67</v>
      </c>
      <c r="G943">
        <v>3</v>
      </c>
      <c r="H943" t="s">
        <v>28</v>
      </c>
      <c r="I943" t="s">
        <v>5</v>
      </c>
      <c r="J943" t="s">
        <v>36</v>
      </c>
      <c r="K943" t="s">
        <v>63</v>
      </c>
      <c r="L943" t="s">
        <v>8</v>
      </c>
      <c r="M943" t="s">
        <v>38</v>
      </c>
      <c r="N943" t="s">
        <v>10</v>
      </c>
      <c r="O943" t="s">
        <v>11</v>
      </c>
      <c r="P943" t="s">
        <v>12</v>
      </c>
      <c r="Q943" t="s">
        <v>23</v>
      </c>
      <c r="R943" t="s">
        <v>50</v>
      </c>
      <c r="S943" t="s">
        <v>25</v>
      </c>
      <c r="T943" t="s">
        <v>47</v>
      </c>
      <c r="U943" t="s">
        <v>5</v>
      </c>
      <c r="V943" s="3" t="s">
        <v>1546</v>
      </c>
      <c r="W943" t="s">
        <v>39</v>
      </c>
    </row>
    <row r="944" spans="1:23" ht="12.75">
      <c r="A944" s="1">
        <v>45730.000231481485</v>
      </c>
      <c r="C944" t="s">
        <v>56</v>
      </c>
      <c r="D944">
        <v>55</v>
      </c>
      <c r="E944">
        <v>176</v>
      </c>
      <c r="F944">
        <v>99</v>
      </c>
      <c r="G944">
        <v>3</v>
      </c>
      <c r="H944" t="s">
        <v>590</v>
      </c>
      <c r="I944" t="s">
        <v>5</v>
      </c>
      <c r="J944" t="s">
        <v>36</v>
      </c>
      <c r="K944" t="s">
        <v>19</v>
      </c>
      <c r="L944" t="s">
        <v>8</v>
      </c>
      <c r="M944" t="s">
        <v>52</v>
      </c>
      <c r="N944" t="s">
        <v>20</v>
      </c>
      <c r="O944" t="s">
        <v>46</v>
      </c>
      <c r="P944" t="s">
        <v>40</v>
      </c>
      <c r="Q944" t="s">
        <v>32</v>
      </c>
      <c r="R944" t="s">
        <v>33</v>
      </c>
      <c r="S944" t="s">
        <v>15</v>
      </c>
      <c r="T944" t="s">
        <v>25</v>
      </c>
      <c r="U944" t="s">
        <v>29</v>
      </c>
      <c r="V944" s="3" t="s">
        <v>1547</v>
      </c>
      <c r="W944" t="s">
        <v>26</v>
      </c>
    </row>
    <row r="945" spans="1:23" ht="12.75">
      <c r="A945" s="1">
        <v>45726.986655092594</v>
      </c>
      <c r="C945" t="s">
        <v>116</v>
      </c>
      <c r="D945">
        <v>51</v>
      </c>
      <c r="E945">
        <v>162</v>
      </c>
      <c r="F945">
        <v>74</v>
      </c>
      <c r="G945">
        <v>1.5</v>
      </c>
      <c r="H945" t="s">
        <v>28</v>
      </c>
      <c r="I945" t="s">
        <v>29</v>
      </c>
      <c r="J945" t="s">
        <v>36</v>
      </c>
      <c r="K945" t="s">
        <v>37</v>
      </c>
      <c r="L945" t="s">
        <v>31</v>
      </c>
      <c r="M945" t="s">
        <v>52</v>
      </c>
      <c r="N945" t="s">
        <v>12</v>
      </c>
      <c r="O945" t="s">
        <v>46</v>
      </c>
      <c r="P945" t="s">
        <v>40</v>
      </c>
      <c r="Q945" t="s">
        <v>32</v>
      </c>
      <c r="R945" t="s">
        <v>14</v>
      </c>
      <c r="S945" t="s">
        <v>24</v>
      </c>
      <c r="T945" t="s">
        <v>25</v>
      </c>
      <c r="U945" t="s">
        <v>29</v>
      </c>
      <c r="V945" s="3" t="s">
        <v>1548</v>
      </c>
      <c r="W945" t="s">
        <v>26</v>
      </c>
    </row>
    <row r="946" spans="1:23" ht="12.75">
      <c r="A946" s="1">
        <v>45661.610393518517</v>
      </c>
      <c r="C946" t="s">
        <v>403</v>
      </c>
      <c r="D946">
        <v>28</v>
      </c>
      <c r="E946">
        <v>168</v>
      </c>
      <c r="F946">
        <v>62</v>
      </c>
      <c r="G946">
        <v>2.5</v>
      </c>
      <c r="H946" t="s">
        <v>590</v>
      </c>
      <c r="I946" t="s">
        <v>5</v>
      </c>
      <c r="J946" t="s">
        <v>36</v>
      </c>
      <c r="K946" t="s">
        <v>63</v>
      </c>
      <c r="L946" t="s">
        <v>10</v>
      </c>
      <c r="M946" t="s">
        <v>9</v>
      </c>
      <c r="N946" t="s">
        <v>20</v>
      </c>
      <c r="O946" t="s">
        <v>22</v>
      </c>
      <c r="P946" t="s">
        <v>20</v>
      </c>
      <c r="Q946" t="s">
        <v>55</v>
      </c>
      <c r="R946" t="s">
        <v>14</v>
      </c>
      <c r="S946" t="s">
        <v>15</v>
      </c>
      <c r="T946" t="s">
        <v>47</v>
      </c>
      <c r="U946" t="s">
        <v>5</v>
      </c>
      <c r="V946" s="3" t="s">
        <v>1549</v>
      </c>
      <c r="W946" t="s">
        <v>26</v>
      </c>
    </row>
    <row r="947" spans="1:23" ht="12.75">
      <c r="A947" s="1">
        <v>45663.817280092589</v>
      </c>
      <c r="C947" t="s">
        <v>115</v>
      </c>
      <c r="D947">
        <v>32</v>
      </c>
      <c r="E947">
        <v>160</v>
      </c>
      <c r="F947">
        <v>88</v>
      </c>
      <c r="G947">
        <v>3</v>
      </c>
      <c r="H947" t="s">
        <v>592</v>
      </c>
      <c r="I947" t="s">
        <v>5</v>
      </c>
      <c r="J947" t="s">
        <v>36</v>
      </c>
      <c r="K947" t="s">
        <v>60</v>
      </c>
      <c r="L947" t="s">
        <v>12</v>
      </c>
      <c r="M947" t="s">
        <v>52</v>
      </c>
      <c r="N947" t="s">
        <v>20</v>
      </c>
      <c r="O947" t="s">
        <v>46</v>
      </c>
      <c r="P947" t="s">
        <v>31</v>
      </c>
      <c r="Q947" t="s">
        <v>32</v>
      </c>
      <c r="R947" t="s">
        <v>50</v>
      </c>
      <c r="S947" t="s">
        <v>47</v>
      </c>
      <c r="T947" t="s">
        <v>47</v>
      </c>
      <c r="U947" t="s">
        <v>5</v>
      </c>
      <c r="V947" s="3" t="s">
        <v>1550</v>
      </c>
      <c r="W947" t="s">
        <v>16</v>
      </c>
    </row>
    <row r="948" spans="1:23" ht="12.75">
      <c r="A948" s="1">
        <v>45714.303020833337</v>
      </c>
      <c r="C948" t="s">
        <v>392</v>
      </c>
      <c r="D948">
        <v>57</v>
      </c>
      <c r="E948">
        <v>168</v>
      </c>
      <c r="F948">
        <v>88</v>
      </c>
      <c r="G948">
        <v>3</v>
      </c>
      <c r="H948" t="s">
        <v>28</v>
      </c>
      <c r="I948" t="s">
        <v>29</v>
      </c>
      <c r="J948" t="s">
        <v>36</v>
      </c>
      <c r="K948" t="s">
        <v>60</v>
      </c>
      <c r="L948" t="s">
        <v>31</v>
      </c>
      <c r="M948" t="s">
        <v>21</v>
      </c>
      <c r="N948" t="s">
        <v>8</v>
      </c>
      <c r="O948" t="s">
        <v>11</v>
      </c>
      <c r="P948" t="s">
        <v>20</v>
      </c>
      <c r="Q948" t="s">
        <v>32</v>
      </c>
      <c r="R948" t="s">
        <v>33</v>
      </c>
      <c r="S948" t="s">
        <v>25</v>
      </c>
      <c r="T948" t="s">
        <v>25</v>
      </c>
      <c r="U948" t="s">
        <v>5</v>
      </c>
      <c r="V948" s="3" t="s">
        <v>1551</v>
      </c>
      <c r="W948" t="s">
        <v>26</v>
      </c>
    </row>
    <row r="949" spans="1:23" ht="12.75">
      <c r="A949" s="1">
        <v>45767.622627314813</v>
      </c>
      <c r="C949" t="s">
        <v>250</v>
      </c>
      <c r="D949">
        <v>48</v>
      </c>
      <c r="E949">
        <v>186</v>
      </c>
      <c r="F949">
        <v>109</v>
      </c>
      <c r="G949">
        <v>3</v>
      </c>
      <c r="H949" t="s">
        <v>590</v>
      </c>
      <c r="I949" t="s">
        <v>29</v>
      </c>
      <c r="J949" t="s">
        <v>36</v>
      </c>
      <c r="K949" t="s">
        <v>63</v>
      </c>
      <c r="L949" t="s">
        <v>8</v>
      </c>
      <c r="M949" t="s">
        <v>38</v>
      </c>
      <c r="N949" t="s">
        <v>20</v>
      </c>
      <c r="O949" t="s">
        <v>22</v>
      </c>
      <c r="P949" t="s">
        <v>31</v>
      </c>
      <c r="Q949" t="s">
        <v>32</v>
      </c>
      <c r="R949" t="s">
        <v>14</v>
      </c>
      <c r="S949" t="s">
        <v>47</v>
      </c>
      <c r="T949" t="s">
        <v>47</v>
      </c>
      <c r="U949" t="s">
        <v>29</v>
      </c>
      <c r="V949" s="3" t="s">
        <v>1552</v>
      </c>
      <c r="W949" t="s">
        <v>39</v>
      </c>
    </row>
    <row r="950" spans="1:23" ht="12.75">
      <c r="A950" s="1">
        <v>45658.445196759261</v>
      </c>
      <c r="C950" t="s">
        <v>239</v>
      </c>
      <c r="D950">
        <v>59</v>
      </c>
      <c r="E950">
        <v>164</v>
      </c>
      <c r="F950">
        <v>51</v>
      </c>
      <c r="G950">
        <v>2.5</v>
      </c>
      <c r="H950" t="s">
        <v>28</v>
      </c>
      <c r="I950" t="s">
        <v>29</v>
      </c>
      <c r="J950" t="s">
        <v>6</v>
      </c>
      <c r="K950" t="s">
        <v>7</v>
      </c>
      <c r="L950" t="s">
        <v>40</v>
      </c>
      <c r="M950" t="s">
        <v>21</v>
      </c>
      <c r="N950" t="s">
        <v>31</v>
      </c>
      <c r="O950" t="s">
        <v>46</v>
      </c>
      <c r="P950" t="s">
        <v>40</v>
      </c>
      <c r="Q950" t="s">
        <v>32</v>
      </c>
      <c r="R950" t="s">
        <v>50</v>
      </c>
      <c r="S950" t="s">
        <v>25</v>
      </c>
      <c r="T950" t="s">
        <v>25</v>
      </c>
      <c r="U950" t="s">
        <v>29</v>
      </c>
      <c r="V950" s="3" t="s">
        <v>1553</v>
      </c>
      <c r="W950" t="s">
        <v>26</v>
      </c>
    </row>
    <row r="951" spans="1:23" ht="12.75">
      <c r="A951" s="1">
        <v>45747.799178240741</v>
      </c>
      <c r="C951" t="s">
        <v>365</v>
      </c>
      <c r="D951">
        <v>37</v>
      </c>
      <c r="E951">
        <v>159</v>
      </c>
      <c r="F951">
        <v>73</v>
      </c>
      <c r="G951">
        <v>2</v>
      </c>
      <c r="H951" t="s">
        <v>591</v>
      </c>
      <c r="I951" t="s">
        <v>29</v>
      </c>
      <c r="J951" t="s">
        <v>6</v>
      </c>
      <c r="K951" t="s">
        <v>19</v>
      </c>
      <c r="L951" t="s">
        <v>31</v>
      </c>
      <c r="M951" t="s">
        <v>9</v>
      </c>
      <c r="N951" t="s">
        <v>31</v>
      </c>
      <c r="O951" t="s">
        <v>46</v>
      </c>
      <c r="P951" t="s">
        <v>8</v>
      </c>
      <c r="Q951" t="s">
        <v>32</v>
      </c>
      <c r="R951" t="s">
        <v>50</v>
      </c>
      <c r="S951" t="s">
        <v>15</v>
      </c>
      <c r="T951" t="s">
        <v>24</v>
      </c>
      <c r="U951" t="s">
        <v>5</v>
      </c>
      <c r="V951" s="3" t="s">
        <v>1554</v>
      </c>
      <c r="W951" t="s">
        <v>39</v>
      </c>
    </row>
    <row r="952" spans="1:23" ht="12.75">
      <c r="A952" s="1">
        <v>45769.60665509259</v>
      </c>
      <c r="C952" t="s">
        <v>80</v>
      </c>
      <c r="D952">
        <v>30</v>
      </c>
      <c r="E952">
        <v>177</v>
      </c>
      <c r="F952">
        <v>77</v>
      </c>
      <c r="G952">
        <v>3</v>
      </c>
      <c r="H952" t="s">
        <v>590</v>
      </c>
      <c r="I952" t="s">
        <v>29</v>
      </c>
      <c r="J952" t="s">
        <v>36</v>
      </c>
      <c r="K952" t="s">
        <v>7</v>
      </c>
      <c r="L952" t="s">
        <v>31</v>
      </c>
      <c r="M952" t="s">
        <v>9</v>
      </c>
      <c r="N952" t="s">
        <v>10</v>
      </c>
      <c r="O952" t="s">
        <v>11</v>
      </c>
      <c r="P952" t="s">
        <v>31</v>
      </c>
      <c r="Q952" t="s">
        <v>32</v>
      </c>
      <c r="R952" t="s">
        <v>50</v>
      </c>
      <c r="S952" t="s">
        <v>47</v>
      </c>
      <c r="T952" t="s">
        <v>15</v>
      </c>
      <c r="U952" t="s">
        <v>29</v>
      </c>
      <c r="V952" s="3" t="s">
        <v>1555</v>
      </c>
      <c r="W952" t="s">
        <v>16</v>
      </c>
    </row>
    <row r="953" spans="1:23" ht="12.75">
      <c r="A953" s="1">
        <v>45696.769016203703</v>
      </c>
      <c r="C953" t="s">
        <v>404</v>
      </c>
      <c r="D953">
        <v>49</v>
      </c>
      <c r="E953">
        <v>170</v>
      </c>
      <c r="F953">
        <v>75</v>
      </c>
      <c r="G953">
        <v>1.5</v>
      </c>
      <c r="H953" t="s">
        <v>28</v>
      </c>
      <c r="I953" t="s">
        <v>29</v>
      </c>
      <c r="J953" t="s">
        <v>36</v>
      </c>
      <c r="K953" t="s">
        <v>7</v>
      </c>
      <c r="L953" t="s">
        <v>10</v>
      </c>
      <c r="M953" t="s">
        <v>9</v>
      </c>
      <c r="N953" t="s">
        <v>12</v>
      </c>
      <c r="O953" t="s">
        <v>22</v>
      </c>
      <c r="P953" t="s">
        <v>40</v>
      </c>
      <c r="Q953" t="s">
        <v>23</v>
      </c>
      <c r="R953" t="s">
        <v>33</v>
      </c>
      <c r="S953" t="s">
        <v>25</v>
      </c>
      <c r="T953" t="s">
        <v>25</v>
      </c>
      <c r="U953" t="s">
        <v>5</v>
      </c>
      <c r="V953" s="3" t="s">
        <v>1556</v>
      </c>
      <c r="W953" t="s">
        <v>26</v>
      </c>
    </row>
    <row r="954" spans="1:23" ht="12.75">
      <c r="A954" s="1">
        <v>45722.606469907405</v>
      </c>
      <c r="C954" t="s">
        <v>405</v>
      </c>
      <c r="D954">
        <v>24</v>
      </c>
      <c r="E954">
        <v>176</v>
      </c>
      <c r="F954">
        <v>88</v>
      </c>
      <c r="G954">
        <v>2</v>
      </c>
      <c r="H954" t="s">
        <v>590</v>
      </c>
      <c r="I954" t="s">
        <v>5</v>
      </c>
      <c r="J954" t="s">
        <v>36</v>
      </c>
      <c r="K954" t="s">
        <v>60</v>
      </c>
      <c r="L954" t="s">
        <v>20</v>
      </c>
      <c r="M954" t="s">
        <v>38</v>
      </c>
      <c r="N954" t="s">
        <v>20</v>
      </c>
      <c r="O954" t="s">
        <v>44</v>
      </c>
      <c r="P954" t="s">
        <v>8</v>
      </c>
      <c r="Q954" t="s">
        <v>23</v>
      </c>
      <c r="R954" t="s">
        <v>33</v>
      </c>
      <c r="S954" t="s">
        <v>25</v>
      </c>
      <c r="T954" t="s">
        <v>24</v>
      </c>
      <c r="U954" t="s">
        <v>5</v>
      </c>
      <c r="V954" s="3" t="s">
        <v>1557</v>
      </c>
      <c r="W954" t="s">
        <v>39</v>
      </c>
    </row>
    <row r="955" spans="1:23" ht="12.75">
      <c r="A955" s="1">
        <v>45789.38417824074</v>
      </c>
      <c r="C955" t="s">
        <v>406</v>
      </c>
      <c r="D955">
        <v>53</v>
      </c>
      <c r="E955">
        <v>156</v>
      </c>
      <c r="F955">
        <v>106</v>
      </c>
      <c r="G955">
        <v>1</v>
      </c>
      <c r="H955" t="s">
        <v>590</v>
      </c>
      <c r="I955" t="s">
        <v>29</v>
      </c>
      <c r="J955" t="s">
        <v>6</v>
      </c>
      <c r="K955" t="s">
        <v>37</v>
      </c>
      <c r="L955" t="s">
        <v>10</v>
      </c>
      <c r="M955" t="s">
        <v>52</v>
      </c>
      <c r="N955" t="s">
        <v>40</v>
      </c>
      <c r="O955" t="s">
        <v>11</v>
      </c>
      <c r="P955" t="s">
        <v>8</v>
      </c>
      <c r="Q955" t="s">
        <v>55</v>
      </c>
      <c r="R955" t="s">
        <v>33</v>
      </c>
      <c r="S955" t="s">
        <v>25</v>
      </c>
      <c r="T955" t="s">
        <v>15</v>
      </c>
      <c r="U955" t="s">
        <v>29</v>
      </c>
      <c r="V955" s="3" t="s">
        <v>1558</v>
      </c>
      <c r="W955" t="s">
        <v>26</v>
      </c>
    </row>
    <row r="956" spans="1:23" ht="12.75">
      <c r="A956" s="1">
        <v>45669.434687499997</v>
      </c>
      <c r="C956" t="s">
        <v>115</v>
      </c>
      <c r="D956">
        <v>38</v>
      </c>
      <c r="E956">
        <v>176</v>
      </c>
      <c r="F956">
        <v>56</v>
      </c>
      <c r="G956">
        <v>2.5</v>
      </c>
      <c r="H956" t="s">
        <v>590</v>
      </c>
      <c r="I956" t="s">
        <v>29</v>
      </c>
      <c r="J956" t="s">
        <v>36</v>
      </c>
      <c r="K956" t="s">
        <v>7</v>
      </c>
      <c r="L956" t="s">
        <v>10</v>
      </c>
      <c r="M956" t="s">
        <v>38</v>
      </c>
      <c r="N956" t="s">
        <v>31</v>
      </c>
      <c r="O956" t="s">
        <v>46</v>
      </c>
      <c r="P956" t="s">
        <v>8</v>
      </c>
      <c r="Q956" t="s">
        <v>32</v>
      </c>
      <c r="R956" t="s">
        <v>33</v>
      </c>
      <c r="S956" t="s">
        <v>25</v>
      </c>
      <c r="T956" t="s">
        <v>15</v>
      </c>
      <c r="U956" t="s">
        <v>5</v>
      </c>
      <c r="V956" s="3" t="s">
        <v>1559</v>
      </c>
      <c r="W956" t="s">
        <v>34</v>
      </c>
    </row>
    <row r="957" spans="1:23" ht="12.75">
      <c r="A957" s="1">
        <v>45769.588194444441</v>
      </c>
      <c r="C957" t="s">
        <v>126</v>
      </c>
      <c r="D957">
        <v>55</v>
      </c>
      <c r="E957">
        <v>186</v>
      </c>
      <c r="F957">
        <v>78</v>
      </c>
      <c r="G957">
        <v>3</v>
      </c>
      <c r="H957" t="s">
        <v>590</v>
      </c>
      <c r="I957" t="s">
        <v>5</v>
      </c>
      <c r="J957" t="s">
        <v>36</v>
      </c>
      <c r="K957" t="s">
        <v>30</v>
      </c>
      <c r="L957" t="s">
        <v>40</v>
      </c>
      <c r="M957" t="s">
        <v>52</v>
      </c>
      <c r="N957" t="s">
        <v>40</v>
      </c>
      <c r="O957" t="s">
        <v>11</v>
      </c>
      <c r="P957" t="s">
        <v>12</v>
      </c>
      <c r="Q957" t="s">
        <v>32</v>
      </c>
      <c r="R957" t="s">
        <v>50</v>
      </c>
      <c r="S957" t="s">
        <v>47</v>
      </c>
      <c r="T957" t="s">
        <v>15</v>
      </c>
      <c r="U957" t="s">
        <v>29</v>
      </c>
      <c r="V957" s="3" t="s">
        <v>1560</v>
      </c>
      <c r="W957" t="s">
        <v>39</v>
      </c>
    </row>
    <row r="958" spans="1:23" ht="12.75">
      <c r="A958" s="1">
        <v>45686.940081018518</v>
      </c>
      <c r="C958" t="s">
        <v>256</v>
      </c>
      <c r="D958">
        <v>30</v>
      </c>
      <c r="E958">
        <v>175</v>
      </c>
      <c r="F958">
        <v>89</v>
      </c>
      <c r="G958">
        <v>2</v>
      </c>
      <c r="H958" t="s">
        <v>592</v>
      </c>
      <c r="I958" t="s">
        <v>29</v>
      </c>
      <c r="J958" t="s">
        <v>36</v>
      </c>
      <c r="K958" t="s">
        <v>19</v>
      </c>
      <c r="L958" t="s">
        <v>40</v>
      </c>
      <c r="M958" t="s">
        <v>9</v>
      </c>
      <c r="N958" t="s">
        <v>40</v>
      </c>
      <c r="O958" t="s">
        <v>11</v>
      </c>
      <c r="P958" t="s">
        <v>20</v>
      </c>
      <c r="Q958" t="s">
        <v>13</v>
      </c>
      <c r="R958" t="s">
        <v>33</v>
      </c>
      <c r="S958" t="s">
        <v>15</v>
      </c>
      <c r="T958" t="s">
        <v>24</v>
      </c>
      <c r="U958" t="s">
        <v>29</v>
      </c>
      <c r="V958" s="3" t="s">
        <v>1561</v>
      </c>
      <c r="W958" t="s">
        <v>34</v>
      </c>
    </row>
    <row r="959" spans="1:23" ht="12.75">
      <c r="A959" s="1">
        <v>45674.042638888888</v>
      </c>
      <c r="C959" t="s">
        <v>326</v>
      </c>
      <c r="D959">
        <v>29</v>
      </c>
      <c r="E959">
        <v>177</v>
      </c>
      <c r="F959">
        <v>77</v>
      </c>
      <c r="G959">
        <v>2.5</v>
      </c>
      <c r="H959" t="s">
        <v>592</v>
      </c>
      <c r="I959" t="s">
        <v>5</v>
      </c>
      <c r="J959" t="s">
        <v>6</v>
      </c>
      <c r="K959" t="s">
        <v>63</v>
      </c>
      <c r="L959" t="s">
        <v>20</v>
      </c>
      <c r="M959" t="s">
        <v>38</v>
      </c>
      <c r="N959" t="s">
        <v>12</v>
      </c>
      <c r="O959" t="s">
        <v>44</v>
      </c>
      <c r="P959" t="s">
        <v>40</v>
      </c>
      <c r="Q959" t="s">
        <v>32</v>
      </c>
      <c r="R959" t="s">
        <v>14</v>
      </c>
      <c r="S959" t="s">
        <v>25</v>
      </c>
      <c r="T959" t="s">
        <v>15</v>
      </c>
      <c r="U959" t="s">
        <v>29</v>
      </c>
      <c r="V959" s="3" t="s">
        <v>1562</v>
      </c>
      <c r="W959" t="s">
        <v>39</v>
      </c>
    </row>
    <row r="960" spans="1:23" ht="12.75">
      <c r="A960" s="1">
        <v>45784.098530092589</v>
      </c>
      <c r="C960" t="s">
        <v>407</v>
      </c>
      <c r="D960">
        <v>56</v>
      </c>
      <c r="E960">
        <v>158</v>
      </c>
      <c r="F960">
        <v>70</v>
      </c>
      <c r="G960">
        <v>2.5</v>
      </c>
      <c r="H960" t="s">
        <v>28</v>
      </c>
      <c r="I960" t="s">
        <v>29</v>
      </c>
      <c r="J960" t="s">
        <v>36</v>
      </c>
      <c r="K960" t="s">
        <v>30</v>
      </c>
      <c r="L960" t="s">
        <v>40</v>
      </c>
      <c r="M960" t="s">
        <v>21</v>
      </c>
      <c r="N960" t="s">
        <v>8</v>
      </c>
      <c r="O960" t="s">
        <v>11</v>
      </c>
      <c r="P960" t="s">
        <v>31</v>
      </c>
      <c r="Q960" t="s">
        <v>55</v>
      </c>
      <c r="R960" t="s">
        <v>14</v>
      </c>
      <c r="S960" t="s">
        <v>15</v>
      </c>
      <c r="T960" t="s">
        <v>47</v>
      </c>
      <c r="U960" t="s">
        <v>29</v>
      </c>
      <c r="V960" s="3" t="s">
        <v>1563</v>
      </c>
      <c r="W960" t="s">
        <v>16</v>
      </c>
    </row>
    <row r="961" spans="1:23" ht="12.75">
      <c r="A961" s="1">
        <v>45758.371678240743</v>
      </c>
      <c r="C961" t="s">
        <v>327</v>
      </c>
      <c r="D961">
        <v>37</v>
      </c>
      <c r="E961">
        <v>169</v>
      </c>
      <c r="F961">
        <v>102</v>
      </c>
      <c r="G961">
        <v>1</v>
      </c>
      <c r="H961" t="s">
        <v>591</v>
      </c>
      <c r="I961" t="s">
        <v>5</v>
      </c>
      <c r="J961" t="s">
        <v>36</v>
      </c>
      <c r="K961" t="s">
        <v>30</v>
      </c>
      <c r="L961" t="s">
        <v>31</v>
      </c>
      <c r="M961" t="s">
        <v>21</v>
      </c>
      <c r="N961" t="s">
        <v>20</v>
      </c>
      <c r="O961" t="s">
        <v>11</v>
      </c>
      <c r="P961" t="s">
        <v>20</v>
      </c>
      <c r="Q961" t="s">
        <v>13</v>
      </c>
      <c r="R961" t="s">
        <v>50</v>
      </c>
      <c r="S961" t="s">
        <v>47</v>
      </c>
      <c r="T961" t="s">
        <v>24</v>
      </c>
      <c r="U961" t="s">
        <v>5</v>
      </c>
      <c r="V961" s="3" t="s">
        <v>1564</v>
      </c>
      <c r="W961" t="s">
        <v>26</v>
      </c>
    </row>
    <row r="962" spans="1:23" ht="12.75">
      <c r="A962" s="1">
        <v>45723.199780092589</v>
      </c>
      <c r="C962" t="s">
        <v>111</v>
      </c>
      <c r="D962">
        <v>49</v>
      </c>
      <c r="E962">
        <v>179</v>
      </c>
      <c r="F962">
        <v>97</v>
      </c>
      <c r="G962">
        <v>1</v>
      </c>
      <c r="H962" t="s">
        <v>591</v>
      </c>
      <c r="I962" t="s">
        <v>29</v>
      </c>
      <c r="J962" t="s">
        <v>36</v>
      </c>
      <c r="K962" t="s">
        <v>63</v>
      </c>
      <c r="L962" t="s">
        <v>40</v>
      </c>
      <c r="M962" t="s">
        <v>52</v>
      </c>
      <c r="N962" t="s">
        <v>40</v>
      </c>
      <c r="O962" t="s">
        <v>22</v>
      </c>
      <c r="P962" t="s">
        <v>31</v>
      </c>
      <c r="Q962" t="s">
        <v>32</v>
      </c>
      <c r="R962" t="s">
        <v>14</v>
      </c>
      <c r="S962" t="s">
        <v>47</v>
      </c>
      <c r="T962" t="s">
        <v>15</v>
      </c>
      <c r="U962" t="s">
        <v>29</v>
      </c>
      <c r="V962" s="3" t="s">
        <v>1565</v>
      </c>
      <c r="W962" t="s">
        <v>26</v>
      </c>
    </row>
    <row r="963" spans="1:23" ht="12.75">
      <c r="A963" s="1">
        <v>45776.394016203703</v>
      </c>
      <c r="C963" t="s">
        <v>150</v>
      </c>
      <c r="D963">
        <v>29</v>
      </c>
      <c r="E963">
        <v>185</v>
      </c>
      <c r="F963">
        <v>84</v>
      </c>
      <c r="G963">
        <v>1.5</v>
      </c>
      <c r="H963" t="s">
        <v>591</v>
      </c>
      <c r="I963" t="s">
        <v>29</v>
      </c>
      <c r="J963" t="s">
        <v>36</v>
      </c>
      <c r="K963" t="s">
        <v>37</v>
      </c>
      <c r="L963" t="s">
        <v>20</v>
      </c>
      <c r="M963" t="s">
        <v>38</v>
      </c>
      <c r="N963" t="s">
        <v>31</v>
      </c>
      <c r="O963" t="s">
        <v>11</v>
      </c>
      <c r="P963" t="s">
        <v>8</v>
      </c>
      <c r="Q963" t="s">
        <v>55</v>
      </c>
      <c r="R963" t="s">
        <v>50</v>
      </c>
      <c r="S963" t="s">
        <v>24</v>
      </c>
      <c r="T963" t="s">
        <v>15</v>
      </c>
      <c r="U963" t="s">
        <v>29</v>
      </c>
      <c r="V963" s="3" t="s">
        <v>1566</v>
      </c>
      <c r="W963" t="s">
        <v>39</v>
      </c>
    </row>
    <row r="964" spans="1:23" ht="12.75">
      <c r="A964" s="1">
        <v>45793.246006944442</v>
      </c>
      <c r="C964" t="s">
        <v>349</v>
      </c>
      <c r="D964">
        <v>21</v>
      </c>
      <c r="E964">
        <v>181</v>
      </c>
      <c r="F964">
        <v>63</v>
      </c>
      <c r="G964">
        <v>1</v>
      </c>
      <c r="H964" t="s">
        <v>28</v>
      </c>
      <c r="I964" t="s">
        <v>29</v>
      </c>
      <c r="J964" t="s">
        <v>6</v>
      </c>
      <c r="K964" t="s">
        <v>19</v>
      </c>
      <c r="L964" t="s">
        <v>8</v>
      </c>
      <c r="M964" t="s">
        <v>52</v>
      </c>
      <c r="N964" t="s">
        <v>31</v>
      </c>
      <c r="O964" t="s">
        <v>11</v>
      </c>
      <c r="P964" t="s">
        <v>10</v>
      </c>
      <c r="Q964" t="s">
        <v>32</v>
      </c>
      <c r="R964" t="s">
        <v>33</v>
      </c>
      <c r="S964" t="s">
        <v>25</v>
      </c>
      <c r="T964" t="s">
        <v>25</v>
      </c>
      <c r="U964" t="s">
        <v>29</v>
      </c>
      <c r="V964" s="3" t="s">
        <v>1567</v>
      </c>
      <c r="W964" t="s">
        <v>16</v>
      </c>
    </row>
    <row r="965" spans="1:23" ht="12.75">
      <c r="A965" s="1">
        <v>45776.94222222222</v>
      </c>
      <c r="C965" t="s">
        <v>219</v>
      </c>
      <c r="D965">
        <v>58</v>
      </c>
      <c r="E965">
        <v>179</v>
      </c>
      <c r="F965">
        <v>91</v>
      </c>
      <c r="G965">
        <v>2</v>
      </c>
      <c r="H965" t="s">
        <v>590</v>
      </c>
      <c r="I965" t="s">
        <v>29</v>
      </c>
      <c r="J965" t="s">
        <v>36</v>
      </c>
      <c r="K965" t="s">
        <v>37</v>
      </c>
      <c r="L965" t="s">
        <v>10</v>
      </c>
      <c r="M965" t="s">
        <v>9</v>
      </c>
      <c r="N965" t="s">
        <v>20</v>
      </c>
      <c r="O965" t="s">
        <v>46</v>
      </c>
      <c r="P965" t="s">
        <v>20</v>
      </c>
      <c r="Q965" t="s">
        <v>13</v>
      </c>
      <c r="R965" t="s">
        <v>14</v>
      </c>
      <c r="S965" t="s">
        <v>47</v>
      </c>
      <c r="T965" t="s">
        <v>47</v>
      </c>
      <c r="U965" t="s">
        <v>5</v>
      </c>
      <c r="V965" s="3" t="s">
        <v>1568</v>
      </c>
      <c r="W965" t="s">
        <v>34</v>
      </c>
    </row>
    <row r="966" spans="1:23" ht="12.75">
      <c r="A966" s="1">
        <v>45751.57</v>
      </c>
      <c r="C966" t="s">
        <v>239</v>
      </c>
      <c r="D966">
        <v>28</v>
      </c>
      <c r="E966">
        <v>167</v>
      </c>
      <c r="F966">
        <v>60</v>
      </c>
      <c r="G966">
        <v>2.5</v>
      </c>
      <c r="H966" t="s">
        <v>591</v>
      </c>
      <c r="I966" t="s">
        <v>5</v>
      </c>
      <c r="J966" t="s">
        <v>36</v>
      </c>
      <c r="K966" t="s">
        <v>37</v>
      </c>
      <c r="L966" t="s">
        <v>10</v>
      </c>
      <c r="M966" t="s">
        <v>38</v>
      </c>
      <c r="N966" t="s">
        <v>20</v>
      </c>
      <c r="O966" t="s">
        <v>46</v>
      </c>
      <c r="P966" t="s">
        <v>40</v>
      </c>
      <c r="Q966" t="s">
        <v>32</v>
      </c>
      <c r="R966" t="s">
        <v>50</v>
      </c>
      <c r="S966" t="s">
        <v>24</v>
      </c>
      <c r="T966" t="s">
        <v>25</v>
      </c>
      <c r="U966" t="s">
        <v>5</v>
      </c>
      <c r="V966" s="3" t="s">
        <v>1569</v>
      </c>
      <c r="W966" t="s">
        <v>39</v>
      </c>
    </row>
    <row r="967" spans="1:23" ht="12.75">
      <c r="A967" s="1">
        <v>45765.789861111109</v>
      </c>
      <c r="C967" t="s">
        <v>159</v>
      </c>
      <c r="D967">
        <v>45</v>
      </c>
      <c r="E967">
        <v>177</v>
      </c>
      <c r="F967">
        <v>83</v>
      </c>
      <c r="G967">
        <v>2.5</v>
      </c>
      <c r="H967" t="s">
        <v>590</v>
      </c>
      <c r="I967" t="s">
        <v>5</v>
      </c>
      <c r="J967" t="s">
        <v>36</v>
      </c>
      <c r="K967" t="s">
        <v>63</v>
      </c>
      <c r="L967" t="s">
        <v>31</v>
      </c>
      <c r="M967" t="s">
        <v>9</v>
      </c>
      <c r="N967" t="s">
        <v>20</v>
      </c>
      <c r="O967" t="s">
        <v>44</v>
      </c>
      <c r="P967" t="s">
        <v>10</v>
      </c>
      <c r="Q967" t="s">
        <v>55</v>
      </c>
      <c r="R967" t="s">
        <v>50</v>
      </c>
      <c r="S967" t="s">
        <v>47</v>
      </c>
      <c r="T967" t="s">
        <v>24</v>
      </c>
      <c r="U967" t="s">
        <v>5</v>
      </c>
      <c r="V967" s="3" t="s">
        <v>1570</v>
      </c>
      <c r="W967" t="s">
        <v>26</v>
      </c>
    </row>
    <row r="968" spans="1:23" ht="12.75">
      <c r="A968" s="1">
        <v>45801.402581018519</v>
      </c>
      <c r="C968" t="s">
        <v>239</v>
      </c>
      <c r="D968">
        <v>32</v>
      </c>
      <c r="E968">
        <v>188</v>
      </c>
      <c r="F968">
        <v>51</v>
      </c>
      <c r="G968">
        <v>2</v>
      </c>
      <c r="H968" t="s">
        <v>590</v>
      </c>
      <c r="I968" t="s">
        <v>29</v>
      </c>
      <c r="J968" t="s">
        <v>6</v>
      </c>
      <c r="K968" t="s">
        <v>7</v>
      </c>
      <c r="L968" t="s">
        <v>8</v>
      </c>
      <c r="M968" t="s">
        <v>9</v>
      </c>
      <c r="N968" t="s">
        <v>12</v>
      </c>
      <c r="O968" t="s">
        <v>44</v>
      </c>
      <c r="P968" t="s">
        <v>10</v>
      </c>
      <c r="Q968" t="s">
        <v>13</v>
      </c>
      <c r="R968" t="s">
        <v>33</v>
      </c>
      <c r="S968" t="s">
        <v>24</v>
      </c>
      <c r="T968" t="s">
        <v>25</v>
      </c>
      <c r="U968" t="s">
        <v>5</v>
      </c>
      <c r="V968" s="3" t="s">
        <v>1571</v>
      </c>
      <c r="W968" t="s">
        <v>34</v>
      </c>
    </row>
    <row r="969" spans="1:23" ht="12.75">
      <c r="A969" s="1">
        <v>45787.772476851853</v>
      </c>
      <c r="C969" t="s">
        <v>158</v>
      </c>
      <c r="D969">
        <v>57</v>
      </c>
      <c r="E969">
        <v>155</v>
      </c>
      <c r="F969">
        <v>61</v>
      </c>
      <c r="G969">
        <v>2</v>
      </c>
      <c r="H969" t="s">
        <v>592</v>
      </c>
      <c r="I969" t="s">
        <v>29</v>
      </c>
      <c r="J969" t="s">
        <v>6</v>
      </c>
      <c r="K969" t="s">
        <v>37</v>
      </c>
      <c r="L969" t="s">
        <v>10</v>
      </c>
      <c r="M969" t="s">
        <v>52</v>
      </c>
      <c r="N969" t="s">
        <v>20</v>
      </c>
      <c r="O969" t="s">
        <v>22</v>
      </c>
      <c r="P969" t="s">
        <v>10</v>
      </c>
      <c r="Q969" t="s">
        <v>32</v>
      </c>
      <c r="R969" t="s">
        <v>50</v>
      </c>
      <c r="S969" t="s">
        <v>47</v>
      </c>
      <c r="T969" t="s">
        <v>15</v>
      </c>
      <c r="U969" t="s">
        <v>29</v>
      </c>
      <c r="V969" s="3" t="s">
        <v>1572</v>
      </c>
      <c r="W969" t="s">
        <v>26</v>
      </c>
    </row>
    <row r="970" spans="1:23" ht="12.75">
      <c r="A970" s="1">
        <v>45763.204375000001</v>
      </c>
      <c r="C970" t="s">
        <v>408</v>
      </c>
      <c r="D970">
        <v>47</v>
      </c>
      <c r="E970">
        <v>169</v>
      </c>
      <c r="F970">
        <v>50</v>
      </c>
      <c r="G970">
        <v>2</v>
      </c>
      <c r="H970" t="s">
        <v>591</v>
      </c>
      <c r="I970" t="s">
        <v>5</v>
      </c>
      <c r="J970" t="s">
        <v>6</v>
      </c>
      <c r="K970" t="s">
        <v>7</v>
      </c>
      <c r="L970" t="s">
        <v>20</v>
      </c>
      <c r="M970" t="s">
        <v>9</v>
      </c>
      <c r="N970" t="s">
        <v>10</v>
      </c>
      <c r="O970" t="s">
        <v>11</v>
      </c>
      <c r="P970" t="s">
        <v>20</v>
      </c>
      <c r="Q970" t="s">
        <v>23</v>
      </c>
      <c r="R970" t="s">
        <v>14</v>
      </c>
      <c r="S970" t="s">
        <v>47</v>
      </c>
      <c r="T970" t="s">
        <v>24</v>
      </c>
      <c r="U970" t="s">
        <v>29</v>
      </c>
      <c r="V970" s="3" t="s">
        <v>1573</v>
      </c>
      <c r="W970" t="s">
        <v>34</v>
      </c>
    </row>
    <row r="971" spans="1:23" ht="12.75">
      <c r="A971" s="1">
        <v>45780.549340277779</v>
      </c>
      <c r="C971" t="s">
        <v>367</v>
      </c>
      <c r="D971">
        <v>45</v>
      </c>
      <c r="E971">
        <v>180</v>
      </c>
      <c r="F971">
        <v>108</v>
      </c>
      <c r="G971">
        <v>2.5</v>
      </c>
      <c r="H971" t="s">
        <v>592</v>
      </c>
      <c r="I971" t="s">
        <v>29</v>
      </c>
      <c r="J971" t="s">
        <v>36</v>
      </c>
      <c r="K971" t="s">
        <v>63</v>
      </c>
      <c r="L971" t="s">
        <v>20</v>
      </c>
      <c r="M971" t="s">
        <v>21</v>
      </c>
      <c r="N971" t="s">
        <v>12</v>
      </c>
      <c r="O971" t="s">
        <v>46</v>
      </c>
      <c r="P971" t="s">
        <v>20</v>
      </c>
      <c r="Q971" t="s">
        <v>23</v>
      </c>
      <c r="R971" t="s">
        <v>14</v>
      </c>
      <c r="S971" t="s">
        <v>25</v>
      </c>
      <c r="T971" t="s">
        <v>15</v>
      </c>
      <c r="U971" t="s">
        <v>29</v>
      </c>
      <c r="V971" s="3" t="s">
        <v>1574</v>
      </c>
      <c r="W971" t="s">
        <v>34</v>
      </c>
    </row>
    <row r="972" spans="1:23" ht="12.75">
      <c r="A972" s="1">
        <v>45674.051377314812</v>
      </c>
      <c r="C972" t="s">
        <v>197</v>
      </c>
      <c r="D972">
        <v>29</v>
      </c>
      <c r="E972">
        <v>187</v>
      </c>
      <c r="F972">
        <v>96</v>
      </c>
      <c r="G972">
        <v>2.5</v>
      </c>
      <c r="H972" t="s">
        <v>591</v>
      </c>
      <c r="I972" t="s">
        <v>5</v>
      </c>
      <c r="J972" t="s">
        <v>36</v>
      </c>
      <c r="K972" t="s">
        <v>7</v>
      </c>
      <c r="L972" t="s">
        <v>20</v>
      </c>
      <c r="M972" t="s">
        <v>9</v>
      </c>
      <c r="N972" t="s">
        <v>40</v>
      </c>
      <c r="O972" t="s">
        <v>22</v>
      </c>
      <c r="P972" t="s">
        <v>10</v>
      </c>
      <c r="Q972" t="s">
        <v>32</v>
      </c>
      <c r="R972" t="s">
        <v>50</v>
      </c>
      <c r="S972" t="s">
        <v>24</v>
      </c>
      <c r="T972" t="s">
        <v>15</v>
      </c>
      <c r="U972" t="s">
        <v>5</v>
      </c>
      <c r="V972" s="3" t="s">
        <v>1575</v>
      </c>
      <c r="W972" t="s">
        <v>34</v>
      </c>
    </row>
    <row r="973" spans="1:23" ht="12.75">
      <c r="A973" s="1">
        <v>45704.386921296296</v>
      </c>
      <c r="C973" t="s">
        <v>100</v>
      </c>
      <c r="D973">
        <v>59</v>
      </c>
      <c r="E973">
        <v>184</v>
      </c>
      <c r="F973">
        <v>56</v>
      </c>
      <c r="G973">
        <v>2.5</v>
      </c>
      <c r="H973" t="s">
        <v>591</v>
      </c>
      <c r="I973" t="s">
        <v>5</v>
      </c>
      <c r="J973" t="s">
        <v>36</v>
      </c>
      <c r="K973" t="s">
        <v>37</v>
      </c>
      <c r="L973" t="s">
        <v>10</v>
      </c>
      <c r="M973" t="s">
        <v>21</v>
      </c>
      <c r="N973" t="s">
        <v>40</v>
      </c>
      <c r="O973" t="s">
        <v>22</v>
      </c>
      <c r="P973" t="s">
        <v>40</v>
      </c>
      <c r="Q973" t="s">
        <v>13</v>
      </c>
      <c r="R973" t="s">
        <v>33</v>
      </c>
      <c r="S973" t="s">
        <v>25</v>
      </c>
      <c r="T973" t="s">
        <v>47</v>
      </c>
      <c r="U973" t="s">
        <v>29</v>
      </c>
      <c r="V973" s="3" t="s">
        <v>1576</v>
      </c>
      <c r="W973" t="s">
        <v>39</v>
      </c>
    </row>
    <row r="974" spans="1:23" ht="12.75">
      <c r="A974" s="1">
        <v>45714.187013888892</v>
      </c>
      <c r="C974" t="s">
        <v>167</v>
      </c>
      <c r="D974">
        <v>35</v>
      </c>
      <c r="E974">
        <v>163</v>
      </c>
      <c r="F974">
        <v>93</v>
      </c>
      <c r="G974">
        <v>2.5</v>
      </c>
      <c r="H974" t="s">
        <v>590</v>
      </c>
      <c r="I974" t="s">
        <v>5</v>
      </c>
      <c r="J974" t="s">
        <v>36</v>
      </c>
      <c r="K974" t="s">
        <v>30</v>
      </c>
      <c r="L974" t="s">
        <v>20</v>
      </c>
      <c r="M974" t="s">
        <v>9</v>
      </c>
      <c r="N974" t="s">
        <v>31</v>
      </c>
      <c r="O974" t="s">
        <v>22</v>
      </c>
      <c r="P974" t="s">
        <v>31</v>
      </c>
      <c r="Q974" t="s">
        <v>55</v>
      </c>
      <c r="R974" t="s">
        <v>14</v>
      </c>
      <c r="S974" t="s">
        <v>47</v>
      </c>
      <c r="T974" t="s">
        <v>24</v>
      </c>
      <c r="U974" t="s">
        <v>29</v>
      </c>
      <c r="V974" s="3" t="s">
        <v>1577</v>
      </c>
      <c r="W974" t="s">
        <v>39</v>
      </c>
    </row>
    <row r="975" spans="1:23" ht="12.75">
      <c r="A975" s="1">
        <v>45776.484594907408</v>
      </c>
      <c r="C975" t="s">
        <v>257</v>
      </c>
      <c r="D975">
        <v>38</v>
      </c>
      <c r="E975">
        <v>184</v>
      </c>
      <c r="F975">
        <v>60</v>
      </c>
      <c r="G975">
        <v>2</v>
      </c>
      <c r="H975" t="s">
        <v>590</v>
      </c>
      <c r="I975" t="s">
        <v>29</v>
      </c>
      <c r="J975" t="s">
        <v>36</v>
      </c>
      <c r="K975" t="s">
        <v>30</v>
      </c>
      <c r="L975" t="s">
        <v>40</v>
      </c>
      <c r="M975" t="s">
        <v>52</v>
      </c>
      <c r="N975" t="s">
        <v>12</v>
      </c>
      <c r="O975" t="s">
        <v>46</v>
      </c>
      <c r="P975" t="s">
        <v>20</v>
      </c>
      <c r="Q975" t="s">
        <v>13</v>
      </c>
      <c r="R975" t="s">
        <v>33</v>
      </c>
      <c r="S975" t="s">
        <v>47</v>
      </c>
      <c r="T975" t="s">
        <v>25</v>
      </c>
      <c r="U975" t="s">
        <v>29</v>
      </c>
      <c r="V975" s="3" t="s">
        <v>1578</v>
      </c>
      <c r="W975" t="s">
        <v>16</v>
      </c>
    </row>
    <row r="976" spans="1:23" ht="12.75">
      <c r="A976" s="1">
        <v>45735.753900462965</v>
      </c>
      <c r="C976" t="s">
        <v>41</v>
      </c>
      <c r="D976">
        <v>54</v>
      </c>
      <c r="E976">
        <v>189</v>
      </c>
      <c r="F976">
        <v>90</v>
      </c>
      <c r="G976">
        <v>3</v>
      </c>
      <c r="H976" t="s">
        <v>591</v>
      </c>
      <c r="I976" t="s">
        <v>29</v>
      </c>
      <c r="J976" t="s">
        <v>6</v>
      </c>
      <c r="K976" t="s">
        <v>30</v>
      </c>
      <c r="L976" t="s">
        <v>8</v>
      </c>
      <c r="M976" t="s">
        <v>21</v>
      </c>
      <c r="N976" t="s">
        <v>8</v>
      </c>
      <c r="O976" t="s">
        <v>46</v>
      </c>
      <c r="P976" t="s">
        <v>12</v>
      </c>
      <c r="Q976" t="s">
        <v>32</v>
      </c>
      <c r="R976" t="s">
        <v>14</v>
      </c>
      <c r="S976" t="s">
        <v>24</v>
      </c>
      <c r="T976" t="s">
        <v>47</v>
      </c>
      <c r="U976" t="s">
        <v>5</v>
      </c>
      <c r="V976" s="3" t="s">
        <v>1579</v>
      </c>
      <c r="W976" t="s">
        <v>26</v>
      </c>
    </row>
    <row r="977" spans="1:23" ht="12.75">
      <c r="A977" s="1">
        <v>45787.794027777774</v>
      </c>
      <c r="C977" t="s">
        <v>70</v>
      </c>
      <c r="D977">
        <v>41</v>
      </c>
      <c r="E977">
        <v>179</v>
      </c>
      <c r="F977">
        <v>62</v>
      </c>
      <c r="G977">
        <v>1</v>
      </c>
      <c r="H977" t="s">
        <v>591</v>
      </c>
      <c r="I977" t="s">
        <v>29</v>
      </c>
      <c r="J977" t="s">
        <v>36</v>
      </c>
      <c r="K977" t="s">
        <v>60</v>
      </c>
      <c r="L977" t="s">
        <v>31</v>
      </c>
      <c r="M977" t="s">
        <v>38</v>
      </c>
      <c r="N977" t="s">
        <v>40</v>
      </c>
      <c r="O977" t="s">
        <v>11</v>
      </c>
      <c r="P977" t="s">
        <v>10</v>
      </c>
      <c r="Q977" t="s">
        <v>55</v>
      </c>
      <c r="R977" t="s">
        <v>50</v>
      </c>
      <c r="S977" t="s">
        <v>25</v>
      </c>
      <c r="T977" t="s">
        <v>24</v>
      </c>
      <c r="U977" t="s">
        <v>29</v>
      </c>
      <c r="V977" s="3" t="s">
        <v>1580</v>
      </c>
      <c r="W977" t="s">
        <v>34</v>
      </c>
    </row>
    <row r="978" spans="1:23" ht="12.75">
      <c r="A978" s="1">
        <v>45755.074780092589</v>
      </c>
      <c r="C978" t="s">
        <v>225</v>
      </c>
      <c r="D978">
        <v>28</v>
      </c>
      <c r="E978">
        <v>164</v>
      </c>
      <c r="F978">
        <v>85</v>
      </c>
      <c r="G978">
        <v>2</v>
      </c>
      <c r="H978" t="s">
        <v>28</v>
      </c>
      <c r="I978" t="s">
        <v>5</v>
      </c>
      <c r="J978" t="s">
        <v>6</v>
      </c>
      <c r="K978" t="s">
        <v>37</v>
      </c>
      <c r="L978" t="s">
        <v>12</v>
      </c>
      <c r="M978" t="s">
        <v>21</v>
      </c>
      <c r="N978" t="s">
        <v>12</v>
      </c>
      <c r="O978" t="s">
        <v>22</v>
      </c>
      <c r="P978" t="s">
        <v>31</v>
      </c>
      <c r="Q978" t="s">
        <v>13</v>
      </c>
      <c r="R978" t="s">
        <v>33</v>
      </c>
      <c r="S978" t="s">
        <v>15</v>
      </c>
      <c r="T978" t="s">
        <v>24</v>
      </c>
      <c r="U978" t="s">
        <v>29</v>
      </c>
      <c r="V978" s="3" t="s">
        <v>1581</v>
      </c>
      <c r="W978" t="s">
        <v>34</v>
      </c>
    </row>
    <row r="979" spans="1:23" ht="12.75">
      <c r="A979" s="1">
        <v>45792.257534722223</v>
      </c>
      <c r="C979" t="s">
        <v>235</v>
      </c>
      <c r="D979">
        <v>56</v>
      </c>
      <c r="E979">
        <v>157</v>
      </c>
      <c r="F979">
        <v>63</v>
      </c>
      <c r="G979">
        <v>2</v>
      </c>
      <c r="H979" t="s">
        <v>592</v>
      </c>
      <c r="I979" t="s">
        <v>29</v>
      </c>
      <c r="J979" t="s">
        <v>6</v>
      </c>
      <c r="K979" t="s">
        <v>7</v>
      </c>
      <c r="L979" t="s">
        <v>10</v>
      </c>
      <c r="M979" t="s">
        <v>38</v>
      </c>
      <c r="N979" t="s">
        <v>8</v>
      </c>
      <c r="O979" t="s">
        <v>46</v>
      </c>
      <c r="P979" t="s">
        <v>12</v>
      </c>
      <c r="Q979" t="s">
        <v>13</v>
      </c>
      <c r="R979" t="s">
        <v>50</v>
      </c>
      <c r="S979" t="s">
        <v>15</v>
      </c>
      <c r="T979" t="s">
        <v>47</v>
      </c>
      <c r="U979" t="s">
        <v>5</v>
      </c>
      <c r="V979" s="3" t="s">
        <v>1582</v>
      </c>
      <c r="W979" t="s">
        <v>16</v>
      </c>
    </row>
    <row r="980" spans="1:23" ht="12.75">
      <c r="A980" s="1">
        <v>45705.294803240744</v>
      </c>
      <c r="C980" t="s">
        <v>326</v>
      </c>
      <c r="D980">
        <v>43</v>
      </c>
      <c r="E980">
        <v>182</v>
      </c>
      <c r="F980">
        <v>107</v>
      </c>
      <c r="G980">
        <v>2</v>
      </c>
      <c r="H980" t="s">
        <v>590</v>
      </c>
      <c r="I980" t="s">
        <v>5</v>
      </c>
      <c r="J980" t="s">
        <v>6</v>
      </c>
      <c r="K980" t="s">
        <v>37</v>
      </c>
      <c r="L980" t="s">
        <v>20</v>
      </c>
      <c r="M980" t="s">
        <v>52</v>
      </c>
      <c r="N980" t="s">
        <v>12</v>
      </c>
      <c r="O980" t="s">
        <v>11</v>
      </c>
      <c r="P980" t="s">
        <v>40</v>
      </c>
      <c r="Q980" t="s">
        <v>55</v>
      </c>
      <c r="R980" t="s">
        <v>33</v>
      </c>
      <c r="S980" t="s">
        <v>24</v>
      </c>
      <c r="T980" t="s">
        <v>15</v>
      </c>
      <c r="U980" t="s">
        <v>29</v>
      </c>
      <c r="V980" s="3" t="s">
        <v>1583</v>
      </c>
      <c r="W980" t="s">
        <v>26</v>
      </c>
    </row>
    <row r="981" spans="1:23" ht="12.75">
      <c r="A981" s="1">
        <v>45782.182743055557</v>
      </c>
      <c r="C981" t="s">
        <v>409</v>
      </c>
      <c r="D981">
        <v>55</v>
      </c>
      <c r="E981">
        <v>185</v>
      </c>
      <c r="F981">
        <v>83</v>
      </c>
      <c r="G981">
        <v>2.5</v>
      </c>
      <c r="H981" t="s">
        <v>592</v>
      </c>
      <c r="I981" t="s">
        <v>29</v>
      </c>
      <c r="J981" t="s">
        <v>36</v>
      </c>
      <c r="K981" t="s">
        <v>19</v>
      </c>
      <c r="L981" t="s">
        <v>8</v>
      </c>
      <c r="M981" t="s">
        <v>38</v>
      </c>
      <c r="N981" t="s">
        <v>20</v>
      </c>
      <c r="O981" t="s">
        <v>46</v>
      </c>
      <c r="P981" t="s">
        <v>8</v>
      </c>
      <c r="Q981" t="s">
        <v>13</v>
      </c>
      <c r="R981" t="s">
        <v>50</v>
      </c>
      <c r="S981" t="s">
        <v>24</v>
      </c>
      <c r="T981" t="s">
        <v>25</v>
      </c>
      <c r="U981" t="s">
        <v>5</v>
      </c>
      <c r="V981" s="3" t="s">
        <v>1584</v>
      </c>
      <c r="W981" t="s">
        <v>34</v>
      </c>
    </row>
    <row r="982" spans="1:23" ht="12.75">
      <c r="A982" s="1">
        <v>45733.203530092593</v>
      </c>
      <c r="C982" t="s">
        <v>106</v>
      </c>
      <c r="D982">
        <v>27</v>
      </c>
      <c r="E982">
        <v>161</v>
      </c>
      <c r="F982">
        <v>104</v>
      </c>
      <c r="G982">
        <v>3</v>
      </c>
      <c r="H982" t="s">
        <v>28</v>
      </c>
      <c r="I982" t="s">
        <v>5</v>
      </c>
      <c r="J982" t="s">
        <v>6</v>
      </c>
      <c r="K982" t="s">
        <v>19</v>
      </c>
      <c r="L982" t="s">
        <v>40</v>
      </c>
      <c r="M982" t="s">
        <v>9</v>
      </c>
      <c r="N982" t="s">
        <v>40</v>
      </c>
      <c r="O982" t="s">
        <v>22</v>
      </c>
      <c r="P982" t="s">
        <v>12</v>
      </c>
      <c r="Q982" t="s">
        <v>13</v>
      </c>
      <c r="R982" t="s">
        <v>14</v>
      </c>
      <c r="S982" t="s">
        <v>24</v>
      </c>
      <c r="T982" t="s">
        <v>15</v>
      </c>
      <c r="U982" t="s">
        <v>5</v>
      </c>
      <c r="V982" s="3" t="s">
        <v>1585</v>
      </c>
      <c r="W982" t="s">
        <v>26</v>
      </c>
    </row>
    <row r="983" spans="1:23" ht="12.75">
      <c r="A983" s="1">
        <v>45669.008576388886</v>
      </c>
      <c r="C983" t="s">
        <v>237</v>
      </c>
      <c r="D983">
        <v>46</v>
      </c>
      <c r="E983">
        <v>160</v>
      </c>
      <c r="F983">
        <v>84</v>
      </c>
      <c r="G983">
        <v>3</v>
      </c>
      <c r="H983" t="s">
        <v>592</v>
      </c>
      <c r="I983" t="s">
        <v>29</v>
      </c>
      <c r="J983" t="s">
        <v>36</v>
      </c>
      <c r="K983" t="s">
        <v>63</v>
      </c>
      <c r="L983" t="s">
        <v>31</v>
      </c>
      <c r="M983" t="s">
        <v>52</v>
      </c>
      <c r="N983" t="s">
        <v>40</v>
      </c>
      <c r="O983" t="s">
        <v>11</v>
      </c>
      <c r="P983" t="s">
        <v>10</v>
      </c>
      <c r="Q983" t="s">
        <v>55</v>
      </c>
      <c r="R983" t="s">
        <v>14</v>
      </c>
      <c r="S983" t="s">
        <v>25</v>
      </c>
      <c r="T983" t="s">
        <v>15</v>
      </c>
      <c r="U983" t="s">
        <v>29</v>
      </c>
      <c r="V983" s="3" t="s">
        <v>1586</v>
      </c>
      <c r="W983" t="s">
        <v>34</v>
      </c>
    </row>
    <row r="984" spans="1:23" ht="12.75">
      <c r="A984" s="1">
        <v>45665.843506944446</v>
      </c>
      <c r="C984" t="s">
        <v>163</v>
      </c>
      <c r="D984">
        <v>47</v>
      </c>
      <c r="E984">
        <v>187</v>
      </c>
      <c r="F984">
        <v>52</v>
      </c>
      <c r="G984">
        <v>1.5</v>
      </c>
      <c r="H984" t="s">
        <v>590</v>
      </c>
      <c r="I984" t="s">
        <v>5</v>
      </c>
      <c r="J984" t="s">
        <v>36</v>
      </c>
      <c r="K984" t="s">
        <v>7</v>
      </c>
      <c r="L984" t="s">
        <v>40</v>
      </c>
      <c r="M984" t="s">
        <v>9</v>
      </c>
      <c r="N984" t="s">
        <v>20</v>
      </c>
      <c r="O984" t="s">
        <v>44</v>
      </c>
      <c r="P984" t="s">
        <v>10</v>
      </c>
      <c r="Q984" t="s">
        <v>55</v>
      </c>
      <c r="R984" t="s">
        <v>33</v>
      </c>
      <c r="S984" t="s">
        <v>15</v>
      </c>
      <c r="T984" t="s">
        <v>25</v>
      </c>
      <c r="U984" t="s">
        <v>29</v>
      </c>
      <c r="V984" s="3" t="s">
        <v>1587</v>
      </c>
      <c r="W984" t="s">
        <v>39</v>
      </c>
    </row>
    <row r="985" spans="1:23" ht="12.75">
      <c r="A985" s="1">
        <v>45705.671354166669</v>
      </c>
      <c r="C985" t="s">
        <v>410</v>
      </c>
      <c r="D985">
        <v>52</v>
      </c>
      <c r="E985">
        <v>161</v>
      </c>
      <c r="F985">
        <v>74</v>
      </c>
      <c r="G985">
        <v>1</v>
      </c>
      <c r="H985" t="s">
        <v>592</v>
      </c>
      <c r="I985" t="s">
        <v>29</v>
      </c>
      <c r="J985" t="s">
        <v>36</v>
      </c>
      <c r="K985" t="s">
        <v>37</v>
      </c>
      <c r="L985" t="s">
        <v>8</v>
      </c>
      <c r="M985" t="s">
        <v>38</v>
      </c>
      <c r="N985" t="s">
        <v>12</v>
      </c>
      <c r="O985" t="s">
        <v>44</v>
      </c>
      <c r="P985" t="s">
        <v>10</v>
      </c>
      <c r="Q985" t="s">
        <v>13</v>
      </c>
      <c r="R985" t="s">
        <v>14</v>
      </c>
      <c r="S985" t="s">
        <v>15</v>
      </c>
      <c r="T985" t="s">
        <v>15</v>
      </c>
      <c r="U985" t="s">
        <v>5</v>
      </c>
      <c r="V985" s="3" t="s">
        <v>1588</v>
      </c>
      <c r="W985" t="s">
        <v>34</v>
      </c>
    </row>
    <row r="986" spans="1:23" ht="12.75">
      <c r="A986" s="1">
        <v>45747.959641203706</v>
      </c>
      <c r="C986" t="s">
        <v>411</v>
      </c>
      <c r="D986">
        <v>31</v>
      </c>
      <c r="E986">
        <v>189</v>
      </c>
      <c r="F986">
        <v>58</v>
      </c>
      <c r="G986">
        <v>1</v>
      </c>
      <c r="H986" t="s">
        <v>591</v>
      </c>
      <c r="I986" t="s">
        <v>29</v>
      </c>
      <c r="J986" t="s">
        <v>6</v>
      </c>
      <c r="K986" t="s">
        <v>37</v>
      </c>
      <c r="L986" t="s">
        <v>31</v>
      </c>
      <c r="M986" t="s">
        <v>9</v>
      </c>
      <c r="N986" t="s">
        <v>8</v>
      </c>
      <c r="O986" t="s">
        <v>46</v>
      </c>
      <c r="P986" t="s">
        <v>8</v>
      </c>
      <c r="Q986" t="s">
        <v>55</v>
      </c>
      <c r="R986" t="s">
        <v>50</v>
      </c>
      <c r="S986" t="s">
        <v>15</v>
      </c>
      <c r="T986" t="s">
        <v>47</v>
      </c>
      <c r="U986" t="s">
        <v>29</v>
      </c>
      <c r="V986" s="3" t="s">
        <v>1589</v>
      </c>
      <c r="W986" t="s">
        <v>34</v>
      </c>
    </row>
    <row r="987" spans="1:23" ht="12.75">
      <c r="A987" s="1">
        <v>45690.986932870372</v>
      </c>
      <c r="C987" t="s">
        <v>252</v>
      </c>
      <c r="D987">
        <v>48</v>
      </c>
      <c r="E987">
        <v>165</v>
      </c>
      <c r="F987">
        <v>62</v>
      </c>
      <c r="G987">
        <v>1</v>
      </c>
      <c r="H987" t="s">
        <v>592</v>
      </c>
      <c r="I987" t="s">
        <v>5</v>
      </c>
      <c r="J987" t="s">
        <v>6</v>
      </c>
      <c r="K987" t="s">
        <v>7</v>
      </c>
      <c r="L987" t="s">
        <v>20</v>
      </c>
      <c r="M987" t="s">
        <v>52</v>
      </c>
      <c r="N987" t="s">
        <v>20</v>
      </c>
      <c r="O987" t="s">
        <v>44</v>
      </c>
      <c r="P987" t="s">
        <v>10</v>
      </c>
      <c r="Q987" t="s">
        <v>13</v>
      </c>
      <c r="R987" t="s">
        <v>50</v>
      </c>
      <c r="S987" t="s">
        <v>47</v>
      </c>
      <c r="T987" t="s">
        <v>25</v>
      </c>
      <c r="U987" t="s">
        <v>5</v>
      </c>
      <c r="V987" s="3" t="s">
        <v>1590</v>
      </c>
      <c r="W987" t="s">
        <v>26</v>
      </c>
    </row>
    <row r="988" spans="1:23" ht="12.75">
      <c r="A988" s="1">
        <v>45728.231574074074</v>
      </c>
      <c r="C988" t="s">
        <v>115</v>
      </c>
      <c r="D988">
        <v>43</v>
      </c>
      <c r="E988">
        <v>178</v>
      </c>
      <c r="F988">
        <v>100</v>
      </c>
      <c r="G988">
        <v>1</v>
      </c>
      <c r="H988" t="s">
        <v>591</v>
      </c>
      <c r="I988" t="s">
        <v>29</v>
      </c>
      <c r="J988" t="s">
        <v>36</v>
      </c>
      <c r="K988" t="s">
        <v>60</v>
      </c>
      <c r="L988" t="s">
        <v>31</v>
      </c>
      <c r="M988" t="s">
        <v>9</v>
      </c>
      <c r="N988" t="s">
        <v>10</v>
      </c>
      <c r="O988" t="s">
        <v>22</v>
      </c>
      <c r="P988" t="s">
        <v>10</v>
      </c>
      <c r="Q988" t="s">
        <v>55</v>
      </c>
      <c r="R988" t="s">
        <v>14</v>
      </c>
      <c r="S988" t="s">
        <v>47</v>
      </c>
      <c r="T988" t="s">
        <v>47</v>
      </c>
      <c r="U988" t="s">
        <v>5</v>
      </c>
      <c r="V988" s="3" t="s">
        <v>1591</v>
      </c>
      <c r="W988" t="s">
        <v>39</v>
      </c>
    </row>
    <row r="989" spans="1:23" ht="12.75">
      <c r="A989" s="1">
        <v>45812.097118055557</v>
      </c>
      <c r="C989" t="s">
        <v>294</v>
      </c>
      <c r="D989">
        <v>35</v>
      </c>
      <c r="E989">
        <v>186</v>
      </c>
      <c r="F989">
        <v>102</v>
      </c>
      <c r="G989">
        <v>2</v>
      </c>
      <c r="H989" t="s">
        <v>590</v>
      </c>
      <c r="I989" t="s">
        <v>5</v>
      </c>
      <c r="J989" t="s">
        <v>36</v>
      </c>
      <c r="K989" t="s">
        <v>63</v>
      </c>
      <c r="L989" t="s">
        <v>12</v>
      </c>
      <c r="M989" t="s">
        <v>52</v>
      </c>
      <c r="N989" t="s">
        <v>10</v>
      </c>
      <c r="O989" t="s">
        <v>44</v>
      </c>
      <c r="P989" t="s">
        <v>31</v>
      </c>
      <c r="Q989" t="s">
        <v>13</v>
      </c>
      <c r="R989" t="s">
        <v>14</v>
      </c>
      <c r="S989" t="s">
        <v>47</v>
      </c>
      <c r="T989" t="s">
        <v>47</v>
      </c>
      <c r="U989" t="s">
        <v>29</v>
      </c>
      <c r="V989" s="3" t="s">
        <v>1592</v>
      </c>
      <c r="W989" t="s">
        <v>16</v>
      </c>
    </row>
    <row r="990" spans="1:23" ht="12.75">
      <c r="A990" s="1">
        <v>45736.407280092593</v>
      </c>
      <c r="C990" t="s">
        <v>107</v>
      </c>
      <c r="D990">
        <v>41</v>
      </c>
      <c r="E990">
        <v>171</v>
      </c>
      <c r="F990">
        <v>60</v>
      </c>
      <c r="G990">
        <v>1</v>
      </c>
      <c r="H990" t="s">
        <v>592</v>
      </c>
      <c r="I990" t="s">
        <v>29</v>
      </c>
      <c r="J990" t="s">
        <v>6</v>
      </c>
      <c r="K990" t="s">
        <v>37</v>
      </c>
      <c r="L990" t="s">
        <v>31</v>
      </c>
      <c r="M990" t="s">
        <v>38</v>
      </c>
      <c r="N990" t="s">
        <v>20</v>
      </c>
      <c r="O990" t="s">
        <v>11</v>
      </c>
      <c r="P990" t="s">
        <v>12</v>
      </c>
      <c r="Q990" t="s">
        <v>23</v>
      </c>
      <c r="R990" t="s">
        <v>33</v>
      </c>
      <c r="S990" t="s">
        <v>25</v>
      </c>
      <c r="T990" t="s">
        <v>47</v>
      </c>
      <c r="U990" t="s">
        <v>29</v>
      </c>
      <c r="V990" s="3" t="s">
        <v>1593</v>
      </c>
      <c r="W990" t="s">
        <v>34</v>
      </c>
    </row>
    <row r="991" spans="1:23" ht="12.75">
      <c r="A991" s="1">
        <v>45733.743657407409</v>
      </c>
      <c r="C991" t="s">
        <v>258</v>
      </c>
      <c r="D991">
        <v>41</v>
      </c>
      <c r="E991">
        <v>157</v>
      </c>
      <c r="F991">
        <v>64</v>
      </c>
      <c r="G991">
        <v>3</v>
      </c>
      <c r="H991" t="s">
        <v>591</v>
      </c>
      <c r="I991" t="s">
        <v>29</v>
      </c>
      <c r="J991" t="s">
        <v>6</v>
      </c>
      <c r="K991" t="s">
        <v>63</v>
      </c>
      <c r="L991" t="s">
        <v>8</v>
      </c>
      <c r="M991" t="s">
        <v>52</v>
      </c>
      <c r="N991" t="s">
        <v>10</v>
      </c>
      <c r="O991" t="s">
        <v>22</v>
      </c>
      <c r="P991" t="s">
        <v>20</v>
      </c>
      <c r="Q991" t="s">
        <v>32</v>
      </c>
      <c r="R991" t="s">
        <v>14</v>
      </c>
      <c r="S991" t="s">
        <v>15</v>
      </c>
      <c r="T991" t="s">
        <v>25</v>
      </c>
      <c r="U991" t="s">
        <v>29</v>
      </c>
      <c r="V991" s="3" t="s">
        <v>1594</v>
      </c>
      <c r="W991" t="s">
        <v>39</v>
      </c>
    </row>
    <row r="992" spans="1:23" ht="12.75">
      <c r="A992" s="1">
        <v>45766.912812499999</v>
      </c>
      <c r="C992" t="s">
        <v>59</v>
      </c>
      <c r="D992">
        <v>45</v>
      </c>
      <c r="E992">
        <v>165</v>
      </c>
      <c r="F992">
        <v>52</v>
      </c>
      <c r="G992">
        <v>1</v>
      </c>
      <c r="H992" t="s">
        <v>592</v>
      </c>
      <c r="I992" t="s">
        <v>29</v>
      </c>
      <c r="J992" t="s">
        <v>36</v>
      </c>
      <c r="K992" t="s">
        <v>30</v>
      </c>
      <c r="L992" t="s">
        <v>10</v>
      </c>
      <c r="M992" t="s">
        <v>9</v>
      </c>
      <c r="N992" t="s">
        <v>8</v>
      </c>
      <c r="O992" t="s">
        <v>44</v>
      </c>
      <c r="P992" t="s">
        <v>12</v>
      </c>
      <c r="Q992" t="s">
        <v>32</v>
      </c>
      <c r="R992" t="s">
        <v>50</v>
      </c>
      <c r="S992" t="s">
        <v>15</v>
      </c>
      <c r="T992" t="s">
        <v>15</v>
      </c>
      <c r="U992" t="s">
        <v>5</v>
      </c>
      <c r="V992" s="3" t="s">
        <v>1595</v>
      </c>
      <c r="W992" t="s">
        <v>39</v>
      </c>
    </row>
    <row r="993" spans="1:23" ht="12.75">
      <c r="A993" s="1">
        <v>45768.274988425925</v>
      </c>
      <c r="C993" t="s">
        <v>273</v>
      </c>
      <c r="D993">
        <v>51</v>
      </c>
      <c r="E993">
        <v>188</v>
      </c>
      <c r="F993">
        <v>67</v>
      </c>
      <c r="G993">
        <v>1.5</v>
      </c>
      <c r="H993" t="s">
        <v>591</v>
      </c>
      <c r="I993" t="s">
        <v>5</v>
      </c>
      <c r="J993" t="s">
        <v>36</v>
      </c>
      <c r="K993" t="s">
        <v>7</v>
      </c>
      <c r="L993" t="s">
        <v>20</v>
      </c>
      <c r="M993" t="s">
        <v>38</v>
      </c>
      <c r="N993" t="s">
        <v>12</v>
      </c>
      <c r="O993" t="s">
        <v>22</v>
      </c>
      <c r="P993" t="s">
        <v>40</v>
      </c>
      <c r="Q993" t="s">
        <v>55</v>
      </c>
      <c r="R993" t="s">
        <v>50</v>
      </c>
      <c r="S993" t="s">
        <v>25</v>
      </c>
      <c r="T993" t="s">
        <v>24</v>
      </c>
      <c r="U993" t="s">
        <v>5</v>
      </c>
      <c r="V993" s="3" t="s">
        <v>1596</v>
      </c>
      <c r="W993" t="s">
        <v>39</v>
      </c>
    </row>
    <row r="994" spans="1:23" ht="12.75">
      <c r="A994" s="1">
        <v>45808.1096412037</v>
      </c>
      <c r="C994" t="s">
        <v>105</v>
      </c>
      <c r="D994">
        <v>31</v>
      </c>
      <c r="E994">
        <v>163</v>
      </c>
      <c r="F994">
        <v>81</v>
      </c>
      <c r="G994">
        <v>2</v>
      </c>
      <c r="H994" t="s">
        <v>590</v>
      </c>
      <c r="I994" t="s">
        <v>29</v>
      </c>
      <c r="J994" t="s">
        <v>36</v>
      </c>
      <c r="K994" t="s">
        <v>60</v>
      </c>
      <c r="L994" t="s">
        <v>31</v>
      </c>
      <c r="M994" t="s">
        <v>9</v>
      </c>
      <c r="N994" t="s">
        <v>8</v>
      </c>
      <c r="O994" t="s">
        <v>44</v>
      </c>
      <c r="P994" t="s">
        <v>12</v>
      </c>
      <c r="Q994" t="s">
        <v>13</v>
      </c>
      <c r="R994" t="s">
        <v>14</v>
      </c>
      <c r="S994" t="s">
        <v>25</v>
      </c>
      <c r="T994" t="s">
        <v>25</v>
      </c>
      <c r="U994" t="s">
        <v>29</v>
      </c>
      <c r="V994" s="3" t="s">
        <v>1597</v>
      </c>
      <c r="W994" t="s">
        <v>34</v>
      </c>
    </row>
    <row r="995" spans="1:23" ht="12.75">
      <c r="A995" s="1">
        <v>45792.25540509259</v>
      </c>
      <c r="C995" t="s">
        <v>195</v>
      </c>
      <c r="D995">
        <v>26</v>
      </c>
      <c r="E995">
        <v>175</v>
      </c>
      <c r="F995">
        <v>94</v>
      </c>
      <c r="G995">
        <v>1</v>
      </c>
      <c r="H995" t="s">
        <v>28</v>
      </c>
      <c r="I995" t="s">
        <v>29</v>
      </c>
      <c r="J995" t="s">
        <v>36</v>
      </c>
      <c r="K995" t="s">
        <v>7</v>
      </c>
      <c r="L995" t="s">
        <v>20</v>
      </c>
      <c r="M995" t="s">
        <v>9</v>
      </c>
      <c r="N995" t="s">
        <v>8</v>
      </c>
      <c r="O995" t="s">
        <v>46</v>
      </c>
      <c r="P995" t="s">
        <v>10</v>
      </c>
      <c r="Q995" t="s">
        <v>32</v>
      </c>
      <c r="R995" t="s">
        <v>33</v>
      </c>
      <c r="S995" t="s">
        <v>24</v>
      </c>
      <c r="T995" t="s">
        <v>24</v>
      </c>
      <c r="U995" t="s">
        <v>29</v>
      </c>
      <c r="V995" s="3" t="s">
        <v>1598</v>
      </c>
      <c r="W995" t="s">
        <v>26</v>
      </c>
    </row>
    <row r="996" spans="1:23" ht="12.75">
      <c r="A996" s="1">
        <v>45684.237847222219</v>
      </c>
      <c r="C996" t="s">
        <v>170</v>
      </c>
      <c r="D996">
        <v>29</v>
      </c>
      <c r="E996">
        <v>176</v>
      </c>
      <c r="F996">
        <v>107</v>
      </c>
      <c r="G996">
        <v>3</v>
      </c>
      <c r="H996" t="s">
        <v>590</v>
      </c>
      <c r="I996" t="s">
        <v>29</v>
      </c>
      <c r="J996" t="s">
        <v>6</v>
      </c>
      <c r="K996" t="s">
        <v>30</v>
      </c>
      <c r="L996" t="s">
        <v>12</v>
      </c>
      <c r="M996" t="s">
        <v>38</v>
      </c>
      <c r="N996" t="s">
        <v>31</v>
      </c>
      <c r="O996" t="s">
        <v>22</v>
      </c>
      <c r="P996" t="s">
        <v>20</v>
      </c>
      <c r="Q996" t="s">
        <v>55</v>
      </c>
      <c r="R996" t="s">
        <v>33</v>
      </c>
      <c r="S996" t="s">
        <v>15</v>
      </c>
      <c r="T996" t="s">
        <v>15</v>
      </c>
      <c r="U996" t="s">
        <v>5</v>
      </c>
      <c r="V996" s="3" t="s">
        <v>1599</v>
      </c>
      <c r="W996" t="s">
        <v>26</v>
      </c>
    </row>
    <row r="997" spans="1:23" ht="12.75">
      <c r="A997" s="1">
        <v>45695.966180555559</v>
      </c>
      <c r="C997" t="s">
        <v>217</v>
      </c>
      <c r="D997">
        <v>30</v>
      </c>
      <c r="E997">
        <v>188</v>
      </c>
      <c r="F997">
        <v>58</v>
      </c>
      <c r="G997">
        <v>1</v>
      </c>
      <c r="H997" t="s">
        <v>591</v>
      </c>
      <c r="I997" t="s">
        <v>29</v>
      </c>
      <c r="J997" t="s">
        <v>6</v>
      </c>
      <c r="K997" t="s">
        <v>30</v>
      </c>
      <c r="L997" t="s">
        <v>20</v>
      </c>
      <c r="M997" t="s">
        <v>9</v>
      </c>
      <c r="N997" t="s">
        <v>10</v>
      </c>
      <c r="O997" t="s">
        <v>22</v>
      </c>
      <c r="P997" t="s">
        <v>31</v>
      </c>
      <c r="Q997" t="s">
        <v>55</v>
      </c>
      <c r="R997" t="s">
        <v>33</v>
      </c>
      <c r="S997" t="s">
        <v>24</v>
      </c>
      <c r="T997" t="s">
        <v>25</v>
      </c>
      <c r="U997" t="s">
        <v>29</v>
      </c>
      <c r="V997" s="3" t="s">
        <v>1600</v>
      </c>
      <c r="W997" t="s">
        <v>26</v>
      </c>
    </row>
    <row r="998" spans="1:23" ht="12.75">
      <c r="A998" s="1">
        <v>45793.922546296293</v>
      </c>
      <c r="C998" t="s">
        <v>412</v>
      </c>
      <c r="D998">
        <v>59</v>
      </c>
      <c r="E998">
        <v>185</v>
      </c>
      <c r="F998">
        <v>106</v>
      </c>
      <c r="G998">
        <v>2.5</v>
      </c>
      <c r="H998" t="s">
        <v>590</v>
      </c>
      <c r="I998" t="s">
        <v>29</v>
      </c>
      <c r="J998" t="s">
        <v>36</v>
      </c>
      <c r="K998" t="s">
        <v>63</v>
      </c>
      <c r="L998" t="s">
        <v>20</v>
      </c>
      <c r="M998" t="s">
        <v>9</v>
      </c>
      <c r="N998" t="s">
        <v>20</v>
      </c>
      <c r="O998" t="s">
        <v>11</v>
      </c>
      <c r="P998" t="s">
        <v>40</v>
      </c>
      <c r="Q998" t="s">
        <v>55</v>
      </c>
      <c r="R998" t="s">
        <v>50</v>
      </c>
      <c r="S998" t="s">
        <v>47</v>
      </c>
      <c r="T998" t="s">
        <v>15</v>
      </c>
      <c r="U998" t="s">
        <v>29</v>
      </c>
      <c r="V998" s="3" t="s">
        <v>1601</v>
      </c>
      <c r="W998" t="s">
        <v>39</v>
      </c>
    </row>
    <row r="999" spans="1:23" ht="12.75">
      <c r="A999" s="1">
        <v>45680.497708333336</v>
      </c>
      <c r="C999" t="s">
        <v>53</v>
      </c>
      <c r="D999">
        <v>43</v>
      </c>
      <c r="E999">
        <v>160</v>
      </c>
      <c r="F999">
        <v>100</v>
      </c>
      <c r="G999">
        <v>2.5</v>
      </c>
      <c r="H999" t="s">
        <v>590</v>
      </c>
      <c r="I999" t="s">
        <v>5</v>
      </c>
      <c r="J999" t="s">
        <v>36</v>
      </c>
      <c r="K999" t="s">
        <v>7</v>
      </c>
      <c r="L999" t="s">
        <v>8</v>
      </c>
      <c r="M999" t="s">
        <v>38</v>
      </c>
      <c r="N999" t="s">
        <v>31</v>
      </c>
      <c r="O999" t="s">
        <v>11</v>
      </c>
      <c r="P999" t="s">
        <v>10</v>
      </c>
      <c r="Q999" t="s">
        <v>32</v>
      </c>
      <c r="R999" t="s">
        <v>50</v>
      </c>
      <c r="S999" t="s">
        <v>24</v>
      </c>
      <c r="T999" t="s">
        <v>24</v>
      </c>
      <c r="U999" t="s">
        <v>29</v>
      </c>
      <c r="V999" s="3" t="s">
        <v>1602</v>
      </c>
      <c r="W999" t="s">
        <v>16</v>
      </c>
    </row>
    <row r="1000" spans="1:23" ht="12.75">
      <c r="A1000" s="1">
        <v>45764.588738425926</v>
      </c>
      <c r="C1000" t="s">
        <v>179</v>
      </c>
      <c r="D1000">
        <v>31</v>
      </c>
      <c r="E1000">
        <v>188</v>
      </c>
      <c r="F1000">
        <v>70</v>
      </c>
      <c r="G1000">
        <v>1.5</v>
      </c>
      <c r="H1000" t="s">
        <v>592</v>
      </c>
      <c r="I1000" t="s">
        <v>5</v>
      </c>
      <c r="J1000" t="s">
        <v>36</v>
      </c>
      <c r="K1000" t="s">
        <v>7</v>
      </c>
      <c r="L1000" t="s">
        <v>40</v>
      </c>
      <c r="M1000" t="s">
        <v>9</v>
      </c>
      <c r="N1000" t="s">
        <v>20</v>
      </c>
      <c r="O1000" t="s">
        <v>22</v>
      </c>
      <c r="P1000" t="s">
        <v>31</v>
      </c>
      <c r="Q1000" t="s">
        <v>32</v>
      </c>
      <c r="R1000" t="s">
        <v>50</v>
      </c>
      <c r="S1000" t="s">
        <v>15</v>
      </c>
      <c r="T1000" t="s">
        <v>15</v>
      </c>
      <c r="U1000" t="s">
        <v>29</v>
      </c>
      <c r="V1000" s="3" t="s">
        <v>1603</v>
      </c>
      <c r="W1000" t="s">
        <v>16</v>
      </c>
    </row>
    <row r="1001" spans="1:23" ht="12.75">
      <c r="H1001" s="7"/>
      <c r="V1001" s="8"/>
      <c r="W1001" s="9"/>
    </row>
    <row r="1002" spans="1:23" ht="12.75">
      <c r="H1002" s="7"/>
      <c r="V1002" s="7"/>
    </row>
  </sheetData>
  <hyperlinks>
    <hyperlink ref="V2" r:id="rId1" xr:uid="{9B50ED11-4A1F-4F03-AD9A-EA85235D6DC3}"/>
    <hyperlink ref="V3" r:id="rId2" xr:uid="{21495349-533C-4BA4-A2E8-040D3457A1F6}"/>
    <hyperlink ref="V4" r:id="rId3" xr:uid="{63A9C3D6-C9CE-43A9-A9C7-77F1EAB566D3}"/>
    <hyperlink ref="V5" r:id="rId4" xr:uid="{B804084D-145A-4638-878F-4DC7D785CC01}"/>
    <hyperlink ref="V6" r:id="rId5" xr:uid="{25E3C212-FBCD-4AF5-9005-239B2943B719}"/>
    <hyperlink ref="V7" r:id="rId6" xr:uid="{7B15AF31-D84A-4DF0-B0CE-34DE8584ED1E}"/>
    <hyperlink ref="V8" r:id="rId7" xr:uid="{B30C5285-17A2-460B-A6E6-14798DF664A5}"/>
    <hyperlink ref="V9" r:id="rId8" xr:uid="{D5E1644D-7A12-4F85-A2E9-371541B94AA6}"/>
    <hyperlink ref="V10" r:id="rId9" xr:uid="{30CFF65E-2D03-4DB7-84AE-AA3DC694D2AA}"/>
    <hyperlink ref="V11" r:id="rId10" xr:uid="{D8AC98D0-FA8B-4A70-AE6F-71DC0CC4D46D}"/>
    <hyperlink ref="V12" r:id="rId11" xr:uid="{420441C4-12F6-44F1-8935-C9BD6302AC0B}"/>
    <hyperlink ref="V13" r:id="rId12" xr:uid="{F076FF56-A9FE-45B1-94D3-2FC5B311EE31}"/>
    <hyperlink ref="V14" r:id="rId13" xr:uid="{986A7818-4208-4FAD-8365-ABB935CCC3E0}"/>
    <hyperlink ref="V15" r:id="rId14" xr:uid="{5F05A6EC-53BE-484A-A553-C6267DEC0806}"/>
    <hyperlink ref="V16" r:id="rId15" xr:uid="{9E70A476-A6FC-48EE-99E6-510A11A9A018}"/>
    <hyperlink ref="V17" r:id="rId16" xr:uid="{A2101B92-188E-45C4-985D-61E516EF9D3D}"/>
    <hyperlink ref="V18" r:id="rId17" xr:uid="{1B382F58-38BD-4A3A-A8F1-94720C858A58}"/>
    <hyperlink ref="V19" r:id="rId18" xr:uid="{1A84BE03-316E-4524-B89B-5D8C37476FF0}"/>
    <hyperlink ref="V20" r:id="rId19" xr:uid="{9D6AC1B1-CE90-482A-B394-4EFE244EADEE}"/>
    <hyperlink ref="V21" r:id="rId20" xr:uid="{E3895FE8-8ECF-431D-A28D-D47E8A44FF78}"/>
    <hyperlink ref="V22" r:id="rId21" xr:uid="{D6B22938-C216-4FD7-9B92-93089B125D78}"/>
    <hyperlink ref="V23" r:id="rId22" xr:uid="{BE6550F9-E499-4C47-BBDC-44E29E0B7669}"/>
    <hyperlink ref="V24" r:id="rId23" xr:uid="{243FFD58-C22C-4F97-95A0-E17C14FA6A8E}"/>
    <hyperlink ref="V25" r:id="rId24" xr:uid="{5E9B6B96-B23F-403E-8FF2-7FA4E455B24E}"/>
    <hyperlink ref="V26" r:id="rId25" xr:uid="{199825CB-A01F-4CA5-9EA0-98346BD4A962}"/>
    <hyperlink ref="V27" r:id="rId26" xr:uid="{66722FDF-C230-4F7D-BC6F-5CFD0CD0A9C3}"/>
    <hyperlink ref="V28" r:id="rId27" xr:uid="{199C91FE-9F79-497B-9B64-FDA9C3A86376}"/>
    <hyperlink ref="V29" r:id="rId28" xr:uid="{F71056F4-3CFF-4BC1-AB81-A1235ED13164}"/>
    <hyperlink ref="V30" r:id="rId29" xr:uid="{401FA0FE-D40C-4EB6-AC4D-C546A93C8776}"/>
    <hyperlink ref="V31" r:id="rId30" xr:uid="{D216BAED-0724-4838-8272-A16661F980DD}"/>
    <hyperlink ref="V32" r:id="rId31" xr:uid="{DF5E1768-8217-4122-89D6-A5AE4FF2C4FA}"/>
    <hyperlink ref="V33" r:id="rId32" xr:uid="{6DB4C939-0795-4001-962B-B97D82FB1B67}"/>
    <hyperlink ref="V34" r:id="rId33" xr:uid="{647B98B5-713F-44CF-82F3-4564513F1CFC}"/>
    <hyperlink ref="V35" r:id="rId34" xr:uid="{2FA1C425-B06A-486A-B664-A1281B0512C7}"/>
    <hyperlink ref="V36" r:id="rId35" xr:uid="{1F51C665-CAB0-4BFC-B785-B7BA239E7C6A}"/>
    <hyperlink ref="V37" r:id="rId36" xr:uid="{A446E3CA-6604-4B73-BCF5-3461B9BDD6BE}"/>
    <hyperlink ref="V38" r:id="rId37" xr:uid="{DF626A3C-5F38-4A5F-A0BA-8D2D5F88299B}"/>
    <hyperlink ref="V39" r:id="rId38" xr:uid="{96503FFD-41B8-425D-90A0-A31E8E860E6E}"/>
    <hyperlink ref="V40" r:id="rId39" xr:uid="{34E03B07-A0BF-4AED-83FD-B1297F624CF3}"/>
    <hyperlink ref="V41" r:id="rId40" xr:uid="{361B4C1E-21D8-4045-8D5D-B4E3E3C537C1}"/>
    <hyperlink ref="V42" r:id="rId41" xr:uid="{26731973-CD90-4BE5-A0FD-8140FB1FC4E5}"/>
    <hyperlink ref="V43" r:id="rId42" xr:uid="{EE3F1F03-0DB7-440D-AF2E-5B486467A424}"/>
    <hyperlink ref="V44" r:id="rId43" xr:uid="{2EEA790E-624B-4352-B656-0DA31A4B1407}"/>
    <hyperlink ref="V45" r:id="rId44" xr:uid="{93B4E5E5-D479-4FA8-B474-FBFAAF4C055C}"/>
    <hyperlink ref="V46" r:id="rId45" xr:uid="{5635D2B0-CD0B-4368-9C40-7973EF2A9DD3}"/>
    <hyperlink ref="V47" r:id="rId46" xr:uid="{1B88A7B2-9DE0-46E6-8EAF-4936157EC583}"/>
    <hyperlink ref="V48" r:id="rId47" xr:uid="{0BB4AD89-BC1A-4809-887D-72E48522DF0D}"/>
    <hyperlink ref="V49" r:id="rId48" xr:uid="{77E37EAF-CA1D-4F61-BF7B-7C2F8F33CF3D}"/>
    <hyperlink ref="V50" r:id="rId49" xr:uid="{B80DD0B0-E8D8-4F05-90A1-5F46AD2ABAA8}"/>
    <hyperlink ref="V51" r:id="rId50" xr:uid="{B8BBFD08-A469-4D59-9C5D-FADD41ACA964}"/>
    <hyperlink ref="V52" r:id="rId51" xr:uid="{8F73AEA1-3D3F-4264-AFE4-F26F9A347B50}"/>
    <hyperlink ref="V53" r:id="rId52" xr:uid="{EAD2DF16-A8D8-40E1-8EDD-DC8950ECD2F8}"/>
    <hyperlink ref="V54" r:id="rId53" xr:uid="{8C819AED-7F10-44F2-9F16-310668C0F703}"/>
    <hyperlink ref="V55" r:id="rId54" xr:uid="{09DAE138-F22D-4B9C-9E4C-8F58C01428A8}"/>
    <hyperlink ref="V56" r:id="rId55" xr:uid="{41B81941-BFE1-450F-9930-BEEB95D4D45E}"/>
    <hyperlink ref="V57" r:id="rId56" xr:uid="{D1F68E86-1D6D-45CE-8C14-6C98961633EF}"/>
    <hyperlink ref="V58" r:id="rId57" xr:uid="{428A925D-63E7-4D14-B889-7E78857A79B7}"/>
    <hyperlink ref="V59" r:id="rId58" xr:uid="{1A2B3DEF-706C-4541-A98F-F2B1CE0564DE}"/>
    <hyperlink ref="V60" r:id="rId59" xr:uid="{6C5B7A63-D298-4AF5-8044-6EC2C75CCD8B}"/>
    <hyperlink ref="V61" r:id="rId60" xr:uid="{16A439A3-B0FE-4058-A4C8-007EF7373B97}"/>
    <hyperlink ref="V62" r:id="rId61" xr:uid="{087B1D40-8EE4-4CF5-8C26-371D4BC6A907}"/>
    <hyperlink ref="V63" r:id="rId62" xr:uid="{1225D535-B2DF-4EA8-AE17-93F5ACF59113}"/>
    <hyperlink ref="V64" r:id="rId63" xr:uid="{F487C52E-029E-4AE8-BCCE-B751C9D0142F}"/>
    <hyperlink ref="V65" r:id="rId64" xr:uid="{959C435C-38D8-42AC-8B1B-B9CEE4002B17}"/>
    <hyperlink ref="V66" r:id="rId65" xr:uid="{6B106925-4E57-4991-81F0-39D7E6B87A47}"/>
    <hyperlink ref="V67" r:id="rId66" xr:uid="{4694BC17-F523-409E-81F4-8A947796E09E}"/>
    <hyperlink ref="V68" r:id="rId67" xr:uid="{77604300-DD4F-4B58-9F12-C4BA79D346FB}"/>
    <hyperlink ref="V69" r:id="rId68" xr:uid="{983D22D1-C352-45BA-908F-38612A8544EE}"/>
    <hyperlink ref="V70" r:id="rId69" xr:uid="{5077F964-05CF-4E8B-8D80-D879C22C3EE4}"/>
    <hyperlink ref="V71" r:id="rId70" xr:uid="{80D07DF5-49AF-4400-B7B3-E01A6AD3E2B9}"/>
    <hyperlink ref="V72" r:id="rId71" xr:uid="{9864A307-2A4D-4D5B-927B-21E70292B96B}"/>
    <hyperlink ref="V73" r:id="rId72" xr:uid="{A6511CF4-99E6-489E-B7DA-159CCF71637D}"/>
    <hyperlink ref="V74" r:id="rId73" xr:uid="{DB9737F1-821F-41B3-B7AE-DC748821905D}"/>
    <hyperlink ref="V75" r:id="rId74" xr:uid="{8A92A176-E695-43FF-B8A5-4D1D7E15943B}"/>
    <hyperlink ref="V76" r:id="rId75" xr:uid="{E55B4043-1DDE-4B67-A197-6BC9F96278FA}"/>
    <hyperlink ref="V77" r:id="rId76" xr:uid="{8057E55A-5687-4B77-832A-D8AFA86D9BCF}"/>
    <hyperlink ref="V78" r:id="rId77" xr:uid="{7D379C39-A4EC-460D-8420-33DBF7E0F2C9}"/>
    <hyperlink ref="V79" r:id="rId78" xr:uid="{4D8A043E-A9E4-4B20-AFD9-B5ACB0B69A46}"/>
    <hyperlink ref="V80" r:id="rId79" xr:uid="{B1204970-3C8A-48CC-8A10-44162932B58F}"/>
    <hyperlink ref="V81" r:id="rId80" xr:uid="{109DFF71-3078-4AF2-B4C1-07C448C3066A}"/>
    <hyperlink ref="V82" r:id="rId81" xr:uid="{43E9F86A-58CA-4A61-B82D-D64E1C6AB839}"/>
    <hyperlink ref="V83" r:id="rId82" xr:uid="{D48F4C0C-857E-4607-91CC-B3DC9170E642}"/>
    <hyperlink ref="V84" r:id="rId83" xr:uid="{723807E3-F459-429B-804F-51BF9B6D31B6}"/>
    <hyperlink ref="V85" r:id="rId84" xr:uid="{F57C8BE1-71E4-4CC7-B97C-4B6AB25BC103}"/>
    <hyperlink ref="V86" r:id="rId85" xr:uid="{BCBFC065-E417-4B6F-8D22-90C4E985D134}"/>
    <hyperlink ref="V87" r:id="rId86" xr:uid="{1FAB7DB8-FFDB-4AD6-995D-85A844390A03}"/>
    <hyperlink ref="V88" r:id="rId87" xr:uid="{7FD4F51D-4047-4336-882A-9A88202CCBF4}"/>
    <hyperlink ref="V89" r:id="rId88" xr:uid="{71F8B702-AE4D-4D72-A172-85C92C47DFC6}"/>
    <hyperlink ref="V90" r:id="rId89" xr:uid="{CD81B56D-6FF7-4525-99F1-1A8C44C4764D}"/>
    <hyperlink ref="V91" r:id="rId90" xr:uid="{FC77D7F6-0053-4D24-A6A6-B2EE9A828532}"/>
    <hyperlink ref="V92" r:id="rId91" xr:uid="{46CD5A82-04AA-4DA2-8D56-47EC97D37609}"/>
    <hyperlink ref="V93" r:id="rId92" xr:uid="{E21399DC-26D8-4DC1-B48B-8642FB3108E9}"/>
    <hyperlink ref="V94" r:id="rId93" xr:uid="{7C65C276-6509-4CA8-8447-E94472FACC4E}"/>
    <hyperlink ref="V95" r:id="rId94" xr:uid="{97BA0E83-EF9B-470A-97B7-2325564A1D59}"/>
    <hyperlink ref="V96" r:id="rId95" xr:uid="{942920EE-FD1F-4BDB-A722-72F8CEE9C8A2}"/>
    <hyperlink ref="V97" r:id="rId96" xr:uid="{0EACC250-4FB4-45CE-9B82-1B243D30F8C5}"/>
    <hyperlink ref="V98" r:id="rId97" xr:uid="{5A397E9E-2151-4D05-8425-03E59D0DE201}"/>
    <hyperlink ref="V99" r:id="rId98" xr:uid="{ED2A1F7A-6176-4FE7-889E-529FC66C21A5}"/>
    <hyperlink ref="V100" r:id="rId99" xr:uid="{49D4B1CB-B18D-4FFB-8E5A-9C1E7C16175C}"/>
    <hyperlink ref="V101" r:id="rId100" xr:uid="{196579C0-4A02-4C09-A580-AC0C8680816C}"/>
    <hyperlink ref="V102" r:id="rId101" xr:uid="{A68E4AE8-E1B6-4E6E-B369-708EDD97F814}"/>
    <hyperlink ref="V103" r:id="rId102" xr:uid="{9FECBDA4-0EA9-488E-AEAD-3CBD80C35D80}"/>
    <hyperlink ref="V104" r:id="rId103" xr:uid="{6D669837-8760-48EF-8840-B0ABC4B40D86}"/>
    <hyperlink ref="V105" r:id="rId104" xr:uid="{7F7C2EA3-514F-4491-81C3-A809C7329BD5}"/>
    <hyperlink ref="V106" r:id="rId105" xr:uid="{CD4FA613-D514-4EC8-8781-A4DF39094E8A}"/>
    <hyperlink ref="V107" r:id="rId106" xr:uid="{B569D6D9-F066-4CBD-8FD5-1493A52259DB}"/>
    <hyperlink ref="V108" r:id="rId107" xr:uid="{A93FFF8F-E4A1-4F22-9244-F960473CD7F9}"/>
    <hyperlink ref="V109" r:id="rId108" xr:uid="{D70375DA-A4EB-4502-A5E2-C53380B12C44}"/>
    <hyperlink ref="V110" r:id="rId109" xr:uid="{A5DC7A04-AED7-4ABB-976C-00732E2F28C1}"/>
    <hyperlink ref="V111" r:id="rId110" xr:uid="{8ADAB8CF-A64A-4777-B036-BD1103F921CE}"/>
    <hyperlink ref="V112" r:id="rId111" xr:uid="{311FB9B7-BF6B-490E-BF14-A11594420DCE}"/>
    <hyperlink ref="V113" r:id="rId112" xr:uid="{589BBCCC-989E-4D43-8DD1-2E7E0581B9AB}"/>
    <hyperlink ref="V114" r:id="rId113" xr:uid="{11CBD6A1-BCB1-4387-B4EA-10FAE9C18DEA}"/>
    <hyperlink ref="V115" r:id="rId114" xr:uid="{3537B590-E290-4275-B7C3-528CA3E6EF28}"/>
    <hyperlink ref="V116" r:id="rId115" xr:uid="{084CCC85-70FE-436D-A17E-75AD9C017FB3}"/>
    <hyperlink ref="V117" r:id="rId116" xr:uid="{5AA5FCE4-AD3F-4728-B5A2-CB9D28A968C5}"/>
    <hyperlink ref="V118" r:id="rId117" xr:uid="{E0BA6A61-9E92-4FD3-95D5-8BE9EE49CB4D}"/>
    <hyperlink ref="V119" r:id="rId118" xr:uid="{42592489-0726-45B6-912E-2191FF95241E}"/>
    <hyperlink ref="V120" r:id="rId119" xr:uid="{940CFCB8-65D3-4012-943C-F8A775CD6A46}"/>
    <hyperlink ref="V121" r:id="rId120" xr:uid="{4BFE2845-AA7F-433C-AFD3-13C61F11B42C}"/>
    <hyperlink ref="V122" r:id="rId121" xr:uid="{DB3B896C-67B0-4D39-83F6-D3AED5638B71}"/>
    <hyperlink ref="V123" r:id="rId122" xr:uid="{44453AC6-4E80-456C-B6BF-312E4C23123A}"/>
    <hyperlink ref="V124" r:id="rId123" xr:uid="{D3B72D92-F6B8-4DE7-87CB-D695638F481D}"/>
    <hyperlink ref="V125" r:id="rId124" xr:uid="{FC8B9F9C-6FBE-4A65-B09D-3A18D78A641E}"/>
    <hyperlink ref="V126" r:id="rId125" xr:uid="{E2FBE18F-90E0-4A51-A7A2-026D9F2CB0F6}"/>
    <hyperlink ref="V127" r:id="rId126" xr:uid="{AC1F22C8-2CDE-413F-9307-9F17F285E2B1}"/>
    <hyperlink ref="V128" r:id="rId127" xr:uid="{BF94FF8B-0BF6-4DBE-B19B-081F7B85A942}"/>
    <hyperlink ref="V129" r:id="rId128" xr:uid="{B4F2C7E4-7FEE-42B0-83A1-979CF6900C2C}"/>
    <hyperlink ref="V130" r:id="rId129" xr:uid="{26613EFE-EE23-40F5-9C6E-C0B6BD1214AA}"/>
    <hyperlink ref="V131" r:id="rId130" xr:uid="{B450224B-37D5-48F8-B818-7425A3E4481B}"/>
    <hyperlink ref="V132" r:id="rId131" xr:uid="{40B48FD8-B4DF-4F6C-860F-5F50F616580C}"/>
    <hyperlink ref="V133" r:id="rId132" xr:uid="{7A911CF2-5C94-40C1-A56D-AAE047D8D725}"/>
    <hyperlink ref="V134" r:id="rId133" xr:uid="{76CB1643-DF22-4B4E-9482-B3CA9B3D5A59}"/>
    <hyperlink ref="V135" r:id="rId134" xr:uid="{A3F17A21-7F25-4955-BE85-14ADADFB85AE}"/>
    <hyperlink ref="V136" r:id="rId135" xr:uid="{74DB567E-63A8-45E9-AD8E-7CA853E399BE}"/>
    <hyperlink ref="V137" r:id="rId136" xr:uid="{519BD9D0-AC82-4E58-8728-DCA7C6117DCA}"/>
    <hyperlink ref="V138" r:id="rId137" xr:uid="{A487D39B-CA2D-4A8F-B924-3F901954D2EE}"/>
    <hyperlink ref="V139" r:id="rId138" xr:uid="{F31B49D9-DF0A-4F5E-985A-89615612E8B3}"/>
    <hyperlink ref="V140" r:id="rId139" xr:uid="{9379F19F-D0BC-4EF0-B7DF-9FAFACDE5337}"/>
    <hyperlink ref="V141" r:id="rId140" xr:uid="{9F3DA433-1948-4395-A9E7-F8F113D39A37}"/>
    <hyperlink ref="V142" r:id="rId141" xr:uid="{E9999783-DD7D-4C79-B268-CA1CC463DB95}"/>
    <hyperlink ref="V143" r:id="rId142" xr:uid="{486AAE0D-4B4D-4B11-B2B6-6DC0E7D2287F}"/>
    <hyperlink ref="V144" r:id="rId143" xr:uid="{C81FEDAD-C56A-4931-A25A-76ECB46A6125}"/>
    <hyperlink ref="V145" r:id="rId144" xr:uid="{B30FBC6D-F551-4F91-A0AE-5F668C78BF39}"/>
    <hyperlink ref="V146" r:id="rId145" xr:uid="{43BADA4F-2AC2-4583-8978-852B92FB5144}"/>
    <hyperlink ref="V147" r:id="rId146" xr:uid="{C3D355DC-B2B5-4A5E-88C3-67715E6EBCF2}"/>
    <hyperlink ref="V148" r:id="rId147" xr:uid="{7909E91B-BFE8-475D-BB01-1BF516D9D22B}"/>
    <hyperlink ref="V149" r:id="rId148" xr:uid="{6047B4F0-7C76-49ED-86AA-18145C3BA8A9}"/>
    <hyperlink ref="V150" r:id="rId149" xr:uid="{8B13595A-C5C5-4C65-8DD3-AFEFD824316B}"/>
    <hyperlink ref="V151" r:id="rId150" xr:uid="{25D383DB-F563-4D4B-8551-6F402217FF24}"/>
    <hyperlink ref="V152" r:id="rId151" xr:uid="{0FAB74BA-B5CC-4F43-B2E5-A3C9F423A1DD}"/>
    <hyperlink ref="V153" r:id="rId152" xr:uid="{F7AD5914-767F-4A33-9970-69760C2FA767}"/>
    <hyperlink ref="V154" r:id="rId153" xr:uid="{47C82681-43D1-4891-A694-01A444932FD9}"/>
    <hyperlink ref="V155" r:id="rId154" xr:uid="{E49E0226-F8B8-486C-B57A-9F7A861A4EAB}"/>
    <hyperlink ref="V156" r:id="rId155" xr:uid="{0B62D2C1-324B-465B-B00A-73637A59D223}"/>
    <hyperlink ref="V157" r:id="rId156" xr:uid="{26043C49-7AE7-4E75-9567-B127869AFA94}"/>
    <hyperlink ref="V158" r:id="rId157" xr:uid="{875E0F9A-CEDA-4761-9490-65F610FA5C92}"/>
    <hyperlink ref="V159" r:id="rId158" xr:uid="{7F2AB646-CFA9-40FC-A9E4-8CAE7C121CA2}"/>
    <hyperlink ref="V160" r:id="rId159" xr:uid="{6C32BBAB-642F-4C9E-8648-4CF6D3C76134}"/>
    <hyperlink ref="V161" r:id="rId160" xr:uid="{D63C14BC-854F-4806-A799-E941D54A028B}"/>
    <hyperlink ref="V162" r:id="rId161" xr:uid="{F195CC55-42A7-4BD9-9F2C-C09DBAC24E2A}"/>
    <hyperlink ref="V163" r:id="rId162" xr:uid="{02AE85B6-C9DC-4EE9-83C2-F35CAB531158}"/>
    <hyperlink ref="V164" r:id="rId163" xr:uid="{24DF5BC7-A9AF-47BF-BF77-82616ED3EDCB}"/>
    <hyperlink ref="V165" r:id="rId164" xr:uid="{6AEE635A-3F6D-4BF6-8CFB-06986283DDD9}"/>
    <hyperlink ref="V166" r:id="rId165" xr:uid="{0703065E-493A-48A5-866F-A6C81553E4AC}"/>
    <hyperlink ref="V167" r:id="rId166" xr:uid="{310A0CBE-C0C3-4EA4-BBE8-75A668D01088}"/>
    <hyperlink ref="V168" r:id="rId167" xr:uid="{14EEE612-B8D5-4F6B-BBCE-A33F15D6AAD5}"/>
    <hyperlink ref="V169" r:id="rId168" xr:uid="{2C051923-8DA9-4314-9E84-03BF57FE3F5C}"/>
    <hyperlink ref="V170" r:id="rId169" xr:uid="{3F5BD9B8-CCCE-4A9C-B67C-A2600EF58751}"/>
    <hyperlink ref="V171" r:id="rId170" xr:uid="{55A6523D-64CF-4FEF-AD38-68DE90220AD9}"/>
    <hyperlink ref="V172" r:id="rId171" xr:uid="{5EA3B29E-3484-468F-B2FE-2972D6EFD72F}"/>
    <hyperlink ref="V173" r:id="rId172" xr:uid="{07C567DE-58B6-4AEA-8154-C49632F29579}"/>
    <hyperlink ref="V174" r:id="rId173" xr:uid="{B8A77918-4012-42FA-84E6-FFF161643A14}"/>
    <hyperlink ref="V175" r:id="rId174" xr:uid="{43572959-288A-46C6-8740-889A6208C922}"/>
    <hyperlink ref="V176" r:id="rId175" xr:uid="{034468C9-9794-4A44-B11B-3D95FADC1597}"/>
    <hyperlink ref="V177" r:id="rId176" xr:uid="{4B021AD4-C72E-4962-95D4-34BC35F0FFED}"/>
    <hyperlink ref="V178" r:id="rId177" xr:uid="{EF2DEA0C-BDAE-481B-ACBB-CD658B26E226}"/>
    <hyperlink ref="V179" r:id="rId178" xr:uid="{E7B654EC-2E0E-4E0B-B99F-B2F92B5F27CF}"/>
    <hyperlink ref="V180" r:id="rId179" xr:uid="{FD489755-8368-4DD5-9B2C-7EF7D7A4478D}"/>
    <hyperlink ref="V181" r:id="rId180" xr:uid="{9421D5E9-E5E5-48AC-9745-0EA347B7B0BB}"/>
    <hyperlink ref="V182" r:id="rId181" xr:uid="{E1F31BA2-FB72-4C12-97F9-D4985F4B8C5C}"/>
    <hyperlink ref="V183" r:id="rId182" xr:uid="{262E2F0F-F873-4B28-B7C0-256EA1F92788}"/>
    <hyperlink ref="V184" r:id="rId183" xr:uid="{465555D9-5FA7-44D8-9AA2-EF1493F210C7}"/>
    <hyperlink ref="V185" r:id="rId184" xr:uid="{CAB72822-AB76-4717-A8AD-680B821F943D}"/>
    <hyperlink ref="V186" r:id="rId185" xr:uid="{358D66AB-8082-40E7-9326-01CDA63C3D38}"/>
    <hyperlink ref="V187" r:id="rId186" xr:uid="{FE8E5CF1-4C3F-4737-8DD5-A029438B9A23}"/>
    <hyperlink ref="V188" r:id="rId187" xr:uid="{B09DA218-B605-40BA-8084-AF05042E61B0}"/>
    <hyperlink ref="V189" r:id="rId188" xr:uid="{CC45EC19-4E69-4C42-82E1-99C46180ED92}"/>
    <hyperlink ref="V190" r:id="rId189" xr:uid="{DA176E60-ABA9-4954-802C-E633A7260F33}"/>
    <hyperlink ref="V191" r:id="rId190" xr:uid="{6D4C40E6-C779-4C42-8FEF-76E4D2AF9AFB}"/>
    <hyperlink ref="V192" r:id="rId191" xr:uid="{B655018D-A29D-470E-81FE-078ED70B8F38}"/>
    <hyperlink ref="V193" r:id="rId192" xr:uid="{302D4A9F-C823-4B47-9490-ACE786DC1E6F}"/>
    <hyperlink ref="V194" r:id="rId193" xr:uid="{BAEEF136-B89E-4F7B-8140-3D138EA9CDE7}"/>
    <hyperlink ref="V195" r:id="rId194" xr:uid="{72AC1169-0BBA-435F-8AD6-315D32D80E63}"/>
    <hyperlink ref="V196" r:id="rId195" xr:uid="{2C5BF0B7-8B3D-400F-B4D0-7EC4CD81193A}"/>
    <hyperlink ref="V197" r:id="rId196" xr:uid="{78FE023E-E92A-45E0-9A78-DBF548DB2811}"/>
    <hyperlink ref="V198" r:id="rId197" xr:uid="{4025B766-3EDB-4662-AD9D-6B00657F9592}"/>
    <hyperlink ref="V199" r:id="rId198" xr:uid="{9253774C-79A2-40F4-82FE-03850E8DB125}"/>
    <hyperlink ref="V200" r:id="rId199" xr:uid="{465DC623-F148-43DC-8254-B4F9C2DCECB7}"/>
    <hyperlink ref="V201" r:id="rId200" xr:uid="{84537F73-0FE1-415F-BAE5-48F6F8DFF09B}"/>
    <hyperlink ref="V202" r:id="rId201" xr:uid="{BC906586-E12F-4CE6-86B6-CA6E83ADC320}"/>
    <hyperlink ref="V203" r:id="rId202" xr:uid="{4C5D257C-16E7-47CE-AB01-BF7EE55C9C19}"/>
    <hyperlink ref="V204" r:id="rId203" xr:uid="{50770052-DF43-459D-B134-873CA09CB90B}"/>
    <hyperlink ref="V205" r:id="rId204" xr:uid="{8AC87C69-D39E-4150-A72E-567D0F643593}"/>
    <hyperlink ref="V206" r:id="rId205" xr:uid="{B529C03D-4625-4D87-B461-CE38A0460142}"/>
    <hyperlink ref="V207" r:id="rId206" xr:uid="{C2AB2660-AC75-44CB-9700-FD4538FF9AB7}"/>
    <hyperlink ref="V208" r:id="rId207" xr:uid="{25F0A5C9-0C70-4C11-8DC7-94466CAB11E4}"/>
    <hyperlink ref="V209" r:id="rId208" xr:uid="{08F6D0BC-B1EA-4AAF-A649-EF0B9DF57E9C}"/>
    <hyperlink ref="V210" r:id="rId209" xr:uid="{3BA40847-6400-40C7-9078-ADBD2E8C8080}"/>
    <hyperlink ref="V211" r:id="rId210" xr:uid="{E1AE607E-CA45-46D0-93F7-0977304C668F}"/>
    <hyperlink ref="V212" r:id="rId211" xr:uid="{4D32F685-C4E9-4D34-9D6C-7CE74D59DCF0}"/>
    <hyperlink ref="V213" r:id="rId212" xr:uid="{5DD38D7A-E3DA-4CA2-9055-2F63F92A3525}"/>
    <hyperlink ref="V214" r:id="rId213" xr:uid="{5CA86DEC-BBD8-45A5-A766-0235E7265DAC}"/>
    <hyperlink ref="V215" r:id="rId214" xr:uid="{55355D3A-D285-42D2-8862-98D149487BC9}"/>
    <hyperlink ref="V216" r:id="rId215" xr:uid="{1975DC5C-4E21-41CF-AF19-57DF0148E3ED}"/>
    <hyperlink ref="V217" r:id="rId216" xr:uid="{E822A9BF-9E33-4EE8-84F9-0307471397B9}"/>
    <hyperlink ref="V218" r:id="rId217" xr:uid="{B74C39A2-9394-476B-A915-D523E7E55F9B}"/>
    <hyperlink ref="V219" r:id="rId218" xr:uid="{64F63DEE-0807-4A23-857F-04D26D11DCE5}"/>
    <hyperlink ref="V220" r:id="rId219" xr:uid="{7F3372E1-8754-44D6-B533-C0026F5D5CCF}"/>
    <hyperlink ref="V221" r:id="rId220" xr:uid="{98D9E720-5827-493B-A8B5-F504FDC64DDB}"/>
    <hyperlink ref="V222" r:id="rId221" xr:uid="{65988F78-742C-4A82-B5DB-FB8900CBBA5F}"/>
    <hyperlink ref="V223" r:id="rId222" xr:uid="{80DC2D9E-2EBD-4A66-A124-3A0A9F2D6EA7}"/>
    <hyperlink ref="V224" r:id="rId223" xr:uid="{7EEFCB8F-23EF-49C3-AD7C-C94BE993307F}"/>
    <hyperlink ref="V225" r:id="rId224" xr:uid="{73C41450-A4E0-40EC-8A1C-7A787CC28F78}"/>
    <hyperlink ref="V226" r:id="rId225" xr:uid="{BC3BC18C-6669-4430-8CD0-E9D0DCC07B7C}"/>
    <hyperlink ref="V227" r:id="rId226" xr:uid="{34721F30-4003-4894-B493-ADAF32E4C014}"/>
    <hyperlink ref="V228" r:id="rId227" xr:uid="{AA71335E-2C3A-4BE0-A742-A605D224B9B0}"/>
    <hyperlink ref="V229" r:id="rId228" xr:uid="{8399E335-CE10-497E-A32C-414F25B23EB0}"/>
    <hyperlink ref="V230" r:id="rId229" xr:uid="{DD5F9E2E-2847-4A2D-80F0-0BA746F5C443}"/>
    <hyperlink ref="V231" r:id="rId230" xr:uid="{8A0389C4-33B3-4282-91C0-12B5EE9A0492}"/>
    <hyperlink ref="V232" r:id="rId231" xr:uid="{D2699EFC-34EF-4F75-93F9-8B0352BCD0A8}"/>
    <hyperlink ref="V233" r:id="rId232" xr:uid="{986B0663-5B79-45B7-B278-C20E15F5E065}"/>
    <hyperlink ref="V234" r:id="rId233" xr:uid="{6E9411D2-EBE8-498A-9EEA-6EB082E4DBA3}"/>
    <hyperlink ref="V235" r:id="rId234" xr:uid="{9FBEBB99-8674-4B58-B8CC-3122AC9859A9}"/>
    <hyperlink ref="V236" r:id="rId235" xr:uid="{5F862BB6-B343-4E06-B537-3AABE0F9FDA8}"/>
    <hyperlink ref="V237" r:id="rId236" xr:uid="{51A935AC-BD0A-4735-9E76-FD6E0E7AA43E}"/>
    <hyperlink ref="V238" r:id="rId237" xr:uid="{14158D93-BF5C-4035-BD2B-4AEF491615BD}"/>
    <hyperlink ref="V239" r:id="rId238" xr:uid="{961DE0F9-D2D4-4DB4-8471-F1307F03C397}"/>
    <hyperlink ref="V240" r:id="rId239" xr:uid="{AA14BA96-9E83-43DC-849C-4983FA61A60C}"/>
    <hyperlink ref="V241" r:id="rId240" xr:uid="{C471C020-DAD8-4813-AD76-33DF929AF88E}"/>
    <hyperlink ref="V242" r:id="rId241" xr:uid="{DE1C3FF2-7EA1-4BE2-8D62-5589B7A1CC84}"/>
    <hyperlink ref="V243" r:id="rId242" xr:uid="{A6787B18-5F66-4173-8F57-289E057F20CB}"/>
    <hyperlink ref="V244" r:id="rId243" xr:uid="{25AD5A19-4923-4B7C-97F0-92F3EF94676D}"/>
    <hyperlink ref="V245" r:id="rId244" xr:uid="{DD7C6C3E-9062-4816-96D7-6663E0F6B35B}"/>
    <hyperlink ref="V246" r:id="rId245" xr:uid="{161F5168-F275-4A29-803F-3B6403BA3F40}"/>
    <hyperlink ref="V247" r:id="rId246" xr:uid="{C4D3E385-CBB7-4235-8163-836E3510D7CE}"/>
    <hyperlink ref="V248" r:id="rId247" xr:uid="{3913EA6F-B857-490C-906A-8751D28A2B95}"/>
    <hyperlink ref="V249" r:id="rId248" xr:uid="{4331435C-6EF7-4DC1-A360-67E150E6D55F}"/>
    <hyperlink ref="V250" r:id="rId249" xr:uid="{0542F0D3-8F06-465E-A954-A64DC2793912}"/>
    <hyperlink ref="V251" r:id="rId250" xr:uid="{788187D2-AE52-41F9-BEC7-4F95AE92C48D}"/>
    <hyperlink ref="V252" r:id="rId251" xr:uid="{0CD51EF9-FD8A-4D14-81AC-3DA69FC49DCC}"/>
    <hyperlink ref="V253" r:id="rId252" xr:uid="{916F97EB-BCDF-4E45-B6EE-08F2F7A02AE3}"/>
    <hyperlink ref="V254" r:id="rId253" xr:uid="{F2A5B78B-6379-44A4-9AB2-0EC6FBC8EB58}"/>
    <hyperlink ref="V255" r:id="rId254" xr:uid="{CF80CC9F-39E9-422E-B464-667B0222764E}"/>
    <hyperlink ref="V256" r:id="rId255" xr:uid="{42E8CE64-173B-4975-9DF0-B22A028F7DEE}"/>
    <hyperlink ref="V257" r:id="rId256" xr:uid="{94E8227F-A86E-425F-8411-66B5F007C590}"/>
    <hyperlink ref="V258" r:id="rId257" xr:uid="{E7D03035-9240-4135-9A6F-00044A354597}"/>
    <hyperlink ref="V259" r:id="rId258" xr:uid="{4BAD9BDC-626C-43F8-A7CA-DC7D21E62BA0}"/>
    <hyperlink ref="V260" r:id="rId259" xr:uid="{ABA30724-9D75-40E7-AAFC-22A78AD990D3}"/>
    <hyperlink ref="V261" r:id="rId260" xr:uid="{F4002ECB-98EA-4B29-B70F-04981632F589}"/>
    <hyperlink ref="V262" r:id="rId261" xr:uid="{D65FA50C-12EE-48B5-B609-FD8FEC8EE2E0}"/>
    <hyperlink ref="V263" r:id="rId262" xr:uid="{7C0FB0AC-0C38-42CD-B955-662F97ADAD78}"/>
    <hyperlink ref="V264" r:id="rId263" xr:uid="{84C89A49-13F8-453D-845F-7DB066C4C498}"/>
    <hyperlink ref="V265" r:id="rId264" xr:uid="{8742E840-303C-4979-B82D-9E30DB9221BB}"/>
    <hyperlink ref="V266" r:id="rId265" xr:uid="{AADB292E-C305-4271-BC28-7BCDB41CF661}"/>
    <hyperlink ref="V267" r:id="rId266" xr:uid="{580346EB-6719-4488-AD88-08353B913AA4}"/>
    <hyperlink ref="V268" r:id="rId267" xr:uid="{08918BAE-9CC8-48D5-B404-B921547A35F9}"/>
    <hyperlink ref="V269" r:id="rId268" xr:uid="{BA755289-042B-45A9-A802-60F0548BD465}"/>
    <hyperlink ref="V270" r:id="rId269" xr:uid="{7EBCAC86-D5BA-41BB-B914-B751A6EC3FBA}"/>
    <hyperlink ref="V271" r:id="rId270" xr:uid="{9642AECF-579A-4798-A8BC-A9D0DDFE9C93}"/>
    <hyperlink ref="V272" r:id="rId271" xr:uid="{18FBFA6A-15F9-4C05-9EB8-FC7B3B1B423B}"/>
    <hyperlink ref="V273" r:id="rId272" xr:uid="{65CAFC15-EC0E-4553-AF0E-9F810B1FA7B0}"/>
    <hyperlink ref="V274" r:id="rId273" xr:uid="{881779C5-FE18-4E0E-B8C1-782FC4F0D150}"/>
    <hyperlink ref="V275" r:id="rId274" xr:uid="{6172E305-7D1B-4FE9-8339-06D94C0A4E9A}"/>
    <hyperlink ref="V276" r:id="rId275" xr:uid="{2F32555A-D30D-43EC-A132-F5ADE564C4E5}"/>
    <hyperlink ref="V277" r:id="rId276" xr:uid="{8BA8DEE7-C214-4D8E-966E-FEAB9F5510D1}"/>
    <hyperlink ref="V278" r:id="rId277" xr:uid="{30D2100E-D417-40CA-8CFD-E1BF44721003}"/>
    <hyperlink ref="V279" r:id="rId278" xr:uid="{98206CC8-A0E8-4549-AD41-371B28CE102E}"/>
    <hyperlink ref="V280" r:id="rId279" xr:uid="{4BF80849-FEEE-40E9-AB00-189DDF89C536}"/>
    <hyperlink ref="V281" r:id="rId280" xr:uid="{184C0ACE-50D6-4B26-8C58-056040D9C02D}"/>
    <hyperlink ref="V282" r:id="rId281" xr:uid="{5C28391D-25B8-4D89-B6DB-0F7671A75CE7}"/>
    <hyperlink ref="V283" r:id="rId282" xr:uid="{5EE0BE50-2E81-4C03-84AF-6237FD911CFA}"/>
    <hyperlink ref="V284" r:id="rId283" xr:uid="{F53E784E-D21C-4C4B-B53C-F5DE0D4D707F}"/>
    <hyperlink ref="V285" r:id="rId284" xr:uid="{22ED4341-D3DD-4040-84B5-1AE2B89E1FDD}"/>
    <hyperlink ref="V286" r:id="rId285" xr:uid="{C7F36529-2CDE-445B-8ABC-8EBB4AB73D9D}"/>
    <hyperlink ref="V287" r:id="rId286" xr:uid="{3DC67B6A-1006-4413-800F-A5999751214C}"/>
    <hyperlink ref="V288" r:id="rId287" xr:uid="{57C24AC3-CD55-470C-94BE-D5CE29351A7A}"/>
    <hyperlink ref="V289" r:id="rId288" xr:uid="{3AE4945B-451F-487A-A3F9-0ADF09A9A891}"/>
    <hyperlink ref="V290" r:id="rId289" xr:uid="{3E413284-092F-4557-A9E1-2D3C00F699CA}"/>
    <hyperlink ref="V291" r:id="rId290" xr:uid="{A1C1E806-C203-4FB0-98FF-9B52E7FFD309}"/>
    <hyperlink ref="V292" r:id="rId291" xr:uid="{471F1B75-928D-4316-84F8-4A4FA7200A06}"/>
    <hyperlink ref="V293" r:id="rId292" xr:uid="{E50D7AAE-28CF-47D3-8092-BDC66FB286E2}"/>
    <hyperlink ref="V294" r:id="rId293" xr:uid="{0C87EEFE-D168-42D9-89BF-1AF85E056989}"/>
    <hyperlink ref="V295" r:id="rId294" xr:uid="{20FE6BC9-FB25-43F1-B55D-213584152E75}"/>
    <hyperlink ref="V296" r:id="rId295" xr:uid="{7AEA9EA5-0D44-443A-BDF0-A0D911E40512}"/>
    <hyperlink ref="V297" r:id="rId296" xr:uid="{CCCBE3E3-1B90-4176-970E-2011D24FB484}"/>
    <hyperlink ref="V298" r:id="rId297" xr:uid="{CD2D5990-3903-498D-B736-D8246D0FD84B}"/>
    <hyperlink ref="V299" r:id="rId298" xr:uid="{1CFF6A23-02DC-45E7-80A8-D043B73F6105}"/>
    <hyperlink ref="V300" r:id="rId299" xr:uid="{A02E76A9-EA5D-444B-874D-5FBE5C0A6D34}"/>
    <hyperlink ref="V301" r:id="rId300" xr:uid="{CC564051-8896-4328-86C6-0A9AD4BB7331}"/>
    <hyperlink ref="V302" r:id="rId301" xr:uid="{359B055F-DBC6-4A76-B4C4-4E542626AD73}"/>
    <hyperlink ref="V303" r:id="rId302" xr:uid="{7C1E7CA2-0457-484D-936F-AE657CDEA96A}"/>
    <hyperlink ref="V304" r:id="rId303" xr:uid="{489BF9D6-9C39-43F0-84D2-41F868336A0C}"/>
    <hyperlink ref="V305" r:id="rId304" xr:uid="{463C0EA9-FA2E-4246-B013-383B5A37B9C1}"/>
    <hyperlink ref="V306" r:id="rId305" xr:uid="{739F8827-2547-4F90-AF39-FE54797294B5}"/>
    <hyperlink ref="V307" r:id="rId306" xr:uid="{C1820B5F-3366-4318-96A2-A869F41BBE88}"/>
    <hyperlink ref="V308" r:id="rId307" xr:uid="{B908091F-FDFF-42E5-BE5A-F908F474B975}"/>
    <hyperlink ref="V309" r:id="rId308" xr:uid="{8116AF61-465C-4586-8E94-7290C42CD3D1}"/>
    <hyperlink ref="V310" r:id="rId309" xr:uid="{502DFBA7-5E7F-4BBF-A500-C913E8E85601}"/>
    <hyperlink ref="V311" r:id="rId310" xr:uid="{B6D9AE6D-FA63-484D-B642-8FEA24C86396}"/>
    <hyperlink ref="V312" r:id="rId311" xr:uid="{A987C242-C2C5-4498-A7F3-5965269DECDB}"/>
    <hyperlink ref="V313" r:id="rId312" xr:uid="{80B8215C-4DD4-413B-9B4A-9435F4FB00E9}"/>
    <hyperlink ref="V314" r:id="rId313" xr:uid="{D6E32610-A755-46A4-ADC5-B4ECDB166638}"/>
    <hyperlink ref="V315" r:id="rId314" xr:uid="{FA314D3B-8245-43F7-82C8-764C81A350A9}"/>
    <hyperlink ref="V316" r:id="rId315" xr:uid="{EDDA5D96-5D75-4B36-AC2B-FEC2DBAD3C87}"/>
    <hyperlink ref="V317" r:id="rId316" xr:uid="{B024291B-0949-4359-88B1-66E973407388}"/>
    <hyperlink ref="V318" r:id="rId317" xr:uid="{74B21012-8884-4430-B6F6-22C5902C32A1}"/>
    <hyperlink ref="V319" r:id="rId318" xr:uid="{D86D0DDB-1FDC-45CC-B802-B67FE4A1978D}"/>
    <hyperlink ref="V320" r:id="rId319" xr:uid="{6DFCBBBB-555A-458B-BE59-ED8AD58CFABD}"/>
    <hyperlink ref="V321" r:id="rId320" xr:uid="{8A228346-3C62-48C9-9EF4-51A12E78B647}"/>
    <hyperlink ref="V322" r:id="rId321" xr:uid="{1E584ECE-91C0-49ED-A8DF-2B33B3119AE8}"/>
    <hyperlink ref="V323" r:id="rId322" xr:uid="{6533D1FE-77B5-4BB5-9AE6-AAEAA79FDFD1}"/>
    <hyperlink ref="V324" r:id="rId323" xr:uid="{3E25DE95-2B55-4345-9AB2-5A81F2207A68}"/>
    <hyperlink ref="V325" r:id="rId324" xr:uid="{7FE0781E-7C19-4177-9CD2-DB98B940315C}"/>
    <hyperlink ref="V326" r:id="rId325" xr:uid="{6CB601FC-11BD-42D8-AB9D-6BFCF1806569}"/>
    <hyperlink ref="V327" r:id="rId326" xr:uid="{6CD125F1-716D-44CC-A211-AAD28CA70800}"/>
    <hyperlink ref="V328" r:id="rId327" xr:uid="{63BB9F8B-6846-4D51-B6F2-FE9285A0208B}"/>
    <hyperlink ref="V329" r:id="rId328" xr:uid="{F67966D7-E500-4AF2-8B50-251BBD9D5C53}"/>
    <hyperlink ref="V330" r:id="rId329" xr:uid="{D257B574-0B7D-4702-A3BC-3E86A3C30168}"/>
    <hyperlink ref="V331" r:id="rId330" xr:uid="{5899064C-1532-4CC4-8142-4618E15CFF2F}"/>
    <hyperlink ref="V332" r:id="rId331" xr:uid="{1F53014B-51C8-449B-9297-08FEA520E0C2}"/>
    <hyperlink ref="V333" r:id="rId332" xr:uid="{8BD9AB55-D03E-47BE-802F-D04AADEFE8C1}"/>
    <hyperlink ref="V334" r:id="rId333" xr:uid="{7437926B-D949-4C01-BDFD-FDC274F52CBC}"/>
    <hyperlink ref="V335" r:id="rId334" xr:uid="{DD8928B6-7026-4A03-80DE-549FB859E8C1}"/>
    <hyperlink ref="V336" r:id="rId335" xr:uid="{FBF7FEC1-8D31-47CE-A6C9-CE174F602210}"/>
    <hyperlink ref="V337" r:id="rId336" xr:uid="{B3F29DF3-4B8D-4A0E-9839-67B165B268C2}"/>
    <hyperlink ref="V338" r:id="rId337" xr:uid="{928C2106-B7B7-42BA-A631-31423DFB1F04}"/>
    <hyperlink ref="V339" r:id="rId338" xr:uid="{1027FBBE-3033-4D18-B53B-750078CAEFA0}"/>
    <hyperlink ref="V340" r:id="rId339" xr:uid="{F1F0F012-26E1-4700-BAE5-EAE8F3FB3632}"/>
    <hyperlink ref="V341" r:id="rId340" xr:uid="{F7654F40-9DB8-4C4D-8094-A8E867723A06}"/>
    <hyperlink ref="V342" r:id="rId341" xr:uid="{240518B7-BC13-4233-B161-B8A05A1FAA96}"/>
    <hyperlink ref="V343" r:id="rId342" xr:uid="{AA96D63C-3216-4AB0-A1EE-9BBDF5B17043}"/>
    <hyperlink ref="V344" r:id="rId343" xr:uid="{B3E0990B-E592-413E-BBAB-6BCA0439CCBB}"/>
    <hyperlink ref="V345" r:id="rId344" xr:uid="{10F5FD64-50FC-4115-A354-E4C0682E6DA4}"/>
    <hyperlink ref="V346" r:id="rId345" xr:uid="{1D5E4A35-7EF7-4778-8E2A-DA935B0F1CFE}"/>
    <hyperlink ref="V347" r:id="rId346" xr:uid="{15956158-D974-4B02-AD31-A4008DA0D5C2}"/>
    <hyperlink ref="V348" r:id="rId347" xr:uid="{B39F2A2C-C6F5-4BF4-9659-0F66E6D9A1C3}"/>
    <hyperlink ref="V349" r:id="rId348" xr:uid="{DEE3FA51-5572-4F67-9E65-40333102CCA6}"/>
    <hyperlink ref="V350" r:id="rId349" xr:uid="{D3349687-66F1-4E82-8384-3ACDCDBB2DFF}"/>
    <hyperlink ref="V351" r:id="rId350" xr:uid="{3E20F274-10C8-4712-81B2-DC3AFB02BACE}"/>
    <hyperlink ref="V352" r:id="rId351" xr:uid="{EEBC02D9-841C-40D1-B102-E1309E696F37}"/>
    <hyperlink ref="V353" r:id="rId352" xr:uid="{CB3A5698-5A2E-4EA4-BEFB-EB28D72EC042}"/>
    <hyperlink ref="V354" r:id="rId353" xr:uid="{D439DF7F-8D0A-4447-8A43-3F9E6AA87B6F}"/>
    <hyperlink ref="V355" r:id="rId354" xr:uid="{2BB694A1-B201-483A-8B40-35E6BF2EBDF0}"/>
    <hyperlink ref="V356" r:id="rId355" xr:uid="{B803EF77-3579-4BFD-88AD-E22C20539EBE}"/>
    <hyperlink ref="V357" r:id="rId356" xr:uid="{281D36A3-3A99-4D6E-9D79-C2191B5CF6B3}"/>
    <hyperlink ref="V358" r:id="rId357" xr:uid="{4D1A1BA6-2A5A-431D-B56B-E691F51C9EAA}"/>
    <hyperlink ref="V359" r:id="rId358" xr:uid="{9CBEFDE2-06B4-40FA-B1B3-472145935311}"/>
    <hyperlink ref="V360" r:id="rId359" xr:uid="{8C13C2C7-B37D-4D1D-B545-216E05A982CB}"/>
    <hyperlink ref="V361" r:id="rId360" xr:uid="{AA91046C-C0AF-4300-BE91-40B274B5D942}"/>
    <hyperlink ref="V362" r:id="rId361" xr:uid="{267AEAC6-9954-4556-A9EF-8FC1D4059220}"/>
    <hyperlink ref="V363" r:id="rId362" xr:uid="{61CCED7E-1C35-4D25-8F03-F2BC7EC7DC13}"/>
    <hyperlink ref="V364" r:id="rId363" xr:uid="{B2A219D9-245D-4B2F-B1DB-578008B2589E}"/>
    <hyperlink ref="V365" r:id="rId364" xr:uid="{598DA0F7-E940-4EE7-B0E0-97480CC445A0}"/>
    <hyperlink ref="V366" r:id="rId365" xr:uid="{44BF2345-EE1C-4913-AFDC-16CE376875C2}"/>
    <hyperlink ref="V367" r:id="rId366" xr:uid="{1B463F7E-03EF-48DB-98B7-0846E71AF220}"/>
    <hyperlink ref="V368" r:id="rId367" xr:uid="{1E4CB3D6-030E-4D03-92F5-069DA8D99AE7}"/>
    <hyperlink ref="V369" r:id="rId368" xr:uid="{2B3DEEC4-427E-4A65-9FFA-8F74055E9332}"/>
    <hyperlink ref="V370" r:id="rId369" xr:uid="{4D0FBAD6-BE0D-4A53-B16E-FB8B7FE2C69B}"/>
    <hyperlink ref="V371" r:id="rId370" xr:uid="{4056547F-7A6C-471C-865A-1BCC314DADC8}"/>
    <hyperlink ref="V372" r:id="rId371" xr:uid="{C6C2BE5C-9C4C-4A1F-B0B6-C3496F7808D0}"/>
    <hyperlink ref="V373" r:id="rId372" xr:uid="{6E9F7D05-1738-439A-9B44-3098CC28647A}"/>
    <hyperlink ref="V374" r:id="rId373" xr:uid="{E21FB964-EA13-4AC6-AF85-AFE8F9DFC015}"/>
    <hyperlink ref="V375" r:id="rId374" xr:uid="{5AFF4A0A-63D4-4184-8C92-14DB12572218}"/>
    <hyperlink ref="V376" r:id="rId375" xr:uid="{225F64B3-A66C-4BD0-9466-6AF1F59F3294}"/>
    <hyperlink ref="V377" r:id="rId376" xr:uid="{3AAE6E18-76AB-4456-A762-88EA8E19E5E0}"/>
    <hyperlink ref="V378" r:id="rId377" xr:uid="{14AF0E35-9CB2-4AB1-A900-EB558484B05B}"/>
    <hyperlink ref="V379" r:id="rId378" xr:uid="{FCC955C0-3AAD-4928-87BB-3D8B80BA3527}"/>
    <hyperlink ref="V380" r:id="rId379" xr:uid="{DB5676D2-F3B3-4332-A3BC-3C11D61316B9}"/>
    <hyperlink ref="V381" r:id="rId380" xr:uid="{6422C380-0896-4A2E-80D0-7D4324727E97}"/>
    <hyperlink ref="V382" r:id="rId381" xr:uid="{B25E8745-A10E-4D2D-B5EA-6E2335576186}"/>
    <hyperlink ref="V383" r:id="rId382" xr:uid="{BF56816F-7ABD-44F7-9742-81F481E4DC2E}"/>
    <hyperlink ref="V384" r:id="rId383" xr:uid="{C6D23E77-33BA-4D76-A07A-1D0EE6F2D010}"/>
    <hyperlink ref="V385" r:id="rId384" xr:uid="{45111A9C-83BA-4EAF-BC7B-11B16F0833A4}"/>
    <hyperlink ref="V386" r:id="rId385" xr:uid="{2C161C1A-C23C-4DCE-94E6-7E2455E6C143}"/>
    <hyperlink ref="V387" r:id="rId386" xr:uid="{AEFBD135-60F0-4BDD-A904-4B7E955E3003}"/>
    <hyperlink ref="V388" r:id="rId387" xr:uid="{C5C84325-0399-456B-AF69-A9FB9ED12ABE}"/>
    <hyperlink ref="V389" r:id="rId388" xr:uid="{E96F0480-98F4-4069-8FD8-E3BC92D41218}"/>
    <hyperlink ref="V390" r:id="rId389" xr:uid="{132480BB-47F8-4222-A5F3-DC0ADC5B6A54}"/>
    <hyperlink ref="V391" r:id="rId390" xr:uid="{3B6ABEE7-DF68-4D23-AD53-E826CB7A172F}"/>
    <hyperlink ref="V392" r:id="rId391" xr:uid="{A178DFBC-DA45-4C74-81F3-15FB87A4109E}"/>
    <hyperlink ref="V393" r:id="rId392" xr:uid="{5A8F2E86-34F8-4C86-813C-5F6696BF5528}"/>
    <hyperlink ref="V394" r:id="rId393" xr:uid="{A097BA30-B4A9-40D6-B9DB-8E116C8D7308}"/>
    <hyperlink ref="V395" r:id="rId394" xr:uid="{88ED2C1C-F479-4B59-A6EA-B1793749908E}"/>
    <hyperlink ref="V396" r:id="rId395" xr:uid="{6B63D00A-5DEF-4277-88F1-970D4DF4BE23}"/>
    <hyperlink ref="V397" r:id="rId396" xr:uid="{C4D20074-6886-4095-8CBB-DE75480CCA98}"/>
    <hyperlink ref="V398" r:id="rId397" xr:uid="{47DA7FE6-66A2-45A8-A0D4-AAF4CA23F323}"/>
    <hyperlink ref="V399" r:id="rId398" xr:uid="{2073CCDA-44A4-4858-927C-644217E1D7BC}"/>
    <hyperlink ref="V400" r:id="rId399" xr:uid="{F6F822CC-AD3F-48B6-9835-1A7B2DE0172B}"/>
    <hyperlink ref="V401" r:id="rId400" xr:uid="{7AC45C9D-DECE-4831-A3C0-553306ADEF4B}"/>
    <hyperlink ref="V402" r:id="rId401" xr:uid="{DF373006-9C60-48C3-B2B2-5262B771B4C7}"/>
    <hyperlink ref="V403" r:id="rId402" xr:uid="{3D24EA43-E88F-441B-BFEA-6622776541AA}"/>
    <hyperlink ref="V404" r:id="rId403" xr:uid="{E03C9D0F-8166-43B5-8F3E-F768A2534071}"/>
    <hyperlink ref="V405" r:id="rId404" xr:uid="{39DDB58B-CB48-4BC7-984F-1C76491C8D0B}"/>
    <hyperlink ref="V406" r:id="rId405" xr:uid="{D3DFFE70-84DD-44BF-862E-3BE551F91515}"/>
    <hyperlink ref="V407" r:id="rId406" xr:uid="{CA67DE3E-602A-4E27-B66D-597E442A85BD}"/>
    <hyperlink ref="V408" r:id="rId407" xr:uid="{221B7247-8257-4A6A-A3B5-830BD1C15833}"/>
    <hyperlink ref="V409" r:id="rId408" xr:uid="{E507D363-930D-4059-B75E-B16E4DE55B37}"/>
    <hyperlink ref="V410" r:id="rId409" xr:uid="{52E8FC8E-36BC-4884-84B3-23A3288DC4AF}"/>
    <hyperlink ref="V411" r:id="rId410" xr:uid="{49F7F5BD-7C90-41C7-A1BC-C21D1CF5D773}"/>
    <hyperlink ref="V412" r:id="rId411" xr:uid="{0284FCF3-BF5B-47B6-9120-AE83BCC2FD29}"/>
    <hyperlink ref="V413" r:id="rId412" xr:uid="{67CA7DE5-287F-45E0-94C0-7AB9FADF69A3}"/>
    <hyperlink ref="V414" r:id="rId413" xr:uid="{15A377D6-A017-447D-933F-C684D5F3A047}"/>
    <hyperlink ref="V415" r:id="rId414" xr:uid="{C34D1DAA-CF1E-49F4-A29B-226A64ACDCA0}"/>
    <hyperlink ref="V416" r:id="rId415" xr:uid="{81FFAE29-4608-45B0-8399-E9E39BA35B1D}"/>
    <hyperlink ref="V417" r:id="rId416" xr:uid="{BABEF806-2481-4FF2-88A2-07CC552BF4EF}"/>
    <hyperlink ref="V418" r:id="rId417" xr:uid="{A56ADF50-BCCD-4D7E-91BF-183290968DD9}"/>
    <hyperlink ref="V419" r:id="rId418" xr:uid="{8FB88843-69FC-454A-AF59-69D78B9AC209}"/>
    <hyperlink ref="V420" r:id="rId419" xr:uid="{6C492EE2-C291-40F9-8636-F9C6938CF3BC}"/>
    <hyperlink ref="V421" r:id="rId420" xr:uid="{0520D4CB-EC73-4A2B-ACEB-3574D187AF9A}"/>
    <hyperlink ref="V422" r:id="rId421" xr:uid="{5C3FCF26-03C6-46A7-AB56-3DAF237C11C0}"/>
    <hyperlink ref="V423" r:id="rId422" xr:uid="{744F3575-C8FE-4BF7-BD77-D2F1DC3EC78E}"/>
    <hyperlink ref="V424" r:id="rId423" xr:uid="{FC794CE3-F2EC-44E6-9CA6-6F59A9441311}"/>
    <hyperlink ref="V425" r:id="rId424" xr:uid="{7EABD8D4-9DEE-44F6-A817-4F0B5CC496D9}"/>
    <hyperlink ref="V426" r:id="rId425" xr:uid="{2E7C2EC3-40F7-4A54-BFAD-7FAFDA2B5810}"/>
    <hyperlink ref="V427" r:id="rId426" xr:uid="{7E6F6A52-A1B6-4469-853B-48492640BADD}"/>
    <hyperlink ref="V428" r:id="rId427" xr:uid="{3D737E1F-6702-40E1-93D2-56A2FB94D385}"/>
    <hyperlink ref="V429" r:id="rId428" xr:uid="{601E83D7-9A17-42AF-BED5-E5C90C626039}"/>
    <hyperlink ref="V430" r:id="rId429" xr:uid="{5919755D-EFFF-4756-BAF1-0F7B7B081E86}"/>
    <hyperlink ref="V431" r:id="rId430" xr:uid="{52187DB6-B2C1-4CEA-A974-6D42CE961D2A}"/>
    <hyperlink ref="V432" r:id="rId431" xr:uid="{C3FCC260-0CCF-4D93-9539-2D60B343467A}"/>
    <hyperlink ref="V433" r:id="rId432" xr:uid="{18CD7D51-EDA9-4460-AE61-C4FB54C08F3B}"/>
    <hyperlink ref="V434" r:id="rId433" xr:uid="{A587BA1C-E343-4BB1-A11C-58A065035F40}"/>
    <hyperlink ref="V435" r:id="rId434" xr:uid="{EBD91E99-9307-45FF-A3FF-8DE904393B49}"/>
    <hyperlink ref="V436" r:id="rId435" xr:uid="{1C70CDBA-16AD-4DBB-BD04-D4B44B976286}"/>
    <hyperlink ref="V437" r:id="rId436" xr:uid="{DE2EEC5B-9910-439C-A94E-2D27B5A993E9}"/>
    <hyperlink ref="V438" r:id="rId437" xr:uid="{AC25CCBD-358F-4EA5-89DE-8E3E01401208}"/>
    <hyperlink ref="V439" r:id="rId438" xr:uid="{7416BFE1-FC4E-4CD1-9D9A-989F2B20A7B1}"/>
    <hyperlink ref="V440" r:id="rId439" xr:uid="{E3159895-B34B-4608-A477-61E527FC38C2}"/>
    <hyperlink ref="V441" r:id="rId440" xr:uid="{A22F6025-6F5B-4761-A45D-EC222E65ADA1}"/>
    <hyperlink ref="V442" r:id="rId441" xr:uid="{E961BE9D-ED80-42D9-A424-C9B00A09A79B}"/>
    <hyperlink ref="V443" r:id="rId442" xr:uid="{848449D3-D6BB-4E7D-83B1-33D3A93B3D52}"/>
    <hyperlink ref="V444" r:id="rId443" xr:uid="{2E0E45E3-5ABF-4C2A-859E-3CAFACC90994}"/>
    <hyperlink ref="V445" r:id="rId444" xr:uid="{3C6EAB1B-12E2-4EA3-9E70-0E23F18933FC}"/>
    <hyperlink ref="V446" r:id="rId445" xr:uid="{DD988D3F-672B-4B27-86B2-EA7AFCB7047E}"/>
    <hyperlink ref="V447" r:id="rId446" xr:uid="{F120A523-3D89-4307-B0E0-B07F4C39087C}"/>
    <hyperlink ref="V448" r:id="rId447" xr:uid="{0FD4F11B-160A-4CC9-89FD-2A45CAF74BE5}"/>
    <hyperlink ref="V449" r:id="rId448" xr:uid="{EA1B92C7-88F2-4224-ACF6-A80381C3475A}"/>
    <hyperlink ref="V450" r:id="rId449" xr:uid="{B58BB97B-0BEC-43B0-8E2A-1ECCAAB5E592}"/>
    <hyperlink ref="V451" r:id="rId450" xr:uid="{F4F9EE73-190C-4435-81E5-D7C4F61511C0}"/>
    <hyperlink ref="V452" r:id="rId451" xr:uid="{7DBB7C69-B1AF-45B2-8485-D2B6B1FA05FE}"/>
    <hyperlink ref="V453" r:id="rId452" xr:uid="{01472A6F-38A5-4E5A-9257-5D778DCC247E}"/>
    <hyperlink ref="V454" r:id="rId453" xr:uid="{73729C0F-4F41-4D9C-8450-1312046B4F97}"/>
    <hyperlink ref="V455" r:id="rId454" xr:uid="{2C81D235-C55A-489F-AC3C-0AA992ECFF86}"/>
    <hyperlink ref="V456" r:id="rId455" xr:uid="{DAD62BE0-B4C2-4BA0-9D4A-6F63547E97ED}"/>
    <hyperlink ref="V457" r:id="rId456" xr:uid="{BCDC24E0-81B5-4328-A81A-461991941DB2}"/>
    <hyperlink ref="V458" r:id="rId457" xr:uid="{930698AE-4762-4B5E-8AC2-7982175C5016}"/>
    <hyperlink ref="V459" r:id="rId458" xr:uid="{02AE4226-74DE-4BD9-8CC1-38A472D4FC53}"/>
    <hyperlink ref="V460" r:id="rId459" xr:uid="{7CDF3537-DF33-4A0C-AA00-8BB8F9D816D0}"/>
    <hyperlink ref="V461" r:id="rId460" xr:uid="{8C29DA0F-AFFF-404D-BA56-C095ACD9D005}"/>
    <hyperlink ref="V462" r:id="rId461" xr:uid="{546481EB-B3D6-4E5A-84D9-D9E69C968A68}"/>
    <hyperlink ref="V463" r:id="rId462" xr:uid="{486A4369-877F-440D-892F-66FFFEE9F7E3}"/>
    <hyperlink ref="V464" r:id="rId463" xr:uid="{8A82885F-F525-41F7-816D-E972216631D0}"/>
    <hyperlink ref="V465" r:id="rId464" xr:uid="{B73CA371-DF28-4951-B50D-849ADF396F8D}"/>
    <hyperlink ref="V466" r:id="rId465" xr:uid="{2BFAD774-738F-4FDE-91A9-67FA58779FF8}"/>
    <hyperlink ref="V467" r:id="rId466" xr:uid="{0D575846-E0F9-47FA-AC73-8764B5BF3053}"/>
    <hyperlink ref="V468" r:id="rId467" xr:uid="{4FB5E7ED-4367-4996-8C5A-5603CC8E62F5}"/>
    <hyperlink ref="V469" r:id="rId468" xr:uid="{4F379117-9A88-4752-92F9-17A1B3D526B1}"/>
    <hyperlink ref="V470" r:id="rId469" xr:uid="{FB5F7A97-DBA3-4645-AB9A-39A83ACF3C86}"/>
    <hyperlink ref="V471" r:id="rId470" xr:uid="{54A5DBB2-CDAF-4CB3-AF81-8611D37DE6B9}"/>
    <hyperlink ref="V472" r:id="rId471" xr:uid="{23055FCB-7F6A-487C-89F7-BE8E92FEF513}"/>
    <hyperlink ref="V473" r:id="rId472" xr:uid="{B993A7AE-7DB3-438F-9F43-D8FE5D9CE619}"/>
    <hyperlink ref="V474" r:id="rId473" xr:uid="{B5F6CFC7-5C7B-42C4-BCA7-61BD7D6C9FBE}"/>
    <hyperlink ref="V475" r:id="rId474" xr:uid="{8073575E-1B60-468A-B2A9-2C3D26362AD3}"/>
    <hyperlink ref="V476" r:id="rId475" xr:uid="{D85B73F8-D1E6-4C32-8A07-3764047499C0}"/>
    <hyperlink ref="V477" r:id="rId476" xr:uid="{8EE941A3-477C-40BD-9703-501E72E0074B}"/>
    <hyperlink ref="V478" r:id="rId477" xr:uid="{A4CC04F3-271F-4300-A518-8BB31D3C6A95}"/>
    <hyperlink ref="V479" r:id="rId478" xr:uid="{62FF5A0B-FFDA-427C-83B4-100EE423BFAF}"/>
    <hyperlink ref="V480" r:id="rId479" xr:uid="{A7CCF1F3-4FBF-4DCB-A1AF-5A5C6D379594}"/>
    <hyperlink ref="V481" r:id="rId480" xr:uid="{F9D42A33-DD7B-4BF1-9C4E-438512AFE410}"/>
    <hyperlink ref="V482" r:id="rId481" xr:uid="{27513472-1153-4A62-A244-1A0FE23BF814}"/>
    <hyperlink ref="V483" r:id="rId482" xr:uid="{F01FBC98-7FDD-4A1B-A4F4-F517EC9B6333}"/>
    <hyperlink ref="V484" r:id="rId483" xr:uid="{409D3497-0143-4CF5-A495-01A9C1B6BD4B}"/>
    <hyperlink ref="V485" r:id="rId484" xr:uid="{E4908D5C-42E9-4F0C-8D91-771716E51CBD}"/>
    <hyperlink ref="V486" r:id="rId485" xr:uid="{E7971F4C-8F34-416A-BAA9-C6F2EEF88145}"/>
    <hyperlink ref="V487" r:id="rId486" xr:uid="{C1CA29FA-4AD2-44DE-8D71-4278542A60D1}"/>
    <hyperlink ref="V488" r:id="rId487" xr:uid="{13AAA80F-0E11-4C89-A2F4-CBCB9A7A1D67}"/>
    <hyperlink ref="V489" r:id="rId488" xr:uid="{BAB9A8CA-EC29-49E6-8511-4A99BCC3F482}"/>
    <hyperlink ref="V490" r:id="rId489" xr:uid="{E30BF7B6-7AF5-4ADA-A2A3-54D78B8B94C7}"/>
    <hyperlink ref="V491" r:id="rId490" xr:uid="{7897D7FE-D69C-4E8E-B9B1-7D38E9E5ED7E}"/>
    <hyperlink ref="V492" r:id="rId491" xr:uid="{02AE2113-56CB-40AB-A31C-9B6B6F7FC7B7}"/>
    <hyperlink ref="V493" r:id="rId492" xr:uid="{2701AC2D-3187-4E16-822F-3E3580447FB5}"/>
    <hyperlink ref="V494" r:id="rId493" xr:uid="{E8D3BCBE-F48E-4DE3-A8D3-7E512F53CF84}"/>
    <hyperlink ref="V495" r:id="rId494" xr:uid="{3F3D8F20-8796-4093-9760-2A6862B920F4}"/>
    <hyperlink ref="V496" r:id="rId495" xr:uid="{5A8DC01A-B209-4505-8C8A-1CE47EF887FC}"/>
    <hyperlink ref="V497" r:id="rId496" xr:uid="{E6DA2042-2303-4BDA-826D-27D958381F0D}"/>
    <hyperlink ref="V498" r:id="rId497" xr:uid="{6BF1A91A-0593-4A01-B6D3-BABA9FEA622A}"/>
    <hyperlink ref="V499" r:id="rId498" xr:uid="{9E4393A6-02F4-4AEC-834C-259934FC55AC}"/>
    <hyperlink ref="V500" r:id="rId499" xr:uid="{409F388F-8747-47E4-966B-B4793866F657}"/>
    <hyperlink ref="V501" r:id="rId500" xr:uid="{6302013E-7A14-4E03-874B-990046863D2C}"/>
    <hyperlink ref="V502" r:id="rId501" xr:uid="{AA16D350-180D-4EEB-954D-41C841530644}"/>
    <hyperlink ref="V503" r:id="rId502" xr:uid="{2AC3C025-70DD-4A26-AE8E-77A249AE5A12}"/>
    <hyperlink ref="V504" r:id="rId503" xr:uid="{E2C8C2DC-4920-48AC-A43C-46AD2A18BA68}"/>
    <hyperlink ref="V505" r:id="rId504" xr:uid="{A0F348FF-0CF1-4EB5-A950-3B9C6C37C954}"/>
    <hyperlink ref="V506" r:id="rId505" xr:uid="{B6F37EA7-A485-4F20-9E59-590B639E27B9}"/>
    <hyperlink ref="V507" r:id="rId506" xr:uid="{1C85F2B1-28E4-4446-A9A8-E54C2F2179E0}"/>
    <hyperlink ref="V508" r:id="rId507" xr:uid="{73CD6527-B85F-47FB-A4C0-264D76869B30}"/>
    <hyperlink ref="V509" r:id="rId508" xr:uid="{64036AFF-857D-44D1-AD82-DC4D5644C2BA}"/>
    <hyperlink ref="V510" r:id="rId509" xr:uid="{6CA71153-1E5D-4A69-8F89-C39834139959}"/>
    <hyperlink ref="V511" r:id="rId510" xr:uid="{D6A68AED-508B-43EE-BCE9-E16C561B4036}"/>
    <hyperlink ref="V512" r:id="rId511" xr:uid="{D5D1B982-5099-4486-9E59-60B36981FFC0}"/>
    <hyperlink ref="V513" r:id="rId512" xr:uid="{B916C3C8-55AD-436E-90B1-CE64BBE19FBC}"/>
    <hyperlink ref="V514" r:id="rId513" xr:uid="{69BE5B49-8F64-4A94-B3B1-308A08CD2C63}"/>
    <hyperlink ref="V515" r:id="rId514" xr:uid="{09F5C9F3-3467-45B2-B4E7-46818AA2C33E}"/>
    <hyperlink ref="V516" r:id="rId515" xr:uid="{F022C469-D9DE-4AA9-8A44-44E15A9C37B4}"/>
    <hyperlink ref="V517" r:id="rId516" xr:uid="{8A52101D-E2EC-4563-8D6F-460365C3DBA6}"/>
    <hyperlink ref="V518" r:id="rId517" xr:uid="{60F6BCA3-E816-4CDF-B76F-480EE6D5B42C}"/>
    <hyperlink ref="V519" r:id="rId518" xr:uid="{87B34AFD-5E1A-42E4-A3DD-3B49C5BD47D1}"/>
    <hyperlink ref="V520" r:id="rId519" xr:uid="{58815D5A-E2ED-468B-9F4F-8F5FF0B94B45}"/>
    <hyperlink ref="V521" r:id="rId520" xr:uid="{4DD5D983-FA3A-4511-B6F9-EF622FA93534}"/>
    <hyperlink ref="V522" r:id="rId521" xr:uid="{AAEE78D3-412E-430D-B191-1C6946E87178}"/>
    <hyperlink ref="V523" r:id="rId522" xr:uid="{5F9F4A96-161D-4F99-AC5C-A31CB3E474BF}"/>
    <hyperlink ref="V524" r:id="rId523" xr:uid="{435D56B1-04AB-4B50-84CF-3891D5E55D22}"/>
    <hyperlink ref="V525" r:id="rId524" xr:uid="{99BF0F9F-2DD7-4C26-8F06-BEA8F6451E80}"/>
    <hyperlink ref="V526" r:id="rId525" xr:uid="{FD95E200-64B9-4189-A2BA-2425B9FE20AB}"/>
    <hyperlink ref="V527" r:id="rId526" xr:uid="{B380FD93-DE95-4873-A456-5E50D7D51AF3}"/>
    <hyperlink ref="V528" r:id="rId527" xr:uid="{5EF45420-E81F-4FE1-964E-67428EA883B2}"/>
    <hyperlink ref="V529" r:id="rId528" xr:uid="{567250C6-4A0C-4445-8AEC-1C8F16596435}"/>
    <hyperlink ref="V530" r:id="rId529" xr:uid="{FF0A37FC-0C5B-4BC1-9A56-4B866D5643EA}"/>
    <hyperlink ref="V531" r:id="rId530" xr:uid="{4276CE6E-7A9E-4260-95CF-871B40BEA5E1}"/>
    <hyperlink ref="V532" r:id="rId531" xr:uid="{6058291C-996C-44FD-819B-837F0EEC2106}"/>
    <hyperlink ref="V533" r:id="rId532" xr:uid="{F86DA96F-B898-40E1-B5CD-B908720C6E43}"/>
    <hyperlink ref="V534" r:id="rId533" xr:uid="{F422B93E-E9A6-40AC-B12E-B50D3A165C48}"/>
    <hyperlink ref="V535" r:id="rId534" xr:uid="{43506D7A-629D-40E6-B32B-A117A0B22670}"/>
    <hyperlink ref="V536" r:id="rId535" xr:uid="{38829B3C-87C3-474D-85C6-71ECA03E2521}"/>
    <hyperlink ref="V537" r:id="rId536" xr:uid="{6C1DC05C-8FDA-42AA-ABE8-08CA1D7EEE50}"/>
    <hyperlink ref="V538" r:id="rId537" xr:uid="{CD49D1B3-22F9-4F7E-9D4B-5E6AA3B421CC}"/>
    <hyperlink ref="V539" r:id="rId538" xr:uid="{F10E0CC9-BDDD-4CDA-AC38-10BD4536BE54}"/>
    <hyperlink ref="V540" r:id="rId539" xr:uid="{98FD95D9-32BC-4908-A5C1-D5C8C2D331ED}"/>
    <hyperlink ref="V541" r:id="rId540" xr:uid="{915D71DB-7659-4175-A5EC-2C7C69D83CC1}"/>
    <hyperlink ref="V542" r:id="rId541" xr:uid="{D1820292-CABE-47CF-9A6C-2967678D76F8}"/>
    <hyperlink ref="V543" r:id="rId542" xr:uid="{1F0DE628-151A-4A70-936D-127C90206309}"/>
    <hyperlink ref="V544" r:id="rId543" xr:uid="{D0B7E682-080C-4483-9A6A-14648F943A52}"/>
    <hyperlink ref="V545" r:id="rId544" xr:uid="{93AE05CB-B980-4A42-954C-27560A5ED8E1}"/>
    <hyperlink ref="V546" r:id="rId545" xr:uid="{471EE7D9-A158-4876-9080-3306C16BE367}"/>
    <hyperlink ref="V547" r:id="rId546" xr:uid="{CA3D2EED-63FB-41B7-9DA0-D02802D133BC}"/>
    <hyperlink ref="V548" r:id="rId547" xr:uid="{EC67EBB0-A8A7-472B-A709-0394AA545E24}"/>
    <hyperlink ref="V549" r:id="rId548" xr:uid="{8434BBFF-6E18-47D3-A99C-B84B5C4DDDE8}"/>
    <hyperlink ref="V550" r:id="rId549" xr:uid="{A869AC9B-5EA9-4318-ADD9-30BB224CD1F5}"/>
    <hyperlink ref="V551" r:id="rId550" xr:uid="{B1BD03F8-80B0-4012-B726-AAF8ABE8B255}"/>
    <hyperlink ref="V552" r:id="rId551" xr:uid="{A5ED05D6-0677-4F4D-ADC6-CBF65E431245}"/>
    <hyperlink ref="V553" r:id="rId552" xr:uid="{5ED03F54-3BC8-4D06-AEF7-6F0958D65ACA}"/>
    <hyperlink ref="V554" r:id="rId553" xr:uid="{38D9F509-6C25-4769-929C-931B740CDBB8}"/>
    <hyperlink ref="V555" r:id="rId554" xr:uid="{8ABF0892-646D-4FDD-BC03-348BF03659BF}"/>
    <hyperlink ref="V556" r:id="rId555" xr:uid="{364D7D80-65BA-4ACC-94B9-94F9948A3EA7}"/>
    <hyperlink ref="V557" r:id="rId556" xr:uid="{AE4899E3-92A0-4AA4-9134-68F6446F61F0}"/>
    <hyperlink ref="V558" r:id="rId557" xr:uid="{59A27FA8-D52A-4F04-8335-082D4C476426}"/>
    <hyperlink ref="V559" r:id="rId558" xr:uid="{41029586-6B23-484D-9D73-19B510827A6C}"/>
    <hyperlink ref="V560" r:id="rId559" xr:uid="{016DF575-FDF4-40AC-A956-7CD786116E6C}"/>
    <hyperlink ref="V561" r:id="rId560" xr:uid="{EB0215E6-0A86-4824-B5E1-9B76C347B6CE}"/>
    <hyperlink ref="V562" r:id="rId561" xr:uid="{32F84314-51AA-4108-8E72-B43F6ED7AA3A}"/>
    <hyperlink ref="V563" r:id="rId562" xr:uid="{77BAF205-C457-487E-9A76-72B57E35174B}"/>
    <hyperlink ref="V564" r:id="rId563" xr:uid="{7330C410-3580-4D55-B27C-75E340462F4E}"/>
    <hyperlink ref="V565" r:id="rId564" xr:uid="{BA1156E1-974F-4186-BD70-E33C0DCC80B8}"/>
    <hyperlink ref="V566" r:id="rId565" xr:uid="{D58D6D52-577D-4145-9047-717B38F89796}"/>
    <hyperlink ref="V567" r:id="rId566" xr:uid="{D82BD308-1CC7-4D31-AA72-BA9238E36C37}"/>
    <hyperlink ref="V568" r:id="rId567" xr:uid="{E24DF830-3E99-4409-BBB7-1EF6FAE3678E}"/>
    <hyperlink ref="V569" r:id="rId568" xr:uid="{1AF34175-D2BC-4643-9547-A1D018E220D9}"/>
    <hyperlink ref="V570" r:id="rId569" xr:uid="{D9A151E1-4BE4-4128-9567-3E21B450C278}"/>
    <hyperlink ref="V571" r:id="rId570" xr:uid="{1D4E2C1F-B873-4C3A-B7EF-636C434D52C3}"/>
    <hyperlink ref="V572" r:id="rId571" xr:uid="{172B86AD-4A54-4758-873E-695C0811A941}"/>
    <hyperlink ref="V573" r:id="rId572" xr:uid="{CB3CDD3E-B214-4DF0-85CC-4245FA6EC49B}"/>
    <hyperlink ref="V574" r:id="rId573" xr:uid="{BB8F0759-2EDC-41E6-89E0-79E5B334E8B6}"/>
    <hyperlink ref="V575" r:id="rId574" xr:uid="{A7A8368F-C58F-4E8F-AFCE-C1827397FDEA}"/>
    <hyperlink ref="V576" r:id="rId575" xr:uid="{6C68EF5F-2BED-475D-9A34-FF6DD9E26624}"/>
    <hyperlink ref="V577" r:id="rId576" xr:uid="{F54E000A-B54C-44D0-96FB-0B0151C41F2A}"/>
    <hyperlink ref="V578" r:id="rId577" xr:uid="{8BEDD880-23EB-4C44-B051-F2A018403DC3}"/>
    <hyperlink ref="V579" r:id="rId578" xr:uid="{3AED412F-040E-4E79-9040-AEB82E050905}"/>
    <hyperlink ref="V580" r:id="rId579" xr:uid="{B216C441-A7C3-47CB-A082-38471E6F98C4}"/>
    <hyperlink ref="V581" r:id="rId580" xr:uid="{5BC2191D-B9E7-4D45-92ED-9A33420979D4}"/>
    <hyperlink ref="V582" r:id="rId581" xr:uid="{7EA7F3C7-D0D7-484E-AA66-486445954CDF}"/>
    <hyperlink ref="V583" r:id="rId582" xr:uid="{5A1956A1-33A5-4C43-BB12-A1B0C53C3406}"/>
    <hyperlink ref="V584" r:id="rId583" xr:uid="{AA690FB9-7D39-406B-BB79-0584E41A9E1A}"/>
    <hyperlink ref="V585" r:id="rId584" xr:uid="{0EA8EE33-8CBF-4ACE-AEB3-049DAFCAB02A}"/>
    <hyperlink ref="V586" r:id="rId585" xr:uid="{ECBCF417-C943-4E44-A89C-723DA5147FCE}"/>
    <hyperlink ref="V587" r:id="rId586" xr:uid="{7001569E-8EC2-4365-BB3E-05EA6AABDA0E}"/>
    <hyperlink ref="V588" r:id="rId587" xr:uid="{419714AC-43EE-4704-98DF-AB15ECBB313A}"/>
    <hyperlink ref="V589" r:id="rId588" xr:uid="{BAC2A99A-2C45-44FC-BE66-4AF5921683D5}"/>
    <hyperlink ref="V590" r:id="rId589" xr:uid="{1FCE1B8F-D639-4206-B3C6-0CEC3C17414E}"/>
    <hyperlink ref="V591" r:id="rId590" xr:uid="{36BB9F40-E059-41B7-868B-ECB09E29B49D}"/>
    <hyperlink ref="V592" r:id="rId591" xr:uid="{84ACAB44-A423-43C0-88FD-461D1E5EA7EF}"/>
    <hyperlink ref="V593" r:id="rId592" xr:uid="{4F9B6D2C-DB1B-42FF-90A8-A1BF2104CA49}"/>
    <hyperlink ref="V594" r:id="rId593" xr:uid="{043DBC24-9A49-46C5-AC14-046B2D3B2DAC}"/>
    <hyperlink ref="V595" r:id="rId594" xr:uid="{77949414-839A-4B62-927A-E33CD112653A}"/>
    <hyperlink ref="V596" r:id="rId595" xr:uid="{30704B0F-D880-4A51-8768-9509EE55B39D}"/>
    <hyperlink ref="V597" r:id="rId596" xr:uid="{ECD4F438-284E-4B17-B62E-C9769CDD5691}"/>
    <hyperlink ref="V598" r:id="rId597" xr:uid="{2F3461A9-8A33-4B82-855B-9782915606EB}"/>
    <hyperlink ref="V599" r:id="rId598" xr:uid="{F03F4280-C961-4687-978A-83B1B23710D9}"/>
    <hyperlink ref="V600" r:id="rId599" xr:uid="{C308B9DD-75A4-4D91-B404-4076868877E8}"/>
    <hyperlink ref="V601" r:id="rId600" xr:uid="{3E561838-D0C8-47C1-8038-DD0043F67043}"/>
    <hyperlink ref="V602" r:id="rId601" xr:uid="{D37C9C4B-1400-4ADE-84CF-4C31767B2056}"/>
    <hyperlink ref="V603" r:id="rId602" xr:uid="{BE7BD923-9F35-4764-961B-E327534A7B92}"/>
    <hyperlink ref="V604" r:id="rId603" xr:uid="{A353CFC9-38BA-4CED-A0C1-ED5C5F5BF42A}"/>
    <hyperlink ref="V605" r:id="rId604" xr:uid="{221CA803-B49D-4C59-B274-6370AC57759D}"/>
    <hyperlink ref="V606" r:id="rId605" xr:uid="{8A4DB5DC-B983-4E26-83B6-ECE67390E60E}"/>
    <hyperlink ref="V607" r:id="rId606" xr:uid="{5BAA0705-4953-47C5-B856-D1136160E6BA}"/>
    <hyperlink ref="V608" r:id="rId607" xr:uid="{FD53CBC9-13CA-4D04-9303-B143402704D5}"/>
    <hyperlink ref="V609" r:id="rId608" xr:uid="{EA7629E1-5D20-4608-A24A-54A59802E634}"/>
    <hyperlink ref="V610" r:id="rId609" xr:uid="{670E3F83-F77D-4A41-AAF9-38206D64EC7C}"/>
    <hyperlink ref="V611" r:id="rId610" xr:uid="{2A25EAD6-FEDD-4D2E-AC2C-9C0E8CF0CEEC}"/>
    <hyperlink ref="V612" r:id="rId611" xr:uid="{D61CBDDC-DD48-405C-8478-D2466999F2A5}"/>
    <hyperlink ref="V613" r:id="rId612" xr:uid="{0DB168D5-37AB-4A4C-B986-8C31A7C028AD}"/>
    <hyperlink ref="V614" r:id="rId613" xr:uid="{5333F6C2-F817-40BC-8E5A-4FE2E31FE211}"/>
    <hyperlink ref="V615" r:id="rId614" xr:uid="{01329540-2782-4BAB-9999-EC6460D8F867}"/>
    <hyperlink ref="V616" r:id="rId615" xr:uid="{086E494E-EE97-4B53-BB75-729F71484B90}"/>
    <hyperlink ref="V617" r:id="rId616" xr:uid="{7A17C498-C5BB-4B63-870C-77AA97B0DE69}"/>
    <hyperlink ref="V618" r:id="rId617" xr:uid="{EBA454B8-E4F1-4EAA-A98E-97EFF532C790}"/>
    <hyperlink ref="V619" r:id="rId618" xr:uid="{08F889C9-993E-4B64-816D-2D1A7EEC689E}"/>
    <hyperlink ref="V620" r:id="rId619" xr:uid="{8C4DCD6C-2AE5-4CF7-A841-D8EB633A448E}"/>
    <hyperlink ref="V621" r:id="rId620" xr:uid="{B6CF957F-E52C-4B24-9B93-A886296E1B04}"/>
    <hyperlink ref="V622" r:id="rId621" xr:uid="{F724E95B-2615-4D83-A904-308575C9031C}"/>
    <hyperlink ref="V623" r:id="rId622" xr:uid="{13A2A16E-9243-4164-83FD-C97427E85D4E}"/>
    <hyperlink ref="V624" r:id="rId623" xr:uid="{2BA02EA3-AFC5-4E51-A77B-57E614C4719A}"/>
    <hyperlink ref="V625" r:id="rId624" xr:uid="{50ED621B-DE78-4905-BD47-81C3FE4945BB}"/>
    <hyperlink ref="V626" r:id="rId625" xr:uid="{92F065E8-EDB5-401D-8B9C-44705AF20427}"/>
    <hyperlink ref="V627" r:id="rId626" xr:uid="{1FE661E8-54DB-475F-9710-BA6F47BDFD5F}"/>
    <hyperlink ref="V628" r:id="rId627" xr:uid="{44894A3F-974E-4AEC-91DC-A1F0592A7884}"/>
    <hyperlink ref="V629" r:id="rId628" xr:uid="{854DA323-F1D5-475E-A292-E810B9A49E90}"/>
    <hyperlink ref="V630" r:id="rId629" xr:uid="{7523BCBE-0CF4-4800-8A0D-AADB8C90E0C1}"/>
    <hyperlink ref="V631" r:id="rId630" xr:uid="{5864FAA2-759B-4DAE-BAAE-952A4A5D359F}"/>
    <hyperlink ref="V632" r:id="rId631" xr:uid="{DBD5EBD3-04A6-446A-A3BA-DB5D89E8E491}"/>
    <hyperlink ref="V633" r:id="rId632" xr:uid="{283314A9-481C-4E65-A448-F0384F9386C7}"/>
    <hyperlink ref="V634" r:id="rId633" xr:uid="{62EA8E0C-C9E3-46DF-B6AC-B93AEB5A327A}"/>
    <hyperlink ref="V635" r:id="rId634" xr:uid="{4E555524-BD05-4637-BAB1-4293661F35B0}"/>
    <hyperlink ref="V636" r:id="rId635" xr:uid="{73E0E425-0A4A-49B1-83A2-78E2188C1F6E}"/>
    <hyperlink ref="V637" r:id="rId636" xr:uid="{B6C6B666-9B83-4B61-926B-FE272DD81C3F}"/>
    <hyperlink ref="V638" r:id="rId637" xr:uid="{3E78BADC-6622-48EC-A4FE-A4AC5D68BA36}"/>
    <hyperlink ref="V639" r:id="rId638" xr:uid="{1979E4AC-D49C-43EB-9593-775512D9C60B}"/>
    <hyperlink ref="V640" r:id="rId639" xr:uid="{7610A244-E543-4120-BE0A-1832F46E725E}"/>
    <hyperlink ref="V641" r:id="rId640" xr:uid="{0819586D-6C45-4489-8E0E-849610F7D7BC}"/>
    <hyperlink ref="V642" r:id="rId641" xr:uid="{86BFB6BF-B3C5-44A5-9996-4274037260A8}"/>
    <hyperlink ref="V643" r:id="rId642" xr:uid="{9AC37CDA-2252-42A1-AD0B-42C10E072CC7}"/>
    <hyperlink ref="V644" r:id="rId643" xr:uid="{942AB5C3-5B9B-46BD-88AB-63D53F1FD5BF}"/>
    <hyperlink ref="V645" r:id="rId644" xr:uid="{082BCE84-D95B-4D11-9F5A-3376347305B0}"/>
    <hyperlink ref="V646" r:id="rId645" xr:uid="{8C1D22E9-2241-4A45-B591-10ED90F606E8}"/>
    <hyperlink ref="V647" r:id="rId646" xr:uid="{57AB4E7A-17FA-4C99-B14A-548A388D908B}"/>
    <hyperlink ref="V648" r:id="rId647" xr:uid="{3E643B3C-A4B9-4CD8-9CC7-19C6A3686259}"/>
    <hyperlink ref="V649" r:id="rId648" xr:uid="{7C7314EF-1504-4FDF-934B-028E770A3F43}"/>
    <hyperlink ref="V650" r:id="rId649" xr:uid="{3BB36907-AECB-4C36-8D40-718414FB7580}"/>
    <hyperlink ref="V651" r:id="rId650" xr:uid="{068E4110-0CAC-4063-B41E-F975D576E408}"/>
    <hyperlink ref="V652" r:id="rId651" xr:uid="{B444CF44-4C14-4DB8-B433-5F77A723D224}"/>
    <hyperlink ref="V653" r:id="rId652" xr:uid="{603A1FDE-F50A-4A48-9154-31B65EBBC9E2}"/>
    <hyperlink ref="V654" r:id="rId653" xr:uid="{8D73D1DD-DB50-4E44-9FC7-E7486D92A76F}"/>
    <hyperlink ref="V655" r:id="rId654" xr:uid="{AC8FA70E-299B-42FD-AA6E-BF8B7E2A6782}"/>
    <hyperlink ref="V656" r:id="rId655" xr:uid="{3521200B-5B70-4A3D-98BB-54CDBDD15755}"/>
    <hyperlink ref="V657" r:id="rId656" xr:uid="{F574D833-0369-49EE-BE2D-7FE7D23C2EFB}"/>
    <hyperlink ref="V658" r:id="rId657" xr:uid="{C27AD89D-C66A-4BF2-A5A6-91559150518A}"/>
    <hyperlink ref="V659" r:id="rId658" xr:uid="{6A882F52-E4D3-4A03-ABD1-E84890EB22DA}"/>
    <hyperlink ref="V660" r:id="rId659" xr:uid="{D4AA787B-D894-47DA-9FF4-B27668BDC040}"/>
    <hyperlink ref="V661" r:id="rId660" xr:uid="{76C1A34C-3F17-467B-8EA0-60A0D7C5883D}"/>
    <hyperlink ref="V662" r:id="rId661" xr:uid="{6BA7C188-CD0F-49B6-A656-0D0A93B7BEBA}"/>
    <hyperlink ref="V663" r:id="rId662" xr:uid="{08F9623A-B6E5-4501-927A-2B85F0423A6F}"/>
    <hyperlink ref="V664" r:id="rId663" xr:uid="{8B8A5525-3DCE-4F99-A20F-EAF8AAFF3421}"/>
    <hyperlink ref="V665" r:id="rId664" xr:uid="{535B2024-CD18-4F33-9C08-E7CDB9FA91B0}"/>
    <hyperlink ref="V666" r:id="rId665" xr:uid="{0172A4AD-857D-4C0C-A37F-AC926011ED72}"/>
    <hyperlink ref="V667" r:id="rId666" xr:uid="{4782B2FE-11AA-4BD3-8152-4522D6634879}"/>
    <hyperlink ref="V668" r:id="rId667" xr:uid="{7DDCB686-900B-490B-A8C9-A09CF7BC9994}"/>
    <hyperlink ref="V669" r:id="rId668" xr:uid="{FC7EF2BA-F9B9-4341-A462-95334CF91872}"/>
    <hyperlink ref="V670" r:id="rId669" xr:uid="{7ADBF5EC-15DE-4721-B503-8912538FD353}"/>
    <hyperlink ref="V671" r:id="rId670" xr:uid="{E002A8D7-0722-4032-A484-479A7FBD3F1D}"/>
    <hyperlink ref="V672" r:id="rId671" xr:uid="{C758EFB6-14C1-4A2E-9C61-B345CBA450AF}"/>
    <hyperlink ref="V673" r:id="rId672" xr:uid="{DF90848B-70B5-4F65-8D64-65A5945B62C4}"/>
    <hyperlink ref="V674" r:id="rId673" xr:uid="{058DA3F8-32B1-4DB8-AEFF-CF6C35769E21}"/>
    <hyperlink ref="V675" r:id="rId674" xr:uid="{3AA6C3C9-5E2D-47CD-B043-AD29E783A92A}"/>
    <hyperlink ref="V676" r:id="rId675" xr:uid="{011EBEA8-0BD2-4653-A6F3-B9F9809FC5A5}"/>
    <hyperlink ref="V677" r:id="rId676" xr:uid="{2AFCA0BB-8D3F-45BA-8EB9-3515FFCA2BBE}"/>
    <hyperlink ref="V678" r:id="rId677" xr:uid="{C8B85A52-8EA2-42F4-973E-9235F49D3008}"/>
    <hyperlink ref="V679" r:id="rId678" xr:uid="{05F5E0C8-CA74-4F23-B736-F29AF1F77B07}"/>
    <hyperlink ref="V680" r:id="rId679" xr:uid="{04B4F54B-1492-47CA-A21D-865E70C59947}"/>
    <hyperlink ref="V681" r:id="rId680" xr:uid="{F2C7B4E8-4299-45D2-8709-E8F812A3ECD3}"/>
    <hyperlink ref="V682" r:id="rId681" xr:uid="{FD278D1F-480B-464B-B70E-91D10F22ABD6}"/>
    <hyperlink ref="V683" r:id="rId682" xr:uid="{6B88D3A4-7997-4BBB-A1F5-2B866755B587}"/>
    <hyperlink ref="V684" r:id="rId683" xr:uid="{95F151F9-A623-47D2-A5F4-BED137B7D6B8}"/>
    <hyperlink ref="V685" r:id="rId684" xr:uid="{DC60B123-C3D4-44AC-8A56-168B0DC68258}"/>
    <hyperlink ref="V686" r:id="rId685" xr:uid="{ED1BDF95-591A-46E2-9257-6111A01F3BC3}"/>
    <hyperlink ref="V687" r:id="rId686" xr:uid="{02B35297-FC07-4883-87CA-B747833AE2BC}"/>
    <hyperlink ref="V688" r:id="rId687" xr:uid="{19D3B451-ACDC-47A5-B721-DFD6A2C57915}"/>
    <hyperlink ref="V689" r:id="rId688" xr:uid="{53956496-5149-495B-AE56-3016B6B52F2B}"/>
    <hyperlink ref="V690" r:id="rId689" xr:uid="{7AFB8680-89CB-488B-9F43-CF0253A96AC5}"/>
    <hyperlink ref="V691" r:id="rId690" xr:uid="{FD1CDE82-CE0A-46F2-A207-C16E2CF75AE9}"/>
    <hyperlink ref="V692" r:id="rId691" xr:uid="{896B58F8-1480-4441-A9E9-C36D062917D4}"/>
    <hyperlink ref="V693" r:id="rId692" xr:uid="{59CE7062-EBF4-49A4-B9F0-47B37669B8D1}"/>
    <hyperlink ref="V694" r:id="rId693" xr:uid="{3624613E-6B7F-4037-A6F1-6A2BF2FBEA63}"/>
    <hyperlink ref="V695" r:id="rId694" xr:uid="{B9CCBF55-286E-4C79-AC46-BC7F24B694ED}"/>
    <hyperlink ref="V696" r:id="rId695" xr:uid="{1662B81C-4618-4757-A874-D72E71E15E47}"/>
    <hyperlink ref="V697" r:id="rId696" xr:uid="{E9072A13-369B-472C-9639-F7FF98833EE4}"/>
    <hyperlink ref="V698" r:id="rId697" xr:uid="{07568E08-E61B-4F4E-B192-9ACFBC879C4D}"/>
    <hyperlink ref="V699" r:id="rId698" xr:uid="{3339512B-3A62-4664-B717-32EA950AC723}"/>
    <hyperlink ref="V700" r:id="rId699" xr:uid="{4502447C-1784-4E71-B32B-6ACF2CB76A8B}"/>
    <hyperlink ref="V701" r:id="rId700" xr:uid="{289A604A-D4B5-46D8-8729-6A73FBF55157}"/>
    <hyperlink ref="V702" r:id="rId701" xr:uid="{3418A966-A957-427F-9329-039DA582B6A1}"/>
    <hyperlink ref="V703" r:id="rId702" xr:uid="{9D0BFB10-ADB9-4D1B-BCDE-C34DFC220F22}"/>
    <hyperlink ref="V704" r:id="rId703" xr:uid="{B785720C-AAB9-4689-AB55-D2FE24A7D732}"/>
    <hyperlink ref="V705" r:id="rId704" xr:uid="{D0FC10EF-9C6C-46C8-9235-F4200393E217}"/>
    <hyperlink ref="V706" r:id="rId705" xr:uid="{E20D2FA2-958F-4A41-8F76-0635472085ED}"/>
    <hyperlink ref="V707" r:id="rId706" xr:uid="{A02B6497-DD37-4A22-A906-E1F1E34CCCFE}"/>
    <hyperlink ref="V708" r:id="rId707" xr:uid="{2AC1A4E0-DB04-4C19-AE22-269BDEA477AB}"/>
    <hyperlink ref="V709" r:id="rId708" xr:uid="{8E094529-B930-4C86-8392-821EE7D7A0A7}"/>
    <hyperlink ref="V710" r:id="rId709" xr:uid="{33F7BD8B-95C6-41D2-BAC1-944E8702EFF7}"/>
    <hyperlink ref="V711" r:id="rId710" xr:uid="{6D1D5D0D-56D9-44BC-80B0-FF21211FE9FA}"/>
    <hyperlink ref="V712" r:id="rId711" xr:uid="{FBE31F02-2C5F-43AC-A146-FEB8ECB3D2C7}"/>
    <hyperlink ref="V713" r:id="rId712" xr:uid="{A0164E65-E3F8-4A1B-874F-34DE717C7085}"/>
    <hyperlink ref="V714" r:id="rId713" xr:uid="{FA50CF2B-BA8E-41C8-99AA-020ADBEB8DE1}"/>
    <hyperlink ref="V715" r:id="rId714" xr:uid="{D7A23D0F-FE5B-4ED2-8F4B-BD47691079B0}"/>
    <hyperlink ref="V716" r:id="rId715" xr:uid="{C099D329-9B9A-42FB-9948-20E2505A15F7}"/>
    <hyperlink ref="V717" r:id="rId716" xr:uid="{A2567159-6084-4205-AB00-1F2ADD07D39A}"/>
    <hyperlink ref="V718" r:id="rId717" xr:uid="{A6B2E2F4-56D8-455C-8143-7EA60815EB9C}"/>
    <hyperlink ref="V719" r:id="rId718" xr:uid="{ACE39E86-11ED-4477-94CF-2FE00D3D765D}"/>
    <hyperlink ref="V720" r:id="rId719" xr:uid="{CFE2BDBD-8817-481A-8BC3-CCCDD1A2B2EA}"/>
    <hyperlink ref="V721" r:id="rId720" xr:uid="{4956830D-DE27-4F8F-9060-E2F06CC2702B}"/>
    <hyperlink ref="V722" r:id="rId721" xr:uid="{800F15CB-EB92-444C-8871-201C5661FC3E}"/>
    <hyperlink ref="V723" r:id="rId722" xr:uid="{7291620A-4450-4BD7-8ECB-11994BDBE1B7}"/>
    <hyperlink ref="V724" r:id="rId723" xr:uid="{11925043-369A-45E6-85CF-D05712DD1732}"/>
    <hyperlink ref="V725" r:id="rId724" xr:uid="{6E80B89B-6FC3-4ECE-BCFB-2CDEF9A5EDA1}"/>
    <hyperlink ref="V726" r:id="rId725" xr:uid="{D641B166-F6B7-46FF-BBF3-AB5122E15B3B}"/>
    <hyperlink ref="V727" r:id="rId726" xr:uid="{FE253D5C-CECB-42B3-8C67-2FBEABBD5055}"/>
    <hyperlink ref="V728" r:id="rId727" xr:uid="{CB81C5DE-3045-44D2-94F6-D9122728CAC6}"/>
    <hyperlink ref="V729" r:id="rId728" xr:uid="{D06F34CF-CBE1-4613-ABAE-0EBFAC1D190F}"/>
    <hyperlink ref="V730" r:id="rId729" xr:uid="{D1D1FC23-F767-433B-BC1E-AD08DC6A39DC}"/>
    <hyperlink ref="V731" r:id="rId730" xr:uid="{35A6DF87-0E9E-4917-A4F0-A2D7574DF793}"/>
    <hyperlink ref="V732" r:id="rId731" xr:uid="{1530F087-E5F8-4E02-8742-6A9D632CD3C8}"/>
    <hyperlink ref="V733" r:id="rId732" xr:uid="{71DDDAE6-4DED-4747-A5F1-941F2C41C0C7}"/>
    <hyperlink ref="V734" r:id="rId733" xr:uid="{3BBA54A9-6236-48A4-B29D-D3D59DAEFF59}"/>
    <hyperlink ref="V735" r:id="rId734" xr:uid="{55DEEF1B-EBE1-40AF-AE98-40476360A2D6}"/>
    <hyperlink ref="V736" r:id="rId735" xr:uid="{71ADA56B-519C-43B5-BDA8-F86DD132DE28}"/>
    <hyperlink ref="V737" r:id="rId736" xr:uid="{F5A75EC1-096D-440A-B245-148998951427}"/>
    <hyperlink ref="V738" r:id="rId737" xr:uid="{326E4976-9472-4606-8B54-EAD366212588}"/>
    <hyperlink ref="V739" r:id="rId738" xr:uid="{01CCCEC5-2A48-4EA7-A579-AC3E0ED1A0B7}"/>
    <hyperlink ref="V740" r:id="rId739" xr:uid="{8977D4EE-8CAC-4E9C-A94D-7BA5A5290885}"/>
    <hyperlink ref="V741" r:id="rId740" xr:uid="{A6AA94DC-A132-4B5F-BF8A-EFEEF97717D2}"/>
    <hyperlink ref="V742" r:id="rId741" xr:uid="{EB8755C9-EC72-46D4-A666-818989E45463}"/>
    <hyperlink ref="V743" r:id="rId742" xr:uid="{9090C4EC-1833-41BF-98BA-ED595E03E8A0}"/>
    <hyperlink ref="V744" r:id="rId743" xr:uid="{B7FFB6BE-0971-4FBF-AE23-4490AEA03EEB}"/>
    <hyperlink ref="V745" r:id="rId744" xr:uid="{9B8F4991-D382-49D9-BE69-9FE769932E2E}"/>
    <hyperlink ref="V746" r:id="rId745" xr:uid="{47B658B6-C111-4ADD-AF09-B0E756F6A8A8}"/>
    <hyperlink ref="V747" r:id="rId746" xr:uid="{D0DEB234-48A3-4D19-9277-0CFDB1BEAFFF}"/>
    <hyperlink ref="V748" r:id="rId747" xr:uid="{60DBD169-1F05-4EB8-8CA3-7A986EAB1F80}"/>
    <hyperlink ref="V749" r:id="rId748" xr:uid="{18FB4558-E6C8-4559-B5AC-677B57B1895D}"/>
    <hyperlink ref="V750" r:id="rId749" xr:uid="{78F74DDD-2B36-4D28-8210-FF232D95C6D3}"/>
    <hyperlink ref="V751" r:id="rId750" xr:uid="{FFF65FC3-CDB4-4F6E-8D16-8E6518F5F591}"/>
    <hyperlink ref="V752" r:id="rId751" xr:uid="{CCBA576F-B0D8-4119-AF98-B591B129F34A}"/>
    <hyperlink ref="V753" r:id="rId752" xr:uid="{51889092-D96C-4D8C-9462-4FE1A4B71E77}"/>
    <hyperlink ref="V754" r:id="rId753" xr:uid="{279C1C38-04B7-4A42-90B3-79DFC4E12B5A}"/>
    <hyperlink ref="V755" r:id="rId754" xr:uid="{0857F6E1-1217-40DC-915A-9E0142C0B109}"/>
    <hyperlink ref="V756" r:id="rId755" xr:uid="{CAD36A5F-957D-4B71-9D07-34224340AC6D}"/>
    <hyperlink ref="V757" r:id="rId756" xr:uid="{3A923C28-F1AA-4866-B4DE-B69BBCAD2A35}"/>
    <hyperlink ref="V758" r:id="rId757" xr:uid="{FE7C564E-4C72-458C-9517-FD5D010FCCE8}"/>
    <hyperlink ref="V759" r:id="rId758" xr:uid="{D4E0361E-E900-4C70-B314-6898E17F556D}"/>
    <hyperlink ref="V760" r:id="rId759" xr:uid="{F8781ABE-0A9D-447D-85BC-298C1C7344BA}"/>
    <hyperlink ref="V761" r:id="rId760" xr:uid="{B996FA85-F5B5-4CCD-8F9B-4BAC6876916B}"/>
    <hyperlink ref="V762" r:id="rId761" xr:uid="{E5E95E99-601D-48E6-9462-497C4BC9DF54}"/>
    <hyperlink ref="V763" r:id="rId762" xr:uid="{7EF1FECE-5DC7-46CF-AAC4-6D7969417F35}"/>
    <hyperlink ref="V764" r:id="rId763" xr:uid="{98A3B531-CA5F-4DD5-A575-A65AE6AD4890}"/>
    <hyperlink ref="V765" r:id="rId764" xr:uid="{B3C23F40-2A5C-49CF-A3EB-3D4A441AB7DE}"/>
    <hyperlink ref="V766" r:id="rId765" xr:uid="{26C5B31A-B90C-43A3-8260-1C8AF91F13D3}"/>
    <hyperlink ref="V767" r:id="rId766" xr:uid="{16B91E4D-F810-4244-9E36-CF21CB659432}"/>
    <hyperlink ref="V768" r:id="rId767" xr:uid="{6E1A1AF8-4F33-4CF8-8084-0B99DA9D4898}"/>
    <hyperlink ref="V769" r:id="rId768" xr:uid="{85D00CCC-BC14-40AA-B5A1-A137F884B7CA}"/>
    <hyperlink ref="V770" r:id="rId769" xr:uid="{CB30F408-0512-45A2-B8BB-E8C6C59BD7DB}"/>
    <hyperlink ref="V771" r:id="rId770" xr:uid="{ACC04B7A-D15D-4B2F-9F65-E95D33C380E4}"/>
    <hyperlink ref="V772" r:id="rId771" xr:uid="{4D7D6AF1-147C-491F-A252-E0C5143AD70A}"/>
    <hyperlink ref="V773" r:id="rId772" xr:uid="{B40F96F9-CFDB-455D-8C78-089E40B3AD15}"/>
    <hyperlink ref="V774" r:id="rId773" xr:uid="{EEACCAE7-AB78-4F05-BBCA-171BB962BD1D}"/>
    <hyperlink ref="V775" r:id="rId774" xr:uid="{D2BCBFF2-7855-4376-B6B9-4C23022B87BE}"/>
    <hyperlink ref="V776" r:id="rId775" xr:uid="{BC0FC6BA-9B1F-4A67-80F8-20BE3C70671E}"/>
    <hyperlink ref="V777" r:id="rId776" xr:uid="{F57686D4-55BD-46CF-B02A-4D881A1D35E3}"/>
    <hyperlink ref="V778" r:id="rId777" xr:uid="{67C18E54-51A1-4D2C-8151-6280DF480C63}"/>
    <hyperlink ref="V779" r:id="rId778" xr:uid="{CCF55DBC-A386-426B-9A98-0B7D2CB393C1}"/>
    <hyperlink ref="V780" r:id="rId779" xr:uid="{8506137A-1357-417F-B137-07001F889407}"/>
    <hyperlink ref="V781" r:id="rId780" xr:uid="{2635CB62-48FA-4CD4-9967-A65FFF667970}"/>
    <hyperlink ref="V782" r:id="rId781" xr:uid="{D80A39A8-40A6-443B-AF90-EE714AFC754D}"/>
    <hyperlink ref="V783" r:id="rId782" xr:uid="{D4C19BC7-4D53-48CD-A314-2E2B3863C41F}"/>
    <hyperlink ref="V784" r:id="rId783" xr:uid="{838B5500-A950-4D6B-868F-45D3AD69907D}"/>
    <hyperlink ref="V785" r:id="rId784" xr:uid="{C63FA0DB-C265-4A79-BB39-D52173C1596C}"/>
    <hyperlink ref="V786" r:id="rId785" xr:uid="{956071E9-A144-411F-9ECE-8B5C1EB2AA6D}"/>
    <hyperlink ref="V787" r:id="rId786" xr:uid="{D373F8A3-0B25-4F3A-9FC0-9AF35723EC10}"/>
    <hyperlink ref="V788" r:id="rId787" xr:uid="{FB4204EF-FE80-426E-A3DF-EFF529B5DA4B}"/>
    <hyperlink ref="V789" r:id="rId788" xr:uid="{DC25E061-BFDA-4810-8A73-06D7C747E934}"/>
    <hyperlink ref="V790" r:id="rId789" xr:uid="{E27A9BC7-28C4-4ACE-B7B9-ED289A99D35D}"/>
    <hyperlink ref="V791" r:id="rId790" xr:uid="{010F2BBE-3C9E-4FD1-99BA-FBAB910BD9FF}"/>
    <hyperlink ref="V792" r:id="rId791" xr:uid="{75FF55FA-AA61-4CA7-970D-ED4366A11A01}"/>
    <hyperlink ref="V793" r:id="rId792" xr:uid="{F1DAA92F-3E40-4E35-8309-DB006783C2E9}"/>
    <hyperlink ref="V794" r:id="rId793" xr:uid="{04B4FFAC-1FF5-45E5-9A78-EF09C18EE833}"/>
    <hyperlink ref="V795" r:id="rId794" xr:uid="{0188AB77-6413-447F-A7DD-9D51416582C5}"/>
    <hyperlink ref="V796" r:id="rId795" xr:uid="{D2D20D65-7084-4983-9461-05468C3BF73C}"/>
    <hyperlink ref="V797" r:id="rId796" xr:uid="{831B4CF2-405C-4A68-92C4-F60117D5835C}"/>
    <hyperlink ref="V798" r:id="rId797" xr:uid="{CBBE1D19-9AB4-4936-9FCB-F802AAB587F4}"/>
    <hyperlink ref="V799" r:id="rId798" xr:uid="{A1684369-A71E-48C7-A85C-E823E76A0D4D}"/>
    <hyperlink ref="V800" r:id="rId799" xr:uid="{1733C796-1A58-4CC0-8552-3D15F82A06AE}"/>
    <hyperlink ref="V801" r:id="rId800" xr:uid="{96F0E464-00A6-4552-A7B8-5A2035FAFEC0}"/>
    <hyperlink ref="V802" r:id="rId801" xr:uid="{9D6652C2-3C6D-424D-8CDE-8B513433C5E3}"/>
    <hyperlink ref="V803" r:id="rId802" xr:uid="{F9D717FA-EE1D-4DF3-878B-926BDD27907C}"/>
    <hyperlink ref="V804" r:id="rId803" xr:uid="{15E906D2-12EA-47D6-BE2E-20E6EC2D8A2E}"/>
    <hyperlink ref="V805" r:id="rId804" xr:uid="{4F7B4E66-63B5-4628-898E-F7EB6D96F4D9}"/>
    <hyperlink ref="V806" r:id="rId805" xr:uid="{CE2B12A9-73AC-4E84-B38C-78F7C80E2D5E}"/>
    <hyperlink ref="V807" r:id="rId806" xr:uid="{958CF00C-D99C-43FC-9CB8-43ABBD6DCBCD}"/>
    <hyperlink ref="V808" r:id="rId807" xr:uid="{0D062431-4946-4B1D-A619-682AAC6189B5}"/>
    <hyperlink ref="V809" r:id="rId808" xr:uid="{901F6BFF-6B14-47F0-A30C-DC9EC110AA33}"/>
    <hyperlink ref="V810" r:id="rId809" xr:uid="{D3D2A103-2A94-40F2-969F-F0591BC5DD8A}"/>
    <hyperlink ref="V811" r:id="rId810" xr:uid="{F0FEC7C7-83B7-4688-AF18-9F83D9262A2F}"/>
    <hyperlink ref="V812" r:id="rId811" xr:uid="{A17EA567-9300-4F69-926C-89851EE21A65}"/>
    <hyperlink ref="V813" r:id="rId812" xr:uid="{380B1B75-2B36-4522-BC14-0663486AE3C7}"/>
    <hyperlink ref="V814" r:id="rId813" xr:uid="{48335F3F-92E2-492D-9107-0B0842822C16}"/>
    <hyperlink ref="V815" r:id="rId814" xr:uid="{DED3632D-91B4-4497-BA9D-C0105DA4693D}"/>
    <hyperlink ref="V816" r:id="rId815" xr:uid="{F8D484FF-F584-4075-9423-94BF028DB0D8}"/>
    <hyperlink ref="V817" r:id="rId816" xr:uid="{4680CF3F-54E7-4871-9BDE-03FDA4EAF5F5}"/>
    <hyperlink ref="V818" r:id="rId817" xr:uid="{588EE85A-6CFB-481C-BCB0-391C9FE75891}"/>
    <hyperlink ref="V819" r:id="rId818" xr:uid="{AA3EAA5B-B32B-44AE-8694-DA5361F314F6}"/>
    <hyperlink ref="V820" r:id="rId819" xr:uid="{13533046-3E3F-44DB-B40F-444B6D1C3458}"/>
    <hyperlink ref="V821" r:id="rId820" xr:uid="{E8249ED2-2F22-41BC-BCE3-9DF0D6C9FBFD}"/>
    <hyperlink ref="V822" r:id="rId821" xr:uid="{B8EC317F-00C0-4F77-9E40-FD6B3F7A21AB}"/>
    <hyperlink ref="V823" r:id="rId822" xr:uid="{D6822C90-80D1-4A64-9047-11B8116538C3}"/>
    <hyperlink ref="V824" r:id="rId823" xr:uid="{38D4B1A0-A966-4A6B-9C11-3DECE4F5AF6E}"/>
    <hyperlink ref="V825" r:id="rId824" xr:uid="{7520EA95-7ADC-447C-A11A-42BCB08D19FD}"/>
    <hyperlink ref="V826" r:id="rId825" xr:uid="{4AF73054-8EDC-480B-9129-66B87A27317F}"/>
    <hyperlink ref="V827" r:id="rId826" xr:uid="{4EB75C7C-DF84-487F-A88B-735405C194A7}"/>
    <hyperlink ref="V828" r:id="rId827" xr:uid="{AA20601D-7C7B-4386-8D3A-E10BF2FD016B}"/>
    <hyperlink ref="V829" r:id="rId828" xr:uid="{F20508A6-73E8-4DE8-9278-7ED458F418F3}"/>
    <hyperlink ref="V830" r:id="rId829" xr:uid="{5EBF700C-C998-4BA3-890C-A4F42D4FBBAC}"/>
    <hyperlink ref="V831" r:id="rId830" xr:uid="{5FDE532C-1D9D-4CE6-A068-847895779EDF}"/>
    <hyperlink ref="V832" r:id="rId831" xr:uid="{79326BEF-82D1-46A3-BD27-1155EDD5D017}"/>
    <hyperlink ref="V833" r:id="rId832" xr:uid="{F5FEB14E-0D01-4484-B891-28FC96F9A318}"/>
    <hyperlink ref="V834" r:id="rId833" xr:uid="{2399125D-9A3A-43C5-AAA3-996FE99CC2B2}"/>
    <hyperlink ref="V835" r:id="rId834" xr:uid="{0835F9CA-C149-4F61-8A31-5A8CF4B09365}"/>
    <hyperlink ref="V836" r:id="rId835" xr:uid="{5CFC2DFA-F1AD-44E2-A5DF-B5158DB6CEA2}"/>
    <hyperlink ref="V837" r:id="rId836" xr:uid="{95960352-59F7-4D0E-9DBD-F84F0D17DB2D}"/>
    <hyperlink ref="V838" r:id="rId837" xr:uid="{F3A7013C-C99D-4A83-9469-8434C86BD79C}"/>
    <hyperlink ref="V839" r:id="rId838" xr:uid="{30959F8F-67DA-448C-BEA4-474B9C780AF8}"/>
    <hyperlink ref="V840" r:id="rId839" xr:uid="{345FD6C4-1BC0-4B7D-A2CA-98EE42171CE3}"/>
    <hyperlink ref="V841" r:id="rId840" xr:uid="{C5418D1B-E1F2-46B3-9257-040A0919C51D}"/>
    <hyperlink ref="V842" r:id="rId841" xr:uid="{6DCDA9D2-E417-4B92-823A-C8C0B479373C}"/>
    <hyperlink ref="V843" r:id="rId842" xr:uid="{940A01EB-F845-446F-915C-922F870C5806}"/>
    <hyperlink ref="V844" r:id="rId843" xr:uid="{CA35290C-F7A4-4BB8-94B5-8D09C8FFC31E}"/>
    <hyperlink ref="V845" r:id="rId844" xr:uid="{9CA3518D-B853-4165-8C2B-66B7C02246D9}"/>
    <hyperlink ref="V846" r:id="rId845" xr:uid="{E44A1E05-A3B1-4102-A437-897DD70E7640}"/>
    <hyperlink ref="V847" r:id="rId846" xr:uid="{45BECB15-2C3D-4EFD-BFDD-986F4840409D}"/>
    <hyperlink ref="V848" r:id="rId847" xr:uid="{6DB99403-A4F9-4350-8226-3BC470AD024A}"/>
    <hyperlink ref="V849" r:id="rId848" xr:uid="{3703A1E4-B2EB-4039-B8A7-724B4D6B866F}"/>
    <hyperlink ref="V850" r:id="rId849" xr:uid="{C963CEF2-3B14-4C81-B926-4665ECE31D9F}"/>
    <hyperlink ref="V851" r:id="rId850" xr:uid="{2408DEE3-A28A-4DA2-8D04-C21EA3339495}"/>
    <hyperlink ref="V852" r:id="rId851" xr:uid="{5BC9E9D1-300C-43E0-805E-BA17AECF6460}"/>
    <hyperlink ref="V853" r:id="rId852" xr:uid="{7B1536EE-D214-40EE-91F0-39AB96FE800C}"/>
    <hyperlink ref="V854" r:id="rId853" xr:uid="{6357D454-A29F-4F6F-8065-B7ADC6B8515D}"/>
    <hyperlink ref="V855" r:id="rId854" xr:uid="{E45521AC-6A0A-4EB1-BA82-5B532E3EEB83}"/>
    <hyperlink ref="V856" r:id="rId855" xr:uid="{FE78AC88-939F-4E1A-9124-DA14CB057401}"/>
    <hyperlink ref="V857" r:id="rId856" xr:uid="{BC887363-DC6B-4C47-95E8-B2EBCAEFBDE6}"/>
    <hyperlink ref="V858" r:id="rId857" xr:uid="{C0BCDB1C-4F1C-4B6C-9A91-AD9013F703CA}"/>
    <hyperlink ref="V859" r:id="rId858" xr:uid="{E7DE7135-2AB0-4D65-B14F-72B18B9E74DF}"/>
    <hyperlink ref="V860" r:id="rId859" xr:uid="{0AEF5F21-B07A-449F-A978-159FA5683A21}"/>
    <hyperlink ref="V861" r:id="rId860" xr:uid="{8E0BED3B-E1B2-45EC-AFEC-DE34B613C38C}"/>
    <hyperlink ref="V862" r:id="rId861" xr:uid="{DC27019A-7308-440D-BD41-A485A7879C6D}"/>
    <hyperlink ref="V863" r:id="rId862" xr:uid="{7A0DCBA2-9614-4B38-A2B9-4C029E794A1D}"/>
    <hyperlink ref="V864" r:id="rId863" xr:uid="{7655516B-8495-411A-8FD1-86A5F318D1ED}"/>
    <hyperlink ref="V865" r:id="rId864" xr:uid="{F2E5AC36-C55C-4DB5-B5AC-C335971BDB0D}"/>
    <hyperlink ref="V866" r:id="rId865" xr:uid="{54CCA192-00D6-4B28-83AA-A6796AD77B23}"/>
    <hyperlink ref="V867" r:id="rId866" xr:uid="{289344EF-940D-40CF-8D59-300BD711633F}"/>
    <hyperlink ref="V868" r:id="rId867" xr:uid="{AC99A94F-2EF4-451E-AD44-2876E9FFF5FC}"/>
    <hyperlink ref="V869" r:id="rId868" xr:uid="{F533A67B-6B92-4DB0-A491-1AACCDDE79F2}"/>
    <hyperlink ref="V870" r:id="rId869" xr:uid="{D1EC5693-E9D4-4FC2-897B-8FD28DF3238B}"/>
    <hyperlink ref="V871" r:id="rId870" xr:uid="{1AAA3E2E-5963-47C2-BE44-0F5EB81B22D5}"/>
    <hyperlink ref="V872" r:id="rId871" xr:uid="{69D635C2-030B-496F-B753-3A890B46EC11}"/>
    <hyperlink ref="V873" r:id="rId872" xr:uid="{66F74D5F-6052-40F0-B36F-B3C9DDA96A3E}"/>
    <hyperlink ref="V874" r:id="rId873" xr:uid="{B12EC7C1-9B00-4FC6-9C3E-95C7BD71B641}"/>
    <hyperlink ref="V875" r:id="rId874" xr:uid="{D8CE5C78-8F20-4C8B-B9B1-B9DE34F1AC4C}"/>
    <hyperlink ref="V876" r:id="rId875" xr:uid="{5B734606-C6E1-42F6-90DB-9D92990C6DD6}"/>
    <hyperlink ref="V877" r:id="rId876" xr:uid="{1B373DFE-070A-470D-B6A9-32A135A5F528}"/>
    <hyperlink ref="V878" r:id="rId877" xr:uid="{6955B651-E4EC-4305-A8D9-D84D468E168A}"/>
    <hyperlink ref="V879" r:id="rId878" xr:uid="{6DF0FB3B-996A-43BA-984B-91A789927790}"/>
    <hyperlink ref="V880" r:id="rId879" xr:uid="{1BA64A45-2C70-4F4F-A79A-924FC59D39F3}"/>
    <hyperlink ref="V881" r:id="rId880" xr:uid="{094A1A6C-E00B-48D9-940D-3DA2B2AF9BFE}"/>
    <hyperlink ref="V882" r:id="rId881" xr:uid="{F977E568-060D-47B9-BE37-6F80D1639CA6}"/>
    <hyperlink ref="V883" r:id="rId882" xr:uid="{78DC383F-1B2E-4EA8-A556-2177663DFF5A}"/>
    <hyperlink ref="V884" r:id="rId883" xr:uid="{93337BB0-0946-415F-A226-CEA47A449FC9}"/>
    <hyperlink ref="V885" r:id="rId884" xr:uid="{034D2211-ECDE-4582-BF79-5F6FA858BC34}"/>
    <hyperlink ref="V886" r:id="rId885" xr:uid="{2A78B542-5B6F-40C5-AA50-0C2820E36A0D}"/>
    <hyperlink ref="V887" r:id="rId886" xr:uid="{E85CD4EB-99B3-4619-AE1D-181EC12DE787}"/>
    <hyperlink ref="V888" r:id="rId887" xr:uid="{1986BCCC-D34C-4A72-A2CC-FD22D69FC499}"/>
    <hyperlink ref="V889" r:id="rId888" xr:uid="{2453E421-515B-45DA-AEB3-63BB7DD65DA4}"/>
    <hyperlink ref="V890" r:id="rId889" xr:uid="{978F1DBB-D7E9-4958-8923-22555230F38E}"/>
    <hyperlink ref="V891" r:id="rId890" xr:uid="{498C8DCE-3A5C-4876-81B0-CE4A28BC476F}"/>
    <hyperlink ref="V892" r:id="rId891" xr:uid="{BA74744E-C7B7-4A36-B902-D2FCEAADD864}"/>
    <hyperlink ref="V893" r:id="rId892" xr:uid="{60EE7842-B4E1-4F41-89F4-B4B38DFFB93E}"/>
    <hyperlink ref="V894" r:id="rId893" xr:uid="{2493C0C5-1286-4624-810B-C221CE7DD8DA}"/>
    <hyperlink ref="V895" r:id="rId894" xr:uid="{C93D7FBC-BB3E-4FDB-9E69-6E18464EBD88}"/>
    <hyperlink ref="V896" r:id="rId895" xr:uid="{219551B0-C44B-457E-80BE-446D3E392D0C}"/>
    <hyperlink ref="V897" r:id="rId896" xr:uid="{A8D49402-8E1A-4E3D-BE16-CAF61FE17505}"/>
    <hyperlink ref="V898" r:id="rId897" xr:uid="{5BA2C267-FD77-415A-AA31-2A43077ACD26}"/>
    <hyperlink ref="V899" r:id="rId898" xr:uid="{2073A18F-EAB8-47BD-8BF5-66515C3773FD}"/>
    <hyperlink ref="V900" r:id="rId899" xr:uid="{5E13B840-9A59-4CE7-903D-F569F7978B13}"/>
    <hyperlink ref="V901" r:id="rId900" xr:uid="{38DDFDC8-4E81-4A07-BBA3-A5CBB4DA976A}"/>
    <hyperlink ref="V902" r:id="rId901" xr:uid="{9D8383C6-8733-4332-9B86-10D8031B3883}"/>
    <hyperlink ref="V903" r:id="rId902" xr:uid="{0D4F293A-1C24-43F6-A73C-96060FCDE81A}"/>
    <hyperlink ref="V904" r:id="rId903" xr:uid="{E10497C8-8D21-4BA7-AF0C-24B09E198687}"/>
    <hyperlink ref="V905" r:id="rId904" xr:uid="{7AD21C11-7126-413C-87B9-12F1ED52AFCC}"/>
    <hyperlink ref="V906" r:id="rId905" xr:uid="{1D47F5C7-0EC5-4D60-B954-2A625ACD30A4}"/>
    <hyperlink ref="V907" r:id="rId906" xr:uid="{C1C9A635-F8BC-4A63-B2FA-5B00A2BC2FF2}"/>
    <hyperlink ref="V908" r:id="rId907" xr:uid="{8B1C6543-4CBE-40D0-8AF3-2D40FA0F7A6F}"/>
    <hyperlink ref="V909" r:id="rId908" xr:uid="{BF4F1B50-29C5-49A0-8665-EE74463121A5}"/>
    <hyperlink ref="V910" r:id="rId909" xr:uid="{0DD750D0-14AB-48D2-8503-8004B630DB88}"/>
    <hyperlink ref="V911" r:id="rId910" xr:uid="{524D049E-2818-4963-AE76-2B0066DB63BF}"/>
    <hyperlink ref="V912" r:id="rId911" xr:uid="{2A1102E6-055E-4912-93A8-BA5577E00A5E}"/>
    <hyperlink ref="V913" r:id="rId912" xr:uid="{B172EF2A-1E12-4274-8C6C-F0A5BA26AA52}"/>
    <hyperlink ref="V914" r:id="rId913" xr:uid="{AA0A8666-36E6-4786-927B-9B29D623D4C7}"/>
    <hyperlink ref="V915" r:id="rId914" xr:uid="{20CC1FB4-48B6-4222-ACEC-8D1775001381}"/>
    <hyperlink ref="V916" r:id="rId915" xr:uid="{34BF3267-697D-4D5E-B765-550211EE636E}"/>
    <hyperlink ref="V917" r:id="rId916" xr:uid="{2AFEE5E1-8670-4FC2-AB3A-42EFA9E3CE9F}"/>
    <hyperlink ref="V918" r:id="rId917" xr:uid="{3699CCA1-1A8E-4245-A2FF-34A3A32E1D10}"/>
    <hyperlink ref="V919" r:id="rId918" xr:uid="{58228FE1-E20C-4A02-B110-6D8116C5B705}"/>
    <hyperlink ref="V920" r:id="rId919" xr:uid="{98B0032E-ECA2-47C6-9C7C-B0A745E90E18}"/>
    <hyperlink ref="V921" r:id="rId920" xr:uid="{3313258F-4C94-43CA-B7A4-BFE7E1D7B7BF}"/>
    <hyperlink ref="V922" r:id="rId921" xr:uid="{51B002DC-C3E2-4252-803A-52A93EE85633}"/>
    <hyperlink ref="V923" r:id="rId922" xr:uid="{CB99B172-D905-4E1D-908B-6063E486B538}"/>
    <hyperlink ref="V924" r:id="rId923" xr:uid="{B6EA7725-1C44-417E-BB7A-19C54399DE1C}"/>
    <hyperlink ref="V925" r:id="rId924" xr:uid="{CFDA7D2F-C393-4AFF-8AD4-61143AE58A28}"/>
    <hyperlink ref="V926" r:id="rId925" xr:uid="{3F39DFA9-A98E-4C55-8D0C-06049E71912A}"/>
    <hyperlink ref="V927" r:id="rId926" xr:uid="{48BA50A9-08B4-4DA7-9968-A202691F3AF8}"/>
    <hyperlink ref="V928" r:id="rId927" xr:uid="{55182978-3D8C-455F-B0D6-8CAA4BF44ACF}"/>
    <hyperlink ref="V929" r:id="rId928" xr:uid="{443879D7-C903-4655-82C3-BE8C8C662B68}"/>
    <hyperlink ref="V930" r:id="rId929" xr:uid="{F18B1E2F-E647-410E-A62E-A094E0F909F4}"/>
    <hyperlink ref="V931" r:id="rId930" xr:uid="{74536A9F-621A-482E-8C59-C581E5B344DB}"/>
    <hyperlink ref="V932" r:id="rId931" xr:uid="{E00D9887-A742-409C-BEF8-0648D95607C6}"/>
    <hyperlink ref="V933" r:id="rId932" xr:uid="{819190A9-BFC0-4B3E-AFF3-6257A24425AC}"/>
    <hyperlink ref="V934" r:id="rId933" xr:uid="{F2577187-668D-465D-A8A4-209729F6C574}"/>
    <hyperlink ref="V935" r:id="rId934" xr:uid="{9C535631-9701-47E4-8DB0-2F00F872534D}"/>
    <hyperlink ref="V936" r:id="rId935" xr:uid="{4AF1B179-02FE-4B00-9AEF-ACD31DE22270}"/>
    <hyperlink ref="V937" r:id="rId936" xr:uid="{B185068D-AE48-43AF-BE2C-D17B2D724550}"/>
    <hyperlink ref="V938" r:id="rId937" xr:uid="{A10F7A41-C911-422B-9722-2246786D0687}"/>
    <hyperlink ref="V939" r:id="rId938" xr:uid="{130E7120-44B6-4F76-91F0-9642EB658C42}"/>
    <hyperlink ref="V940" r:id="rId939" xr:uid="{79823721-576C-4A37-8DDE-6A1E5EC3791C}"/>
    <hyperlink ref="V941" r:id="rId940" xr:uid="{B350D20B-B6D8-4A28-A823-B59241BEAE42}"/>
    <hyperlink ref="V942" r:id="rId941" xr:uid="{429ACC43-9FD0-43D7-B6A2-21CDCA3AA74C}"/>
    <hyperlink ref="V943" r:id="rId942" xr:uid="{801E4EA3-CAA8-4436-B3A5-FB9905308B0F}"/>
    <hyperlink ref="V944" r:id="rId943" xr:uid="{BD1138DE-E67F-4524-9B14-E23DA8DE8D7C}"/>
    <hyperlink ref="V945" r:id="rId944" xr:uid="{AA21C401-CAB3-4EBD-BD0D-9A8A23024964}"/>
    <hyperlink ref="V946" r:id="rId945" xr:uid="{F394572A-6124-47BE-A2BC-B81D85D5E370}"/>
    <hyperlink ref="V947" r:id="rId946" xr:uid="{308E1CEC-39AC-4BC1-8702-D2E4F1032A19}"/>
    <hyperlink ref="V948" r:id="rId947" xr:uid="{940B9F3D-408E-4E38-A027-F4DFE12B1A02}"/>
    <hyperlink ref="V949" r:id="rId948" xr:uid="{1B51AB82-0983-4FF8-99ED-31DB14408115}"/>
    <hyperlink ref="V950" r:id="rId949" xr:uid="{343A7183-03A0-45A1-96F1-A04F35714ABA}"/>
    <hyperlink ref="V951" r:id="rId950" xr:uid="{51A61528-10D0-49EC-90A3-2A4DFD61D93B}"/>
    <hyperlink ref="V952" r:id="rId951" xr:uid="{F42BA4C2-A566-4495-A163-0F944D3B5BD1}"/>
    <hyperlink ref="V953" r:id="rId952" xr:uid="{454730F9-C33D-40E2-B20C-514F90F213AB}"/>
    <hyperlink ref="V954" r:id="rId953" xr:uid="{5AED01F5-C929-4C10-8CAE-261279D56E4D}"/>
    <hyperlink ref="V955" r:id="rId954" xr:uid="{85FC23CA-71AF-41C3-A3CF-992887EEF996}"/>
    <hyperlink ref="V956" r:id="rId955" xr:uid="{9694B574-3347-4DB0-9679-8B74A56DA87A}"/>
    <hyperlink ref="V957" r:id="rId956" xr:uid="{FA044542-563B-4C81-AE23-88A4FD2D6498}"/>
    <hyperlink ref="V958" r:id="rId957" xr:uid="{D093B01C-C5EE-4505-955A-0C83C74BDCC6}"/>
    <hyperlink ref="V959" r:id="rId958" xr:uid="{5A9265E0-5984-42A3-BB2A-7C2AAD277141}"/>
    <hyperlink ref="V960" r:id="rId959" xr:uid="{E040D312-08F8-4C63-8F34-BCC58305BEC9}"/>
    <hyperlink ref="V961" r:id="rId960" xr:uid="{78909FAF-EC18-4004-AD25-DC1C25694A9E}"/>
    <hyperlink ref="V962" r:id="rId961" xr:uid="{D0BECE92-1FC1-4582-961C-BE36AE031C9D}"/>
    <hyperlink ref="V963" r:id="rId962" xr:uid="{52B5E18A-7CCB-45E4-A7DB-08CB655E20E3}"/>
    <hyperlink ref="V964" r:id="rId963" xr:uid="{A835A679-2FB3-4B54-B98A-2B89147AA683}"/>
    <hyperlink ref="V965" r:id="rId964" xr:uid="{8D23E57B-5AB9-45E5-830A-F65C6D400AB8}"/>
    <hyperlink ref="V966" r:id="rId965" xr:uid="{468BB9D2-B43F-4168-B169-B2E996C631EB}"/>
    <hyperlink ref="V967" r:id="rId966" xr:uid="{C691F267-BC06-4118-B20C-06C7108A63E3}"/>
    <hyperlink ref="V968" r:id="rId967" xr:uid="{DC38170C-9482-4DAB-8791-E1CF0179A8B1}"/>
    <hyperlink ref="V969" r:id="rId968" xr:uid="{1275496E-E05A-4746-ADF6-C6F5957DCDC2}"/>
    <hyperlink ref="V970" r:id="rId969" xr:uid="{6EC43263-014A-4541-82D4-E2367411F2F4}"/>
    <hyperlink ref="V971" r:id="rId970" xr:uid="{8E24E3B1-03C5-4283-BD1E-1FDF25FFF6ED}"/>
    <hyperlink ref="V972" r:id="rId971" xr:uid="{A20A1EC0-48C0-478C-9000-0FF98FBEB8EB}"/>
    <hyperlink ref="V973" r:id="rId972" xr:uid="{B4078009-BF01-493E-AAD4-85230D43834F}"/>
    <hyperlink ref="V974" r:id="rId973" xr:uid="{4406FFFD-3459-49DC-B79F-C15D04167C8B}"/>
    <hyperlink ref="V975" r:id="rId974" xr:uid="{AFD34D98-1A81-4A27-B254-CFDBD3EA24C8}"/>
    <hyperlink ref="V976" r:id="rId975" xr:uid="{2E7D0CA4-7661-4DAE-9FED-9DB65E74507A}"/>
    <hyperlink ref="V977" r:id="rId976" xr:uid="{4094E6EA-AB52-48B6-9AA6-E8B24F0C38AA}"/>
    <hyperlink ref="V978" r:id="rId977" xr:uid="{38122B01-CF39-40EC-81AE-C67405136242}"/>
    <hyperlink ref="V979" r:id="rId978" xr:uid="{3CFA5A9B-E0E0-4449-81DE-660C1F143909}"/>
    <hyperlink ref="V980" r:id="rId979" xr:uid="{8927E928-620F-4507-83B8-9D0DF1F8DDA1}"/>
    <hyperlink ref="V981" r:id="rId980" xr:uid="{59B66F76-01F8-49B8-B351-1BBEC4962465}"/>
    <hyperlink ref="V982" r:id="rId981" xr:uid="{B682F324-81B4-42CC-B2B8-F7B6C29E4F6B}"/>
    <hyperlink ref="V983" r:id="rId982" xr:uid="{665B8CA0-C638-430D-A625-42C739D87560}"/>
    <hyperlink ref="V984" r:id="rId983" xr:uid="{CDF7B947-1158-46B8-A86A-D457ED69F417}"/>
    <hyperlink ref="V985" r:id="rId984" xr:uid="{B05F9F81-536E-4648-BF3D-6FEC4BF13F8F}"/>
    <hyperlink ref="V986" r:id="rId985" xr:uid="{18BA238C-8BB9-4B0F-9CEF-0897705787E6}"/>
    <hyperlink ref="V987" r:id="rId986" xr:uid="{7BF10B1F-54C3-4352-8E30-B197A8ECD82E}"/>
    <hyperlink ref="V988" r:id="rId987" xr:uid="{4660CD6E-FC44-4BC3-AD5F-0E9F8D50C650}"/>
    <hyperlink ref="V989" r:id="rId988" xr:uid="{C0A6A318-D050-46ED-A58A-156F0BB8814C}"/>
    <hyperlink ref="V990" r:id="rId989" xr:uid="{08D825B0-0AA1-40F2-824B-25CD437EF2A6}"/>
    <hyperlink ref="V991" r:id="rId990" xr:uid="{17C3300C-F521-49FA-9D33-2443314B8F4B}"/>
    <hyperlink ref="V992" r:id="rId991" xr:uid="{2AF8DBEE-EA17-4303-890E-E4EC4AE1AA69}"/>
    <hyperlink ref="V993" r:id="rId992" xr:uid="{CAD1D13D-771E-4457-B430-D26B5E8594BD}"/>
    <hyperlink ref="V994" r:id="rId993" xr:uid="{17A8950D-E9ED-4D1B-8AF1-007A5F77AC19}"/>
    <hyperlink ref="V995" r:id="rId994" xr:uid="{AB72CB73-BCCE-4F7B-ABDC-407F555E68C8}"/>
    <hyperlink ref="V996" r:id="rId995" xr:uid="{D55F7C72-19D9-4C12-8634-B0A0705A7933}"/>
    <hyperlink ref="V997" r:id="rId996" xr:uid="{DF33B54F-7FE7-4538-BA5E-27878C041620}"/>
    <hyperlink ref="V998" r:id="rId997" xr:uid="{2B152776-83EC-420D-AE81-57E66F03C772}"/>
    <hyperlink ref="V999" r:id="rId998" xr:uid="{81E4B02B-AB63-4AD9-A2B1-164D7371DC6E}"/>
    <hyperlink ref="V1000" r:id="rId999" xr:uid="{3BC420FE-BDE1-4378-8FF5-BD628321AC66}"/>
  </hyperlinks>
  <pageMargins left="0.7" right="0.7" top="0.75" bottom="0.75" header="0.3" footer="0.3"/>
  <legacyDrawing r:id="rId10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46"/>
  <sheetViews>
    <sheetView workbookViewId="0"/>
  </sheetViews>
  <sheetFormatPr defaultColWidth="12.5703125" defaultRowHeight="15.75" customHeight="1"/>
  <cols>
    <col min="2" max="2" width="11.5703125" customWidth="1"/>
    <col min="3" max="3" width="11.85546875" customWidth="1"/>
    <col min="4" max="4" width="12.42578125" customWidth="1"/>
    <col min="5" max="5" width="13.5703125" customWidth="1"/>
    <col min="6" max="6" width="16.42578125" customWidth="1"/>
    <col min="7" max="7" width="17.7109375" customWidth="1"/>
    <col min="8" max="8" width="15.5703125" customWidth="1"/>
    <col min="9" max="9" width="11.5703125" customWidth="1"/>
    <col min="10" max="10" width="17.42578125" customWidth="1"/>
    <col min="11" max="11" width="43.85546875" customWidth="1"/>
    <col min="12" max="12" width="18" customWidth="1"/>
    <col min="13" max="13" width="17.140625" customWidth="1"/>
    <col min="14" max="14" width="17.7109375" customWidth="1"/>
    <col min="15" max="15" width="17.85546875" customWidth="1"/>
    <col min="16" max="16" width="15" customWidth="1"/>
    <col min="17" max="17" width="7.5703125" customWidth="1"/>
  </cols>
  <sheetData>
    <row r="1" spans="1:28" ht="12.75">
      <c r="A1" s="9"/>
      <c r="B1" s="9"/>
      <c r="C1" s="9"/>
      <c r="D1" s="9"/>
      <c r="E1" s="9"/>
      <c r="F1" s="9"/>
      <c r="G1" s="9"/>
      <c r="H1" s="9"/>
      <c r="I1" s="9"/>
      <c r="J1" s="10"/>
      <c r="K1" s="11"/>
      <c r="L1" s="9"/>
      <c r="M1" s="9"/>
      <c r="N1" s="9"/>
      <c r="O1" s="9"/>
      <c r="P1" s="12"/>
      <c r="Q1" s="13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2.75">
      <c r="A2" s="14" t="s">
        <v>413</v>
      </c>
      <c r="B2" s="14" t="s">
        <v>414</v>
      </c>
      <c r="C2" s="14" t="s">
        <v>415</v>
      </c>
      <c r="D2" s="14" t="s">
        <v>416</v>
      </c>
      <c r="E2" s="14" t="s">
        <v>417</v>
      </c>
      <c r="F2" s="15" t="s">
        <v>418</v>
      </c>
      <c r="G2" s="16" t="s">
        <v>419</v>
      </c>
      <c r="H2" s="17" t="s">
        <v>420</v>
      </c>
      <c r="I2" s="16" t="s">
        <v>421</v>
      </c>
      <c r="J2" s="18" t="s">
        <v>422</v>
      </c>
      <c r="K2" s="19" t="s">
        <v>423</v>
      </c>
      <c r="L2" s="20" t="s">
        <v>424</v>
      </c>
      <c r="M2" s="14" t="s">
        <v>425</v>
      </c>
      <c r="N2" s="16" t="s">
        <v>426</v>
      </c>
      <c r="O2" s="21" t="s">
        <v>427</v>
      </c>
      <c r="P2" s="22" t="s">
        <v>428</v>
      </c>
      <c r="Q2" s="23" t="s">
        <v>429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2.75">
      <c r="A3" s="9" t="s">
        <v>430</v>
      </c>
      <c r="B3" s="9" t="s">
        <v>431</v>
      </c>
      <c r="C3" s="24">
        <v>23</v>
      </c>
      <c r="D3" s="24">
        <v>180</v>
      </c>
      <c r="E3" s="24">
        <v>67</v>
      </c>
      <c r="F3" s="9" t="str">
        <f t="array" ref="F3:F1046">IF((ISNUMBER(D3:D1046) * ISNUMBER(E3:E1046))=0, "",
  TEXT(E3:E1046 / ((D3:D1046 / 100)^2), "0.0") &amp; " (" &amp;
  IF(E3:E1046 / ((D3:D1046 / 100)^2)&lt;18.5, "Underweight",
     IF(E3:E1046 / ((D3:D1046 / 100)^2)&lt;24.9, "Normal",
        IF(E3:E1046 / ((D3:D1046 / 100)^2)&lt;27.5, "Overweight", "Obese"))) &amp; ")")</f>
        <v>20.7 (Normal)</v>
      </c>
      <c r="G3" s="9" t="str">
        <f t="shared" ref="G3:G257" si="0">MID(F3, FIND("(", F3) + 1, FIND(")", F3) - FIND("(", F3) - 1)</f>
        <v>Normal</v>
      </c>
      <c r="H3" s="24">
        <f ca="1">IFERROR(__xludf.DUMMYFUNCTION("ARRAYFORMULA(IF(F3:F1046="""", """", VALUE(REGEXEXTRACT(F3:F1046, ""^[0-9.]+""))))"),20.7)</f>
        <v>20.7</v>
      </c>
      <c r="I3" s="24">
        <f t="array" ref="I3:I1046">IF(D3:D1046="", "", 21)</f>
        <v>21</v>
      </c>
      <c r="J3" s="10">
        <f t="array" ref="J3:J1046">IF(D3:D1046="", "", 21 * ((D3:D1046 / 100)^2))</f>
        <v>68.040000000000006</v>
      </c>
      <c r="K3" s="25" t="s">
        <v>28</v>
      </c>
      <c r="L3" s="24">
        <f t="array" ref="L3:L1046">IF(B3:B1046="", "",
    IF(B3:B1046="Male",
      (10 * E3:E1046) + (6.25 * D3:D1046) - (5 * C3:C1046) + 5,
      (10 * E3:E1046) + (6.25 * D3:D1046) - (5 * C3:C1046) - 161
    )
  )</f>
        <v>1685</v>
      </c>
      <c r="M3" s="26">
        <f t="array" ref="M3:M1046">IF(ISNUMBER(E3:E1046), ROUND(E3:E1046 * 0.033, 2), "")</f>
        <v>2.21</v>
      </c>
      <c r="N3" s="9" t="s">
        <v>39</v>
      </c>
      <c r="O3" s="9" t="s">
        <v>7</v>
      </c>
      <c r="P3" s="27" t="e">
        <f t="shared" ref="P3:P257" ca="1" si="1">LET(
    activity, K2:K100,
    bmr, L2:L100,
    multiplier,
        IF(activity="Sedentary (little or no exercise)", 1.2,
        IF(activity="Lightly active (light exercise/sports 1-3 days/week)", 1.375,
        IF(activity="Moderately active (moderate exercise/sports 3-5 days/week)", 1.55,
        IF(activity="Very active (hard exercise/sports 6-7 days a week)", 1.725,
        IF(activity="Super active (very hard exercise/physical job)", 1.9, NA()))))),
    bmr * multiplier
)</f>
        <v>#NAME?</v>
      </c>
      <c r="Q3" s="28" t="e">
        <f t="array" ref="Q3:Q1046" ca="1">IF(N3:N1046="", "",
    ROUND(
      IF(N3:N1046="Build muscle", P3:P1046 * 1.1,
        IF(N3:N1046="Lose weight", P3:P1046 * 0.85,
          IF(N3:N1046="Improve blood sugar regulation", P3:P1046 * 0.9,
            IF(N3:N1046="Improve fertility", P3:P1046,
              N3:N1046)))
    ),0)
)</f>
        <v>#NAME?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2.75">
      <c r="A4" s="9" t="s">
        <v>432</v>
      </c>
      <c r="B4" s="9" t="s">
        <v>431</v>
      </c>
      <c r="C4" s="24">
        <v>22</v>
      </c>
      <c r="D4" s="24">
        <v>160</v>
      </c>
      <c r="E4" s="24">
        <v>55</v>
      </c>
      <c r="F4" s="9" t="str">
        <v>21.5 (Normal)</v>
      </c>
      <c r="G4" s="9" t="str">
        <f t="shared" si="0"/>
        <v>Normal</v>
      </c>
      <c r="H4" s="24">
        <f ca="1">IFERROR(__xludf.DUMMYFUNCTION("""COMPUTED_VALUE"""),21.5)</f>
        <v>21.5</v>
      </c>
      <c r="I4" s="24">
        <v>21</v>
      </c>
      <c r="J4" s="10">
        <v>53.760000000000012</v>
      </c>
      <c r="K4" s="25" t="s">
        <v>4</v>
      </c>
      <c r="L4" s="24">
        <v>1445</v>
      </c>
      <c r="M4" s="26">
        <v>1.82</v>
      </c>
      <c r="N4" s="9" t="s">
        <v>16</v>
      </c>
      <c r="O4" s="9" t="s">
        <v>37</v>
      </c>
      <c r="P4" s="27" t="e">
        <f t="shared" ca="1" si="1"/>
        <v>#NAME?</v>
      </c>
      <c r="Q4" s="28" t="e">
        <f ca="1"/>
        <v>#NAME?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2.75">
      <c r="A5" s="29" t="s">
        <v>3</v>
      </c>
      <c r="B5" s="29" t="s">
        <v>431</v>
      </c>
      <c r="C5" s="30">
        <v>59</v>
      </c>
      <c r="D5" s="30">
        <v>178</v>
      </c>
      <c r="E5" s="30">
        <v>72</v>
      </c>
      <c r="F5" s="9" t="str">
        <v>22.7 (Normal)</v>
      </c>
      <c r="G5" s="9" t="str">
        <f t="shared" si="0"/>
        <v>Normal</v>
      </c>
      <c r="H5" s="24">
        <f ca="1">IFERROR(__xludf.DUMMYFUNCTION("""COMPUTED_VALUE"""),22.7)</f>
        <v>22.7</v>
      </c>
      <c r="I5" s="24">
        <v>21</v>
      </c>
      <c r="J5" s="10">
        <v>66.5364</v>
      </c>
      <c r="K5" s="31" t="s">
        <v>4</v>
      </c>
      <c r="L5" s="24">
        <v>1542.5</v>
      </c>
      <c r="M5" s="26">
        <v>2.38</v>
      </c>
      <c r="N5" s="29" t="s">
        <v>16</v>
      </c>
      <c r="O5" s="29" t="s">
        <v>7</v>
      </c>
      <c r="P5" s="27" t="e">
        <f t="shared" ca="1" si="1"/>
        <v>#NAME?</v>
      </c>
      <c r="Q5" s="28" t="e">
        <f ca="1"/>
        <v>#NAME?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2.75">
      <c r="A6" s="29" t="s">
        <v>17</v>
      </c>
      <c r="B6" s="29" t="s">
        <v>431</v>
      </c>
      <c r="C6" s="30">
        <v>20</v>
      </c>
      <c r="D6" s="30">
        <v>183</v>
      </c>
      <c r="E6" s="30">
        <v>74</v>
      </c>
      <c r="F6" s="9" t="str">
        <v>22.1 (Normal)</v>
      </c>
      <c r="G6" s="9" t="str">
        <f t="shared" si="0"/>
        <v>Normal</v>
      </c>
      <c r="H6" s="24">
        <f ca="1">IFERROR(__xludf.DUMMYFUNCTION("""COMPUTED_VALUE"""),22.1)</f>
        <v>22.1</v>
      </c>
      <c r="I6" s="24">
        <v>21</v>
      </c>
      <c r="J6" s="10">
        <v>70.326900000000009</v>
      </c>
      <c r="K6" s="31" t="s">
        <v>18</v>
      </c>
      <c r="L6" s="24">
        <v>1788.75</v>
      </c>
      <c r="M6" s="26">
        <v>2.44</v>
      </c>
      <c r="N6" s="29" t="s">
        <v>26</v>
      </c>
      <c r="O6" s="29" t="s">
        <v>19</v>
      </c>
      <c r="P6" s="27" t="e">
        <f t="shared" ca="1" si="1"/>
        <v>#NAME?</v>
      </c>
      <c r="Q6" s="28" t="e">
        <f ca="1"/>
        <v>#NAME?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2.75">
      <c r="A7" s="29" t="s">
        <v>27</v>
      </c>
      <c r="B7" s="29" t="s">
        <v>431</v>
      </c>
      <c r="C7" s="30">
        <v>29</v>
      </c>
      <c r="D7" s="30">
        <v>189</v>
      </c>
      <c r="E7" s="30">
        <v>96</v>
      </c>
      <c r="F7" s="9" t="str">
        <v>26.9 (Overweight)</v>
      </c>
      <c r="G7" s="9" t="str">
        <f t="shared" si="0"/>
        <v>Overweight</v>
      </c>
      <c r="H7" s="24">
        <f ca="1">IFERROR(__xludf.DUMMYFUNCTION("""COMPUTED_VALUE"""),26.9)</f>
        <v>26.9</v>
      </c>
      <c r="I7" s="24">
        <v>21</v>
      </c>
      <c r="J7" s="10">
        <v>75.014099999999999</v>
      </c>
      <c r="K7" s="31" t="s">
        <v>28</v>
      </c>
      <c r="L7" s="24">
        <v>2001.25</v>
      </c>
      <c r="M7" s="26">
        <v>3.17</v>
      </c>
      <c r="N7" s="29" t="s">
        <v>34</v>
      </c>
      <c r="O7" s="29" t="s">
        <v>30</v>
      </c>
      <c r="P7" s="27" t="e">
        <f t="shared" ca="1" si="1"/>
        <v>#NAME?</v>
      </c>
      <c r="Q7" s="28" t="e">
        <f ca="1"/>
        <v>#NAME?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2.75">
      <c r="A8" s="29" t="s">
        <v>35</v>
      </c>
      <c r="B8" s="29" t="s">
        <v>431</v>
      </c>
      <c r="C8" s="30">
        <v>30</v>
      </c>
      <c r="D8" s="30">
        <v>166</v>
      </c>
      <c r="E8" s="30">
        <v>93</v>
      </c>
      <c r="F8" s="9" t="str">
        <v>33.7 (Obese)</v>
      </c>
      <c r="G8" s="9" t="str">
        <f t="shared" si="0"/>
        <v>Obese</v>
      </c>
      <c r="H8" s="24">
        <f ca="1">IFERROR(__xludf.DUMMYFUNCTION("""COMPUTED_VALUE"""),33.7)</f>
        <v>33.700000000000003</v>
      </c>
      <c r="I8" s="24">
        <v>21</v>
      </c>
      <c r="J8" s="10">
        <v>57.867599999999996</v>
      </c>
      <c r="K8" s="31" t="s">
        <v>4</v>
      </c>
      <c r="L8" s="24">
        <v>1822.5</v>
      </c>
      <c r="M8" s="26">
        <v>3.07</v>
      </c>
      <c r="N8" s="29" t="s">
        <v>39</v>
      </c>
      <c r="O8" s="29" t="s">
        <v>37</v>
      </c>
      <c r="P8" s="27" t="e">
        <f t="shared" ca="1" si="1"/>
        <v>#NAME?</v>
      </c>
      <c r="Q8" s="28" t="e">
        <f ca="1"/>
        <v>#NAME?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2.75">
      <c r="A9" s="29" t="s">
        <v>17</v>
      </c>
      <c r="B9" s="29" t="s">
        <v>431</v>
      </c>
      <c r="C9" s="30">
        <v>53</v>
      </c>
      <c r="D9" s="30">
        <v>176</v>
      </c>
      <c r="E9" s="30">
        <v>81</v>
      </c>
      <c r="F9" s="9" t="str">
        <v>26.1 (Overweight)</v>
      </c>
      <c r="G9" s="9" t="str">
        <f t="shared" si="0"/>
        <v>Overweight</v>
      </c>
      <c r="H9" s="24">
        <f ca="1">IFERROR(__xludf.DUMMYFUNCTION("""COMPUTED_VALUE"""),26.1)</f>
        <v>26.1</v>
      </c>
      <c r="I9" s="24">
        <v>21</v>
      </c>
      <c r="J9" s="10">
        <v>65.049599999999998</v>
      </c>
      <c r="K9" s="31" t="s">
        <v>28</v>
      </c>
      <c r="L9" s="24">
        <v>1650</v>
      </c>
      <c r="M9" s="26">
        <v>2.67</v>
      </c>
      <c r="N9" s="29" t="s">
        <v>39</v>
      </c>
      <c r="O9" s="29" t="s">
        <v>19</v>
      </c>
      <c r="P9" s="27" t="e">
        <f t="shared" ca="1" si="1"/>
        <v>#NAME?</v>
      </c>
      <c r="Q9" s="28" t="e">
        <f ca="1"/>
        <v>#NAME?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2.75">
      <c r="A10" s="29" t="s">
        <v>41</v>
      </c>
      <c r="B10" s="29" t="s">
        <v>431</v>
      </c>
      <c r="C10" s="30">
        <v>26</v>
      </c>
      <c r="D10" s="30">
        <v>182</v>
      </c>
      <c r="E10" s="30">
        <v>100</v>
      </c>
      <c r="F10" s="9" t="str">
        <v>30.2 (Obese)</v>
      </c>
      <c r="G10" s="9" t="str">
        <f t="shared" si="0"/>
        <v>Obese</v>
      </c>
      <c r="H10" s="24">
        <f ca="1">IFERROR(__xludf.DUMMYFUNCTION("""COMPUTED_VALUE"""),30.2)</f>
        <v>30.2</v>
      </c>
      <c r="I10" s="24">
        <v>21</v>
      </c>
      <c r="J10" s="10">
        <v>69.560400000000001</v>
      </c>
      <c r="K10" s="31" t="s">
        <v>42</v>
      </c>
      <c r="L10" s="24">
        <v>2012.5</v>
      </c>
      <c r="M10" s="26">
        <v>3.3</v>
      </c>
      <c r="N10" s="29" t="s">
        <v>16</v>
      </c>
      <c r="O10" s="29" t="s">
        <v>7</v>
      </c>
      <c r="P10" s="27" t="e">
        <f t="shared" ca="1" si="1"/>
        <v>#NAME?</v>
      </c>
      <c r="Q10" s="28" t="e">
        <f ca="1"/>
        <v>#NAME?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2.75">
      <c r="A11" s="29" t="s">
        <v>43</v>
      </c>
      <c r="B11" s="29" t="s">
        <v>431</v>
      </c>
      <c r="C11" s="30">
        <v>36</v>
      </c>
      <c r="D11" s="30">
        <v>170</v>
      </c>
      <c r="E11" s="30">
        <v>106</v>
      </c>
      <c r="F11" s="9" t="str">
        <v>36.7 (Obese)</v>
      </c>
      <c r="G11" s="9" t="str">
        <f t="shared" si="0"/>
        <v>Obese</v>
      </c>
      <c r="H11" s="24">
        <f ca="1">IFERROR(__xludf.DUMMYFUNCTION("""COMPUTED_VALUE"""),36.7)</f>
        <v>36.700000000000003</v>
      </c>
      <c r="I11" s="24">
        <v>21</v>
      </c>
      <c r="J11" s="10">
        <v>60.689999999999991</v>
      </c>
      <c r="K11" s="31" t="s">
        <v>28</v>
      </c>
      <c r="L11" s="24">
        <v>1947.5</v>
      </c>
      <c r="M11" s="26">
        <v>3.5</v>
      </c>
      <c r="N11" s="29" t="s">
        <v>16</v>
      </c>
      <c r="O11" s="29" t="s">
        <v>7</v>
      </c>
      <c r="P11" s="27" t="e">
        <f t="shared" ca="1" si="1"/>
        <v>#NAME?</v>
      </c>
      <c r="Q11" s="28" t="e">
        <f ca="1"/>
        <v>#NAME?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2.75">
      <c r="A12" s="29" t="s">
        <v>45</v>
      </c>
      <c r="B12" s="29" t="s">
        <v>431</v>
      </c>
      <c r="C12" s="30">
        <v>57</v>
      </c>
      <c r="D12" s="30">
        <v>172</v>
      </c>
      <c r="E12" s="30">
        <v>75</v>
      </c>
      <c r="F12" s="9" t="str">
        <v>25.4 (Overweight)</v>
      </c>
      <c r="G12" s="9" t="str">
        <f t="shared" si="0"/>
        <v>Overweight</v>
      </c>
      <c r="H12" s="24">
        <f ca="1">IFERROR(__xludf.DUMMYFUNCTION("""COMPUTED_VALUE"""),25.4)</f>
        <v>25.4</v>
      </c>
      <c r="I12" s="24">
        <v>21</v>
      </c>
      <c r="J12" s="10">
        <v>62.126399999999997</v>
      </c>
      <c r="K12" s="31" t="s">
        <v>28</v>
      </c>
      <c r="L12" s="24">
        <v>1545</v>
      </c>
      <c r="M12" s="26">
        <v>2.48</v>
      </c>
      <c r="N12" s="29" t="s">
        <v>26</v>
      </c>
      <c r="O12" s="29" t="s">
        <v>37</v>
      </c>
      <c r="P12" s="27" t="e">
        <f t="shared" ca="1" si="1"/>
        <v>#NAME?</v>
      </c>
      <c r="Q12" s="28" t="e">
        <f ca="1"/>
        <v>#NAME?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2.75">
      <c r="A13" s="29" t="s">
        <v>48</v>
      </c>
      <c r="B13" s="29" t="s">
        <v>431</v>
      </c>
      <c r="C13" s="30">
        <v>22</v>
      </c>
      <c r="D13" s="30">
        <v>180</v>
      </c>
      <c r="E13" s="30">
        <v>90</v>
      </c>
      <c r="F13" s="9" t="str">
        <v>27.8 (Obese)</v>
      </c>
      <c r="G13" s="9" t="str">
        <f t="shared" si="0"/>
        <v>Obese</v>
      </c>
      <c r="H13" s="24">
        <f ca="1">IFERROR(__xludf.DUMMYFUNCTION("""COMPUTED_VALUE"""),27.8)</f>
        <v>27.8</v>
      </c>
      <c r="I13" s="24">
        <v>21</v>
      </c>
      <c r="J13" s="10">
        <v>68.040000000000006</v>
      </c>
      <c r="K13" s="31" t="s">
        <v>18</v>
      </c>
      <c r="L13" s="24">
        <v>1920</v>
      </c>
      <c r="M13" s="26">
        <v>2.97</v>
      </c>
      <c r="N13" s="29" t="s">
        <v>26</v>
      </c>
      <c r="O13" s="29" t="s">
        <v>30</v>
      </c>
      <c r="P13" s="27" t="e">
        <f t="shared" ca="1" si="1"/>
        <v>#NAME?</v>
      </c>
      <c r="Q13" s="28" t="e">
        <f ca="1"/>
        <v>#NAME?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2.75">
      <c r="A14" s="29" t="s">
        <v>49</v>
      </c>
      <c r="B14" s="29" t="s">
        <v>431</v>
      </c>
      <c r="C14" s="30">
        <v>49</v>
      </c>
      <c r="D14" s="30">
        <v>165</v>
      </c>
      <c r="E14" s="30">
        <v>104</v>
      </c>
      <c r="F14" s="9" t="str">
        <v>38.2 (Obese)</v>
      </c>
      <c r="G14" s="9" t="str">
        <f t="shared" si="0"/>
        <v>Obese</v>
      </c>
      <c r="H14" s="24">
        <f ca="1">IFERROR(__xludf.DUMMYFUNCTION("""COMPUTED_VALUE"""),38.2)</f>
        <v>38.200000000000003</v>
      </c>
      <c r="I14" s="24">
        <v>21</v>
      </c>
      <c r="J14" s="10">
        <v>57.172499999999992</v>
      </c>
      <c r="K14" s="31" t="s">
        <v>42</v>
      </c>
      <c r="L14" s="24">
        <v>1831.25</v>
      </c>
      <c r="M14" s="26">
        <v>3.43</v>
      </c>
      <c r="N14" s="29" t="s">
        <v>16</v>
      </c>
      <c r="O14" s="29" t="s">
        <v>19</v>
      </c>
      <c r="P14" s="27" t="e">
        <f t="shared" ca="1" si="1"/>
        <v>#NAME?</v>
      </c>
      <c r="Q14" s="28" t="e">
        <f ca="1"/>
        <v>#NAME?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2.75">
      <c r="A15" s="29" t="s">
        <v>51</v>
      </c>
      <c r="B15" s="29" t="s">
        <v>431</v>
      </c>
      <c r="C15" s="30">
        <v>52</v>
      </c>
      <c r="D15" s="30">
        <v>159</v>
      </c>
      <c r="E15" s="30">
        <v>68</v>
      </c>
      <c r="F15" s="9" t="str">
        <v>26.9 (Overweight)</v>
      </c>
      <c r="G15" s="9" t="str">
        <f t="shared" si="0"/>
        <v>Overweight</v>
      </c>
      <c r="H15" s="24">
        <f ca="1">IFERROR(__xludf.DUMMYFUNCTION("""COMPUTED_VALUE"""),26.9)</f>
        <v>26.9</v>
      </c>
      <c r="I15" s="24">
        <v>21</v>
      </c>
      <c r="J15" s="10">
        <v>53.090100000000007</v>
      </c>
      <c r="K15" s="31" t="s">
        <v>28</v>
      </c>
      <c r="L15" s="24">
        <v>1418.75</v>
      </c>
      <c r="M15" s="26">
        <v>2.2400000000000002</v>
      </c>
      <c r="N15" s="29" t="s">
        <v>39</v>
      </c>
      <c r="O15" s="29" t="s">
        <v>19</v>
      </c>
      <c r="P15" s="27" t="e">
        <f t="shared" ca="1" si="1"/>
        <v>#NAME?</v>
      </c>
      <c r="Q15" s="28" t="e">
        <f ca="1"/>
        <v>#NAME?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2.75">
      <c r="A16" s="29" t="s">
        <v>53</v>
      </c>
      <c r="B16" s="29" t="s">
        <v>431</v>
      </c>
      <c r="C16" s="30">
        <v>51</v>
      </c>
      <c r="D16" s="30">
        <v>156</v>
      </c>
      <c r="E16" s="30">
        <v>92</v>
      </c>
      <c r="F16" s="9" t="str">
        <v>37.8 (Obese)</v>
      </c>
      <c r="G16" s="9" t="str">
        <f t="shared" si="0"/>
        <v>Obese</v>
      </c>
      <c r="H16" s="24">
        <f ca="1">IFERROR(__xludf.DUMMYFUNCTION("""COMPUTED_VALUE"""),37.8)</f>
        <v>37.799999999999997</v>
      </c>
      <c r="I16" s="24">
        <v>21</v>
      </c>
      <c r="J16" s="10">
        <v>51.105600000000003</v>
      </c>
      <c r="K16" s="31" t="s">
        <v>18</v>
      </c>
      <c r="L16" s="24">
        <v>1645</v>
      </c>
      <c r="M16" s="26">
        <v>3.04</v>
      </c>
      <c r="N16" s="29" t="s">
        <v>39</v>
      </c>
      <c r="O16" s="29" t="s">
        <v>37</v>
      </c>
      <c r="P16" s="27" t="e">
        <f t="shared" ca="1" si="1"/>
        <v>#NAME?</v>
      </c>
      <c r="Q16" s="28" t="e">
        <f ca="1"/>
        <v>#NAME?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2.75">
      <c r="A17" s="29" t="s">
        <v>54</v>
      </c>
      <c r="B17" s="29" t="s">
        <v>431</v>
      </c>
      <c r="C17" s="30">
        <v>32</v>
      </c>
      <c r="D17" s="30">
        <v>168</v>
      </c>
      <c r="E17" s="30">
        <v>90</v>
      </c>
      <c r="F17" s="9" t="str">
        <v>31.9 (Obese)</v>
      </c>
      <c r="G17" s="9" t="str">
        <f t="shared" si="0"/>
        <v>Obese</v>
      </c>
      <c r="H17" s="24">
        <f ca="1">IFERROR(__xludf.DUMMYFUNCTION("""COMPUTED_VALUE"""),31.9)</f>
        <v>31.9</v>
      </c>
      <c r="I17" s="24">
        <v>21</v>
      </c>
      <c r="J17" s="10">
        <v>59.270399999999988</v>
      </c>
      <c r="K17" s="31" t="s">
        <v>28</v>
      </c>
      <c r="L17" s="24">
        <v>1795</v>
      </c>
      <c r="M17" s="26">
        <v>2.97</v>
      </c>
      <c r="N17" s="29" t="s">
        <v>39</v>
      </c>
      <c r="O17" s="29" t="s">
        <v>7</v>
      </c>
      <c r="P17" s="27" t="e">
        <f t="shared" ca="1" si="1"/>
        <v>#NAME?</v>
      </c>
      <c r="Q17" s="28" t="e">
        <f ca="1"/>
        <v>#NAME?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2.75">
      <c r="A18" s="29" t="s">
        <v>56</v>
      </c>
      <c r="B18" s="29" t="s">
        <v>431</v>
      </c>
      <c r="C18" s="30">
        <v>44</v>
      </c>
      <c r="D18" s="30">
        <v>185</v>
      </c>
      <c r="E18" s="30">
        <v>80</v>
      </c>
      <c r="F18" s="9" t="str">
        <v>23.4 (Normal)</v>
      </c>
      <c r="G18" s="9" t="str">
        <f t="shared" si="0"/>
        <v>Normal</v>
      </c>
      <c r="H18" s="24">
        <f ca="1">IFERROR(__xludf.DUMMYFUNCTION("""COMPUTED_VALUE"""),23.4)</f>
        <v>23.4</v>
      </c>
      <c r="I18" s="24">
        <v>21</v>
      </c>
      <c r="J18" s="10">
        <v>71.872500000000002</v>
      </c>
      <c r="K18" s="31" t="s">
        <v>4</v>
      </c>
      <c r="L18" s="24">
        <v>1741.25</v>
      </c>
      <c r="M18" s="26">
        <v>2.64</v>
      </c>
      <c r="N18" s="29" t="s">
        <v>26</v>
      </c>
      <c r="O18" s="29" t="s">
        <v>7</v>
      </c>
      <c r="P18" s="27" t="e">
        <f t="shared" ca="1" si="1"/>
        <v>#NAME?</v>
      </c>
      <c r="Q18" s="28" t="e">
        <f ca="1"/>
        <v>#NAME?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2.75">
      <c r="A19" s="29" t="s">
        <v>57</v>
      </c>
      <c r="B19" s="29" t="s">
        <v>431</v>
      </c>
      <c r="C19" s="30">
        <v>40</v>
      </c>
      <c r="D19" s="30">
        <v>182</v>
      </c>
      <c r="E19" s="30">
        <v>68</v>
      </c>
      <c r="F19" s="9" t="str">
        <v>20.5 (Normal)</v>
      </c>
      <c r="G19" s="9" t="str">
        <f t="shared" si="0"/>
        <v>Normal</v>
      </c>
      <c r="H19" s="24">
        <f ca="1">IFERROR(__xludf.DUMMYFUNCTION("""COMPUTED_VALUE"""),20.5)</f>
        <v>20.5</v>
      </c>
      <c r="I19" s="24">
        <v>21</v>
      </c>
      <c r="J19" s="10">
        <v>69.560400000000001</v>
      </c>
      <c r="K19" s="31" t="s">
        <v>42</v>
      </c>
      <c r="L19" s="24">
        <v>1622.5</v>
      </c>
      <c r="M19" s="26">
        <v>2.2400000000000002</v>
      </c>
      <c r="N19" s="29" t="s">
        <v>16</v>
      </c>
      <c r="O19" s="29" t="s">
        <v>19</v>
      </c>
      <c r="P19" s="27" t="e">
        <f t="shared" ca="1" si="1"/>
        <v>#NAME?</v>
      </c>
      <c r="Q19" s="28" t="e">
        <f ca="1"/>
        <v>#NAME?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2.75">
      <c r="A20" s="29" t="s">
        <v>58</v>
      </c>
      <c r="B20" s="29" t="s">
        <v>431</v>
      </c>
      <c r="C20" s="30">
        <v>58</v>
      </c>
      <c r="D20" s="30">
        <v>169</v>
      </c>
      <c r="E20" s="30">
        <v>54</v>
      </c>
      <c r="F20" s="9" t="str">
        <v>18.9 (Normal)</v>
      </c>
      <c r="G20" s="9" t="str">
        <f t="shared" si="0"/>
        <v>Normal</v>
      </c>
      <c r="H20" s="24">
        <f ca="1">IFERROR(__xludf.DUMMYFUNCTION("""COMPUTED_VALUE"""),18.9)</f>
        <v>18.899999999999999</v>
      </c>
      <c r="I20" s="24">
        <v>21</v>
      </c>
      <c r="J20" s="10">
        <v>59.978099999999991</v>
      </c>
      <c r="K20" s="31" t="s">
        <v>4</v>
      </c>
      <c r="L20" s="24">
        <v>1311.25</v>
      </c>
      <c r="M20" s="26">
        <v>1.78</v>
      </c>
      <c r="N20" s="29" t="s">
        <v>39</v>
      </c>
      <c r="O20" s="29" t="s">
        <v>7</v>
      </c>
      <c r="P20" s="27" t="e">
        <f t="shared" ca="1" si="1"/>
        <v>#NAME?</v>
      </c>
      <c r="Q20" s="28" t="e">
        <f ca="1"/>
        <v>#NAME?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2.75">
      <c r="A21" s="29" t="s">
        <v>59</v>
      </c>
      <c r="B21" s="29" t="s">
        <v>431</v>
      </c>
      <c r="C21" s="30">
        <v>35</v>
      </c>
      <c r="D21" s="30">
        <v>169</v>
      </c>
      <c r="E21" s="30">
        <v>84</v>
      </c>
      <c r="F21" s="9" t="str">
        <v>29.4 (Obese)</v>
      </c>
      <c r="G21" s="9" t="str">
        <f t="shared" si="0"/>
        <v>Obese</v>
      </c>
      <c r="H21" s="24">
        <f ca="1">IFERROR(__xludf.DUMMYFUNCTION("""COMPUTED_VALUE"""),29.4)</f>
        <v>29.4</v>
      </c>
      <c r="I21" s="24">
        <v>21</v>
      </c>
      <c r="J21" s="10">
        <v>59.978099999999991</v>
      </c>
      <c r="K21" s="31" t="s">
        <v>28</v>
      </c>
      <c r="L21" s="24">
        <v>1726.25</v>
      </c>
      <c r="M21" s="26">
        <v>2.77</v>
      </c>
      <c r="N21" s="29" t="s">
        <v>16</v>
      </c>
      <c r="O21" s="29" t="s">
        <v>60</v>
      </c>
      <c r="P21" s="27" t="e">
        <f t="shared" ca="1" si="1"/>
        <v>#NAME?</v>
      </c>
      <c r="Q21" s="28" t="e">
        <f ca="1"/>
        <v>#NAME?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2.75">
      <c r="A22" s="29" t="s">
        <v>61</v>
      </c>
      <c r="B22" s="29" t="s">
        <v>431</v>
      </c>
      <c r="C22" s="30">
        <v>21</v>
      </c>
      <c r="D22" s="30">
        <v>159</v>
      </c>
      <c r="E22" s="30">
        <v>83</v>
      </c>
      <c r="F22" s="9" t="str">
        <v>32.8 (Obese)</v>
      </c>
      <c r="G22" s="9" t="str">
        <f t="shared" si="0"/>
        <v>Obese</v>
      </c>
      <c r="H22" s="24">
        <f ca="1">IFERROR(__xludf.DUMMYFUNCTION("""COMPUTED_VALUE"""),32.8)</f>
        <v>32.799999999999997</v>
      </c>
      <c r="I22" s="24">
        <v>21</v>
      </c>
      <c r="J22" s="10">
        <v>53.090100000000007</v>
      </c>
      <c r="K22" s="31" t="s">
        <v>18</v>
      </c>
      <c r="L22" s="24">
        <v>1723.75</v>
      </c>
      <c r="M22" s="26">
        <v>2.74</v>
      </c>
      <c r="N22" s="29" t="s">
        <v>39</v>
      </c>
      <c r="O22" s="29" t="s">
        <v>37</v>
      </c>
      <c r="P22" s="27" t="e">
        <f t="shared" ca="1" si="1"/>
        <v>#NAME?</v>
      </c>
      <c r="Q22" s="28" t="e">
        <f ca="1"/>
        <v>#NAME?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2.75">
      <c r="A23" s="29" t="s">
        <v>62</v>
      </c>
      <c r="B23" s="29" t="s">
        <v>431</v>
      </c>
      <c r="C23" s="30">
        <v>55</v>
      </c>
      <c r="D23" s="30">
        <v>176</v>
      </c>
      <c r="E23" s="30">
        <v>70</v>
      </c>
      <c r="F23" s="9" t="str">
        <v>22.6 (Normal)</v>
      </c>
      <c r="G23" s="9" t="str">
        <f t="shared" si="0"/>
        <v>Normal</v>
      </c>
      <c r="H23" s="24">
        <f ca="1">IFERROR(__xludf.DUMMYFUNCTION("""COMPUTED_VALUE"""),22.6)</f>
        <v>22.6</v>
      </c>
      <c r="I23" s="24">
        <v>21</v>
      </c>
      <c r="J23" s="10">
        <v>65.049599999999998</v>
      </c>
      <c r="K23" s="31" t="s">
        <v>18</v>
      </c>
      <c r="L23" s="24">
        <v>1530</v>
      </c>
      <c r="M23" s="26">
        <v>2.31</v>
      </c>
      <c r="N23" s="29" t="s">
        <v>26</v>
      </c>
      <c r="O23" s="29" t="s">
        <v>63</v>
      </c>
      <c r="P23" s="27" t="e">
        <f t="shared" ca="1" si="1"/>
        <v>#NAME?</v>
      </c>
      <c r="Q23" s="28" t="e">
        <f ca="1"/>
        <v>#NAME?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2.75">
      <c r="A24" s="29" t="s">
        <v>64</v>
      </c>
      <c r="B24" s="29" t="s">
        <v>431</v>
      </c>
      <c r="C24" s="30">
        <v>40</v>
      </c>
      <c r="D24" s="30">
        <v>187</v>
      </c>
      <c r="E24" s="30">
        <v>52</v>
      </c>
      <c r="F24" s="9" t="str">
        <v>14.9 (Underweight)</v>
      </c>
      <c r="G24" s="9" t="str">
        <f t="shared" si="0"/>
        <v>Underweight</v>
      </c>
      <c r="H24" s="24">
        <f ca="1">IFERROR(__xludf.DUMMYFUNCTION("""COMPUTED_VALUE"""),14.9)</f>
        <v>14.9</v>
      </c>
      <c r="I24" s="24">
        <v>21</v>
      </c>
      <c r="J24" s="10">
        <v>73.434900000000013</v>
      </c>
      <c r="K24" s="31" t="s">
        <v>42</v>
      </c>
      <c r="L24" s="24">
        <v>1493.75</v>
      </c>
      <c r="M24" s="26">
        <v>1.72</v>
      </c>
      <c r="N24" s="29" t="s">
        <v>39</v>
      </c>
      <c r="O24" s="29" t="s">
        <v>19</v>
      </c>
      <c r="P24" s="27" t="e">
        <f t="shared" ca="1" si="1"/>
        <v>#NAME?</v>
      </c>
      <c r="Q24" s="28" t="e">
        <f ca="1"/>
        <v>#NAME?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2.75">
      <c r="A25" s="29" t="s">
        <v>65</v>
      </c>
      <c r="B25" s="29" t="s">
        <v>431</v>
      </c>
      <c r="C25" s="30">
        <v>44</v>
      </c>
      <c r="D25" s="30">
        <v>186</v>
      </c>
      <c r="E25" s="30">
        <v>70</v>
      </c>
      <c r="F25" s="9" t="str">
        <v>20.2 (Normal)</v>
      </c>
      <c r="G25" s="9" t="str">
        <f t="shared" si="0"/>
        <v>Normal</v>
      </c>
      <c r="H25" s="24">
        <f ca="1">IFERROR(__xludf.DUMMYFUNCTION("""COMPUTED_VALUE"""),20.2)</f>
        <v>20.2</v>
      </c>
      <c r="I25" s="24">
        <v>21</v>
      </c>
      <c r="J25" s="10">
        <v>72.651600000000016</v>
      </c>
      <c r="K25" s="31" t="s">
        <v>28</v>
      </c>
      <c r="L25" s="24">
        <v>1647.5</v>
      </c>
      <c r="M25" s="26">
        <v>2.31</v>
      </c>
      <c r="N25" s="29" t="s">
        <v>26</v>
      </c>
      <c r="O25" s="29" t="s">
        <v>30</v>
      </c>
      <c r="P25" s="27" t="e">
        <f t="shared" ca="1" si="1"/>
        <v>#NAME?</v>
      </c>
      <c r="Q25" s="28" t="e">
        <f ca="1"/>
        <v>#NAME?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2.75">
      <c r="A26" s="29" t="s">
        <v>66</v>
      </c>
      <c r="B26" s="29" t="s">
        <v>431</v>
      </c>
      <c r="C26" s="30">
        <v>21</v>
      </c>
      <c r="D26" s="30">
        <v>175</v>
      </c>
      <c r="E26" s="30">
        <v>91</v>
      </c>
      <c r="F26" s="9" t="str">
        <v>29.7 (Obese)</v>
      </c>
      <c r="G26" s="9" t="str">
        <f t="shared" si="0"/>
        <v>Obese</v>
      </c>
      <c r="H26" s="24">
        <f ca="1">IFERROR(__xludf.DUMMYFUNCTION("""COMPUTED_VALUE"""),29.7)</f>
        <v>29.7</v>
      </c>
      <c r="I26" s="24">
        <v>21</v>
      </c>
      <c r="J26" s="10">
        <v>64.3125</v>
      </c>
      <c r="K26" s="31" t="s">
        <v>18</v>
      </c>
      <c r="L26" s="24">
        <v>1903.75</v>
      </c>
      <c r="M26" s="26">
        <v>3</v>
      </c>
      <c r="N26" s="29" t="s">
        <v>34</v>
      </c>
      <c r="O26" s="29" t="s">
        <v>30</v>
      </c>
      <c r="P26" s="27" t="e">
        <f t="shared" ca="1" si="1"/>
        <v>#NAME?</v>
      </c>
      <c r="Q26" s="28" t="e">
        <f ca="1"/>
        <v>#NAME?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2.75">
      <c r="A27" s="29" t="s">
        <v>67</v>
      </c>
      <c r="B27" s="29" t="s">
        <v>431</v>
      </c>
      <c r="C27" s="30">
        <v>57</v>
      </c>
      <c r="D27" s="30">
        <v>177</v>
      </c>
      <c r="E27" s="30">
        <v>99</v>
      </c>
      <c r="F27" s="9" t="str">
        <v>31.6 (Obese)</v>
      </c>
      <c r="G27" s="9" t="str">
        <f t="shared" si="0"/>
        <v>Obese</v>
      </c>
      <c r="H27" s="24">
        <f ca="1">IFERROR(__xludf.DUMMYFUNCTION("""COMPUTED_VALUE"""),31.6)</f>
        <v>31.6</v>
      </c>
      <c r="I27" s="24">
        <v>21</v>
      </c>
      <c r="J27" s="10">
        <v>65.790900000000008</v>
      </c>
      <c r="K27" s="31" t="s">
        <v>18</v>
      </c>
      <c r="L27" s="24">
        <v>1816.25</v>
      </c>
      <c r="M27" s="26">
        <v>3.27</v>
      </c>
      <c r="N27" s="29" t="s">
        <v>26</v>
      </c>
      <c r="O27" s="29" t="s">
        <v>7</v>
      </c>
      <c r="P27" s="27" t="e">
        <f t="shared" ca="1" si="1"/>
        <v>#NAME?</v>
      </c>
      <c r="Q27" s="28" t="e">
        <f ca="1"/>
        <v>#NAME?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2.75">
      <c r="A28" s="29" t="s">
        <v>68</v>
      </c>
      <c r="B28" s="29" t="s">
        <v>431</v>
      </c>
      <c r="C28" s="30">
        <v>30</v>
      </c>
      <c r="D28" s="30">
        <v>157</v>
      </c>
      <c r="E28" s="30">
        <v>107</v>
      </c>
      <c r="F28" s="9" t="str">
        <v>43.4 (Obese)</v>
      </c>
      <c r="G28" s="9" t="str">
        <f t="shared" si="0"/>
        <v>Obese</v>
      </c>
      <c r="H28" s="24">
        <f ca="1">IFERROR(__xludf.DUMMYFUNCTION("""COMPUTED_VALUE"""),43.4)</f>
        <v>43.4</v>
      </c>
      <c r="I28" s="24">
        <v>21</v>
      </c>
      <c r="J28" s="10">
        <v>51.762900000000002</v>
      </c>
      <c r="K28" s="31" t="s">
        <v>42</v>
      </c>
      <c r="L28" s="24">
        <v>1906.25</v>
      </c>
      <c r="M28" s="26">
        <v>3.53</v>
      </c>
      <c r="N28" s="29" t="s">
        <v>39</v>
      </c>
      <c r="O28" s="29" t="s">
        <v>7</v>
      </c>
      <c r="P28" s="27" t="e">
        <f t="shared" ca="1" si="1"/>
        <v>#NAME?</v>
      </c>
      <c r="Q28" s="28" t="e">
        <f ca="1"/>
        <v>#NAME?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2.75">
      <c r="A29" s="29" t="s">
        <v>69</v>
      </c>
      <c r="B29" s="29" t="s">
        <v>431</v>
      </c>
      <c r="C29" s="30">
        <v>50</v>
      </c>
      <c r="D29" s="30">
        <v>163</v>
      </c>
      <c r="E29" s="30">
        <v>80</v>
      </c>
      <c r="F29" s="9" t="str">
        <v>30.1 (Obese)</v>
      </c>
      <c r="G29" s="9" t="str">
        <f t="shared" si="0"/>
        <v>Obese</v>
      </c>
      <c r="H29" s="24">
        <f ca="1">IFERROR(__xludf.DUMMYFUNCTION("""COMPUTED_VALUE"""),30.1)</f>
        <v>30.1</v>
      </c>
      <c r="I29" s="24">
        <v>21</v>
      </c>
      <c r="J29" s="10">
        <v>55.794899999999998</v>
      </c>
      <c r="K29" s="31" t="s">
        <v>42</v>
      </c>
      <c r="L29" s="24">
        <v>1573.75</v>
      </c>
      <c r="M29" s="26">
        <v>2.64</v>
      </c>
      <c r="N29" s="29" t="s">
        <v>34</v>
      </c>
      <c r="O29" s="29" t="s">
        <v>63</v>
      </c>
      <c r="P29" s="27" t="e">
        <f t="shared" ca="1" si="1"/>
        <v>#NAME?</v>
      </c>
      <c r="Q29" s="28" t="e">
        <f ca="1"/>
        <v>#NAME?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2.75">
      <c r="A30" s="29" t="s">
        <v>70</v>
      </c>
      <c r="B30" s="29" t="s">
        <v>431</v>
      </c>
      <c r="C30" s="30">
        <v>50</v>
      </c>
      <c r="D30" s="30">
        <v>169</v>
      </c>
      <c r="E30" s="30">
        <v>109</v>
      </c>
      <c r="F30" s="9" t="str">
        <v>38.2 (Obese)</v>
      </c>
      <c r="G30" s="9" t="str">
        <f t="shared" si="0"/>
        <v>Obese</v>
      </c>
      <c r="H30" s="24">
        <f ca="1">IFERROR(__xludf.DUMMYFUNCTION("""COMPUTED_VALUE"""),38.2)</f>
        <v>38.200000000000003</v>
      </c>
      <c r="I30" s="24">
        <v>21</v>
      </c>
      <c r="J30" s="10">
        <v>59.978099999999991</v>
      </c>
      <c r="K30" s="31" t="s">
        <v>28</v>
      </c>
      <c r="L30" s="24">
        <v>1901.25</v>
      </c>
      <c r="M30" s="26">
        <v>3.6</v>
      </c>
      <c r="N30" s="29" t="s">
        <v>26</v>
      </c>
      <c r="O30" s="29" t="s">
        <v>30</v>
      </c>
      <c r="P30" s="27" t="e">
        <f t="shared" ca="1" si="1"/>
        <v>#NAME?</v>
      </c>
      <c r="Q30" s="28" t="e">
        <f ca="1"/>
        <v>#NAME?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2.75">
      <c r="A31" s="29" t="s">
        <v>71</v>
      </c>
      <c r="B31" s="29" t="s">
        <v>431</v>
      </c>
      <c r="C31" s="30">
        <v>31</v>
      </c>
      <c r="D31" s="30">
        <v>179</v>
      </c>
      <c r="E31" s="30">
        <v>77</v>
      </c>
      <c r="F31" s="9" t="str">
        <v>24.0 (Normal)</v>
      </c>
      <c r="G31" s="9" t="str">
        <f t="shared" si="0"/>
        <v>Normal</v>
      </c>
      <c r="H31" s="24">
        <f ca="1">IFERROR(__xludf.DUMMYFUNCTION("""COMPUTED_VALUE"""),24)</f>
        <v>24</v>
      </c>
      <c r="I31" s="24">
        <v>21</v>
      </c>
      <c r="J31" s="10">
        <v>67.286100000000005</v>
      </c>
      <c r="K31" s="31" t="s">
        <v>42</v>
      </c>
      <c r="L31" s="24">
        <v>1738.75</v>
      </c>
      <c r="M31" s="26">
        <v>2.54</v>
      </c>
      <c r="N31" s="29" t="s">
        <v>26</v>
      </c>
      <c r="O31" s="29" t="s">
        <v>37</v>
      </c>
      <c r="P31" s="27" t="e">
        <f t="shared" ca="1" si="1"/>
        <v>#NAME?</v>
      </c>
      <c r="Q31" s="28" t="e">
        <f ca="1"/>
        <v>#NAME?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2.75">
      <c r="A32" s="29" t="s">
        <v>72</v>
      </c>
      <c r="B32" s="29" t="s">
        <v>431</v>
      </c>
      <c r="C32" s="30">
        <v>43</v>
      </c>
      <c r="D32" s="30">
        <v>166</v>
      </c>
      <c r="E32" s="30">
        <v>69</v>
      </c>
      <c r="F32" s="9" t="str">
        <v>25.0 (Overweight)</v>
      </c>
      <c r="G32" s="9" t="str">
        <f t="shared" si="0"/>
        <v>Overweight</v>
      </c>
      <c r="H32" s="24">
        <f ca="1">IFERROR(__xludf.DUMMYFUNCTION("""COMPUTED_VALUE"""),25)</f>
        <v>25</v>
      </c>
      <c r="I32" s="24">
        <v>21</v>
      </c>
      <c r="J32" s="10">
        <v>57.867599999999996</v>
      </c>
      <c r="K32" s="31" t="s">
        <v>4</v>
      </c>
      <c r="L32" s="24">
        <v>1517.5</v>
      </c>
      <c r="M32" s="26">
        <v>2.2799999999999998</v>
      </c>
      <c r="N32" s="29" t="s">
        <v>39</v>
      </c>
      <c r="O32" s="29" t="s">
        <v>63</v>
      </c>
      <c r="P32" s="27" t="e">
        <f t="shared" ca="1" si="1"/>
        <v>#NAME?</v>
      </c>
      <c r="Q32" s="28" t="e">
        <f ca="1"/>
        <v>#NAME?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2.75">
      <c r="A33" s="29" t="s">
        <v>73</v>
      </c>
      <c r="B33" s="29" t="s">
        <v>431</v>
      </c>
      <c r="C33" s="30">
        <v>29</v>
      </c>
      <c r="D33" s="30">
        <v>182</v>
      </c>
      <c r="E33" s="30">
        <v>84</v>
      </c>
      <c r="F33" s="9" t="str">
        <v>25.4 (Overweight)</v>
      </c>
      <c r="G33" s="9" t="str">
        <f t="shared" si="0"/>
        <v>Overweight</v>
      </c>
      <c r="H33" s="24">
        <f ca="1">IFERROR(__xludf.DUMMYFUNCTION("""COMPUTED_VALUE"""),25.4)</f>
        <v>25.4</v>
      </c>
      <c r="I33" s="24">
        <v>21</v>
      </c>
      <c r="J33" s="10">
        <v>69.560400000000001</v>
      </c>
      <c r="K33" s="31" t="s">
        <v>42</v>
      </c>
      <c r="L33" s="24">
        <v>1837.5</v>
      </c>
      <c r="M33" s="26">
        <v>2.77</v>
      </c>
      <c r="N33" s="29" t="s">
        <v>34</v>
      </c>
      <c r="O33" s="29" t="s">
        <v>63</v>
      </c>
      <c r="P33" s="27" t="e">
        <f t="shared" ca="1" si="1"/>
        <v>#NAME?</v>
      </c>
      <c r="Q33" s="28" t="e">
        <f ca="1"/>
        <v>#NAME?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2.75">
      <c r="A34" s="29" t="s">
        <v>74</v>
      </c>
      <c r="B34" s="29" t="s">
        <v>431</v>
      </c>
      <c r="C34" s="30">
        <v>47</v>
      </c>
      <c r="D34" s="30">
        <v>188</v>
      </c>
      <c r="E34" s="30">
        <v>101</v>
      </c>
      <c r="F34" s="9" t="str">
        <v>28.6 (Obese)</v>
      </c>
      <c r="G34" s="9" t="str">
        <f t="shared" si="0"/>
        <v>Obese</v>
      </c>
      <c r="H34" s="24">
        <f ca="1">IFERROR(__xludf.DUMMYFUNCTION("""COMPUTED_VALUE"""),28.6)</f>
        <v>28.6</v>
      </c>
      <c r="I34" s="24">
        <v>21</v>
      </c>
      <c r="J34" s="10">
        <v>74.222399999999993</v>
      </c>
      <c r="K34" s="31" t="s">
        <v>4</v>
      </c>
      <c r="L34" s="24">
        <v>1955</v>
      </c>
      <c r="M34" s="26">
        <v>3.33</v>
      </c>
      <c r="N34" s="29" t="s">
        <v>34</v>
      </c>
      <c r="O34" s="29" t="s">
        <v>7</v>
      </c>
      <c r="P34" s="27" t="e">
        <f t="shared" ca="1" si="1"/>
        <v>#NAME?</v>
      </c>
      <c r="Q34" s="28" t="e">
        <f ca="1"/>
        <v>#NAME?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2.75">
      <c r="A35" s="29" t="s">
        <v>75</v>
      </c>
      <c r="B35" s="29" t="s">
        <v>431</v>
      </c>
      <c r="C35" s="30">
        <v>33</v>
      </c>
      <c r="D35" s="30">
        <v>182</v>
      </c>
      <c r="E35" s="30">
        <v>96</v>
      </c>
      <c r="F35" s="9" t="str">
        <v>29.0 (Obese)</v>
      </c>
      <c r="G35" s="9" t="str">
        <f t="shared" si="0"/>
        <v>Obese</v>
      </c>
      <c r="H35" s="24">
        <f ca="1">IFERROR(__xludf.DUMMYFUNCTION("""COMPUTED_VALUE"""),29)</f>
        <v>29</v>
      </c>
      <c r="I35" s="24">
        <v>21</v>
      </c>
      <c r="J35" s="10">
        <v>69.560400000000001</v>
      </c>
      <c r="K35" s="31" t="s">
        <v>18</v>
      </c>
      <c r="L35" s="24">
        <v>1937.5</v>
      </c>
      <c r="M35" s="26">
        <v>3.17</v>
      </c>
      <c r="N35" s="29" t="s">
        <v>34</v>
      </c>
      <c r="O35" s="29" t="s">
        <v>37</v>
      </c>
      <c r="P35" s="27" t="e">
        <f t="shared" ca="1" si="1"/>
        <v>#NAME?</v>
      </c>
      <c r="Q35" s="28" t="e">
        <f ca="1"/>
        <v>#NAME?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2.75">
      <c r="A36" s="29" t="s">
        <v>41</v>
      </c>
      <c r="B36" s="29" t="s">
        <v>431</v>
      </c>
      <c r="C36" s="30">
        <v>20</v>
      </c>
      <c r="D36" s="30">
        <v>178</v>
      </c>
      <c r="E36" s="30">
        <v>68</v>
      </c>
      <c r="F36" s="9" t="str">
        <v>21.5 (Normal)</v>
      </c>
      <c r="G36" s="9" t="str">
        <f t="shared" si="0"/>
        <v>Normal</v>
      </c>
      <c r="H36" s="24">
        <f ca="1">IFERROR(__xludf.DUMMYFUNCTION("""COMPUTED_VALUE"""),21.5)</f>
        <v>21.5</v>
      </c>
      <c r="I36" s="24">
        <v>21</v>
      </c>
      <c r="J36" s="10">
        <v>66.5364</v>
      </c>
      <c r="K36" s="31" t="s">
        <v>42</v>
      </c>
      <c r="L36" s="24">
        <v>1697.5</v>
      </c>
      <c r="M36" s="26">
        <v>2.2400000000000002</v>
      </c>
      <c r="N36" s="29" t="s">
        <v>34</v>
      </c>
      <c r="O36" s="29" t="s">
        <v>60</v>
      </c>
      <c r="P36" s="27" t="e">
        <f t="shared" ca="1" si="1"/>
        <v>#NAME?</v>
      </c>
      <c r="Q36" s="28" t="e">
        <f ca="1"/>
        <v>#NAME?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2.75">
      <c r="A37" s="29" t="s">
        <v>76</v>
      </c>
      <c r="B37" s="29" t="s">
        <v>431</v>
      </c>
      <c r="C37" s="30">
        <v>53</v>
      </c>
      <c r="D37" s="30">
        <v>180</v>
      </c>
      <c r="E37" s="30">
        <v>108</v>
      </c>
      <c r="F37" s="9" t="str">
        <v>33.3 (Obese)</v>
      </c>
      <c r="G37" s="9" t="str">
        <f t="shared" si="0"/>
        <v>Obese</v>
      </c>
      <c r="H37" s="24">
        <f ca="1">IFERROR(__xludf.DUMMYFUNCTION("""COMPUTED_VALUE"""),33.3)</f>
        <v>33.299999999999997</v>
      </c>
      <c r="I37" s="24">
        <v>21</v>
      </c>
      <c r="J37" s="10">
        <v>68.040000000000006</v>
      </c>
      <c r="K37" s="31" t="s">
        <v>18</v>
      </c>
      <c r="L37" s="24">
        <v>1945</v>
      </c>
      <c r="M37" s="26">
        <v>3.56</v>
      </c>
      <c r="N37" s="29" t="s">
        <v>26</v>
      </c>
      <c r="O37" s="29" t="s">
        <v>19</v>
      </c>
      <c r="P37" s="27" t="e">
        <f t="shared" ca="1" si="1"/>
        <v>#NAME?</v>
      </c>
      <c r="Q37" s="28" t="e">
        <f ca="1"/>
        <v>#NAME?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2.75">
      <c r="A38" s="29" t="s">
        <v>77</v>
      </c>
      <c r="B38" s="29" t="s">
        <v>431</v>
      </c>
      <c r="C38" s="30">
        <v>26</v>
      </c>
      <c r="D38" s="30">
        <v>164</v>
      </c>
      <c r="E38" s="30">
        <v>76</v>
      </c>
      <c r="F38" s="9" t="str">
        <v>28.3 (Obese)</v>
      </c>
      <c r="G38" s="9" t="str">
        <f t="shared" si="0"/>
        <v>Obese</v>
      </c>
      <c r="H38" s="24">
        <f ca="1">IFERROR(__xludf.DUMMYFUNCTION("""COMPUTED_VALUE"""),28.3)</f>
        <v>28.3</v>
      </c>
      <c r="I38" s="24">
        <v>21</v>
      </c>
      <c r="J38" s="10">
        <v>56.481599999999993</v>
      </c>
      <c r="K38" s="31" t="s">
        <v>42</v>
      </c>
      <c r="L38" s="24">
        <v>1660</v>
      </c>
      <c r="M38" s="26">
        <v>2.5099999999999998</v>
      </c>
      <c r="N38" s="29" t="s">
        <v>26</v>
      </c>
      <c r="O38" s="29" t="s">
        <v>37</v>
      </c>
      <c r="P38" s="27" t="e">
        <f t="shared" ca="1" si="1"/>
        <v>#NAME?</v>
      </c>
      <c r="Q38" s="28" t="e">
        <f ca="1"/>
        <v>#NAME?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2.75">
      <c r="A39" s="29" t="s">
        <v>53</v>
      </c>
      <c r="B39" s="29" t="s">
        <v>431</v>
      </c>
      <c r="C39" s="30">
        <v>49</v>
      </c>
      <c r="D39" s="30">
        <v>156</v>
      </c>
      <c r="E39" s="30">
        <v>62</v>
      </c>
      <c r="F39" s="9" t="str">
        <v>25.5 (Overweight)</v>
      </c>
      <c r="G39" s="9" t="str">
        <f t="shared" si="0"/>
        <v>Overweight</v>
      </c>
      <c r="H39" s="24">
        <f ca="1">IFERROR(__xludf.DUMMYFUNCTION("""COMPUTED_VALUE"""),25.5)</f>
        <v>25.5</v>
      </c>
      <c r="I39" s="24">
        <v>21</v>
      </c>
      <c r="J39" s="10">
        <v>51.105600000000003</v>
      </c>
      <c r="K39" s="31" t="s">
        <v>42</v>
      </c>
      <c r="L39" s="24">
        <v>1355</v>
      </c>
      <c r="M39" s="26">
        <v>2.0499999999999998</v>
      </c>
      <c r="N39" s="29" t="s">
        <v>34</v>
      </c>
      <c r="O39" s="29" t="s">
        <v>19</v>
      </c>
      <c r="P39" s="27" t="e">
        <f t="shared" ca="1" si="1"/>
        <v>#NAME?</v>
      </c>
      <c r="Q39" s="28" t="e">
        <f ca="1"/>
        <v>#NAME?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2.75">
      <c r="A40" s="29" t="s">
        <v>78</v>
      </c>
      <c r="B40" s="29" t="s">
        <v>431</v>
      </c>
      <c r="C40" s="30">
        <v>32</v>
      </c>
      <c r="D40" s="30">
        <v>189</v>
      </c>
      <c r="E40" s="30">
        <v>62</v>
      </c>
      <c r="F40" s="9" t="str">
        <v>17.4 (Underweight)</v>
      </c>
      <c r="G40" s="9" t="str">
        <f t="shared" si="0"/>
        <v>Underweight</v>
      </c>
      <c r="H40" s="24">
        <f ca="1">IFERROR(__xludf.DUMMYFUNCTION("""COMPUTED_VALUE"""),17.4)</f>
        <v>17.399999999999999</v>
      </c>
      <c r="I40" s="24">
        <v>21</v>
      </c>
      <c r="J40" s="10">
        <v>75.014099999999999</v>
      </c>
      <c r="K40" s="31" t="s">
        <v>18</v>
      </c>
      <c r="L40" s="24">
        <v>1646.25</v>
      </c>
      <c r="M40" s="26">
        <v>2.0499999999999998</v>
      </c>
      <c r="N40" s="29" t="s">
        <v>16</v>
      </c>
      <c r="O40" s="29" t="s">
        <v>30</v>
      </c>
      <c r="P40" s="27" t="e">
        <f t="shared" ca="1" si="1"/>
        <v>#NAME?</v>
      </c>
      <c r="Q40" s="28" t="e">
        <f ca="1"/>
        <v>#NAME?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2.75">
      <c r="A41" s="29" t="s">
        <v>79</v>
      </c>
      <c r="B41" s="29" t="s">
        <v>431</v>
      </c>
      <c r="C41" s="30">
        <v>45</v>
      </c>
      <c r="D41" s="30">
        <v>184</v>
      </c>
      <c r="E41" s="30">
        <v>56</v>
      </c>
      <c r="F41" s="9" t="str">
        <v>16.5 (Underweight)</v>
      </c>
      <c r="G41" s="9" t="str">
        <f t="shared" si="0"/>
        <v>Underweight</v>
      </c>
      <c r="H41" s="24">
        <f ca="1">IFERROR(__xludf.DUMMYFUNCTION("""COMPUTED_VALUE"""),16.5)</f>
        <v>16.5</v>
      </c>
      <c r="I41" s="24">
        <v>21</v>
      </c>
      <c r="J41" s="10">
        <v>71.0976</v>
      </c>
      <c r="K41" s="31" t="s">
        <v>18</v>
      </c>
      <c r="L41" s="24">
        <v>1490</v>
      </c>
      <c r="M41" s="26">
        <v>1.85</v>
      </c>
      <c r="N41" s="29" t="s">
        <v>16</v>
      </c>
      <c r="O41" s="29" t="s">
        <v>63</v>
      </c>
      <c r="P41" s="27" t="e">
        <f t="shared" ca="1" si="1"/>
        <v>#NAME?</v>
      </c>
      <c r="Q41" s="28" t="e">
        <f ca="1"/>
        <v>#NAME?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2.75">
      <c r="A42" s="29" t="s">
        <v>80</v>
      </c>
      <c r="B42" s="29" t="s">
        <v>431</v>
      </c>
      <c r="C42" s="30">
        <v>50</v>
      </c>
      <c r="D42" s="30">
        <v>168</v>
      </c>
      <c r="E42" s="30">
        <v>64</v>
      </c>
      <c r="F42" s="9" t="str">
        <v>22.7 (Normal)</v>
      </c>
      <c r="G42" s="9" t="str">
        <f t="shared" si="0"/>
        <v>Normal</v>
      </c>
      <c r="H42" s="24">
        <f ca="1">IFERROR(__xludf.DUMMYFUNCTION("""COMPUTED_VALUE"""),22.7)</f>
        <v>22.7</v>
      </c>
      <c r="I42" s="24">
        <v>21</v>
      </c>
      <c r="J42" s="10">
        <v>59.270399999999988</v>
      </c>
      <c r="K42" s="31" t="s">
        <v>4</v>
      </c>
      <c r="L42" s="24">
        <v>1445</v>
      </c>
      <c r="M42" s="26">
        <v>2.11</v>
      </c>
      <c r="N42" s="29" t="s">
        <v>39</v>
      </c>
      <c r="O42" s="29" t="s">
        <v>63</v>
      </c>
      <c r="P42" s="27" t="e">
        <f t="shared" ca="1" si="1"/>
        <v>#NAME?</v>
      </c>
      <c r="Q42" s="28" t="e">
        <f ca="1"/>
        <v>#NAME?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2.75">
      <c r="A43" s="29" t="s">
        <v>81</v>
      </c>
      <c r="B43" s="29" t="s">
        <v>431</v>
      </c>
      <c r="C43" s="30">
        <v>31</v>
      </c>
      <c r="D43" s="30">
        <v>176</v>
      </c>
      <c r="E43" s="30">
        <v>56</v>
      </c>
      <c r="F43" s="9" t="str">
        <v>18.1 (Underweight)</v>
      </c>
      <c r="G43" s="9" t="str">
        <f t="shared" si="0"/>
        <v>Underweight</v>
      </c>
      <c r="H43" s="24">
        <f ca="1">IFERROR(__xludf.DUMMYFUNCTION("""COMPUTED_VALUE"""),18.1)</f>
        <v>18.100000000000001</v>
      </c>
      <c r="I43" s="24">
        <v>21</v>
      </c>
      <c r="J43" s="10">
        <v>65.049599999999998</v>
      </c>
      <c r="K43" s="31" t="s">
        <v>4</v>
      </c>
      <c r="L43" s="24">
        <v>1510</v>
      </c>
      <c r="M43" s="26">
        <v>1.85</v>
      </c>
      <c r="N43" s="29" t="s">
        <v>26</v>
      </c>
      <c r="O43" s="29" t="s">
        <v>19</v>
      </c>
      <c r="P43" s="27" t="e">
        <f t="shared" ca="1" si="1"/>
        <v>#NAME?</v>
      </c>
      <c r="Q43" s="28" t="e">
        <f ca="1"/>
        <v>#NAME?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2.75">
      <c r="A44" s="29" t="s">
        <v>82</v>
      </c>
      <c r="B44" s="29" t="s">
        <v>431</v>
      </c>
      <c r="C44" s="30">
        <v>43</v>
      </c>
      <c r="D44" s="30">
        <v>187</v>
      </c>
      <c r="E44" s="30">
        <v>75</v>
      </c>
      <c r="F44" s="9" t="str">
        <v>21.4 (Normal)</v>
      </c>
      <c r="G44" s="9" t="str">
        <f t="shared" si="0"/>
        <v>Normal</v>
      </c>
      <c r="H44" s="24">
        <f ca="1">IFERROR(__xludf.DUMMYFUNCTION("""COMPUTED_VALUE"""),21.4)</f>
        <v>21.4</v>
      </c>
      <c r="I44" s="24">
        <v>21</v>
      </c>
      <c r="J44" s="10">
        <v>73.434900000000013</v>
      </c>
      <c r="K44" s="31" t="s">
        <v>28</v>
      </c>
      <c r="L44" s="24">
        <v>1708.75</v>
      </c>
      <c r="M44" s="26">
        <v>2.48</v>
      </c>
      <c r="N44" s="29" t="s">
        <v>34</v>
      </c>
      <c r="O44" s="29" t="s">
        <v>37</v>
      </c>
      <c r="P44" s="27" t="e">
        <f t="shared" ca="1" si="1"/>
        <v>#NAME?</v>
      </c>
      <c r="Q44" s="28" t="e">
        <f ca="1"/>
        <v>#NAME?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2.75">
      <c r="A45" s="29" t="s">
        <v>83</v>
      </c>
      <c r="B45" s="29" t="s">
        <v>431</v>
      </c>
      <c r="C45" s="30">
        <v>58</v>
      </c>
      <c r="D45" s="30">
        <v>171</v>
      </c>
      <c r="E45" s="30">
        <v>58</v>
      </c>
      <c r="F45" s="9" t="str">
        <v>19.8 (Normal)</v>
      </c>
      <c r="G45" s="9" t="str">
        <f t="shared" si="0"/>
        <v>Normal</v>
      </c>
      <c r="H45" s="24">
        <f ca="1">IFERROR(__xludf.DUMMYFUNCTION("""COMPUTED_VALUE"""),19.8)</f>
        <v>19.8</v>
      </c>
      <c r="I45" s="24">
        <v>21</v>
      </c>
      <c r="J45" s="10">
        <v>61.406099999999995</v>
      </c>
      <c r="K45" s="31" t="s">
        <v>4</v>
      </c>
      <c r="L45" s="24">
        <v>1363.75</v>
      </c>
      <c r="M45" s="26">
        <v>1.91</v>
      </c>
      <c r="N45" s="29" t="s">
        <v>34</v>
      </c>
      <c r="O45" s="29" t="s">
        <v>7</v>
      </c>
      <c r="P45" s="27" t="e">
        <f t="shared" ca="1" si="1"/>
        <v>#NAME?</v>
      </c>
      <c r="Q45" s="28" t="e">
        <f ca="1"/>
        <v>#NAME?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2.75">
      <c r="A46" s="29" t="s">
        <v>84</v>
      </c>
      <c r="B46" s="29" t="s">
        <v>431</v>
      </c>
      <c r="C46" s="30">
        <v>32</v>
      </c>
      <c r="D46" s="30">
        <v>176</v>
      </c>
      <c r="E46" s="30">
        <v>105</v>
      </c>
      <c r="F46" s="9" t="str">
        <v>33.9 (Obese)</v>
      </c>
      <c r="G46" s="9" t="str">
        <f t="shared" si="0"/>
        <v>Obese</v>
      </c>
      <c r="H46" s="24">
        <f ca="1">IFERROR(__xludf.DUMMYFUNCTION("""COMPUTED_VALUE"""),33.9)</f>
        <v>33.9</v>
      </c>
      <c r="I46" s="24">
        <v>21</v>
      </c>
      <c r="J46" s="10">
        <v>65.049599999999998</v>
      </c>
      <c r="K46" s="31" t="s">
        <v>4</v>
      </c>
      <c r="L46" s="24">
        <v>1995</v>
      </c>
      <c r="M46" s="26">
        <v>3.47</v>
      </c>
      <c r="N46" s="29" t="s">
        <v>26</v>
      </c>
      <c r="O46" s="29" t="s">
        <v>30</v>
      </c>
      <c r="P46" s="27" t="e">
        <f t="shared" ca="1" si="1"/>
        <v>#NAME?</v>
      </c>
      <c r="Q46" s="28" t="e">
        <f ca="1"/>
        <v>#NAME?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2.75">
      <c r="A47" s="29" t="s">
        <v>85</v>
      </c>
      <c r="B47" s="29" t="s">
        <v>431</v>
      </c>
      <c r="C47" s="30">
        <v>41</v>
      </c>
      <c r="D47" s="30">
        <v>158</v>
      </c>
      <c r="E47" s="30">
        <v>91</v>
      </c>
      <c r="F47" s="9" t="str">
        <v>36.5 (Obese)</v>
      </c>
      <c r="G47" s="9" t="str">
        <f t="shared" si="0"/>
        <v>Obese</v>
      </c>
      <c r="H47" s="24">
        <f ca="1">IFERROR(__xludf.DUMMYFUNCTION("""COMPUTED_VALUE"""),36.5)</f>
        <v>36.5</v>
      </c>
      <c r="I47" s="24">
        <v>21</v>
      </c>
      <c r="J47" s="10">
        <v>52.424400000000006</v>
      </c>
      <c r="K47" s="31" t="s">
        <v>4</v>
      </c>
      <c r="L47" s="24">
        <v>1697.5</v>
      </c>
      <c r="M47" s="26">
        <v>3</v>
      </c>
      <c r="N47" s="29" t="s">
        <v>16</v>
      </c>
      <c r="O47" s="29" t="s">
        <v>7</v>
      </c>
      <c r="P47" s="27" t="e">
        <f t="shared" ca="1" si="1"/>
        <v>#NAME?</v>
      </c>
      <c r="Q47" s="28" t="e">
        <f ca="1"/>
        <v>#NAME?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2.75">
      <c r="A48" s="29" t="s">
        <v>86</v>
      </c>
      <c r="B48" s="29" t="s">
        <v>431</v>
      </c>
      <c r="C48" s="30">
        <v>37</v>
      </c>
      <c r="D48" s="30">
        <v>168</v>
      </c>
      <c r="E48" s="30">
        <v>91</v>
      </c>
      <c r="F48" s="9" t="str">
        <v>32.2 (Obese)</v>
      </c>
      <c r="G48" s="9" t="str">
        <f t="shared" si="0"/>
        <v>Obese</v>
      </c>
      <c r="H48" s="24">
        <f ca="1">IFERROR(__xludf.DUMMYFUNCTION("""COMPUTED_VALUE"""),32.2)</f>
        <v>32.200000000000003</v>
      </c>
      <c r="I48" s="24">
        <v>21</v>
      </c>
      <c r="J48" s="10">
        <v>59.270399999999988</v>
      </c>
      <c r="K48" s="31" t="s">
        <v>28</v>
      </c>
      <c r="L48" s="24">
        <v>1780</v>
      </c>
      <c r="M48" s="26">
        <v>3</v>
      </c>
      <c r="N48" s="29" t="s">
        <v>39</v>
      </c>
      <c r="O48" s="29" t="s">
        <v>37</v>
      </c>
      <c r="P48" s="27" t="e">
        <f t="shared" ca="1" si="1"/>
        <v>#NAME?</v>
      </c>
      <c r="Q48" s="28" t="e">
        <f ca="1"/>
        <v>#NAME?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2.75">
      <c r="A49" s="29" t="s">
        <v>87</v>
      </c>
      <c r="B49" s="29" t="s">
        <v>431</v>
      </c>
      <c r="C49" s="30">
        <v>33</v>
      </c>
      <c r="D49" s="30">
        <v>168</v>
      </c>
      <c r="E49" s="30">
        <v>63</v>
      </c>
      <c r="F49" s="9" t="str">
        <v>22.3 (Normal)</v>
      </c>
      <c r="G49" s="9" t="str">
        <f t="shared" si="0"/>
        <v>Normal</v>
      </c>
      <c r="H49" s="24">
        <f ca="1">IFERROR(__xludf.DUMMYFUNCTION("""COMPUTED_VALUE"""),22.3)</f>
        <v>22.3</v>
      </c>
      <c r="I49" s="24">
        <v>21</v>
      </c>
      <c r="J49" s="10">
        <v>59.270399999999988</v>
      </c>
      <c r="K49" s="31" t="s">
        <v>4</v>
      </c>
      <c r="L49" s="24">
        <v>1520</v>
      </c>
      <c r="M49" s="26">
        <v>2.08</v>
      </c>
      <c r="N49" s="29" t="s">
        <v>39</v>
      </c>
      <c r="O49" s="29" t="s">
        <v>60</v>
      </c>
      <c r="P49" s="27" t="e">
        <f t="shared" ca="1" si="1"/>
        <v>#NAME?</v>
      </c>
      <c r="Q49" s="28" t="e">
        <f ca="1"/>
        <v>#NAME?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2.75">
      <c r="A50" s="29" t="s">
        <v>57</v>
      </c>
      <c r="B50" s="29" t="s">
        <v>431</v>
      </c>
      <c r="C50" s="30">
        <v>56</v>
      </c>
      <c r="D50" s="30">
        <v>161</v>
      </c>
      <c r="E50" s="30">
        <v>60</v>
      </c>
      <c r="F50" s="9" t="str">
        <v>23.1 (Normal)</v>
      </c>
      <c r="G50" s="9" t="str">
        <f t="shared" si="0"/>
        <v>Normal</v>
      </c>
      <c r="H50" s="24">
        <f ca="1">IFERROR(__xludf.DUMMYFUNCTION("""COMPUTED_VALUE"""),23.1)</f>
        <v>23.1</v>
      </c>
      <c r="I50" s="24">
        <v>21</v>
      </c>
      <c r="J50" s="10">
        <v>54.434100000000008</v>
      </c>
      <c r="K50" s="31" t="s">
        <v>28</v>
      </c>
      <c r="L50" s="24">
        <v>1331.25</v>
      </c>
      <c r="M50" s="26">
        <v>1.98</v>
      </c>
      <c r="N50" s="29" t="s">
        <v>34</v>
      </c>
      <c r="O50" s="29" t="s">
        <v>7</v>
      </c>
      <c r="P50" s="27" t="e">
        <f t="shared" ca="1" si="1"/>
        <v>#NAME?</v>
      </c>
      <c r="Q50" s="28" t="e">
        <f ca="1"/>
        <v>#NAME?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2.75">
      <c r="A51" s="29" t="s">
        <v>88</v>
      </c>
      <c r="B51" s="29" t="s">
        <v>431</v>
      </c>
      <c r="C51" s="30">
        <v>48</v>
      </c>
      <c r="D51" s="30">
        <v>179</v>
      </c>
      <c r="E51" s="30">
        <v>52</v>
      </c>
      <c r="F51" s="9" t="str">
        <v>16.2 (Underweight)</v>
      </c>
      <c r="G51" s="9" t="str">
        <f t="shared" si="0"/>
        <v>Underweight</v>
      </c>
      <c r="H51" s="24">
        <f ca="1">IFERROR(__xludf.DUMMYFUNCTION("""COMPUTED_VALUE"""),16.2)</f>
        <v>16.2</v>
      </c>
      <c r="I51" s="24">
        <v>21</v>
      </c>
      <c r="J51" s="10">
        <v>67.286100000000005</v>
      </c>
      <c r="K51" s="31" t="s">
        <v>18</v>
      </c>
      <c r="L51" s="24">
        <v>1403.75</v>
      </c>
      <c r="M51" s="26">
        <v>1.72</v>
      </c>
      <c r="N51" s="29" t="s">
        <v>26</v>
      </c>
      <c r="O51" s="29" t="s">
        <v>30</v>
      </c>
      <c r="P51" s="27" t="e">
        <f t="shared" ca="1" si="1"/>
        <v>#NAME?</v>
      </c>
      <c r="Q51" s="28" t="e">
        <f ca="1"/>
        <v>#NAME?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2.75">
      <c r="A52" s="29" t="s">
        <v>89</v>
      </c>
      <c r="B52" s="29" t="s">
        <v>431</v>
      </c>
      <c r="C52" s="30">
        <v>21</v>
      </c>
      <c r="D52" s="30">
        <v>156</v>
      </c>
      <c r="E52" s="30">
        <v>72</v>
      </c>
      <c r="F52" s="9" t="str">
        <v>29.6 (Obese)</v>
      </c>
      <c r="G52" s="9" t="str">
        <f t="shared" si="0"/>
        <v>Obese</v>
      </c>
      <c r="H52" s="24">
        <f ca="1">IFERROR(__xludf.DUMMYFUNCTION("""COMPUTED_VALUE"""),29.6)</f>
        <v>29.6</v>
      </c>
      <c r="I52" s="24">
        <v>21</v>
      </c>
      <c r="J52" s="10">
        <v>51.105600000000003</v>
      </c>
      <c r="K52" s="31" t="s">
        <v>4</v>
      </c>
      <c r="L52" s="24">
        <v>1595</v>
      </c>
      <c r="M52" s="26">
        <v>2.38</v>
      </c>
      <c r="N52" s="29" t="s">
        <v>39</v>
      </c>
      <c r="O52" s="29" t="s">
        <v>30</v>
      </c>
      <c r="P52" s="27" t="e">
        <f t="shared" ca="1" si="1"/>
        <v>#NAME?</v>
      </c>
      <c r="Q52" s="28" t="e">
        <f ca="1"/>
        <v>#NAME?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2.75">
      <c r="A53" s="29" t="s">
        <v>90</v>
      </c>
      <c r="B53" s="29" t="s">
        <v>431</v>
      </c>
      <c r="C53" s="30">
        <v>56</v>
      </c>
      <c r="D53" s="30">
        <v>173</v>
      </c>
      <c r="E53" s="30">
        <v>93</v>
      </c>
      <c r="F53" s="9" t="str">
        <v>31.1 (Obese)</v>
      </c>
      <c r="G53" s="9" t="str">
        <f t="shared" si="0"/>
        <v>Obese</v>
      </c>
      <c r="H53" s="24">
        <f ca="1">IFERROR(__xludf.DUMMYFUNCTION("""COMPUTED_VALUE"""),31.1)</f>
        <v>31.1</v>
      </c>
      <c r="I53" s="24">
        <v>21</v>
      </c>
      <c r="J53" s="10">
        <v>62.850900000000003</v>
      </c>
      <c r="K53" s="31" t="s">
        <v>4</v>
      </c>
      <c r="L53" s="24">
        <v>1736.25</v>
      </c>
      <c r="M53" s="26">
        <v>3.07</v>
      </c>
      <c r="N53" s="29" t="s">
        <v>16</v>
      </c>
      <c r="O53" s="29" t="s">
        <v>37</v>
      </c>
      <c r="P53" s="27" t="e">
        <f t="shared" ca="1" si="1"/>
        <v>#NAME?</v>
      </c>
      <c r="Q53" s="28" t="e">
        <f ca="1"/>
        <v>#NAME?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2.75">
      <c r="A54" s="29" t="s">
        <v>91</v>
      </c>
      <c r="B54" s="29" t="s">
        <v>431</v>
      </c>
      <c r="C54" s="30">
        <v>40</v>
      </c>
      <c r="D54" s="30">
        <v>175</v>
      </c>
      <c r="E54" s="30">
        <v>87</v>
      </c>
      <c r="F54" s="9" t="str">
        <v>28.4 (Obese)</v>
      </c>
      <c r="G54" s="9" t="str">
        <f t="shared" si="0"/>
        <v>Obese</v>
      </c>
      <c r="H54" s="24">
        <f ca="1">IFERROR(__xludf.DUMMYFUNCTION("""COMPUTED_VALUE"""),28.4)</f>
        <v>28.4</v>
      </c>
      <c r="I54" s="24">
        <v>21</v>
      </c>
      <c r="J54" s="10">
        <v>64.3125</v>
      </c>
      <c r="K54" s="31" t="s">
        <v>42</v>
      </c>
      <c r="L54" s="24">
        <v>1768.75</v>
      </c>
      <c r="M54" s="26">
        <v>2.87</v>
      </c>
      <c r="N54" s="29" t="s">
        <v>16</v>
      </c>
      <c r="O54" s="29" t="s">
        <v>60</v>
      </c>
      <c r="P54" s="27" t="e">
        <f t="shared" ca="1" si="1"/>
        <v>#NAME?</v>
      </c>
      <c r="Q54" s="28" t="e">
        <f ca="1"/>
        <v>#NAME?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2.75">
      <c r="A55" s="29" t="s">
        <v>92</v>
      </c>
      <c r="B55" s="29" t="s">
        <v>431</v>
      </c>
      <c r="C55" s="30">
        <v>55</v>
      </c>
      <c r="D55" s="30">
        <v>183</v>
      </c>
      <c r="E55" s="30">
        <v>53</v>
      </c>
      <c r="F55" s="9" t="str">
        <v>15.8 (Underweight)</v>
      </c>
      <c r="G55" s="9" t="str">
        <f t="shared" si="0"/>
        <v>Underweight</v>
      </c>
      <c r="H55" s="24">
        <f ca="1">IFERROR(__xludf.DUMMYFUNCTION("""COMPUTED_VALUE"""),15.8)</f>
        <v>15.8</v>
      </c>
      <c r="I55" s="24">
        <v>21</v>
      </c>
      <c r="J55" s="10">
        <v>70.326900000000009</v>
      </c>
      <c r="K55" s="31" t="s">
        <v>18</v>
      </c>
      <c r="L55" s="24">
        <v>1403.75</v>
      </c>
      <c r="M55" s="26">
        <v>1.75</v>
      </c>
      <c r="N55" s="29" t="s">
        <v>16</v>
      </c>
      <c r="O55" s="29" t="s">
        <v>30</v>
      </c>
      <c r="P55" s="27" t="e">
        <f t="shared" ca="1" si="1"/>
        <v>#NAME?</v>
      </c>
      <c r="Q55" s="28" t="e">
        <f ca="1"/>
        <v>#NAME?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2.75">
      <c r="A56" s="29" t="s">
        <v>70</v>
      </c>
      <c r="B56" s="29" t="s">
        <v>431</v>
      </c>
      <c r="C56" s="30">
        <v>56</v>
      </c>
      <c r="D56" s="30">
        <v>180</v>
      </c>
      <c r="E56" s="30">
        <v>82</v>
      </c>
      <c r="F56" s="9" t="str">
        <v>25.3 (Overweight)</v>
      </c>
      <c r="G56" s="9" t="str">
        <f t="shared" si="0"/>
        <v>Overweight</v>
      </c>
      <c r="H56" s="24">
        <f ca="1">IFERROR(__xludf.DUMMYFUNCTION("""COMPUTED_VALUE"""),25.3)</f>
        <v>25.3</v>
      </c>
      <c r="I56" s="24">
        <v>21</v>
      </c>
      <c r="J56" s="10">
        <v>68.040000000000006</v>
      </c>
      <c r="K56" s="31" t="s">
        <v>18</v>
      </c>
      <c r="L56" s="24">
        <v>1670</v>
      </c>
      <c r="M56" s="26">
        <v>2.71</v>
      </c>
      <c r="N56" s="29" t="s">
        <v>16</v>
      </c>
      <c r="O56" s="29" t="s">
        <v>63</v>
      </c>
      <c r="P56" s="27" t="e">
        <f t="shared" ca="1" si="1"/>
        <v>#NAME?</v>
      </c>
      <c r="Q56" s="28" t="e">
        <f ca="1"/>
        <v>#NAME?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2.75">
      <c r="A57" s="29" t="s">
        <v>93</v>
      </c>
      <c r="B57" s="29" t="s">
        <v>431</v>
      </c>
      <c r="C57" s="30">
        <v>22</v>
      </c>
      <c r="D57" s="30">
        <v>163</v>
      </c>
      <c r="E57" s="30">
        <v>86</v>
      </c>
      <c r="F57" s="9" t="str">
        <v>32.4 (Obese)</v>
      </c>
      <c r="G57" s="9" t="str">
        <f t="shared" si="0"/>
        <v>Obese</v>
      </c>
      <c r="H57" s="24">
        <f ca="1">IFERROR(__xludf.DUMMYFUNCTION("""COMPUTED_VALUE"""),32.4)</f>
        <v>32.4</v>
      </c>
      <c r="I57" s="24">
        <v>21</v>
      </c>
      <c r="J57" s="10">
        <v>55.794899999999998</v>
      </c>
      <c r="K57" s="31" t="s">
        <v>18</v>
      </c>
      <c r="L57" s="24">
        <v>1773.75</v>
      </c>
      <c r="M57" s="26">
        <v>2.84</v>
      </c>
      <c r="N57" s="29" t="s">
        <v>39</v>
      </c>
      <c r="O57" s="29" t="s">
        <v>30</v>
      </c>
      <c r="P57" s="27" t="e">
        <f t="shared" ca="1" si="1"/>
        <v>#NAME?</v>
      </c>
      <c r="Q57" s="28" t="e">
        <f ca="1"/>
        <v>#NAME?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2.75">
      <c r="A58" s="29" t="s">
        <v>94</v>
      </c>
      <c r="B58" s="29" t="s">
        <v>431</v>
      </c>
      <c r="C58" s="30">
        <v>27</v>
      </c>
      <c r="D58" s="30">
        <v>183</v>
      </c>
      <c r="E58" s="30">
        <v>101</v>
      </c>
      <c r="F58" s="9" t="str">
        <v>30.2 (Obese)</v>
      </c>
      <c r="G58" s="9" t="str">
        <f t="shared" si="0"/>
        <v>Obese</v>
      </c>
      <c r="H58" s="24">
        <f ca="1">IFERROR(__xludf.DUMMYFUNCTION("""COMPUTED_VALUE"""),30.2)</f>
        <v>30.2</v>
      </c>
      <c r="I58" s="24">
        <v>21</v>
      </c>
      <c r="J58" s="10">
        <v>70.326900000000009</v>
      </c>
      <c r="K58" s="31" t="s">
        <v>28</v>
      </c>
      <c r="L58" s="24">
        <v>2023.75</v>
      </c>
      <c r="M58" s="26">
        <v>3.33</v>
      </c>
      <c r="N58" s="29" t="s">
        <v>34</v>
      </c>
      <c r="O58" s="29" t="s">
        <v>19</v>
      </c>
      <c r="P58" s="27" t="e">
        <f t="shared" ca="1" si="1"/>
        <v>#NAME?</v>
      </c>
      <c r="Q58" s="28" t="e">
        <f ca="1"/>
        <v>#NAME?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2.75">
      <c r="A59" s="29" t="s">
        <v>95</v>
      </c>
      <c r="B59" s="29" t="s">
        <v>431</v>
      </c>
      <c r="C59" s="30">
        <v>36</v>
      </c>
      <c r="D59" s="30">
        <v>169</v>
      </c>
      <c r="E59" s="30">
        <v>71</v>
      </c>
      <c r="F59" s="9" t="str">
        <v>24.9 (Normal)</v>
      </c>
      <c r="G59" s="9" t="str">
        <f t="shared" si="0"/>
        <v>Normal</v>
      </c>
      <c r="H59" s="24">
        <f ca="1">IFERROR(__xludf.DUMMYFUNCTION("""COMPUTED_VALUE"""),24.9)</f>
        <v>24.9</v>
      </c>
      <c r="I59" s="24">
        <v>21</v>
      </c>
      <c r="J59" s="10">
        <v>59.978099999999991</v>
      </c>
      <c r="K59" s="31" t="s">
        <v>28</v>
      </c>
      <c r="L59" s="24">
        <v>1591.25</v>
      </c>
      <c r="M59" s="26">
        <v>2.34</v>
      </c>
      <c r="N59" s="29" t="s">
        <v>26</v>
      </c>
      <c r="O59" s="29" t="s">
        <v>7</v>
      </c>
      <c r="P59" s="27" t="e">
        <f t="shared" ca="1" si="1"/>
        <v>#NAME?</v>
      </c>
      <c r="Q59" s="28" t="e">
        <f ca="1"/>
        <v>#NAME?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2.75">
      <c r="A60" s="29" t="s">
        <v>96</v>
      </c>
      <c r="B60" s="29" t="s">
        <v>431</v>
      </c>
      <c r="C60" s="30">
        <v>25</v>
      </c>
      <c r="D60" s="30">
        <v>168</v>
      </c>
      <c r="E60" s="30">
        <v>90</v>
      </c>
      <c r="F60" s="9" t="str">
        <v>31.9 (Obese)</v>
      </c>
      <c r="G60" s="9" t="str">
        <f t="shared" si="0"/>
        <v>Obese</v>
      </c>
      <c r="H60" s="24">
        <f ca="1">IFERROR(__xludf.DUMMYFUNCTION("""COMPUTED_VALUE"""),31.9)</f>
        <v>31.9</v>
      </c>
      <c r="I60" s="24">
        <v>21</v>
      </c>
      <c r="J60" s="10">
        <v>59.270399999999988</v>
      </c>
      <c r="K60" s="31" t="s">
        <v>42</v>
      </c>
      <c r="L60" s="24">
        <v>1830</v>
      </c>
      <c r="M60" s="26">
        <v>2.97</v>
      </c>
      <c r="N60" s="29" t="s">
        <v>16</v>
      </c>
      <c r="O60" s="29" t="s">
        <v>37</v>
      </c>
      <c r="P60" s="27" t="e">
        <f t="shared" ca="1" si="1"/>
        <v>#NAME?</v>
      </c>
      <c r="Q60" s="28" t="e">
        <f ca="1"/>
        <v>#NAME?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2.75">
      <c r="A61" s="29" t="s">
        <v>98</v>
      </c>
      <c r="B61" s="29" t="s">
        <v>431</v>
      </c>
      <c r="C61" s="30">
        <v>54</v>
      </c>
      <c r="D61" s="30">
        <v>181</v>
      </c>
      <c r="E61" s="30">
        <v>88</v>
      </c>
      <c r="F61" s="9" t="str">
        <v>26.9 (Overweight)</v>
      </c>
      <c r="G61" s="9" t="str">
        <f t="shared" si="0"/>
        <v>Overweight</v>
      </c>
      <c r="H61" s="24">
        <f ca="1">IFERROR(__xludf.DUMMYFUNCTION("""COMPUTED_VALUE"""),26.9)</f>
        <v>26.9</v>
      </c>
      <c r="I61" s="24">
        <v>21</v>
      </c>
      <c r="J61" s="10">
        <v>68.798100000000005</v>
      </c>
      <c r="K61" s="31" t="s">
        <v>28</v>
      </c>
      <c r="L61" s="24">
        <v>1746.25</v>
      </c>
      <c r="M61" s="26">
        <v>2.9</v>
      </c>
      <c r="N61" s="29" t="s">
        <v>26</v>
      </c>
      <c r="O61" s="29" t="s">
        <v>37</v>
      </c>
      <c r="P61" s="27" t="e">
        <f t="shared" ca="1" si="1"/>
        <v>#NAME?</v>
      </c>
      <c r="Q61" s="28" t="e">
        <f ca="1"/>
        <v>#NAME?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2.75">
      <c r="A62" s="29" t="s">
        <v>99</v>
      </c>
      <c r="B62" s="29" t="s">
        <v>431</v>
      </c>
      <c r="C62" s="30">
        <v>34</v>
      </c>
      <c r="D62" s="30">
        <v>170</v>
      </c>
      <c r="E62" s="30">
        <v>92</v>
      </c>
      <c r="F62" s="9" t="str">
        <v>31.8 (Obese)</v>
      </c>
      <c r="G62" s="9" t="str">
        <f t="shared" si="0"/>
        <v>Obese</v>
      </c>
      <c r="H62" s="24">
        <f ca="1">IFERROR(__xludf.DUMMYFUNCTION("""COMPUTED_VALUE"""),31.8)</f>
        <v>31.8</v>
      </c>
      <c r="I62" s="24">
        <v>21</v>
      </c>
      <c r="J62" s="10">
        <v>60.689999999999991</v>
      </c>
      <c r="K62" s="31" t="s">
        <v>28</v>
      </c>
      <c r="L62" s="24">
        <v>1817.5</v>
      </c>
      <c r="M62" s="26">
        <v>3.04</v>
      </c>
      <c r="N62" s="29" t="s">
        <v>39</v>
      </c>
      <c r="O62" s="29" t="s">
        <v>30</v>
      </c>
      <c r="P62" s="27" t="e">
        <f t="shared" ca="1" si="1"/>
        <v>#NAME?</v>
      </c>
      <c r="Q62" s="28" t="e">
        <f ca="1"/>
        <v>#NAME?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2.75">
      <c r="A63" s="29" t="s">
        <v>100</v>
      </c>
      <c r="B63" s="29" t="s">
        <v>431</v>
      </c>
      <c r="C63" s="30">
        <v>41</v>
      </c>
      <c r="D63" s="30">
        <v>176</v>
      </c>
      <c r="E63" s="30">
        <v>77</v>
      </c>
      <c r="F63" s="9" t="str">
        <v>24.9 (Normal)</v>
      </c>
      <c r="G63" s="9" t="str">
        <f t="shared" si="0"/>
        <v>Normal</v>
      </c>
      <c r="H63" s="24">
        <f ca="1">IFERROR(__xludf.DUMMYFUNCTION("""COMPUTED_VALUE"""),24.9)</f>
        <v>24.9</v>
      </c>
      <c r="I63" s="24">
        <v>21</v>
      </c>
      <c r="J63" s="10">
        <v>65.049599999999998</v>
      </c>
      <c r="K63" s="31" t="s">
        <v>42</v>
      </c>
      <c r="L63" s="24">
        <v>1670</v>
      </c>
      <c r="M63" s="26">
        <v>2.54</v>
      </c>
      <c r="N63" s="29" t="s">
        <v>26</v>
      </c>
      <c r="O63" s="29" t="s">
        <v>30</v>
      </c>
      <c r="P63" s="27" t="e">
        <f t="shared" ca="1" si="1"/>
        <v>#NAME?</v>
      </c>
      <c r="Q63" s="28" t="e">
        <f ca="1"/>
        <v>#NAME?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2.75">
      <c r="A64" s="29" t="s">
        <v>101</v>
      </c>
      <c r="B64" s="29" t="s">
        <v>431</v>
      </c>
      <c r="C64" s="30">
        <v>57</v>
      </c>
      <c r="D64" s="30">
        <v>183</v>
      </c>
      <c r="E64" s="30">
        <v>97</v>
      </c>
      <c r="F64" s="9" t="str">
        <v>29.0 (Obese)</v>
      </c>
      <c r="G64" s="9" t="str">
        <f t="shared" si="0"/>
        <v>Obese</v>
      </c>
      <c r="H64" s="24">
        <f ca="1">IFERROR(__xludf.DUMMYFUNCTION("""COMPUTED_VALUE"""),29)</f>
        <v>29</v>
      </c>
      <c r="I64" s="24">
        <v>21</v>
      </c>
      <c r="J64" s="10">
        <v>70.326900000000009</v>
      </c>
      <c r="K64" s="31" t="s">
        <v>4</v>
      </c>
      <c r="L64" s="24">
        <v>1833.75</v>
      </c>
      <c r="M64" s="26">
        <v>3.2</v>
      </c>
      <c r="N64" s="29" t="s">
        <v>26</v>
      </c>
      <c r="O64" s="29" t="s">
        <v>7</v>
      </c>
      <c r="P64" s="27" t="e">
        <f t="shared" ca="1" si="1"/>
        <v>#NAME?</v>
      </c>
      <c r="Q64" s="28" t="e">
        <f ca="1"/>
        <v>#NAME?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2.75">
      <c r="A65" s="29" t="s">
        <v>102</v>
      </c>
      <c r="B65" s="29" t="s">
        <v>431</v>
      </c>
      <c r="C65" s="30">
        <v>26</v>
      </c>
      <c r="D65" s="30">
        <v>161</v>
      </c>
      <c r="E65" s="30">
        <v>88</v>
      </c>
      <c r="F65" s="9" t="str">
        <v>33.9 (Obese)</v>
      </c>
      <c r="G65" s="9" t="str">
        <f t="shared" si="0"/>
        <v>Obese</v>
      </c>
      <c r="H65" s="24">
        <f ca="1">IFERROR(__xludf.DUMMYFUNCTION("""COMPUTED_VALUE"""),33.9)</f>
        <v>33.9</v>
      </c>
      <c r="I65" s="24">
        <v>21</v>
      </c>
      <c r="J65" s="10">
        <v>54.434100000000008</v>
      </c>
      <c r="K65" s="31" t="s">
        <v>42</v>
      </c>
      <c r="L65" s="24">
        <v>1761.25</v>
      </c>
      <c r="M65" s="26">
        <v>2.9</v>
      </c>
      <c r="N65" s="29" t="s">
        <v>34</v>
      </c>
      <c r="O65" s="29" t="s">
        <v>37</v>
      </c>
      <c r="P65" s="27" t="e">
        <f t="shared" ca="1" si="1"/>
        <v>#NAME?</v>
      </c>
      <c r="Q65" s="28" t="e">
        <f ca="1"/>
        <v>#NAME?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2.75">
      <c r="A66" s="29" t="s">
        <v>103</v>
      </c>
      <c r="B66" s="29" t="s">
        <v>431</v>
      </c>
      <c r="C66" s="30">
        <v>47</v>
      </c>
      <c r="D66" s="30">
        <v>187</v>
      </c>
      <c r="E66" s="30">
        <v>96</v>
      </c>
      <c r="F66" s="9" t="str">
        <v>27.5 (Overweight)</v>
      </c>
      <c r="G66" s="9" t="str">
        <f t="shared" si="0"/>
        <v>Overweight</v>
      </c>
      <c r="H66" s="24">
        <f ca="1">IFERROR(__xludf.DUMMYFUNCTION("""COMPUTED_VALUE"""),27.5)</f>
        <v>27.5</v>
      </c>
      <c r="I66" s="24">
        <v>21</v>
      </c>
      <c r="J66" s="10">
        <v>73.434900000000013</v>
      </c>
      <c r="K66" s="31" t="s">
        <v>4</v>
      </c>
      <c r="L66" s="24">
        <v>1898.75</v>
      </c>
      <c r="M66" s="26">
        <v>3.17</v>
      </c>
      <c r="N66" s="29" t="s">
        <v>26</v>
      </c>
      <c r="O66" s="29" t="s">
        <v>30</v>
      </c>
      <c r="P66" s="27" t="e">
        <f t="shared" ca="1" si="1"/>
        <v>#NAME?</v>
      </c>
      <c r="Q66" s="28" t="e">
        <f ca="1"/>
        <v>#NAME?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2.75">
      <c r="A67" s="29" t="s">
        <v>104</v>
      </c>
      <c r="B67" s="29" t="s">
        <v>431</v>
      </c>
      <c r="C67" s="30">
        <v>40</v>
      </c>
      <c r="D67" s="30">
        <v>157</v>
      </c>
      <c r="E67" s="30">
        <v>93</v>
      </c>
      <c r="F67" s="9" t="str">
        <v>37.7 (Obese)</v>
      </c>
      <c r="G67" s="9" t="str">
        <f t="shared" si="0"/>
        <v>Obese</v>
      </c>
      <c r="H67" s="24">
        <f ca="1">IFERROR(__xludf.DUMMYFUNCTION("""COMPUTED_VALUE"""),37.7)</f>
        <v>37.700000000000003</v>
      </c>
      <c r="I67" s="24">
        <v>21</v>
      </c>
      <c r="J67" s="10">
        <v>51.762900000000002</v>
      </c>
      <c r="K67" s="31" t="s">
        <v>28</v>
      </c>
      <c r="L67" s="24">
        <v>1716.25</v>
      </c>
      <c r="M67" s="26">
        <v>3.07</v>
      </c>
      <c r="N67" s="29" t="s">
        <v>16</v>
      </c>
      <c r="O67" s="29" t="s">
        <v>60</v>
      </c>
      <c r="P67" s="27" t="e">
        <f t="shared" ca="1" si="1"/>
        <v>#NAME?</v>
      </c>
      <c r="Q67" s="28" t="e">
        <f ca="1"/>
        <v>#NAME?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2.75">
      <c r="A68" s="29" t="s">
        <v>105</v>
      </c>
      <c r="B68" s="29" t="s">
        <v>431</v>
      </c>
      <c r="C68" s="30">
        <v>58</v>
      </c>
      <c r="D68" s="30">
        <v>164</v>
      </c>
      <c r="E68" s="30">
        <v>54</v>
      </c>
      <c r="F68" s="9" t="str">
        <v>20.1 (Normal)</v>
      </c>
      <c r="G68" s="9" t="str">
        <f t="shared" si="0"/>
        <v>Normal</v>
      </c>
      <c r="H68" s="24">
        <f ca="1">IFERROR(__xludf.DUMMYFUNCTION("""COMPUTED_VALUE"""),20.1)</f>
        <v>20.100000000000001</v>
      </c>
      <c r="I68" s="24">
        <v>21</v>
      </c>
      <c r="J68" s="10">
        <v>56.481599999999993</v>
      </c>
      <c r="K68" s="31" t="s">
        <v>28</v>
      </c>
      <c r="L68" s="24">
        <v>1280</v>
      </c>
      <c r="M68" s="26">
        <v>1.78</v>
      </c>
      <c r="N68" s="29" t="s">
        <v>39</v>
      </c>
      <c r="O68" s="29" t="s">
        <v>63</v>
      </c>
      <c r="P68" s="27" t="e">
        <f t="shared" ca="1" si="1"/>
        <v>#NAME?</v>
      </c>
      <c r="Q68" s="28" t="e">
        <f ca="1"/>
        <v>#NAME?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2.75">
      <c r="A69" s="29" t="s">
        <v>106</v>
      </c>
      <c r="B69" s="29" t="s">
        <v>431</v>
      </c>
      <c r="C69" s="30">
        <v>20</v>
      </c>
      <c r="D69" s="30">
        <v>155</v>
      </c>
      <c r="E69" s="30">
        <v>65</v>
      </c>
      <c r="F69" s="9" t="str">
        <v>27.1 (Overweight)</v>
      </c>
      <c r="G69" s="9" t="str">
        <f t="shared" si="0"/>
        <v>Overweight</v>
      </c>
      <c r="H69" s="24">
        <f ca="1">IFERROR(__xludf.DUMMYFUNCTION("""COMPUTED_VALUE"""),27.1)</f>
        <v>27.1</v>
      </c>
      <c r="I69" s="24">
        <v>21</v>
      </c>
      <c r="J69" s="10">
        <v>50.452500000000008</v>
      </c>
      <c r="K69" s="31" t="s">
        <v>42</v>
      </c>
      <c r="L69" s="24">
        <v>1523.75</v>
      </c>
      <c r="M69" s="26">
        <v>2.15</v>
      </c>
      <c r="N69" s="29" t="s">
        <v>39</v>
      </c>
      <c r="O69" s="29" t="s">
        <v>60</v>
      </c>
      <c r="P69" s="27" t="e">
        <f t="shared" ca="1" si="1"/>
        <v>#NAME?</v>
      </c>
      <c r="Q69" s="28" t="e">
        <f ca="1"/>
        <v>#NAME?</v>
      </c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2.75">
      <c r="A70" s="29" t="s">
        <v>107</v>
      </c>
      <c r="B70" s="29" t="s">
        <v>431</v>
      </c>
      <c r="C70" s="30">
        <v>54</v>
      </c>
      <c r="D70" s="30">
        <v>189</v>
      </c>
      <c r="E70" s="30">
        <v>64</v>
      </c>
      <c r="F70" s="9" t="str">
        <v>17.9 (Underweight)</v>
      </c>
      <c r="G70" s="9" t="str">
        <f t="shared" si="0"/>
        <v>Underweight</v>
      </c>
      <c r="H70" s="24">
        <f ca="1">IFERROR(__xludf.DUMMYFUNCTION("""COMPUTED_VALUE"""),17.9)</f>
        <v>17.899999999999999</v>
      </c>
      <c r="I70" s="24">
        <v>21</v>
      </c>
      <c r="J70" s="10">
        <v>75.014099999999999</v>
      </c>
      <c r="K70" s="31" t="s">
        <v>4</v>
      </c>
      <c r="L70" s="24">
        <v>1556.25</v>
      </c>
      <c r="M70" s="26">
        <v>2.11</v>
      </c>
      <c r="N70" s="29" t="s">
        <v>34</v>
      </c>
      <c r="O70" s="29" t="s">
        <v>19</v>
      </c>
      <c r="P70" s="27" t="e">
        <f t="shared" ca="1" si="1"/>
        <v>#NAME?</v>
      </c>
      <c r="Q70" s="28" t="e">
        <f ca="1"/>
        <v>#NAME?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2.75">
      <c r="A71" s="29" t="s">
        <v>108</v>
      </c>
      <c r="B71" s="29" t="s">
        <v>431</v>
      </c>
      <c r="C71" s="30">
        <v>56</v>
      </c>
      <c r="D71" s="30">
        <v>174</v>
      </c>
      <c r="E71" s="30">
        <v>88</v>
      </c>
      <c r="F71" s="9" t="str">
        <v>29.1 (Obese)</v>
      </c>
      <c r="G71" s="9" t="str">
        <f t="shared" si="0"/>
        <v>Obese</v>
      </c>
      <c r="H71" s="24">
        <f ca="1">IFERROR(__xludf.DUMMYFUNCTION("""COMPUTED_VALUE"""),29.1)</f>
        <v>29.1</v>
      </c>
      <c r="I71" s="24">
        <v>21</v>
      </c>
      <c r="J71" s="10">
        <v>63.579599999999999</v>
      </c>
      <c r="K71" s="31" t="s">
        <v>42</v>
      </c>
      <c r="L71" s="24">
        <v>1692.5</v>
      </c>
      <c r="M71" s="26">
        <v>2.9</v>
      </c>
      <c r="N71" s="29" t="s">
        <v>39</v>
      </c>
      <c r="O71" s="29" t="s">
        <v>19</v>
      </c>
      <c r="P71" s="27" t="e">
        <f t="shared" ca="1" si="1"/>
        <v>#NAME?</v>
      </c>
      <c r="Q71" s="28" t="e">
        <f ca="1"/>
        <v>#NAME?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2.75">
      <c r="A72" s="29" t="s">
        <v>109</v>
      </c>
      <c r="B72" s="29" t="s">
        <v>431</v>
      </c>
      <c r="C72" s="30">
        <v>58</v>
      </c>
      <c r="D72" s="30">
        <v>188</v>
      </c>
      <c r="E72" s="30">
        <v>56</v>
      </c>
      <c r="F72" s="9" t="str">
        <v>15.8 (Underweight)</v>
      </c>
      <c r="G72" s="9" t="str">
        <f t="shared" si="0"/>
        <v>Underweight</v>
      </c>
      <c r="H72" s="24">
        <f ca="1">IFERROR(__xludf.DUMMYFUNCTION("""COMPUTED_VALUE"""),15.8)</f>
        <v>15.8</v>
      </c>
      <c r="I72" s="24">
        <v>21</v>
      </c>
      <c r="J72" s="10">
        <v>74.222399999999993</v>
      </c>
      <c r="K72" s="31" t="s">
        <v>28</v>
      </c>
      <c r="L72" s="24">
        <v>1450</v>
      </c>
      <c r="M72" s="26">
        <v>1.85</v>
      </c>
      <c r="N72" s="29" t="s">
        <v>16</v>
      </c>
      <c r="O72" s="29" t="s">
        <v>7</v>
      </c>
      <c r="P72" s="27" t="e">
        <f t="shared" ca="1" si="1"/>
        <v>#NAME?</v>
      </c>
      <c r="Q72" s="28" t="e">
        <f ca="1"/>
        <v>#NAME?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2.75">
      <c r="A73" s="29" t="s">
        <v>110</v>
      </c>
      <c r="B73" s="29" t="s">
        <v>431</v>
      </c>
      <c r="C73" s="30">
        <v>43</v>
      </c>
      <c r="D73" s="30">
        <v>171</v>
      </c>
      <c r="E73" s="30">
        <v>97</v>
      </c>
      <c r="F73" s="9" t="str">
        <v>33.2 (Obese)</v>
      </c>
      <c r="G73" s="9" t="str">
        <f t="shared" si="0"/>
        <v>Obese</v>
      </c>
      <c r="H73" s="24">
        <f ca="1">IFERROR(__xludf.DUMMYFUNCTION("""COMPUTED_VALUE"""),33.2)</f>
        <v>33.200000000000003</v>
      </c>
      <c r="I73" s="24">
        <v>21</v>
      </c>
      <c r="J73" s="10">
        <v>61.406099999999995</v>
      </c>
      <c r="K73" s="31" t="s">
        <v>28</v>
      </c>
      <c r="L73" s="24">
        <v>1828.75</v>
      </c>
      <c r="M73" s="26">
        <v>3.2</v>
      </c>
      <c r="N73" s="29" t="s">
        <v>16</v>
      </c>
      <c r="O73" s="29" t="s">
        <v>63</v>
      </c>
      <c r="P73" s="27" t="e">
        <f t="shared" ca="1" si="1"/>
        <v>#NAME?</v>
      </c>
      <c r="Q73" s="28" t="e">
        <f ca="1"/>
        <v>#NAME?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2.75">
      <c r="A74" s="29" t="s">
        <v>111</v>
      </c>
      <c r="B74" s="29" t="s">
        <v>431</v>
      </c>
      <c r="C74" s="30">
        <v>38</v>
      </c>
      <c r="D74" s="30">
        <v>168</v>
      </c>
      <c r="E74" s="30">
        <v>83</v>
      </c>
      <c r="F74" s="9" t="str">
        <v>29.4 (Obese)</v>
      </c>
      <c r="G74" s="9" t="str">
        <f t="shared" si="0"/>
        <v>Obese</v>
      </c>
      <c r="H74" s="24">
        <f ca="1">IFERROR(__xludf.DUMMYFUNCTION("""COMPUTED_VALUE"""),29.4)</f>
        <v>29.4</v>
      </c>
      <c r="I74" s="24">
        <v>21</v>
      </c>
      <c r="J74" s="10">
        <v>59.270399999999988</v>
      </c>
      <c r="K74" s="31" t="s">
        <v>42</v>
      </c>
      <c r="L74" s="24">
        <v>1695</v>
      </c>
      <c r="M74" s="26">
        <v>2.74</v>
      </c>
      <c r="N74" s="29" t="s">
        <v>34</v>
      </c>
      <c r="O74" s="29" t="s">
        <v>19</v>
      </c>
      <c r="P74" s="27" t="e">
        <f t="shared" ca="1" si="1"/>
        <v>#NAME?</v>
      </c>
      <c r="Q74" s="28" t="e">
        <f ca="1"/>
        <v>#NAME?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2.75">
      <c r="A75" s="29" t="s">
        <v>112</v>
      </c>
      <c r="B75" s="29" t="s">
        <v>431</v>
      </c>
      <c r="C75" s="30">
        <v>37</v>
      </c>
      <c r="D75" s="30">
        <v>160</v>
      </c>
      <c r="E75" s="30">
        <v>92</v>
      </c>
      <c r="F75" s="9" t="str">
        <v>35.9 (Obese)</v>
      </c>
      <c r="G75" s="9" t="str">
        <f t="shared" si="0"/>
        <v>Obese</v>
      </c>
      <c r="H75" s="24">
        <f ca="1">IFERROR(__xludf.DUMMYFUNCTION("""COMPUTED_VALUE"""),35.9)</f>
        <v>35.9</v>
      </c>
      <c r="I75" s="24">
        <v>21</v>
      </c>
      <c r="J75" s="10">
        <v>53.760000000000012</v>
      </c>
      <c r="K75" s="31" t="s">
        <v>4</v>
      </c>
      <c r="L75" s="24">
        <v>1740</v>
      </c>
      <c r="M75" s="26">
        <v>3.04</v>
      </c>
      <c r="N75" s="29" t="s">
        <v>16</v>
      </c>
      <c r="O75" s="29" t="s">
        <v>7</v>
      </c>
      <c r="P75" s="27" t="e">
        <f t="shared" ca="1" si="1"/>
        <v>#NAME?</v>
      </c>
      <c r="Q75" s="28" t="e">
        <f ca="1"/>
        <v>#NAME?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2.75">
      <c r="A76" s="29" t="s">
        <v>93</v>
      </c>
      <c r="B76" s="29" t="s">
        <v>431</v>
      </c>
      <c r="C76" s="30">
        <v>23</v>
      </c>
      <c r="D76" s="30">
        <v>161</v>
      </c>
      <c r="E76" s="30">
        <v>100</v>
      </c>
      <c r="F76" s="9" t="str">
        <v>38.6 (Obese)</v>
      </c>
      <c r="G76" s="9" t="str">
        <f t="shared" si="0"/>
        <v>Obese</v>
      </c>
      <c r="H76" s="24">
        <f ca="1">IFERROR(__xludf.DUMMYFUNCTION("""COMPUTED_VALUE"""),38.6)</f>
        <v>38.6</v>
      </c>
      <c r="I76" s="24">
        <v>21</v>
      </c>
      <c r="J76" s="10">
        <v>54.434100000000008</v>
      </c>
      <c r="K76" s="31" t="s">
        <v>42</v>
      </c>
      <c r="L76" s="24">
        <v>1896.25</v>
      </c>
      <c r="M76" s="26">
        <v>3.3</v>
      </c>
      <c r="N76" s="29" t="s">
        <v>16</v>
      </c>
      <c r="O76" s="29" t="s">
        <v>63</v>
      </c>
      <c r="P76" s="27" t="e">
        <f t="shared" ca="1" si="1"/>
        <v>#NAME?</v>
      </c>
      <c r="Q76" s="28" t="e">
        <f ca="1"/>
        <v>#NAME?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2.75">
      <c r="A77" s="29" t="s">
        <v>113</v>
      </c>
      <c r="B77" s="29" t="s">
        <v>431</v>
      </c>
      <c r="C77" s="30">
        <v>44</v>
      </c>
      <c r="D77" s="30">
        <v>172</v>
      </c>
      <c r="E77" s="30">
        <v>106</v>
      </c>
      <c r="F77" s="9" t="str">
        <v>35.8 (Obese)</v>
      </c>
      <c r="G77" s="9" t="str">
        <f t="shared" si="0"/>
        <v>Obese</v>
      </c>
      <c r="H77" s="24">
        <f ca="1">IFERROR(__xludf.DUMMYFUNCTION("""COMPUTED_VALUE"""),35.8)</f>
        <v>35.799999999999997</v>
      </c>
      <c r="I77" s="24">
        <v>21</v>
      </c>
      <c r="J77" s="10">
        <v>62.126399999999997</v>
      </c>
      <c r="K77" s="31" t="s">
        <v>18</v>
      </c>
      <c r="L77" s="24">
        <v>1920</v>
      </c>
      <c r="M77" s="26">
        <v>3.5</v>
      </c>
      <c r="N77" s="29" t="s">
        <v>26</v>
      </c>
      <c r="O77" s="29" t="s">
        <v>63</v>
      </c>
      <c r="P77" s="27" t="e">
        <f t="shared" ca="1" si="1"/>
        <v>#NAME?</v>
      </c>
      <c r="Q77" s="28" t="e">
        <f ca="1"/>
        <v>#NAME?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2.75">
      <c r="A78" s="29" t="s">
        <v>108</v>
      </c>
      <c r="B78" s="29" t="s">
        <v>431</v>
      </c>
      <c r="C78" s="30">
        <v>55</v>
      </c>
      <c r="D78" s="30">
        <v>158</v>
      </c>
      <c r="E78" s="30">
        <v>83</v>
      </c>
      <c r="F78" s="9" t="str">
        <v>33.2 (Obese)</v>
      </c>
      <c r="G78" s="9" t="str">
        <f t="shared" si="0"/>
        <v>Obese</v>
      </c>
      <c r="H78" s="24">
        <f ca="1">IFERROR(__xludf.DUMMYFUNCTION("""COMPUTED_VALUE"""),33.2)</f>
        <v>33.200000000000003</v>
      </c>
      <c r="I78" s="24">
        <v>21</v>
      </c>
      <c r="J78" s="10">
        <v>52.424400000000006</v>
      </c>
      <c r="K78" s="31" t="s">
        <v>42</v>
      </c>
      <c r="L78" s="24">
        <v>1547.5</v>
      </c>
      <c r="M78" s="26">
        <v>2.74</v>
      </c>
      <c r="N78" s="29" t="s">
        <v>26</v>
      </c>
      <c r="O78" s="29" t="s">
        <v>63</v>
      </c>
      <c r="P78" s="27" t="e">
        <f t="shared" ca="1" si="1"/>
        <v>#NAME?</v>
      </c>
      <c r="Q78" s="28" t="e">
        <f ca="1"/>
        <v>#NAME?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2.75">
      <c r="A79" s="29" t="s">
        <v>114</v>
      </c>
      <c r="B79" s="29" t="s">
        <v>431</v>
      </c>
      <c r="C79" s="30">
        <v>44</v>
      </c>
      <c r="D79" s="30">
        <v>178</v>
      </c>
      <c r="E79" s="30">
        <v>70</v>
      </c>
      <c r="F79" s="9" t="str">
        <v>22.1 (Normal)</v>
      </c>
      <c r="G79" s="9" t="str">
        <f t="shared" si="0"/>
        <v>Normal</v>
      </c>
      <c r="H79" s="24">
        <f ca="1">IFERROR(__xludf.DUMMYFUNCTION("""COMPUTED_VALUE"""),22.1)</f>
        <v>22.1</v>
      </c>
      <c r="I79" s="24">
        <v>21</v>
      </c>
      <c r="J79" s="10">
        <v>66.5364</v>
      </c>
      <c r="K79" s="31" t="s">
        <v>4</v>
      </c>
      <c r="L79" s="24">
        <v>1597.5</v>
      </c>
      <c r="M79" s="26">
        <v>2.31</v>
      </c>
      <c r="N79" s="29" t="s">
        <v>16</v>
      </c>
      <c r="O79" s="29" t="s">
        <v>60</v>
      </c>
      <c r="P79" s="27" t="e">
        <f t="shared" ca="1" si="1"/>
        <v>#NAME?</v>
      </c>
      <c r="Q79" s="28" t="e">
        <f ca="1"/>
        <v>#NAME?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2.75">
      <c r="A80" s="29" t="s">
        <v>115</v>
      </c>
      <c r="B80" s="29" t="s">
        <v>431</v>
      </c>
      <c r="C80" s="30">
        <v>28</v>
      </c>
      <c r="D80" s="30">
        <v>182</v>
      </c>
      <c r="E80" s="30">
        <v>50</v>
      </c>
      <c r="F80" s="9" t="str">
        <v>15.1 (Underweight)</v>
      </c>
      <c r="G80" s="9" t="str">
        <f t="shared" si="0"/>
        <v>Underweight</v>
      </c>
      <c r="H80" s="24">
        <f ca="1">IFERROR(__xludf.DUMMYFUNCTION("""COMPUTED_VALUE"""),15.1)</f>
        <v>15.1</v>
      </c>
      <c r="I80" s="24">
        <v>21</v>
      </c>
      <c r="J80" s="10">
        <v>69.560400000000001</v>
      </c>
      <c r="K80" s="31" t="s">
        <v>4</v>
      </c>
      <c r="L80" s="24">
        <v>1502.5</v>
      </c>
      <c r="M80" s="26">
        <v>1.65</v>
      </c>
      <c r="N80" s="29" t="s">
        <v>34</v>
      </c>
      <c r="O80" s="29" t="s">
        <v>30</v>
      </c>
      <c r="P80" s="27" t="e">
        <f t="shared" ca="1" si="1"/>
        <v>#NAME?</v>
      </c>
      <c r="Q80" s="28" t="e">
        <f ca="1"/>
        <v>#NAME?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2.75">
      <c r="A81" s="29" t="s">
        <v>116</v>
      </c>
      <c r="B81" s="29" t="s">
        <v>431</v>
      </c>
      <c r="C81" s="30">
        <v>50</v>
      </c>
      <c r="D81" s="30">
        <v>187</v>
      </c>
      <c r="E81" s="30">
        <v>86</v>
      </c>
      <c r="F81" s="9" t="str">
        <v>24.6 (Normal)</v>
      </c>
      <c r="G81" s="9" t="str">
        <f t="shared" si="0"/>
        <v>Normal</v>
      </c>
      <c r="H81" s="24">
        <f ca="1">IFERROR(__xludf.DUMMYFUNCTION("""COMPUTED_VALUE"""),24.6)</f>
        <v>24.6</v>
      </c>
      <c r="I81" s="24">
        <v>21</v>
      </c>
      <c r="J81" s="10">
        <v>73.434900000000013</v>
      </c>
      <c r="K81" s="31" t="s">
        <v>28</v>
      </c>
      <c r="L81" s="24">
        <v>1783.75</v>
      </c>
      <c r="M81" s="26">
        <v>2.84</v>
      </c>
      <c r="N81" s="29" t="s">
        <v>26</v>
      </c>
      <c r="O81" s="29" t="s">
        <v>30</v>
      </c>
      <c r="P81" s="27" t="e">
        <f t="shared" ca="1" si="1"/>
        <v>#NAME?</v>
      </c>
      <c r="Q81" s="28" t="e">
        <f ca="1"/>
        <v>#NAME?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2.75">
      <c r="A82" s="29" t="s">
        <v>117</v>
      </c>
      <c r="B82" s="29" t="s">
        <v>431</v>
      </c>
      <c r="C82" s="30">
        <v>24</v>
      </c>
      <c r="D82" s="30">
        <v>174</v>
      </c>
      <c r="E82" s="30">
        <v>77</v>
      </c>
      <c r="F82" s="9" t="str">
        <v>25.4 (Overweight)</v>
      </c>
      <c r="G82" s="9" t="str">
        <f t="shared" si="0"/>
        <v>Overweight</v>
      </c>
      <c r="H82" s="24">
        <f ca="1">IFERROR(__xludf.DUMMYFUNCTION("""COMPUTED_VALUE"""),25.4)</f>
        <v>25.4</v>
      </c>
      <c r="I82" s="24">
        <v>21</v>
      </c>
      <c r="J82" s="10">
        <v>63.579599999999999</v>
      </c>
      <c r="K82" s="31" t="s">
        <v>28</v>
      </c>
      <c r="L82" s="24">
        <v>1742.5</v>
      </c>
      <c r="M82" s="26">
        <v>2.54</v>
      </c>
      <c r="N82" s="29" t="s">
        <v>39</v>
      </c>
      <c r="O82" s="29" t="s">
        <v>7</v>
      </c>
      <c r="P82" s="27" t="e">
        <f t="shared" ca="1" si="1"/>
        <v>#NAME?</v>
      </c>
      <c r="Q82" s="28" t="e">
        <f ca="1"/>
        <v>#NAME?</v>
      </c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2.75">
      <c r="A83" s="29" t="s">
        <v>118</v>
      </c>
      <c r="B83" s="29" t="s">
        <v>431</v>
      </c>
      <c r="C83" s="30">
        <v>44</v>
      </c>
      <c r="D83" s="30">
        <v>181</v>
      </c>
      <c r="E83" s="30">
        <v>80</v>
      </c>
      <c r="F83" s="9" t="str">
        <v>24.4 (Normal)</v>
      </c>
      <c r="G83" s="9" t="str">
        <f t="shared" si="0"/>
        <v>Normal</v>
      </c>
      <c r="H83" s="24">
        <f ca="1">IFERROR(__xludf.DUMMYFUNCTION("""COMPUTED_VALUE"""),24.4)</f>
        <v>24.4</v>
      </c>
      <c r="I83" s="24">
        <v>21</v>
      </c>
      <c r="J83" s="10">
        <v>68.798100000000005</v>
      </c>
      <c r="K83" s="31" t="s">
        <v>4</v>
      </c>
      <c r="L83" s="24">
        <v>1716.25</v>
      </c>
      <c r="M83" s="26">
        <v>2.64</v>
      </c>
      <c r="N83" s="29" t="s">
        <v>34</v>
      </c>
      <c r="O83" s="29" t="s">
        <v>37</v>
      </c>
      <c r="P83" s="27" t="e">
        <f t="shared" ca="1" si="1"/>
        <v>#NAME?</v>
      </c>
      <c r="Q83" s="28" t="e">
        <f ca="1"/>
        <v>#NAME?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2.75">
      <c r="A84" s="29" t="s">
        <v>98</v>
      </c>
      <c r="B84" s="29" t="s">
        <v>431</v>
      </c>
      <c r="C84" s="30">
        <v>20</v>
      </c>
      <c r="D84" s="30">
        <v>162</v>
      </c>
      <c r="E84" s="30">
        <v>53</v>
      </c>
      <c r="F84" s="9" t="str">
        <v>20.2 (Normal)</v>
      </c>
      <c r="G84" s="9" t="str">
        <f t="shared" si="0"/>
        <v>Normal</v>
      </c>
      <c r="H84" s="24">
        <f ca="1">IFERROR(__xludf.DUMMYFUNCTION("""COMPUTED_VALUE"""),20.2)</f>
        <v>20.2</v>
      </c>
      <c r="I84" s="24">
        <v>21</v>
      </c>
      <c r="J84" s="10">
        <v>55.112400000000008</v>
      </c>
      <c r="K84" s="31" t="s">
        <v>42</v>
      </c>
      <c r="L84" s="24">
        <v>1447.5</v>
      </c>
      <c r="M84" s="26">
        <v>1.75</v>
      </c>
      <c r="N84" s="29" t="s">
        <v>16</v>
      </c>
      <c r="O84" s="29" t="s">
        <v>19</v>
      </c>
      <c r="P84" s="27" t="e">
        <f t="shared" ca="1" si="1"/>
        <v>#NAME?</v>
      </c>
      <c r="Q84" s="28" t="e">
        <f ca="1"/>
        <v>#NAME?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2.75">
      <c r="A85" s="29" t="s">
        <v>119</v>
      </c>
      <c r="B85" s="29" t="s">
        <v>431</v>
      </c>
      <c r="C85" s="30">
        <v>59</v>
      </c>
      <c r="D85" s="30">
        <v>163</v>
      </c>
      <c r="E85" s="30">
        <v>56</v>
      </c>
      <c r="F85" s="9" t="str">
        <v>21.1 (Normal)</v>
      </c>
      <c r="G85" s="9" t="str">
        <f t="shared" si="0"/>
        <v>Normal</v>
      </c>
      <c r="H85" s="24">
        <f ca="1">IFERROR(__xludf.DUMMYFUNCTION("""COMPUTED_VALUE"""),21.1)</f>
        <v>21.1</v>
      </c>
      <c r="I85" s="24">
        <v>21</v>
      </c>
      <c r="J85" s="10">
        <v>55.794899999999998</v>
      </c>
      <c r="K85" s="31" t="s">
        <v>42</v>
      </c>
      <c r="L85" s="24">
        <v>1288.75</v>
      </c>
      <c r="M85" s="26">
        <v>1.85</v>
      </c>
      <c r="N85" s="29" t="s">
        <v>34</v>
      </c>
      <c r="O85" s="29" t="s">
        <v>63</v>
      </c>
      <c r="P85" s="27" t="e">
        <f t="shared" ca="1" si="1"/>
        <v>#NAME?</v>
      </c>
      <c r="Q85" s="28" t="e">
        <f ca="1"/>
        <v>#NAME?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2.75">
      <c r="A86" s="29" t="s">
        <v>120</v>
      </c>
      <c r="B86" s="29" t="s">
        <v>431</v>
      </c>
      <c r="C86" s="30">
        <v>35</v>
      </c>
      <c r="D86" s="30">
        <v>160</v>
      </c>
      <c r="E86" s="30">
        <v>81</v>
      </c>
      <c r="F86" s="9" t="str">
        <v>31.6 (Obese)</v>
      </c>
      <c r="G86" s="9" t="str">
        <f t="shared" si="0"/>
        <v>Obese</v>
      </c>
      <c r="H86" s="24">
        <f ca="1">IFERROR(__xludf.DUMMYFUNCTION("""COMPUTED_VALUE"""),31.6)</f>
        <v>31.6</v>
      </c>
      <c r="I86" s="24">
        <v>21</v>
      </c>
      <c r="J86" s="10">
        <v>53.760000000000012</v>
      </c>
      <c r="K86" s="31" t="s">
        <v>28</v>
      </c>
      <c r="L86" s="24">
        <v>1640</v>
      </c>
      <c r="M86" s="26">
        <v>2.67</v>
      </c>
      <c r="N86" s="29" t="s">
        <v>39</v>
      </c>
      <c r="O86" s="29" t="s">
        <v>63</v>
      </c>
      <c r="P86" s="27" t="e">
        <f t="shared" ca="1" si="1"/>
        <v>#NAME?</v>
      </c>
      <c r="Q86" s="28" t="e">
        <f ca="1"/>
        <v>#NAME?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2.75">
      <c r="A87" s="29" t="s">
        <v>59</v>
      </c>
      <c r="B87" s="29" t="s">
        <v>431</v>
      </c>
      <c r="C87" s="30">
        <v>51</v>
      </c>
      <c r="D87" s="30">
        <v>187</v>
      </c>
      <c r="E87" s="30">
        <v>62</v>
      </c>
      <c r="F87" s="9" t="str">
        <v>17.7 (Underweight)</v>
      </c>
      <c r="G87" s="9" t="str">
        <f t="shared" si="0"/>
        <v>Underweight</v>
      </c>
      <c r="H87" s="24">
        <f ca="1">IFERROR(__xludf.DUMMYFUNCTION("""COMPUTED_VALUE"""),17.7)</f>
        <v>17.7</v>
      </c>
      <c r="I87" s="24">
        <v>21</v>
      </c>
      <c r="J87" s="10">
        <v>73.434900000000013</v>
      </c>
      <c r="K87" s="31" t="s">
        <v>42</v>
      </c>
      <c r="L87" s="24">
        <v>1538.75</v>
      </c>
      <c r="M87" s="26">
        <v>2.0499999999999998</v>
      </c>
      <c r="N87" s="29" t="s">
        <v>26</v>
      </c>
      <c r="O87" s="29" t="s">
        <v>60</v>
      </c>
      <c r="P87" s="27" t="e">
        <f t="shared" ca="1" si="1"/>
        <v>#NAME?</v>
      </c>
      <c r="Q87" s="28" t="e">
        <f ca="1"/>
        <v>#NAME?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2.75">
      <c r="A88" s="29" t="s">
        <v>102</v>
      </c>
      <c r="B88" s="29" t="s">
        <v>431</v>
      </c>
      <c r="C88" s="30">
        <v>48</v>
      </c>
      <c r="D88" s="30">
        <v>159</v>
      </c>
      <c r="E88" s="30">
        <v>81</v>
      </c>
      <c r="F88" s="9" t="str">
        <v>32.0 (Obese)</v>
      </c>
      <c r="G88" s="9" t="str">
        <f t="shared" si="0"/>
        <v>Obese</v>
      </c>
      <c r="H88" s="24">
        <f ca="1">IFERROR(__xludf.DUMMYFUNCTION("""COMPUTED_VALUE"""),32)</f>
        <v>32</v>
      </c>
      <c r="I88" s="24">
        <v>21</v>
      </c>
      <c r="J88" s="10">
        <v>53.090100000000007</v>
      </c>
      <c r="K88" s="31" t="s">
        <v>18</v>
      </c>
      <c r="L88" s="24">
        <v>1568.75</v>
      </c>
      <c r="M88" s="26">
        <v>2.67</v>
      </c>
      <c r="N88" s="29" t="s">
        <v>16</v>
      </c>
      <c r="O88" s="29" t="s">
        <v>60</v>
      </c>
      <c r="P88" s="27" t="e">
        <f t="shared" ca="1" si="1"/>
        <v>#NAME?</v>
      </c>
      <c r="Q88" s="28" t="e">
        <f ca="1"/>
        <v>#NAME?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2.75">
      <c r="A89" s="29" t="s">
        <v>122</v>
      </c>
      <c r="B89" s="29" t="s">
        <v>431</v>
      </c>
      <c r="C89" s="30">
        <v>38</v>
      </c>
      <c r="D89" s="30">
        <v>177</v>
      </c>
      <c r="E89" s="30">
        <v>84</v>
      </c>
      <c r="F89" s="9" t="str">
        <v>26.8 (Overweight)</v>
      </c>
      <c r="G89" s="9" t="str">
        <f t="shared" si="0"/>
        <v>Overweight</v>
      </c>
      <c r="H89" s="24">
        <f ca="1">IFERROR(__xludf.DUMMYFUNCTION("""COMPUTED_VALUE"""),26.8)</f>
        <v>26.8</v>
      </c>
      <c r="I89" s="24">
        <v>21</v>
      </c>
      <c r="J89" s="10">
        <v>65.790900000000008</v>
      </c>
      <c r="K89" s="31" t="s">
        <v>4</v>
      </c>
      <c r="L89" s="24">
        <v>1761.25</v>
      </c>
      <c r="M89" s="26">
        <v>2.77</v>
      </c>
      <c r="N89" s="29" t="s">
        <v>34</v>
      </c>
      <c r="O89" s="29" t="s">
        <v>37</v>
      </c>
      <c r="P89" s="27" t="e">
        <f t="shared" ca="1" si="1"/>
        <v>#NAME?</v>
      </c>
      <c r="Q89" s="28" t="e">
        <f ca="1"/>
        <v>#NAME?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2.75">
      <c r="A90" s="29" t="s">
        <v>123</v>
      </c>
      <c r="B90" s="29" t="s">
        <v>431</v>
      </c>
      <c r="C90" s="30">
        <v>33</v>
      </c>
      <c r="D90" s="30">
        <v>177</v>
      </c>
      <c r="E90" s="30">
        <v>69</v>
      </c>
      <c r="F90" s="9" t="str">
        <v>22.0 (Normal)</v>
      </c>
      <c r="G90" s="9" t="str">
        <f t="shared" si="0"/>
        <v>Normal</v>
      </c>
      <c r="H90" s="24">
        <f ca="1">IFERROR(__xludf.DUMMYFUNCTION("""COMPUTED_VALUE"""),22)</f>
        <v>22</v>
      </c>
      <c r="I90" s="24">
        <v>21</v>
      </c>
      <c r="J90" s="10">
        <v>65.790900000000008</v>
      </c>
      <c r="K90" s="31" t="s">
        <v>42</v>
      </c>
      <c r="L90" s="24">
        <v>1636.25</v>
      </c>
      <c r="M90" s="26">
        <v>2.2799999999999998</v>
      </c>
      <c r="N90" s="29" t="s">
        <v>26</v>
      </c>
      <c r="O90" s="29" t="s">
        <v>37</v>
      </c>
      <c r="P90" s="27" t="e">
        <f t="shared" ca="1" si="1"/>
        <v>#NAME?</v>
      </c>
      <c r="Q90" s="28" t="e">
        <f ca="1"/>
        <v>#NAME?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2.75">
      <c r="A91" s="29" t="s">
        <v>124</v>
      </c>
      <c r="B91" s="29" t="s">
        <v>431</v>
      </c>
      <c r="C91" s="30">
        <v>47</v>
      </c>
      <c r="D91" s="30">
        <v>171</v>
      </c>
      <c r="E91" s="30">
        <v>93</v>
      </c>
      <c r="F91" s="9" t="str">
        <v>31.8 (Obese)</v>
      </c>
      <c r="G91" s="9" t="str">
        <f t="shared" si="0"/>
        <v>Obese</v>
      </c>
      <c r="H91" s="24">
        <f ca="1">IFERROR(__xludf.DUMMYFUNCTION("""COMPUTED_VALUE"""),31.8)</f>
        <v>31.8</v>
      </c>
      <c r="I91" s="24">
        <v>21</v>
      </c>
      <c r="J91" s="10">
        <v>61.406099999999995</v>
      </c>
      <c r="K91" s="31" t="s">
        <v>42</v>
      </c>
      <c r="L91" s="24">
        <v>1768.75</v>
      </c>
      <c r="M91" s="26">
        <v>3.07</v>
      </c>
      <c r="N91" s="29" t="s">
        <v>26</v>
      </c>
      <c r="O91" s="29" t="s">
        <v>37</v>
      </c>
      <c r="P91" s="27" t="e">
        <f t="shared" ca="1" si="1"/>
        <v>#NAME?</v>
      </c>
      <c r="Q91" s="28" t="e">
        <f ca="1"/>
        <v>#NAME?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2.75">
      <c r="A92" s="29" t="s">
        <v>125</v>
      </c>
      <c r="B92" s="29" t="s">
        <v>431</v>
      </c>
      <c r="C92" s="30">
        <v>48</v>
      </c>
      <c r="D92" s="30">
        <v>172</v>
      </c>
      <c r="E92" s="30">
        <v>74</v>
      </c>
      <c r="F92" s="9" t="str">
        <v>25.0 (Overweight)</v>
      </c>
      <c r="G92" s="9" t="str">
        <f t="shared" si="0"/>
        <v>Overweight</v>
      </c>
      <c r="H92" s="24">
        <f ca="1">IFERROR(__xludf.DUMMYFUNCTION("""COMPUTED_VALUE"""),25)</f>
        <v>25</v>
      </c>
      <c r="I92" s="24">
        <v>21</v>
      </c>
      <c r="J92" s="10">
        <v>62.126399999999997</v>
      </c>
      <c r="K92" s="31" t="s">
        <v>28</v>
      </c>
      <c r="L92" s="24">
        <v>1580</v>
      </c>
      <c r="M92" s="26">
        <v>2.44</v>
      </c>
      <c r="N92" s="29" t="s">
        <v>34</v>
      </c>
      <c r="O92" s="29" t="s">
        <v>7</v>
      </c>
      <c r="P92" s="27" t="e">
        <f t="shared" ca="1" si="1"/>
        <v>#NAME?</v>
      </c>
      <c r="Q92" s="28" t="e">
        <f ca="1"/>
        <v>#NAME?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2.75">
      <c r="A93" s="29" t="s">
        <v>109</v>
      </c>
      <c r="B93" s="29" t="s">
        <v>431</v>
      </c>
      <c r="C93" s="30">
        <v>23</v>
      </c>
      <c r="D93" s="30">
        <v>156</v>
      </c>
      <c r="E93" s="30">
        <v>51</v>
      </c>
      <c r="F93" s="9" t="str">
        <v>21.0 (Normal)</v>
      </c>
      <c r="G93" s="9" t="str">
        <f t="shared" si="0"/>
        <v>Normal</v>
      </c>
      <c r="H93" s="24">
        <f ca="1">IFERROR(__xludf.DUMMYFUNCTION("""COMPUTED_VALUE"""),21)</f>
        <v>21</v>
      </c>
      <c r="I93" s="24">
        <v>21</v>
      </c>
      <c r="J93" s="10">
        <v>51.105600000000003</v>
      </c>
      <c r="K93" s="31" t="s">
        <v>18</v>
      </c>
      <c r="L93" s="24">
        <v>1375</v>
      </c>
      <c r="M93" s="26">
        <v>1.68</v>
      </c>
      <c r="N93" s="29" t="s">
        <v>16</v>
      </c>
      <c r="O93" s="29" t="s">
        <v>63</v>
      </c>
      <c r="P93" s="27" t="e">
        <f t="shared" ca="1" si="1"/>
        <v>#NAME?</v>
      </c>
      <c r="Q93" s="28" t="e">
        <f ca="1"/>
        <v>#NAME?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2.75">
      <c r="A94" s="29" t="s">
        <v>126</v>
      </c>
      <c r="B94" s="29" t="s">
        <v>431</v>
      </c>
      <c r="C94" s="30">
        <v>55</v>
      </c>
      <c r="D94" s="30">
        <v>187</v>
      </c>
      <c r="E94" s="30">
        <v>103</v>
      </c>
      <c r="F94" s="9" t="str">
        <v>29.5 (Obese)</v>
      </c>
      <c r="G94" s="9" t="str">
        <f t="shared" si="0"/>
        <v>Obese</v>
      </c>
      <c r="H94" s="24">
        <f ca="1">IFERROR(__xludf.DUMMYFUNCTION("""COMPUTED_VALUE"""),29.5)</f>
        <v>29.5</v>
      </c>
      <c r="I94" s="24">
        <v>21</v>
      </c>
      <c r="J94" s="10">
        <v>73.434900000000013</v>
      </c>
      <c r="K94" s="31" t="s">
        <v>28</v>
      </c>
      <c r="L94" s="24">
        <v>1928.75</v>
      </c>
      <c r="M94" s="26">
        <v>3.4</v>
      </c>
      <c r="N94" s="29" t="s">
        <v>16</v>
      </c>
      <c r="O94" s="29" t="s">
        <v>7</v>
      </c>
      <c r="P94" s="27" t="e">
        <f t="shared" ca="1" si="1"/>
        <v>#NAME?</v>
      </c>
      <c r="Q94" s="28" t="e">
        <f ca="1"/>
        <v>#NAME?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2.75">
      <c r="A95" s="29" t="s">
        <v>127</v>
      </c>
      <c r="B95" s="29" t="s">
        <v>431</v>
      </c>
      <c r="C95" s="30">
        <v>25</v>
      </c>
      <c r="D95" s="30">
        <v>160</v>
      </c>
      <c r="E95" s="30">
        <v>108</v>
      </c>
      <c r="F95" s="9" t="str">
        <v>42.2 (Obese)</v>
      </c>
      <c r="G95" s="9" t="str">
        <f t="shared" si="0"/>
        <v>Obese</v>
      </c>
      <c r="H95" s="24">
        <f ca="1">IFERROR(__xludf.DUMMYFUNCTION("""COMPUTED_VALUE"""),42.2)</f>
        <v>42.2</v>
      </c>
      <c r="I95" s="24">
        <v>21</v>
      </c>
      <c r="J95" s="10">
        <v>53.760000000000012</v>
      </c>
      <c r="K95" s="31" t="s">
        <v>28</v>
      </c>
      <c r="L95" s="24">
        <v>1960</v>
      </c>
      <c r="M95" s="26">
        <v>3.56</v>
      </c>
      <c r="N95" s="29" t="s">
        <v>39</v>
      </c>
      <c r="O95" s="29" t="s">
        <v>37</v>
      </c>
      <c r="P95" s="27" t="e">
        <f t="shared" ca="1" si="1"/>
        <v>#NAME?</v>
      </c>
      <c r="Q95" s="28" t="e">
        <f ca="1"/>
        <v>#NAME?</v>
      </c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2.75">
      <c r="A96" s="29" t="s">
        <v>128</v>
      </c>
      <c r="B96" s="29" t="s">
        <v>431</v>
      </c>
      <c r="C96" s="30">
        <v>54</v>
      </c>
      <c r="D96" s="30">
        <v>180</v>
      </c>
      <c r="E96" s="30">
        <v>94</v>
      </c>
      <c r="F96" s="9" t="str">
        <v>29.0 (Obese)</v>
      </c>
      <c r="G96" s="9" t="str">
        <f t="shared" si="0"/>
        <v>Obese</v>
      </c>
      <c r="H96" s="24">
        <f ca="1">IFERROR(__xludf.DUMMYFUNCTION("""COMPUTED_VALUE"""),29)</f>
        <v>29</v>
      </c>
      <c r="I96" s="24">
        <v>21</v>
      </c>
      <c r="J96" s="10">
        <v>68.040000000000006</v>
      </c>
      <c r="K96" s="31" t="s">
        <v>42</v>
      </c>
      <c r="L96" s="24">
        <v>1800</v>
      </c>
      <c r="M96" s="26">
        <v>3.1</v>
      </c>
      <c r="N96" s="29" t="s">
        <v>16</v>
      </c>
      <c r="O96" s="29" t="s">
        <v>60</v>
      </c>
      <c r="P96" s="27" t="e">
        <f t="shared" ca="1" si="1"/>
        <v>#NAME?</v>
      </c>
      <c r="Q96" s="28" t="e">
        <f ca="1"/>
        <v>#NAME?</v>
      </c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2.75">
      <c r="A97" s="29" t="s">
        <v>123</v>
      </c>
      <c r="B97" s="29" t="s">
        <v>431</v>
      </c>
      <c r="C97" s="30">
        <v>36</v>
      </c>
      <c r="D97" s="30">
        <v>186</v>
      </c>
      <c r="E97" s="30">
        <v>71</v>
      </c>
      <c r="F97" s="9" t="str">
        <v>20.5 (Normal)</v>
      </c>
      <c r="G97" s="9" t="str">
        <f t="shared" si="0"/>
        <v>Normal</v>
      </c>
      <c r="H97" s="24">
        <f ca="1">IFERROR(__xludf.DUMMYFUNCTION("""COMPUTED_VALUE"""),20.5)</f>
        <v>20.5</v>
      </c>
      <c r="I97" s="24">
        <v>21</v>
      </c>
      <c r="J97" s="10">
        <v>72.651600000000016</v>
      </c>
      <c r="K97" s="31" t="s">
        <v>4</v>
      </c>
      <c r="L97" s="24">
        <v>1697.5</v>
      </c>
      <c r="M97" s="26">
        <v>2.34</v>
      </c>
      <c r="N97" s="29" t="s">
        <v>34</v>
      </c>
      <c r="O97" s="29" t="s">
        <v>30</v>
      </c>
      <c r="P97" s="27" t="e">
        <f t="shared" ca="1" si="1"/>
        <v>#NAME?</v>
      </c>
      <c r="Q97" s="28" t="e">
        <f ca="1"/>
        <v>#NAME?</v>
      </c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2.75">
      <c r="A98" s="29" t="s">
        <v>129</v>
      </c>
      <c r="B98" s="29" t="s">
        <v>431</v>
      </c>
      <c r="C98" s="30">
        <v>21</v>
      </c>
      <c r="D98" s="30">
        <v>166</v>
      </c>
      <c r="E98" s="30">
        <v>79</v>
      </c>
      <c r="F98" s="9" t="str">
        <v>28.7 (Obese)</v>
      </c>
      <c r="G98" s="9" t="str">
        <f t="shared" si="0"/>
        <v>Obese</v>
      </c>
      <c r="H98" s="24">
        <f ca="1">IFERROR(__xludf.DUMMYFUNCTION("""COMPUTED_VALUE"""),28.7)</f>
        <v>28.7</v>
      </c>
      <c r="I98" s="24">
        <v>21</v>
      </c>
      <c r="J98" s="10">
        <v>57.867599999999996</v>
      </c>
      <c r="K98" s="31" t="s">
        <v>42</v>
      </c>
      <c r="L98" s="24">
        <v>1727.5</v>
      </c>
      <c r="M98" s="26">
        <v>2.61</v>
      </c>
      <c r="N98" s="29" t="s">
        <v>16</v>
      </c>
      <c r="O98" s="29" t="s">
        <v>7</v>
      </c>
      <c r="P98" s="27" t="e">
        <f t="shared" ca="1" si="1"/>
        <v>#NAME?</v>
      </c>
      <c r="Q98" s="28" t="e">
        <f ca="1"/>
        <v>#NAME?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2.75">
      <c r="A99" s="29" t="s">
        <v>130</v>
      </c>
      <c r="B99" s="29" t="s">
        <v>431</v>
      </c>
      <c r="C99" s="30">
        <v>48</v>
      </c>
      <c r="D99" s="30">
        <v>189</v>
      </c>
      <c r="E99" s="30">
        <v>64</v>
      </c>
      <c r="F99" s="9" t="str">
        <v>17.9 (Underweight)</v>
      </c>
      <c r="G99" s="9" t="str">
        <f t="shared" si="0"/>
        <v>Underweight</v>
      </c>
      <c r="H99" s="24">
        <f ca="1">IFERROR(__xludf.DUMMYFUNCTION("""COMPUTED_VALUE"""),17.9)</f>
        <v>17.899999999999999</v>
      </c>
      <c r="I99" s="24">
        <v>21</v>
      </c>
      <c r="J99" s="10">
        <v>75.014099999999999</v>
      </c>
      <c r="K99" s="31" t="s">
        <v>42</v>
      </c>
      <c r="L99" s="24">
        <v>1586.25</v>
      </c>
      <c r="M99" s="26">
        <v>2.11</v>
      </c>
      <c r="N99" s="29" t="s">
        <v>34</v>
      </c>
      <c r="O99" s="29" t="s">
        <v>7</v>
      </c>
      <c r="P99" s="27" t="e">
        <f t="shared" ca="1" si="1"/>
        <v>#NAME?</v>
      </c>
      <c r="Q99" s="28" t="e">
        <f ca="1"/>
        <v>#NAME?</v>
      </c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2.75">
      <c r="A100" s="29" t="s">
        <v>131</v>
      </c>
      <c r="B100" s="29" t="s">
        <v>431</v>
      </c>
      <c r="C100" s="30">
        <v>27</v>
      </c>
      <c r="D100" s="30">
        <v>167</v>
      </c>
      <c r="E100" s="30">
        <v>50</v>
      </c>
      <c r="F100" s="9" t="str">
        <v>17.9 (Underweight)</v>
      </c>
      <c r="G100" s="9" t="str">
        <f t="shared" si="0"/>
        <v>Underweight</v>
      </c>
      <c r="H100" s="24">
        <f ca="1">IFERROR(__xludf.DUMMYFUNCTION("""COMPUTED_VALUE"""),17.9)</f>
        <v>17.899999999999999</v>
      </c>
      <c r="I100" s="24">
        <v>21</v>
      </c>
      <c r="J100" s="10">
        <v>58.566899999999997</v>
      </c>
      <c r="K100" s="31" t="s">
        <v>4</v>
      </c>
      <c r="L100" s="24">
        <v>1413.75</v>
      </c>
      <c r="M100" s="26">
        <v>1.65</v>
      </c>
      <c r="N100" s="29" t="s">
        <v>26</v>
      </c>
      <c r="O100" s="29" t="s">
        <v>37</v>
      </c>
      <c r="P100" s="27" t="e">
        <f t="shared" ca="1" si="1"/>
        <v>#NAME?</v>
      </c>
      <c r="Q100" s="28" t="e">
        <f ca="1"/>
        <v>#NAME?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2.75">
      <c r="A101" s="29" t="s">
        <v>132</v>
      </c>
      <c r="B101" s="29" t="s">
        <v>431</v>
      </c>
      <c r="C101" s="30">
        <v>28</v>
      </c>
      <c r="D101" s="30">
        <v>158</v>
      </c>
      <c r="E101" s="30">
        <v>95</v>
      </c>
      <c r="F101" s="9" t="str">
        <v>38.1 (Obese)</v>
      </c>
      <c r="G101" s="9" t="str">
        <f t="shared" si="0"/>
        <v>Obese</v>
      </c>
      <c r="H101" s="24">
        <f ca="1">IFERROR(__xludf.DUMMYFUNCTION("""COMPUTED_VALUE"""),38.1)</f>
        <v>38.1</v>
      </c>
      <c r="I101" s="24">
        <v>21</v>
      </c>
      <c r="J101" s="10">
        <v>52.424400000000006</v>
      </c>
      <c r="K101" s="31" t="s">
        <v>42</v>
      </c>
      <c r="L101" s="24">
        <v>1802.5</v>
      </c>
      <c r="M101" s="26">
        <v>3.14</v>
      </c>
      <c r="N101" s="29" t="s">
        <v>39</v>
      </c>
      <c r="O101" s="29" t="s">
        <v>7</v>
      </c>
      <c r="P101" s="27" t="e">
        <f t="shared" ca="1" si="1"/>
        <v>#NAME?</v>
      </c>
      <c r="Q101" s="28" t="e">
        <f ca="1"/>
        <v>#NAME?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2.75">
      <c r="A102" s="29" t="s">
        <v>133</v>
      </c>
      <c r="B102" s="29" t="s">
        <v>431</v>
      </c>
      <c r="C102" s="30">
        <v>39</v>
      </c>
      <c r="D102" s="30">
        <v>185</v>
      </c>
      <c r="E102" s="30">
        <v>72</v>
      </c>
      <c r="F102" s="9" t="str">
        <v>21.0 (Normal)</v>
      </c>
      <c r="G102" s="9" t="str">
        <f t="shared" si="0"/>
        <v>Normal</v>
      </c>
      <c r="H102" s="24">
        <f ca="1">IFERROR(__xludf.DUMMYFUNCTION("""COMPUTED_VALUE"""),21)</f>
        <v>21</v>
      </c>
      <c r="I102" s="24">
        <v>21</v>
      </c>
      <c r="J102" s="10">
        <v>71.872500000000002</v>
      </c>
      <c r="K102" s="31" t="s">
        <v>18</v>
      </c>
      <c r="L102" s="24">
        <v>1686.25</v>
      </c>
      <c r="M102" s="26">
        <v>2.38</v>
      </c>
      <c r="N102" s="29" t="s">
        <v>39</v>
      </c>
      <c r="O102" s="29" t="s">
        <v>37</v>
      </c>
      <c r="P102" s="27" t="e">
        <f t="shared" ca="1" si="1"/>
        <v>#NAME?</v>
      </c>
      <c r="Q102" s="28" t="e">
        <f ca="1"/>
        <v>#NAME?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2.75">
      <c r="A103" s="29" t="s">
        <v>134</v>
      </c>
      <c r="B103" s="29" t="s">
        <v>431</v>
      </c>
      <c r="C103" s="30">
        <v>33</v>
      </c>
      <c r="D103" s="30">
        <v>159</v>
      </c>
      <c r="E103" s="30">
        <v>63</v>
      </c>
      <c r="F103" s="9" t="str">
        <v>24.9 (Overweight)</v>
      </c>
      <c r="G103" s="9" t="str">
        <f t="shared" si="0"/>
        <v>Overweight</v>
      </c>
      <c r="H103" s="24">
        <f ca="1">IFERROR(__xludf.DUMMYFUNCTION("""COMPUTED_VALUE"""),24.9)</f>
        <v>24.9</v>
      </c>
      <c r="I103" s="24">
        <v>21</v>
      </c>
      <c r="J103" s="10">
        <v>53.090100000000007</v>
      </c>
      <c r="K103" s="31" t="s">
        <v>28</v>
      </c>
      <c r="L103" s="24">
        <v>1463.75</v>
      </c>
      <c r="M103" s="26">
        <v>2.08</v>
      </c>
      <c r="N103" s="29" t="s">
        <v>26</v>
      </c>
      <c r="O103" s="29" t="s">
        <v>60</v>
      </c>
      <c r="P103" s="27" t="e">
        <f t="shared" ca="1" si="1"/>
        <v>#NAME?</v>
      </c>
      <c r="Q103" s="28" t="e">
        <f ca="1"/>
        <v>#NAME?</v>
      </c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2.75">
      <c r="A104" s="29" t="s">
        <v>76</v>
      </c>
      <c r="B104" s="29" t="s">
        <v>431</v>
      </c>
      <c r="C104" s="30">
        <v>56</v>
      </c>
      <c r="D104" s="30">
        <v>155</v>
      </c>
      <c r="E104" s="30">
        <v>93</v>
      </c>
      <c r="F104" s="9" t="str">
        <v>38.7 (Obese)</v>
      </c>
      <c r="G104" s="9" t="str">
        <f t="shared" si="0"/>
        <v>Obese</v>
      </c>
      <c r="H104" s="24">
        <f ca="1">IFERROR(__xludf.DUMMYFUNCTION("""COMPUTED_VALUE"""),38.7)</f>
        <v>38.700000000000003</v>
      </c>
      <c r="I104" s="24">
        <v>21</v>
      </c>
      <c r="J104" s="10">
        <v>50.452500000000008</v>
      </c>
      <c r="K104" s="31" t="s">
        <v>42</v>
      </c>
      <c r="L104" s="24">
        <v>1623.75</v>
      </c>
      <c r="M104" s="26">
        <v>3.07</v>
      </c>
      <c r="N104" s="29" t="s">
        <v>39</v>
      </c>
      <c r="O104" s="29" t="s">
        <v>63</v>
      </c>
      <c r="P104" s="27" t="e">
        <f t="shared" ca="1" si="1"/>
        <v>#NAME?</v>
      </c>
      <c r="Q104" s="28" t="e">
        <f ca="1"/>
        <v>#NAME?</v>
      </c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2.75">
      <c r="A105" s="29" t="s">
        <v>102</v>
      </c>
      <c r="B105" s="29" t="s">
        <v>431</v>
      </c>
      <c r="C105" s="30">
        <v>54</v>
      </c>
      <c r="D105" s="30">
        <v>159</v>
      </c>
      <c r="E105" s="30">
        <v>106</v>
      </c>
      <c r="F105" s="9" t="str">
        <v>41.9 (Obese)</v>
      </c>
      <c r="G105" s="9" t="str">
        <f t="shared" si="0"/>
        <v>Obese</v>
      </c>
      <c r="H105" s="24">
        <f ca="1">IFERROR(__xludf.DUMMYFUNCTION("""COMPUTED_VALUE"""),41.9)</f>
        <v>41.9</v>
      </c>
      <c r="I105" s="24">
        <v>21</v>
      </c>
      <c r="J105" s="10">
        <v>53.090100000000007</v>
      </c>
      <c r="K105" s="31" t="s">
        <v>4</v>
      </c>
      <c r="L105" s="24">
        <v>1788.75</v>
      </c>
      <c r="M105" s="26">
        <v>3.5</v>
      </c>
      <c r="N105" s="29" t="s">
        <v>16</v>
      </c>
      <c r="O105" s="29" t="s">
        <v>60</v>
      </c>
      <c r="P105" s="27" t="e">
        <f t="shared" ca="1" si="1"/>
        <v>#NAME?</v>
      </c>
      <c r="Q105" s="28" t="e">
        <f ca="1"/>
        <v>#NAME?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2.75">
      <c r="A106" s="29" t="s">
        <v>135</v>
      </c>
      <c r="B106" s="29" t="s">
        <v>431</v>
      </c>
      <c r="C106" s="30">
        <v>59</v>
      </c>
      <c r="D106" s="30">
        <v>173</v>
      </c>
      <c r="E106" s="30">
        <v>58</v>
      </c>
      <c r="F106" s="9" t="str">
        <v>19.4 (Normal)</v>
      </c>
      <c r="G106" s="9" t="str">
        <f t="shared" si="0"/>
        <v>Normal</v>
      </c>
      <c r="H106" s="24">
        <f ca="1">IFERROR(__xludf.DUMMYFUNCTION("""COMPUTED_VALUE"""),19.4)</f>
        <v>19.399999999999999</v>
      </c>
      <c r="I106" s="24">
        <v>21</v>
      </c>
      <c r="J106" s="10">
        <v>62.850900000000003</v>
      </c>
      <c r="K106" s="31" t="s">
        <v>28</v>
      </c>
      <c r="L106" s="24">
        <v>1371.25</v>
      </c>
      <c r="M106" s="26">
        <v>1.91</v>
      </c>
      <c r="N106" s="29" t="s">
        <v>39</v>
      </c>
      <c r="O106" s="29" t="s">
        <v>30</v>
      </c>
      <c r="P106" s="27" t="e">
        <f t="shared" ca="1" si="1"/>
        <v>#NAME?</v>
      </c>
      <c r="Q106" s="28" t="e">
        <f ca="1"/>
        <v>#NAME?</v>
      </c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2.75">
      <c r="A107" s="29" t="s">
        <v>136</v>
      </c>
      <c r="B107" s="29" t="s">
        <v>431</v>
      </c>
      <c r="C107" s="30">
        <v>39</v>
      </c>
      <c r="D107" s="30">
        <v>177</v>
      </c>
      <c r="E107" s="30">
        <v>87</v>
      </c>
      <c r="F107" s="9" t="str">
        <v>27.8 (Obese)</v>
      </c>
      <c r="G107" s="9" t="str">
        <f t="shared" si="0"/>
        <v>Obese</v>
      </c>
      <c r="H107" s="24">
        <f ca="1">IFERROR(__xludf.DUMMYFUNCTION("""COMPUTED_VALUE"""),27.8)</f>
        <v>27.8</v>
      </c>
      <c r="I107" s="24">
        <v>21</v>
      </c>
      <c r="J107" s="10">
        <v>65.790900000000008</v>
      </c>
      <c r="K107" s="31" t="s">
        <v>28</v>
      </c>
      <c r="L107" s="24">
        <v>1786.25</v>
      </c>
      <c r="M107" s="26">
        <v>2.87</v>
      </c>
      <c r="N107" s="29" t="s">
        <v>26</v>
      </c>
      <c r="O107" s="29" t="s">
        <v>7</v>
      </c>
      <c r="P107" s="27" t="e">
        <f t="shared" ca="1" si="1"/>
        <v>#NAME?</v>
      </c>
      <c r="Q107" s="28" t="e">
        <f ca="1"/>
        <v>#NAME?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2.75">
      <c r="A108" s="29" t="s">
        <v>85</v>
      </c>
      <c r="B108" s="29" t="s">
        <v>431</v>
      </c>
      <c r="C108" s="30">
        <v>26</v>
      </c>
      <c r="D108" s="30">
        <v>186</v>
      </c>
      <c r="E108" s="30">
        <v>102</v>
      </c>
      <c r="F108" s="9" t="str">
        <v>29.5 (Obese)</v>
      </c>
      <c r="G108" s="9" t="str">
        <f t="shared" si="0"/>
        <v>Obese</v>
      </c>
      <c r="H108" s="24">
        <f ca="1">IFERROR(__xludf.DUMMYFUNCTION("""COMPUTED_VALUE"""),29.5)</f>
        <v>29.5</v>
      </c>
      <c r="I108" s="24">
        <v>21</v>
      </c>
      <c r="J108" s="10">
        <v>72.651600000000016</v>
      </c>
      <c r="K108" s="31" t="s">
        <v>18</v>
      </c>
      <c r="L108" s="24">
        <v>2057.5</v>
      </c>
      <c r="M108" s="26">
        <v>3.37</v>
      </c>
      <c r="N108" s="29" t="s">
        <v>34</v>
      </c>
      <c r="O108" s="29" t="s">
        <v>63</v>
      </c>
      <c r="P108" s="27" t="e">
        <f t="shared" ca="1" si="1"/>
        <v>#NAME?</v>
      </c>
      <c r="Q108" s="28" t="e">
        <f ca="1"/>
        <v>#NAME?</v>
      </c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2.75">
      <c r="A109" s="29" t="s">
        <v>137</v>
      </c>
      <c r="B109" s="29" t="s">
        <v>431</v>
      </c>
      <c r="C109" s="30">
        <v>42</v>
      </c>
      <c r="D109" s="30">
        <v>165</v>
      </c>
      <c r="E109" s="30">
        <v>86</v>
      </c>
      <c r="F109" s="9" t="str">
        <v>31.6 (Obese)</v>
      </c>
      <c r="G109" s="9" t="str">
        <f t="shared" si="0"/>
        <v>Obese</v>
      </c>
      <c r="H109" s="24">
        <f ca="1">IFERROR(__xludf.DUMMYFUNCTION("""COMPUTED_VALUE"""),31.6)</f>
        <v>31.6</v>
      </c>
      <c r="I109" s="24">
        <v>21</v>
      </c>
      <c r="J109" s="10">
        <v>57.172499999999992</v>
      </c>
      <c r="K109" s="31" t="s">
        <v>28</v>
      </c>
      <c r="L109" s="24">
        <v>1686.25</v>
      </c>
      <c r="M109" s="26">
        <v>2.84</v>
      </c>
      <c r="N109" s="29" t="s">
        <v>34</v>
      </c>
      <c r="O109" s="29" t="s">
        <v>7</v>
      </c>
      <c r="P109" s="27" t="e">
        <f t="shared" ca="1" si="1"/>
        <v>#NAME?</v>
      </c>
      <c r="Q109" s="28" t="e">
        <f ca="1"/>
        <v>#NAME?</v>
      </c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2.75">
      <c r="A110" s="29" t="s">
        <v>138</v>
      </c>
      <c r="B110" s="29" t="s">
        <v>431</v>
      </c>
      <c r="C110" s="30">
        <v>48</v>
      </c>
      <c r="D110" s="30">
        <v>168</v>
      </c>
      <c r="E110" s="30">
        <v>50</v>
      </c>
      <c r="F110" s="9" t="str">
        <v>17.7 (Underweight)</v>
      </c>
      <c r="G110" s="9" t="str">
        <f t="shared" si="0"/>
        <v>Underweight</v>
      </c>
      <c r="H110" s="24">
        <f ca="1">IFERROR(__xludf.DUMMYFUNCTION("""COMPUTED_VALUE"""),17.7)</f>
        <v>17.7</v>
      </c>
      <c r="I110" s="24">
        <v>21</v>
      </c>
      <c r="J110" s="10">
        <v>59.270399999999988</v>
      </c>
      <c r="K110" s="31" t="s">
        <v>28</v>
      </c>
      <c r="L110" s="24">
        <v>1315</v>
      </c>
      <c r="M110" s="26">
        <v>1.65</v>
      </c>
      <c r="N110" s="29" t="s">
        <v>26</v>
      </c>
      <c r="O110" s="29" t="s">
        <v>60</v>
      </c>
      <c r="P110" s="27" t="e">
        <f t="shared" ca="1" si="1"/>
        <v>#NAME?</v>
      </c>
      <c r="Q110" s="28" t="e">
        <f ca="1"/>
        <v>#NAME?</v>
      </c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2.75">
      <c r="A111" s="29" t="s">
        <v>139</v>
      </c>
      <c r="B111" s="29" t="s">
        <v>431</v>
      </c>
      <c r="C111" s="30">
        <v>55</v>
      </c>
      <c r="D111" s="30">
        <v>162</v>
      </c>
      <c r="E111" s="30">
        <v>60</v>
      </c>
      <c r="F111" s="9" t="str">
        <v>22.9 (Normal)</v>
      </c>
      <c r="G111" s="9" t="str">
        <f t="shared" si="0"/>
        <v>Normal</v>
      </c>
      <c r="H111" s="24">
        <f ca="1">IFERROR(__xludf.DUMMYFUNCTION("""COMPUTED_VALUE"""),22.9)</f>
        <v>22.9</v>
      </c>
      <c r="I111" s="24">
        <v>21</v>
      </c>
      <c r="J111" s="10">
        <v>55.112400000000008</v>
      </c>
      <c r="K111" s="31" t="s">
        <v>28</v>
      </c>
      <c r="L111" s="24">
        <v>1342.5</v>
      </c>
      <c r="M111" s="26">
        <v>1.98</v>
      </c>
      <c r="N111" s="29" t="s">
        <v>34</v>
      </c>
      <c r="O111" s="29" t="s">
        <v>19</v>
      </c>
      <c r="P111" s="27" t="e">
        <f t="shared" ca="1" si="1"/>
        <v>#NAME?</v>
      </c>
      <c r="Q111" s="28" t="e">
        <f ca="1"/>
        <v>#NAME?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2.75">
      <c r="A112" s="29" t="s">
        <v>140</v>
      </c>
      <c r="B112" s="29" t="s">
        <v>431</v>
      </c>
      <c r="C112" s="30">
        <v>48</v>
      </c>
      <c r="D112" s="30">
        <v>175</v>
      </c>
      <c r="E112" s="30">
        <v>65</v>
      </c>
      <c r="F112" s="9" t="str">
        <v>21.2 (Normal)</v>
      </c>
      <c r="G112" s="9" t="str">
        <f t="shared" si="0"/>
        <v>Normal</v>
      </c>
      <c r="H112" s="24">
        <f ca="1">IFERROR(__xludf.DUMMYFUNCTION("""COMPUTED_VALUE"""),21.2)</f>
        <v>21.2</v>
      </c>
      <c r="I112" s="24">
        <v>21</v>
      </c>
      <c r="J112" s="10">
        <v>64.3125</v>
      </c>
      <c r="K112" s="31" t="s">
        <v>28</v>
      </c>
      <c r="L112" s="24">
        <v>1508.75</v>
      </c>
      <c r="M112" s="26">
        <v>2.15</v>
      </c>
      <c r="N112" s="29" t="s">
        <v>39</v>
      </c>
      <c r="O112" s="29" t="s">
        <v>60</v>
      </c>
      <c r="P112" s="27" t="e">
        <f t="shared" ca="1" si="1"/>
        <v>#NAME?</v>
      </c>
      <c r="Q112" s="28" t="e">
        <f ca="1"/>
        <v>#NAME?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2.75">
      <c r="A113" s="29" t="s">
        <v>56</v>
      </c>
      <c r="B113" s="29" t="s">
        <v>431</v>
      </c>
      <c r="C113" s="30">
        <v>50</v>
      </c>
      <c r="D113" s="30">
        <v>175</v>
      </c>
      <c r="E113" s="30">
        <v>106</v>
      </c>
      <c r="F113" s="9" t="str">
        <v>34.6 (Obese)</v>
      </c>
      <c r="G113" s="9" t="str">
        <f t="shared" si="0"/>
        <v>Obese</v>
      </c>
      <c r="H113" s="24">
        <f ca="1">IFERROR(__xludf.DUMMYFUNCTION("""COMPUTED_VALUE"""),34.6)</f>
        <v>34.6</v>
      </c>
      <c r="I113" s="24">
        <v>21</v>
      </c>
      <c r="J113" s="10">
        <v>64.3125</v>
      </c>
      <c r="K113" s="31" t="s">
        <v>18</v>
      </c>
      <c r="L113" s="24">
        <v>1908.75</v>
      </c>
      <c r="M113" s="26">
        <v>3.5</v>
      </c>
      <c r="N113" s="29" t="s">
        <v>39</v>
      </c>
      <c r="O113" s="29" t="s">
        <v>37</v>
      </c>
      <c r="P113" s="27" t="e">
        <f t="shared" ca="1" si="1"/>
        <v>#NAME?</v>
      </c>
      <c r="Q113" s="28" t="e">
        <f ca="1"/>
        <v>#NAME?</v>
      </c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2.75">
      <c r="A114" s="29" t="s">
        <v>141</v>
      </c>
      <c r="B114" s="29" t="s">
        <v>431</v>
      </c>
      <c r="C114" s="30">
        <v>37</v>
      </c>
      <c r="D114" s="30">
        <v>158</v>
      </c>
      <c r="E114" s="30">
        <v>69</v>
      </c>
      <c r="F114" s="9" t="str">
        <v>27.6 (Obese)</v>
      </c>
      <c r="G114" s="9" t="str">
        <f t="shared" si="0"/>
        <v>Obese</v>
      </c>
      <c r="H114" s="24">
        <f ca="1">IFERROR(__xludf.DUMMYFUNCTION("""COMPUTED_VALUE"""),27.6)</f>
        <v>27.6</v>
      </c>
      <c r="I114" s="24">
        <v>21</v>
      </c>
      <c r="J114" s="10">
        <v>52.424400000000006</v>
      </c>
      <c r="K114" s="31" t="s">
        <v>42</v>
      </c>
      <c r="L114" s="24">
        <v>1497.5</v>
      </c>
      <c r="M114" s="26">
        <v>2.2799999999999998</v>
      </c>
      <c r="N114" s="29" t="s">
        <v>26</v>
      </c>
      <c r="O114" s="29" t="s">
        <v>30</v>
      </c>
      <c r="P114" s="27" t="e">
        <f t="shared" ca="1" si="1"/>
        <v>#NAME?</v>
      </c>
      <c r="Q114" s="28" t="e">
        <f ca="1"/>
        <v>#NAME?</v>
      </c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2.75">
      <c r="A115" s="29" t="s">
        <v>142</v>
      </c>
      <c r="B115" s="29" t="s">
        <v>431</v>
      </c>
      <c r="C115" s="30">
        <v>28</v>
      </c>
      <c r="D115" s="30">
        <v>172</v>
      </c>
      <c r="E115" s="30">
        <v>99</v>
      </c>
      <c r="F115" s="9" t="str">
        <v>33.5 (Obese)</v>
      </c>
      <c r="G115" s="9" t="str">
        <f t="shared" si="0"/>
        <v>Obese</v>
      </c>
      <c r="H115" s="24">
        <f ca="1">IFERROR(__xludf.DUMMYFUNCTION("""COMPUTED_VALUE"""),33.5)</f>
        <v>33.5</v>
      </c>
      <c r="I115" s="24">
        <v>21</v>
      </c>
      <c r="J115" s="10">
        <v>62.126399999999997</v>
      </c>
      <c r="K115" s="31" t="s">
        <v>18</v>
      </c>
      <c r="L115" s="24">
        <v>1930</v>
      </c>
      <c r="M115" s="26">
        <v>3.27</v>
      </c>
      <c r="N115" s="29" t="s">
        <v>16</v>
      </c>
      <c r="O115" s="29" t="s">
        <v>37</v>
      </c>
      <c r="P115" s="27" t="e">
        <f t="shared" ca="1" si="1"/>
        <v>#NAME?</v>
      </c>
      <c r="Q115" s="28" t="e">
        <f ca="1"/>
        <v>#NAME?</v>
      </c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2.75">
      <c r="A116" s="29" t="s">
        <v>143</v>
      </c>
      <c r="B116" s="29" t="s">
        <v>431</v>
      </c>
      <c r="C116" s="30">
        <v>59</v>
      </c>
      <c r="D116" s="30">
        <v>157</v>
      </c>
      <c r="E116" s="30">
        <v>90</v>
      </c>
      <c r="F116" s="9" t="str">
        <v>36.5 (Obese)</v>
      </c>
      <c r="G116" s="9" t="str">
        <f t="shared" si="0"/>
        <v>Obese</v>
      </c>
      <c r="H116" s="24">
        <f ca="1">IFERROR(__xludf.DUMMYFUNCTION("""COMPUTED_VALUE"""),36.5)</f>
        <v>36.5</v>
      </c>
      <c r="I116" s="24">
        <v>21</v>
      </c>
      <c r="J116" s="10">
        <v>51.762900000000002</v>
      </c>
      <c r="K116" s="31" t="s">
        <v>4</v>
      </c>
      <c r="L116" s="24">
        <v>1591.25</v>
      </c>
      <c r="M116" s="26">
        <v>2.97</v>
      </c>
      <c r="N116" s="29" t="s">
        <v>26</v>
      </c>
      <c r="O116" s="29" t="s">
        <v>30</v>
      </c>
      <c r="P116" s="27" t="e">
        <f t="shared" ca="1" si="1"/>
        <v>#NAME?</v>
      </c>
      <c r="Q116" s="28" t="e">
        <f ca="1"/>
        <v>#NAME?</v>
      </c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2.75">
      <c r="A117" s="29" t="s">
        <v>144</v>
      </c>
      <c r="B117" s="29" t="s">
        <v>431</v>
      </c>
      <c r="C117" s="30">
        <v>54</v>
      </c>
      <c r="D117" s="30">
        <v>158</v>
      </c>
      <c r="E117" s="30">
        <v>97</v>
      </c>
      <c r="F117" s="9" t="str">
        <v>38.9 (Obese)</v>
      </c>
      <c r="G117" s="9" t="str">
        <f t="shared" si="0"/>
        <v>Obese</v>
      </c>
      <c r="H117" s="24">
        <f ca="1">IFERROR(__xludf.DUMMYFUNCTION("""COMPUTED_VALUE"""),38.9)</f>
        <v>38.9</v>
      </c>
      <c r="I117" s="24">
        <v>21</v>
      </c>
      <c r="J117" s="10">
        <v>52.424400000000006</v>
      </c>
      <c r="K117" s="31" t="s">
        <v>4</v>
      </c>
      <c r="L117" s="24">
        <v>1692.5</v>
      </c>
      <c r="M117" s="26">
        <v>3.2</v>
      </c>
      <c r="N117" s="29" t="s">
        <v>34</v>
      </c>
      <c r="O117" s="29" t="s">
        <v>7</v>
      </c>
      <c r="P117" s="27" t="e">
        <f t="shared" ca="1" si="1"/>
        <v>#NAME?</v>
      </c>
      <c r="Q117" s="28" t="e">
        <f ca="1"/>
        <v>#NAME?</v>
      </c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2.75">
      <c r="A118" s="29" t="s">
        <v>57</v>
      </c>
      <c r="B118" s="29" t="s">
        <v>431</v>
      </c>
      <c r="C118" s="30">
        <v>35</v>
      </c>
      <c r="D118" s="30">
        <v>166</v>
      </c>
      <c r="E118" s="30">
        <v>57</v>
      </c>
      <c r="F118" s="9" t="str">
        <v>20.7 (Normal)</v>
      </c>
      <c r="G118" s="9" t="str">
        <f t="shared" si="0"/>
        <v>Normal</v>
      </c>
      <c r="H118" s="24">
        <f ca="1">IFERROR(__xludf.DUMMYFUNCTION("""COMPUTED_VALUE"""),20.7)</f>
        <v>20.7</v>
      </c>
      <c r="I118" s="24">
        <v>21</v>
      </c>
      <c r="J118" s="10">
        <v>57.867599999999996</v>
      </c>
      <c r="K118" s="31" t="s">
        <v>42</v>
      </c>
      <c r="L118" s="24">
        <v>1437.5</v>
      </c>
      <c r="M118" s="26">
        <v>1.88</v>
      </c>
      <c r="N118" s="29" t="s">
        <v>16</v>
      </c>
      <c r="O118" s="29" t="s">
        <v>30</v>
      </c>
      <c r="P118" s="27" t="e">
        <f t="shared" ca="1" si="1"/>
        <v>#NAME?</v>
      </c>
      <c r="Q118" s="28" t="e">
        <f ca="1"/>
        <v>#NAME?</v>
      </c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2.75">
      <c r="A119" s="29" t="s">
        <v>145</v>
      </c>
      <c r="B119" s="29" t="s">
        <v>431</v>
      </c>
      <c r="C119" s="30">
        <v>38</v>
      </c>
      <c r="D119" s="30">
        <v>165</v>
      </c>
      <c r="E119" s="30">
        <v>81</v>
      </c>
      <c r="F119" s="9" t="str">
        <v>29.8 (Obese)</v>
      </c>
      <c r="G119" s="9" t="str">
        <f t="shared" si="0"/>
        <v>Obese</v>
      </c>
      <c r="H119" s="24">
        <f ca="1">IFERROR(__xludf.DUMMYFUNCTION("""COMPUTED_VALUE"""),29.8)</f>
        <v>29.8</v>
      </c>
      <c r="I119" s="24">
        <v>21</v>
      </c>
      <c r="J119" s="10">
        <v>57.172499999999992</v>
      </c>
      <c r="K119" s="31" t="s">
        <v>4</v>
      </c>
      <c r="L119" s="24">
        <v>1656.25</v>
      </c>
      <c r="M119" s="26">
        <v>2.67</v>
      </c>
      <c r="N119" s="29" t="s">
        <v>26</v>
      </c>
      <c r="O119" s="29" t="s">
        <v>19</v>
      </c>
      <c r="P119" s="27" t="e">
        <f t="shared" ca="1" si="1"/>
        <v>#NAME?</v>
      </c>
      <c r="Q119" s="28" t="e">
        <f ca="1"/>
        <v>#NAME?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2.75">
      <c r="A120" s="29" t="s">
        <v>146</v>
      </c>
      <c r="B120" s="29" t="s">
        <v>431</v>
      </c>
      <c r="C120" s="30">
        <v>40</v>
      </c>
      <c r="D120" s="30">
        <v>158</v>
      </c>
      <c r="E120" s="30">
        <v>78</v>
      </c>
      <c r="F120" s="9" t="str">
        <v>31.2 (Obese)</v>
      </c>
      <c r="G120" s="9" t="str">
        <f t="shared" si="0"/>
        <v>Obese</v>
      </c>
      <c r="H120" s="24">
        <f ca="1">IFERROR(__xludf.DUMMYFUNCTION("""COMPUTED_VALUE"""),31.2)</f>
        <v>31.2</v>
      </c>
      <c r="I120" s="24">
        <v>21</v>
      </c>
      <c r="J120" s="10">
        <v>52.424400000000006</v>
      </c>
      <c r="K120" s="31" t="s">
        <v>4</v>
      </c>
      <c r="L120" s="24">
        <v>1572.5</v>
      </c>
      <c r="M120" s="26">
        <v>2.57</v>
      </c>
      <c r="N120" s="29" t="s">
        <v>34</v>
      </c>
      <c r="O120" s="29" t="s">
        <v>7</v>
      </c>
      <c r="P120" s="27" t="e">
        <f t="shared" ca="1" si="1"/>
        <v>#NAME?</v>
      </c>
      <c r="Q120" s="28" t="e">
        <f ca="1"/>
        <v>#NAME?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2.75">
      <c r="A121" s="29" t="s">
        <v>98</v>
      </c>
      <c r="B121" s="29" t="s">
        <v>431</v>
      </c>
      <c r="C121" s="30">
        <v>36</v>
      </c>
      <c r="D121" s="30">
        <v>189</v>
      </c>
      <c r="E121" s="30">
        <v>87</v>
      </c>
      <c r="F121" s="9" t="str">
        <v>24.4 (Normal)</v>
      </c>
      <c r="G121" s="9" t="str">
        <f t="shared" si="0"/>
        <v>Normal</v>
      </c>
      <c r="H121" s="24">
        <f ca="1">IFERROR(__xludf.DUMMYFUNCTION("""COMPUTED_VALUE"""),24.4)</f>
        <v>24.4</v>
      </c>
      <c r="I121" s="24">
        <v>21</v>
      </c>
      <c r="J121" s="10">
        <v>75.014099999999999</v>
      </c>
      <c r="K121" s="31" t="s">
        <v>18</v>
      </c>
      <c r="L121" s="24">
        <v>1876.25</v>
      </c>
      <c r="M121" s="26">
        <v>2.87</v>
      </c>
      <c r="N121" s="29" t="s">
        <v>26</v>
      </c>
      <c r="O121" s="29" t="s">
        <v>19</v>
      </c>
      <c r="P121" s="27" t="e">
        <f t="shared" ca="1" si="1"/>
        <v>#NAME?</v>
      </c>
      <c r="Q121" s="28" t="e">
        <f ca="1"/>
        <v>#NAME?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2.75">
      <c r="A122" s="29" t="s">
        <v>147</v>
      </c>
      <c r="B122" s="29" t="s">
        <v>431</v>
      </c>
      <c r="C122" s="30">
        <v>22</v>
      </c>
      <c r="D122" s="30">
        <v>169</v>
      </c>
      <c r="E122" s="30">
        <v>102</v>
      </c>
      <c r="F122" s="9" t="str">
        <v>35.7 (Obese)</v>
      </c>
      <c r="G122" s="9" t="str">
        <f t="shared" si="0"/>
        <v>Obese</v>
      </c>
      <c r="H122" s="24">
        <f ca="1">IFERROR(__xludf.DUMMYFUNCTION("""COMPUTED_VALUE"""),35.7)</f>
        <v>35.700000000000003</v>
      </c>
      <c r="I122" s="24">
        <v>21</v>
      </c>
      <c r="J122" s="10">
        <v>59.978099999999991</v>
      </c>
      <c r="K122" s="31" t="s">
        <v>42</v>
      </c>
      <c r="L122" s="24">
        <v>1971.25</v>
      </c>
      <c r="M122" s="26">
        <v>3.37</v>
      </c>
      <c r="N122" s="29" t="s">
        <v>26</v>
      </c>
      <c r="O122" s="29" t="s">
        <v>7</v>
      </c>
      <c r="P122" s="27" t="e">
        <f t="shared" ca="1" si="1"/>
        <v>#NAME?</v>
      </c>
      <c r="Q122" s="28" t="e">
        <f ca="1"/>
        <v>#NAME?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2.75">
      <c r="A123" s="29" t="s">
        <v>148</v>
      </c>
      <c r="B123" s="29" t="s">
        <v>431</v>
      </c>
      <c r="C123" s="30">
        <v>58</v>
      </c>
      <c r="D123" s="30">
        <v>189</v>
      </c>
      <c r="E123" s="30">
        <v>57</v>
      </c>
      <c r="F123" s="9" t="str">
        <v>16.0 (Underweight)</v>
      </c>
      <c r="G123" s="9" t="str">
        <f t="shared" si="0"/>
        <v>Underweight</v>
      </c>
      <c r="H123" s="24">
        <f ca="1">IFERROR(__xludf.DUMMYFUNCTION("""COMPUTED_VALUE"""),16)</f>
        <v>16</v>
      </c>
      <c r="I123" s="24">
        <v>21</v>
      </c>
      <c r="J123" s="10">
        <v>75.014099999999999</v>
      </c>
      <c r="K123" s="31" t="s">
        <v>28</v>
      </c>
      <c r="L123" s="24">
        <v>1466.25</v>
      </c>
      <c r="M123" s="26">
        <v>1.88</v>
      </c>
      <c r="N123" s="29" t="s">
        <v>16</v>
      </c>
      <c r="O123" s="29" t="s">
        <v>30</v>
      </c>
      <c r="P123" s="27" t="e">
        <f t="shared" ca="1" si="1"/>
        <v>#NAME?</v>
      </c>
      <c r="Q123" s="28" t="e">
        <f ca="1"/>
        <v>#NAME?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2.75">
      <c r="A124" s="29" t="s">
        <v>149</v>
      </c>
      <c r="B124" s="29" t="s">
        <v>431</v>
      </c>
      <c r="C124" s="30">
        <v>23</v>
      </c>
      <c r="D124" s="30">
        <v>170</v>
      </c>
      <c r="E124" s="30">
        <v>76</v>
      </c>
      <c r="F124" s="9" t="str">
        <v>26.3 (Overweight)</v>
      </c>
      <c r="G124" s="9" t="str">
        <f t="shared" si="0"/>
        <v>Overweight</v>
      </c>
      <c r="H124" s="24">
        <f ca="1">IFERROR(__xludf.DUMMYFUNCTION("""COMPUTED_VALUE"""),26.3)</f>
        <v>26.3</v>
      </c>
      <c r="I124" s="24">
        <v>21</v>
      </c>
      <c r="J124" s="10">
        <v>60.689999999999991</v>
      </c>
      <c r="K124" s="31" t="s">
        <v>28</v>
      </c>
      <c r="L124" s="24">
        <v>1712.5</v>
      </c>
      <c r="M124" s="26">
        <v>2.5099999999999998</v>
      </c>
      <c r="N124" s="29" t="s">
        <v>34</v>
      </c>
      <c r="O124" s="29" t="s">
        <v>60</v>
      </c>
      <c r="P124" s="27" t="e">
        <f t="shared" ca="1" si="1"/>
        <v>#NAME?</v>
      </c>
      <c r="Q124" s="28" t="e">
        <f ca="1"/>
        <v>#NAME?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2.75">
      <c r="A125" s="29" t="s">
        <v>150</v>
      </c>
      <c r="B125" s="29" t="s">
        <v>431</v>
      </c>
      <c r="C125" s="30">
        <v>32</v>
      </c>
      <c r="D125" s="30">
        <v>173</v>
      </c>
      <c r="E125" s="30">
        <v>52</v>
      </c>
      <c r="F125" s="9" t="str">
        <v>17.4 (Underweight)</v>
      </c>
      <c r="G125" s="9" t="str">
        <f t="shared" si="0"/>
        <v>Underweight</v>
      </c>
      <c r="H125" s="24">
        <f ca="1">IFERROR(__xludf.DUMMYFUNCTION("""COMPUTED_VALUE"""),17.4)</f>
        <v>17.399999999999999</v>
      </c>
      <c r="I125" s="24">
        <v>21</v>
      </c>
      <c r="J125" s="10">
        <v>62.850900000000003</v>
      </c>
      <c r="K125" s="31" t="s">
        <v>42</v>
      </c>
      <c r="L125" s="24">
        <v>1446.25</v>
      </c>
      <c r="M125" s="26">
        <v>1.72</v>
      </c>
      <c r="N125" s="29" t="s">
        <v>16</v>
      </c>
      <c r="O125" s="29" t="s">
        <v>19</v>
      </c>
      <c r="P125" s="27" t="e">
        <f t="shared" ca="1" si="1"/>
        <v>#NAME?</v>
      </c>
      <c r="Q125" s="28" t="e">
        <f ca="1"/>
        <v>#NAME?</v>
      </c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2.75">
      <c r="A126" s="29" t="s">
        <v>71</v>
      </c>
      <c r="B126" s="29" t="s">
        <v>431</v>
      </c>
      <c r="C126" s="30">
        <v>44</v>
      </c>
      <c r="D126" s="30">
        <v>188</v>
      </c>
      <c r="E126" s="30">
        <v>105</v>
      </c>
      <c r="F126" s="9" t="str">
        <v>29.7 (Obese)</v>
      </c>
      <c r="G126" s="9" t="str">
        <f t="shared" si="0"/>
        <v>Obese</v>
      </c>
      <c r="H126" s="24">
        <f ca="1">IFERROR(__xludf.DUMMYFUNCTION("""COMPUTED_VALUE"""),29.7)</f>
        <v>29.7</v>
      </c>
      <c r="I126" s="24">
        <v>21</v>
      </c>
      <c r="J126" s="10">
        <v>74.222399999999993</v>
      </c>
      <c r="K126" s="31" t="s">
        <v>18</v>
      </c>
      <c r="L126" s="24">
        <v>2010</v>
      </c>
      <c r="M126" s="26">
        <v>3.47</v>
      </c>
      <c r="N126" s="29" t="s">
        <v>34</v>
      </c>
      <c r="O126" s="29" t="s">
        <v>30</v>
      </c>
      <c r="P126" s="27" t="e">
        <f t="shared" ca="1" si="1"/>
        <v>#NAME?</v>
      </c>
      <c r="Q126" s="28" t="e">
        <f ca="1"/>
        <v>#NAME?</v>
      </c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2.75">
      <c r="A127" s="29" t="s">
        <v>151</v>
      </c>
      <c r="B127" s="29" t="s">
        <v>431</v>
      </c>
      <c r="C127" s="30">
        <v>22</v>
      </c>
      <c r="D127" s="30">
        <v>156</v>
      </c>
      <c r="E127" s="30">
        <v>74</v>
      </c>
      <c r="F127" s="9" t="str">
        <v>30.4 (Obese)</v>
      </c>
      <c r="G127" s="9" t="str">
        <f t="shared" si="0"/>
        <v>Obese</v>
      </c>
      <c r="H127" s="24">
        <f ca="1">IFERROR(__xludf.DUMMYFUNCTION("""COMPUTED_VALUE"""),30.4)</f>
        <v>30.4</v>
      </c>
      <c r="I127" s="24">
        <v>21</v>
      </c>
      <c r="J127" s="10">
        <v>51.105600000000003</v>
      </c>
      <c r="K127" s="31" t="s">
        <v>4</v>
      </c>
      <c r="L127" s="24">
        <v>1610</v>
      </c>
      <c r="M127" s="26">
        <v>2.44</v>
      </c>
      <c r="N127" s="29" t="s">
        <v>39</v>
      </c>
      <c r="O127" s="29" t="s">
        <v>30</v>
      </c>
      <c r="P127" s="27" t="e">
        <f t="shared" ca="1" si="1"/>
        <v>#NAME?</v>
      </c>
      <c r="Q127" s="28" t="e">
        <f ca="1"/>
        <v>#NAME?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2.75">
      <c r="A128" s="29" t="s">
        <v>152</v>
      </c>
      <c r="B128" s="29" t="s">
        <v>431</v>
      </c>
      <c r="C128" s="30">
        <v>46</v>
      </c>
      <c r="D128" s="30">
        <v>162</v>
      </c>
      <c r="E128" s="30">
        <v>63</v>
      </c>
      <c r="F128" s="9" t="str">
        <v>24.0 (Normal)</v>
      </c>
      <c r="G128" s="9" t="str">
        <f t="shared" si="0"/>
        <v>Normal</v>
      </c>
      <c r="H128" s="24">
        <f ca="1">IFERROR(__xludf.DUMMYFUNCTION("""COMPUTED_VALUE"""),24)</f>
        <v>24</v>
      </c>
      <c r="I128" s="24">
        <v>21</v>
      </c>
      <c r="J128" s="10">
        <v>55.112400000000008</v>
      </c>
      <c r="K128" s="31" t="s">
        <v>18</v>
      </c>
      <c r="L128" s="24">
        <v>1417.5</v>
      </c>
      <c r="M128" s="26">
        <v>2.08</v>
      </c>
      <c r="N128" s="29" t="s">
        <v>16</v>
      </c>
      <c r="O128" s="29" t="s">
        <v>7</v>
      </c>
      <c r="P128" s="27" t="e">
        <f t="shared" ca="1" si="1"/>
        <v>#NAME?</v>
      </c>
      <c r="Q128" s="28" t="e">
        <f ca="1"/>
        <v>#NAME?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2.75">
      <c r="A129" s="29" t="s">
        <v>111</v>
      </c>
      <c r="B129" s="29" t="s">
        <v>431</v>
      </c>
      <c r="C129" s="30">
        <v>36</v>
      </c>
      <c r="D129" s="30">
        <v>185</v>
      </c>
      <c r="E129" s="30">
        <v>74</v>
      </c>
      <c r="F129" s="9" t="str">
        <v>21.6 (Normal)</v>
      </c>
      <c r="G129" s="9" t="str">
        <f t="shared" si="0"/>
        <v>Normal</v>
      </c>
      <c r="H129" s="24">
        <f ca="1">IFERROR(__xludf.DUMMYFUNCTION("""COMPUTED_VALUE"""),21.6)</f>
        <v>21.6</v>
      </c>
      <c r="I129" s="24">
        <v>21</v>
      </c>
      <c r="J129" s="10">
        <v>71.872500000000002</v>
      </c>
      <c r="K129" s="31" t="s">
        <v>28</v>
      </c>
      <c r="L129" s="24">
        <v>1721.25</v>
      </c>
      <c r="M129" s="26">
        <v>2.44</v>
      </c>
      <c r="N129" s="29" t="s">
        <v>16</v>
      </c>
      <c r="O129" s="29" t="s">
        <v>7</v>
      </c>
      <c r="P129" s="27" t="e">
        <f t="shared" ca="1" si="1"/>
        <v>#NAME?</v>
      </c>
      <c r="Q129" s="28" t="e">
        <f ca="1"/>
        <v>#NAME?</v>
      </c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2.75">
      <c r="A130" s="29" t="s">
        <v>153</v>
      </c>
      <c r="B130" s="29" t="s">
        <v>431</v>
      </c>
      <c r="C130" s="30">
        <v>29</v>
      </c>
      <c r="D130" s="30">
        <v>184</v>
      </c>
      <c r="E130" s="30">
        <v>96</v>
      </c>
      <c r="F130" s="9" t="str">
        <v>28.4 (Obese)</v>
      </c>
      <c r="G130" s="9" t="str">
        <f t="shared" si="0"/>
        <v>Obese</v>
      </c>
      <c r="H130" s="24">
        <f ca="1">IFERROR(__xludf.DUMMYFUNCTION("""COMPUTED_VALUE"""),28.4)</f>
        <v>28.4</v>
      </c>
      <c r="I130" s="24">
        <v>21</v>
      </c>
      <c r="J130" s="10">
        <v>71.0976</v>
      </c>
      <c r="K130" s="31" t="s">
        <v>42</v>
      </c>
      <c r="L130" s="24">
        <v>1970</v>
      </c>
      <c r="M130" s="26">
        <v>3.17</v>
      </c>
      <c r="N130" s="29" t="s">
        <v>26</v>
      </c>
      <c r="O130" s="29" t="s">
        <v>60</v>
      </c>
      <c r="P130" s="27" t="e">
        <f t="shared" ca="1" si="1"/>
        <v>#NAME?</v>
      </c>
      <c r="Q130" s="28" t="e">
        <f ca="1"/>
        <v>#NAME?</v>
      </c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2.75">
      <c r="A131" s="29" t="s">
        <v>154</v>
      </c>
      <c r="B131" s="29" t="s">
        <v>431</v>
      </c>
      <c r="C131" s="30">
        <v>22</v>
      </c>
      <c r="D131" s="30">
        <v>172</v>
      </c>
      <c r="E131" s="30">
        <v>55</v>
      </c>
      <c r="F131" s="9" t="str">
        <v>18.6 (Normal)</v>
      </c>
      <c r="G131" s="9" t="str">
        <f t="shared" si="0"/>
        <v>Normal</v>
      </c>
      <c r="H131" s="24">
        <f ca="1">IFERROR(__xludf.DUMMYFUNCTION("""COMPUTED_VALUE"""),18.6)</f>
        <v>18.600000000000001</v>
      </c>
      <c r="I131" s="24">
        <v>21</v>
      </c>
      <c r="J131" s="10">
        <v>62.126399999999997</v>
      </c>
      <c r="K131" s="31" t="s">
        <v>4</v>
      </c>
      <c r="L131" s="24">
        <v>1520</v>
      </c>
      <c r="M131" s="26">
        <v>1.82</v>
      </c>
      <c r="N131" s="29" t="s">
        <v>39</v>
      </c>
      <c r="O131" s="29" t="s">
        <v>60</v>
      </c>
      <c r="P131" s="27" t="e">
        <f t="shared" ca="1" si="1"/>
        <v>#NAME?</v>
      </c>
      <c r="Q131" s="28" t="e">
        <f ca="1"/>
        <v>#NAME?</v>
      </c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2.75">
      <c r="A132" s="29" t="s">
        <v>155</v>
      </c>
      <c r="B132" s="29" t="s">
        <v>431</v>
      </c>
      <c r="C132" s="30">
        <v>49</v>
      </c>
      <c r="D132" s="30">
        <v>180</v>
      </c>
      <c r="E132" s="30">
        <v>82</v>
      </c>
      <c r="F132" s="9" t="str">
        <v>25.3 (Overweight)</v>
      </c>
      <c r="G132" s="9" t="str">
        <f t="shared" si="0"/>
        <v>Overweight</v>
      </c>
      <c r="H132" s="24">
        <f ca="1">IFERROR(__xludf.DUMMYFUNCTION("""COMPUTED_VALUE"""),25.3)</f>
        <v>25.3</v>
      </c>
      <c r="I132" s="24">
        <v>21</v>
      </c>
      <c r="J132" s="10">
        <v>68.040000000000006</v>
      </c>
      <c r="K132" s="31" t="s">
        <v>4</v>
      </c>
      <c r="L132" s="24">
        <v>1705</v>
      </c>
      <c r="M132" s="26">
        <v>2.71</v>
      </c>
      <c r="N132" s="29" t="s">
        <v>26</v>
      </c>
      <c r="O132" s="29" t="s">
        <v>60</v>
      </c>
      <c r="P132" s="27" t="e">
        <f t="shared" ca="1" si="1"/>
        <v>#NAME?</v>
      </c>
      <c r="Q132" s="28" t="e">
        <f ca="1"/>
        <v>#NAME?</v>
      </c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2.75">
      <c r="A133" s="29" t="s">
        <v>67</v>
      </c>
      <c r="B133" s="29" t="s">
        <v>431</v>
      </c>
      <c r="C133" s="30">
        <v>42</v>
      </c>
      <c r="D133" s="30">
        <v>177</v>
      </c>
      <c r="E133" s="30">
        <v>68</v>
      </c>
      <c r="F133" s="9" t="str">
        <v>21.7 (Normal)</v>
      </c>
      <c r="G133" s="9" t="str">
        <f t="shared" si="0"/>
        <v>Normal</v>
      </c>
      <c r="H133" s="24">
        <f ca="1">IFERROR(__xludf.DUMMYFUNCTION("""COMPUTED_VALUE"""),21.7)</f>
        <v>21.7</v>
      </c>
      <c r="I133" s="24">
        <v>21</v>
      </c>
      <c r="J133" s="10">
        <v>65.790900000000008</v>
      </c>
      <c r="K133" s="31" t="s">
        <v>18</v>
      </c>
      <c r="L133" s="24">
        <v>1581.25</v>
      </c>
      <c r="M133" s="26">
        <v>2.2400000000000002</v>
      </c>
      <c r="N133" s="29" t="s">
        <v>26</v>
      </c>
      <c r="O133" s="29" t="s">
        <v>7</v>
      </c>
      <c r="P133" s="27" t="e">
        <f t="shared" ca="1" si="1"/>
        <v>#NAME?</v>
      </c>
      <c r="Q133" s="28" t="e">
        <f ca="1"/>
        <v>#NAME?</v>
      </c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2.75">
      <c r="A134" s="29" t="s">
        <v>156</v>
      </c>
      <c r="B134" s="29" t="s">
        <v>431</v>
      </c>
      <c r="C134" s="30">
        <v>34</v>
      </c>
      <c r="D134" s="30">
        <v>162</v>
      </c>
      <c r="E134" s="30">
        <v>87</v>
      </c>
      <c r="F134" s="9" t="str">
        <v>33.2 (Obese)</v>
      </c>
      <c r="G134" s="9" t="str">
        <f t="shared" si="0"/>
        <v>Obese</v>
      </c>
      <c r="H134" s="24">
        <f ca="1">IFERROR(__xludf.DUMMYFUNCTION("""COMPUTED_VALUE"""),33.2)</f>
        <v>33.200000000000003</v>
      </c>
      <c r="I134" s="24">
        <v>21</v>
      </c>
      <c r="J134" s="10">
        <v>55.112400000000008</v>
      </c>
      <c r="K134" s="31" t="s">
        <v>4</v>
      </c>
      <c r="L134" s="24">
        <v>1717.5</v>
      </c>
      <c r="M134" s="26">
        <v>2.87</v>
      </c>
      <c r="N134" s="29" t="s">
        <v>26</v>
      </c>
      <c r="O134" s="29" t="s">
        <v>60</v>
      </c>
      <c r="P134" s="27" t="e">
        <f t="shared" ca="1" si="1"/>
        <v>#NAME?</v>
      </c>
      <c r="Q134" s="28" t="e">
        <f ca="1"/>
        <v>#NAME?</v>
      </c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2.75">
      <c r="A135" s="29" t="s">
        <v>157</v>
      </c>
      <c r="B135" s="29" t="s">
        <v>431</v>
      </c>
      <c r="C135" s="30">
        <v>58</v>
      </c>
      <c r="D135" s="30">
        <v>160</v>
      </c>
      <c r="E135" s="30">
        <v>58</v>
      </c>
      <c r="F135" s="9" t="str">
        <v>22.7 (Normal)</v>
      </c>
      <c r="G135" s="9" t="str">
        <f t="shared" si="0"/>
        <v>Normal</v>
      </c>
      <c r="H135" s="24">
        <f ca="1">IFERROR(__xludf.DUMMYFUNCTION("""COMPUTED_VALUE"""),22.7)</f>
        <v>22.7</v>
      </c>
      <c r="I135" s="24">
        <v>21</v>
      </c>
      <c r="J135" s="10">
        <v>53.760000000000012</v>
      </c>
      <c r="K135" s="31" t="s">
        <v>28</v>
      </c>
      <c r="L135" s="24">
        <v>1295</v>
      </c>
      <c r="M135" s="26">
        <v>1.91</v>
      </c>
      <c r="N135" s="29" t="s">
        <v>16</v>
      </c>
      <c r="O135" s="29" t="s">
        <v>30</v>
      </c>
      <c r="P135" s="27" t="e">
        <f t="shared" ca="1" si="1"/>
        <v>#NAME?</v>
      </c>
      <c r="Q135" s="28" t="e">
        <f ca="1"/>
        <v>#NAME?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2.75">
      <c r="A136" s="29" t="s">
        <v>158</v>
      </c>
      <c r="B136" s="29" t="s">
        <v>431</v>
      </c>
      <c r="C136" s="30">
        <v>24</v>
      </c>
      <c r="D136" s="30">
        <v>168</v>
      </c>
      <c r="E136" s="30">
        <v>70</v>
      </c>
      <c r="F136" s="9" t="str">
        <v>24.8 (Normal)</v>
      </c>
      <c r="G136" s="9" t="str">
        <f t="shared" si="0"/>
        <v>Normal</v>
      </c>
      <c r="H136" s="24">
        <f ca="1">IFERROR(__xludf.DUMMYFUNCTION("""COMPUTED_VALUE"""),24.8)</f>
        <v>24.8</v>
      </c>
      <c r="I136" s="24">
        <v>21</v>
      </c>
      <c r="J136" s="10">
        <v>59.270399999999988</v>
      </c>
      <c r="K136" s="31" t="s">
        <v>28</v>
      </c>
      <c r="L136" s="24">
        <v>1635</v>
      </c>
      <c r="M136" s="26">
        <v>2.31</v>
      </c>
      <c r="N136" s="29" t="s">
        <v>16</v>
      </c>
      <c r="O136" s="29" t="s">
        <v>30</v>
      </c>
      <c r="P136" s="27" t="e">
        <f t="shared" ca="1" si="1"/>
        <v>#NAME?</v>
      </c>
      <c r="Q136" s="28" t="e">
        <f ca="1"/>
        <v>#NAME?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2.75">
      <c r="A137" s="29" t="s">
        <v>49</v>
      </c>
      <c r="B137" s="29" t="s">
        <v>431</v>
      </c>
      <c r="C137" s="30">
        <v>58</v>
      </c>
      <c r="D137" s="30">
        <v>172</v>
      </c>
      <c r="E137" s="30">
        <v>73</v>
      </c>
      <c r="F137" s="9" t="str">
        <v>24.7 (Normal)</v>
      </c>
      <c r="G137" s="9" t="str">
        <f t="shared" si="0"/>
        <v>Normal</v>
      </c>
      <c r="H137" s="24">
        <f ca="1">IFERROR(__xludf.DUMMYFUNCTION("""COMPUTED_VALUE"""),24.7)</f>
        <v>24.7</v>
      </c>
      <c r="I137" s="24">
        <v>21</v>
      </c>
      <c r="J137" s="10">
        <v>62.126399999999997</v>
      </c>
      <c r="K137" s="31" t="s">
        <v>28</v>
      </c>
      <c r="L137" s="24">
        <v>1520</v>
      </c>
      <c r="M137" s="26">
        <v>2.41</v>
      </c>
      <c r="N137" s="29" t="s">
        <v>26</v>
      </c>
      <c r="O137" s="29" t="s">
        <v>19</v>
      </c>
      <c r="P137" s="27" t="e">
        <f t="shared" ca="1" si="1"/>
        <v>#NAME?</v>
      </c>
      <c r="Q137" s="28" t="e">
        <f ca="1"/>
        <v>#NAME?</v>
      </c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2.75">
      <c r="A138" s="29" t="s">
        <v>159</v>
      </c>
      <c r="B138" s="29" t="s">
        <v>431</v>
      </c>
      <c r="C138" s="30">
        <v>21</v>
      </c>
      <c r="D138" s="30">
        <v>171</v>
      </c>
      <c r="E138" s="30">
        <v>59</v>
      </c>
      <c r="F138" s="9" t="str">
        <v>20.2 (Normal)</v>
      </c>
      <c r="G138" s="9" t="str">
        <f t="shared" si="0"/>
        <v>Normal</v>
      </c>
      <c r="H138" s="24">
        <f ca="1">IFERROR(__xludf.DUMMYFUNCTION("""COMPUTED_VALUE"""),20.2)</f>
        <v>20.2</v>
      </c>
      <c r="I138" s="24">
        <v>21</v>
      </c>
      <c r="J138" s="10">
        <v>61.406099999999995</v>
      </c>
      <c r="K138" s="31" t="s">
        <v>28</v>
      </c>
      <c r="L138" s="24">
        <v>1558.75</v>
      </c>
      <c r="M138" s="26">
        <v>1.95</v>
      </c>
      <c r="N138" s="29" t="s">
        <v>34</v>
      </c>
      <c r="O138" s="29" t="s">
        <v>37</v>
      </c>
      <c r="P138" s="27" t="e">
        <f t="shared" ca="1" si="1"/>
        <v>#NAME?</v>
      </c>
      <c r="Q138" s="28" t="e">
        <f ca="1"/>
        <v>#NAME?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2.75">
      <c r="A139" s="29" t="s">
        <v>113</v>
      </c>
      <c r="B139" s="29" t="s">
        <v>431</v>
      </c>
      <c r="C139" s="30">
        <v>25</v>
      </c>
      <c r="D139" s="30">
        <v>187</v>
      </c>
      <c r="E139" s="30">
        <v>61</v>
      </c>
      <c r="F139" s="9" t="str">
        <v>17.4 (Underweight)</v>
      </c>
      <c r="G139" s="9" t="str">
        <f t="shared" si="0"/>
        <v>Underweight</v>
      </c>
      <c r="H139" s="24">
        <f ca="1">IFERROR(__xludf.DUMMYFUNCTION("""COMPUTED_VALUE"""),17.4)</f>
        <v>17.399999999999999</v>
      </c>
      <c r="I139" s="24">
        <v>21</v>
      </c>
      <c r="J139" s="10">
        <v>73.434900000000013</v>
      </c>
      <c r="K139" s="31" t="s">
        <v>18</v>
      </c>
      <c r="L139" s="24">
        <v>1658.75</v>
      </c>
      <c r="M139" s="26">
        <v>2.0099999999999998</v>
      </c>
      <c r="N139" s="29" t="s">
        <v>26</v>
      </c>
      <c r="O139" s="29" t="s">
        <v>19</v>
      </c>
      <c r="P139" s="27" t="e">
        <f t="shared" ca="1" si="1"/>
        <v>#NAME?</v>
      </c>
      <c r="Q139" s="28" t="e">
        <f ca="1"/>
        <v>#NAME?</v>
      </c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2.75">
      <c r="A140" s="29" t="s">
        <v>160</v>
      </c>
      <c r="B140" s="29" t="s">
        <v>431</v>
      </c>
      <c r="C140" s="30">
        <v>21</v>
      </c>
      <c r="D140" s="30">
        <v>184</v>
      </c>
      <c r="E140" s="30">
        <v>91</v>
      </c>
      <c r="F140" s="9" t="str">
        <v>26.9 (Overweight)</v>
      </c>
      <c r="G140" s="9" t="str">
        <f t="shared" si="0"/>
        <v>Overweight</v>
      </c>
      <c r="H140" s="24">
        <f ca="1">IFERROR(__xludf.DUMMYFUNCTION("""COMPUTED_VALUE"""),26.9)</f>
        <v>26.9</v>
      </c>
      <c r="I140" s="24">
        <v>21</v>
      </c>
      <c r="J140" s="10">
        <v>71.0976</v>
      </c>
      <c r="K140" s="31" t="s">
        <v>4</v>
      </c>
      <c r="L140" s="24">
        <v>1960</v>
      </c>
      <c r="M140" s="26">
        <v>3</v>
      </c>
      <c r="N140" s="29" t="s">
        <v>39</v>
      </c>
      <c r="O140" s="29" t="s">
        <v>19</v>
      </c>
      <c r="P140" s="27" t="e">
        <f t="shared" ca="1" si="1"/>
        <v>#NAME?</v>
      </c>
      <c r="Q140" s="28" t="e">
        <f ca="1"/>
        <v>#NAME?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2.75">
      <c r="A141" s="29" t="s">
        <v>161</v>
      </c>
      <c r="B141" s="29" t="s">
        <v>431</v>
      </c>
      <c r="C141" s="30">
        <v>45</v>
      </c>
      <c r="D141" s="30">
        <v>169</v>
      </c>
      <c r="E141" s="30">
        <v>99</v>
      </c>
      <c r="F141" s="9" t="str">
        <v>34.7 (Obese)</v>
      </c>
      <c r="G141" s="9" t="str">
        <f t="shared" si="0"/>
        <v>Obese</v>
      </c>
      <c r="H141" s="24">
        <f ca="1">IFERROR(__xludf.DUMMYFUNCTION("""COMPUTED_VALUE"""),34.7)</f>
        <v>34.700000000000003</v>
      </c>
      <c r="I141" s="24">
        <v>21</v>
      </c>
      <c r="J141" s="10">
        <v>59.978099999999991</v>
      </c>
      <c r="K141" s="31" t="s">
        <v>42</v>
      </c>
      <c r="L141" s="24">
        <v>1826.25</v>
      </c>
      <c r="M141" s="26">
        <v>3.27</v>
      </c>
      <c r="N141" s="29" t="s">
        <v>26</v>
      </c>
      <c r="O141" s="29" t="s">
        <v>63</v>
      </c>
      <c r="P141" s="27" t="e">
        <f t="shared" ca="1" si="1"/>
        <v>#NAME?</v>
      </c>
      <c r="Q141" s="28" t="e">
        <f ca="1"/>
        <v>#NAME?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2.75">
      <c r="A142" s="29" t="s">
        <v>162</v>
      </c>
      <c r="B142" s="29" t="s">
        <v>431</v>
      </c>
      <c r="C142" s="30">
        <v>28</v>
      </c>
      <c r="D142" s="30">
        <v>158</v>
      </c>
      <c r="E142" s="30">
        <v>76</v>
      </c>
      <c r="F142" s="9" t="str">
        <v>30.4 (Obese)</v>
      </c>
      <c r="G142" s="9" t="str">
        <f t="shared" si="0"/>
        <v>Obese</v>
      </c>
      <c r="H142" s="24">
        <f ca="1">IFERROR(__xludf.DUMMYFUNCTION("""COMPUTED_VALUE"""),30.4)</f>
        <v>30.4</v>
      </c>
      <c r="I142" s="24">
        <v>21</v>
      </c>
      <c r="J142" s="10">
        <v>52.424400000000006</v>
      </c>
      <c r="K142" s="31" t="s">
        <v>42</v>
      </c>
      <c r="L142" s="24">
        <v>1612.5</v>
      </c>
      <c r="M142" s="26">
        <v>2.5099999999999998</v>
      </c>
      <c r="N142" s="29" t="s">
        <v>39</v>
      </c>
      <c r="O142" s="29" t="s">
        <v>19</v>
      </c>
      <c r="P142" s="27" t="e">
        <f t="shared" ca="1" si="1"/>
        <v>#NAME?</v>
      </c>
      <c r="Q142" s="28" t="e">
        <f ca="1"/>
        <v>#NAME?</v>
      </c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2.75">
      <c r="A143" s="29" t="s">
        <v>70</v>
      </c>
      <c r="B143" s="29" t="s">
        <v>431</v>
      </c>
      <c r="C143" s="30">
        <v>59</v>
      </c>
      <c r="D143" s="30">
        <v>167</v>
      </c>
      <c r="E143" s="30">
        <v>102</v>
      </c>
      <c r="F143" s="9" t="str">
        <v>36.6 (Obese)</v>
      </c>
      <c r="G143" s="9" t="str">
        <f t="shared" si="0"/>
        <v>Obese</v>
      </c>
      <c r="H143" s="24">
        <f ca="1">IFERROR(__xludf.DUMMYFUNCTION("""COMPUTED_VALUE"""),36.6)</f>
        <v>36.6</v>
      </c>
      <c r="I143" s="24">
        <v>21</v>
      </c>
      <c r="J143" s="10">
        <v>58.566899999999997</v>
      </c>
      <c r="K143" s="31" t="s">
        <v>42</v>
      </c>
      <c r="L143" s="24">
        <v>1773.75</v>
      </c>
      <c r="M143" s="26">
        <v>3.37</v>
      </c>
      <c r="N143" s="29" t="s">
        <v>16</v>
      </c>
      <c r="O143" s="29" t="s">
        <v>30</v>
      </c>
      <c r="P143" s="27" t="e">
        <f t="shared" ca="1" si="1"/>
        <v>#NAME?</v>
      </c>
      <c r="Q143" s="28" t="e">
        <f ca="1"/>
        <v>#NAME?</v>
      </c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2.75">
      <c r="A144" s="29" t="s">
        <v>163</v>
      </c>
      <c r="B144" s="29" t="s">
        <v>431</v>
      </c>
      <c r="C144" s="30">
        <v>52</v>
      </c>
      <c r="D144" s="30">
        <v>187</v>
      </c>
      <c r="E144" s="30">
        <v>91</v>
      </c>
      <c r="F144" s="9" t="str">
        <v>26.0 (Overweight)</v>
      </c>
      <c r="G144" s="9" t="str">
        <f t="shared" si="0"/>
        <v>Overweight</v>
      </c>
      <c r="H144" s="24">
        <f ca="1">IFERROR(__xludf.DUMMYFUNCTION("""COMPUTED_VALUE"""),26)</f>
        <v>26</v>
      </c>
      <c r="I144" s="24">
        <v>21</v>
      </c>
      <c r="J144" s="10">
        <v>73.434900000000013</v>
      </c>
      <c r="K144" s="31" t="s">
        <v>42</v>
      </c>
      <c r="L144" s="24">
        <v>1823.75</v>
      </c>
      <c r="M144" s="26">
        <v>3</v>
      </c>
      <c r="N144" s="29" t="s">
        <v>16</v>
      </c>
      <c r="O144" s="29" t="s">
        <v>19</v>
      </c>
      <c r="P144" s="27" t="e">
        <f t="shared" ca="1" si="1"/>
        <v>#NAME?</v>
      </c>
      <c r="Q144" s="28" t="e">
        <f ca="1"/>
        <v>#NAME?</v>
      </c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2.75">
      <c r="A145" s="29" t="s">
        <v>164</v>
      </c>
      <c r="B145" s="29" t="s">
        <v>431</v>
      </c>
      <c r="C145" s="30">
        <v>46</v>
      </c>
      <c r="D145" s="30">
        <v>182</v>
      </c>
      <c r="E145" s="30">
        <v>70</v>
      </c>
      <c r="F145" s="9" t="str">
        <v>21.1 (Normal)</v>
      </c>
      <c r="G145" s="9" t="str">
        <f t="shared" si="0"/>
        <v>Normal</v>
      </c>
      <c r="H145" s="24">
        <f ca="1">IFERROR(__xludf.DUMMYFUNCTION("""COMPUTED_VALUE"""),21.1)</f>
        <v>21.1</v>
      </c>
      <c r="I145" s="24">
        <v>21</v>
      </c>
      <c r="J145" s="10">
        <v>69.560400000000001</v>
      </c>
      <c r="K145" s="31" t="s">
        <v>28</v>
      </c>
      <c r="L145" s="24">
        <v>1612.5</v>
      </c>
      <c r="M145" s="26">
        <v>2.31</v>
      </c>
      <c r="N145" s="29" t="s">
        <v>26</v>
      </c>
      <c r="O145" s="29" t="s">
        <v>63</v>
      </c>
      <c r="P145" s="27" t="e">
        <f t="shared" ca="1" si="1"/>
        <v>#NAME?</v>
      </c>
      <c r="Q145" s="28" t="e">
        <f ca="1"/>
        <v>#NAME?</v>
      </c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2.75">
      <c r="A146" s="29" t="s">
        <v>158</v>
      </c>
      <c r="B146" s="29" t="s">
        <v>431</v>
      </c>
      <c r="C146" s="30">
        <v>55</v>
      </c>
      <c r="D146" s="30">
        <v>177</v>
      </c>
      <c r="E146" s="30">
        <v>103</v>
      </c>
      <c r="F146" s="9" t="str">
        <v>32.9 (Obese)</v>
      </c>
      <c r="G146" s="9" t="str">
        <f t="shared" si="0"/>
        <v>Obese</v>
      </c>
      <c r="H146" s="24">
        <f ca="1">IFERROR(__xludf.DUMMYFUNCTION("""COMPUTED_VALUE"""),32.9)</f>
        <v>32.9</v>
      </c>
      <c r="I146" s="24">
        <v>21</v>
      </c>
      <c r="J146" s="10">
        <v>65.790900000000008</v>
      </c>
      <c r="K146" s="31" t="s">
        <v>28</v>
      </c>
      <c r="L146" s="24">
        <v>1866.25</v>
      </c>
      <c r="M146" s="26">
        <v>3.4</v>
      </c>
      <c r="N146" s="29" t="s">
        <v>26</v>
      </c>
      <c r="O146" s="29" t="s">
        <v>19</v>
      </c>
      <c r="P146" s="27" t="e">
        <f t="shared" ca="1" si="1"/>
        <v>#NAME?</v>
      </c>
      <c r="Q146" s="28" t="e">
        <f ca="1"/>
        <v>#NAME?</v>
      </c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2.75">
      <c r="A147" s="29" t="s">
        <v>165</v>
      </c>
      <c r="B147" s="29" t="s">
        <v>431</v>
      </c>
      <c r="C147" s="30">
        <v>28</v>
      </c>
      <c r="D147" s="30">
        <v>188</v>
      </c>
      <c r="E147" s="30">
        <v>99</v>
      </c>
      <c r="F147" s="9" t="str">
        <v>28.0 (Obese)</v>
      </c>
      <c r="G147" s="9" t="str">
        <f t="shared" si="0"/>
        <v>Obese</v>
      </c>
      <c r="H147" s="24">
        <f ca="1">IFERROR(__xludf.DUMMYFUNCTION("""COMPUTED_VALUE"""),28)</f>
        <v>28</v>
      </c>
      <c r="I147" s="24">
        <v>21</v>
      </c>
      <c r="J147" s="10">
        <v>74.222399999999993</v>
      </c>
      <c r="K147" s="31" t="s">
        <v>4</v>
      </c>
      <c r="L147" s="24">
        <v>2030</v>
      </c>
      <c r="M147" s="26">
        <v>3.27</v>
      </c>
      <c r="N147" s="29" t="s">
        <v>39</v>
      </c>
      <c r="O147" s="29" t="s">
        <v>37</v>
      </c>
      <c r="P147" s="27" t="e">
        <f t="shared" ca="1" si="1"/>
        <v>#NAME?</v>
      </c>
      <c r="Q147" s="28" t="e">
        <f ca="1"/>
        <v>#NAME?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2.75">
      <c r="A148" s="29" t="s">
        <v>163</v>
      </c>
      <c r="B148" s="29" t="s">
        <v>431</v>
      </c>
      <c r="C148" s="30">
        <v>29</v>
      </c>
      <c r="D148" s="30">
        <v>167</v>
      </c>
      <c r="E148" s="30">
        <v>73</v>
      </c>
      <c r="F148" s="9" t="str">
        <v>26.2 (Overweight)</v>
      </c>
      <c r="G148" s="9" t="str">
        <f t="shared" si="0"/>
        <v>Overweight</v>
      </c>
      <c r="H148" s="24">
        <f ca="1">IFERROR(__xludf.DUMMYFUNCTION("""COMPUTED_VALUE"""),26.2)</f>
        <v>26.2</v>
      </c>
      <c r="I148" s="24">
        <v>21</v>
      </c>
      <c r="J148" s="10">
        <v>58.566899999999997</v>
      </c>
      <c r="K148" s="31" t="s">
        <v>18</v>
      </c>
      <c r="L148" s="24">
        <v>1633.75</v>
      </c>
      <c r="M148" s="26">
        <v>2.41</v>
      </c>
      <c r="N148" s="29" t="s">
        <v>34</v>
      </c>
      <c r="O148" s="29" t="s">
        <v>37</v>
      </c>
      <c r="P148" s="27" t="e">
        <f t="shared" ca="1" si="1"/>
        <v>#NAME?</v>
      </c>
      <c r="Q148" s="28" t="e">
        <f ca="1"/>
        <v>#NAME?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2.75">
      <c r="A149" s="29" t="s">
        <v>166</v>
      </c>
      <c r="B149" s="29" t="s">
        <v>431</v>
      </c>
      <c r="C149" s="30">
        <v>48</v>
      </c>
      <c r="D149" s="30">
        <v>178</v>
      </c>
      <c r="E149" s="30">
        <v>93</v>
      </c>
      <c r="F149" s="9" t="str">
        <v>29.4 (Obese)</v>
      </c>
      <c r="G149" s="9" t="str">
        <f t="shared" si="0"/>
        <v>Obese</v>
      </c>
      <c r="H149" s="24">
        <f ca="1">IFERROR(__xludf.DUMMYFUNCTION("""COMPUTED_VALUE"""),29.4)</f>
        <v>29.4</v>
      </c>
      <c r="I149" s="24">
        <v>21</v>
      </c>
      <c r="J149" s="10">
        <v>66.5364</v>
      </c>
      <c r="K149" s="31" t="s">
        <v>4</v>
      </c>
      <c r="L149" s="24">
        <v>1807.5</v>
      </c>
      <c r="M149" s="26">
        <v>3.07</v>
      </c>
      <c r="N149" s="29" t="s">
        <v>34</v>
      </c>
      <c r="O149" s="29" t="s">
        <v>37</v>
      </c>
      <c r="P149" s="27" t="e">
        <f t="shared" ca="1" si="1"/>
        <v>#NAME?</v>
      </c>
      <c r="Q149" s="28" t="e">
        <f ca="1"/>
        <v>#NAME?</v>
      </c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2.75">
      <c r="A150" s="29" t="s">
        <v>167</v>
      </c>
      <c r="B150" s="29" t="s">
        <v>431</v>
      </c>
      <c r="C150" s="30">
        <v>53</v>
      </c>
      <c r="D150" s="30">
        <v>177</v>
      </c>
      <c r="E150" s="30">
        <v>52</v>
      </c>
      <c r="F150" s="9" t="str">
        <v>16.6 (Underweight)</v>
      </c>
      <c r="G150" s="9" t="str">
        <f t="shared" si="0"/>
        <v>Underweight</v>
      </c>
      <c r="H150" s="24">
        <f ca="1">IFERROR(__xludf.DUMMYFUNCTION("""COMPUTED_VALUE"""),16.6)</f>
        <v>16.600000000000001</v>
      </c>
      <c r="I150" s="24">
        <v>21</v>
      </c>
      <c r="J150" s="10">
        <v>65.790900000000008</v>
      </c>
      <c r="K150" s="31" t="s">
        <v>42</v>
      </c>
      <c r="L150" s="24">
        <v>1366.25</v>
      </c>
      <c r="M150" s="26">
        <v>1.72</v>
      </c>
      <c r="N150" s="29" t="s">
        <v>34</v>
      </c>
      <c r="O150" s="29" t="s">
        <v>7</v>
      </c>
      <c r="P150" s="27" t="e">
        <f t="shared" ca="1" si="1"/>
        <v>#NAME?</v>
      </c>
      <c r="Q150" s="28" t="e">
        <f ca="1"/>
        <v>#NAME?</v>
      </c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2.75">
      <c r="A151" s="29" t="s">
        <v>168</v>
      </c>
      <c r="B151" s="29" t="s">
        <v>431</v>
      </c>
      <c r="C151" s="30">
        <v>42</v>
      </c>
      <c r="D151" s="30">
        <v>179</v>
      </c>
      <c r="E151" s="30">
        <v>60</v>
      </c>
      <c r="F151" s="9" t="str">
        <v>18.7 (Normal)</v>
      </c>
      <c r="G151" s="9" t="str">
        <f t="shared" si="0"/>
        <v>Normal</v>
      </c>
      <c r="H151" s="24">
        <f ca="1">IFERROR(__xludf.DUMMYFUNCTION("""COMPUTED_VALUE"""),18.7)</f>
        <v>18.7</v>
      </c>
      <c r="I151" s="24">
        <v>21</v>
      </c>
      <c r="J151" s="10">
        <v>67.286100000000005</v>
      </c>
      <c r="K151" s="31" t="s">
        <v>28</v>
      </c>
      <c r="L151" s="24">
        <v>1513.75</v>
      </c>
      <c r="M151" s="26">
        <v>1.98</v>
      </c>
      <c r="N151" s="29" t="s">
        <v>39</v>
      </c>
      <c r="O151" s="29" t="s">
        <v>30</v>
      </c>
      <c r="P151" s="27" t="e">
        <f t="shared" ca="1" si="1"/>
        <v>#NAME?</v>
      </c>
      <c r="Q151" s="28" t="e">
        <f ca="1"/>
        <v>#NAME?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2.75">
      <c r="A152" s="29" t="s">
        <v>57</v>
      </c>
      <c r="B152" s="29" t="s">
        <v>431</v>
      </c>
      <c r="C152" s="30">
        <v>47</v>
      </c>
      <c r="D152" s="30">
        <v>176</v>
      </c>
      <c r="E152" s="30">
        <v>54</v>
      </c>
      <c r="F152" s="9" t="str">
        <v>17.4 (Underweight)</v>
      </c>
      <c r="G152" s="9" t="str">
        <f t="shared" si="0"/>
        <v>Underweight</v>
      </c>
      <c r="H152" s="24">
        <f ca="1">IFERROR(__xludf.DUMMYFUNCTION("""COMPUTED_VALUE"""),17.4)</f>
        <v>17.399999999999999</v>
      </c>
      <c r="I152" s="24">
        <v>21</v>
      </c>
      <c r="J152" s="10">
        <v>65.049599999999998</v>
      </c>
      <c r="K152" s="31" t="s">
        <v>28</v>
      </c>
      <c r="L152" s="24">
        <v>1410</v>
      </c>
      <c r="M152" s="26">
        <v>1.78</v>
      </c>
      <c r="N152" s="29" t="s">
        <v>26</v>
      </c>
      <c r="O152" s="29" t="s">
        <v>30</v>
      </c>
      <c r="P152" s="27" t="e">
        <f t="shared" ca="1" si="1"/>
        <v>#NAME?</v>
      </c>
      <c r="Q152" s="28" t="e">
        <f ca="1"/>
        <v>#NAME?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2.75">
      <c r="A153" s="29" t="s">
        <v>169</v>
      </c>
      <c r="B153" s="29" t="s">
        <v>431</v>
      </c>
      <c r="C153" s="30">
        <v>44</v>
      </c>
      <c r="D153" s="30">
        <v>180</v>
      </c>
      <c r="E153" s="30">
        <v>100</v>
      </c>
      <c r="F153" s="9" t="str">
        <v>30.9 (Obese)</v>
      </c>
      <c r="G153" s="9" t="str">
        <f t="shared" si="0"/>
        <v>Obese</v>
      </c>
      <c r="H153" s="24">
        <f ca="1">IFERROR(__xludf.DUMMYFUNCTION("""COMPUTED_VALUE"""),30.9)</f>
        <v>30.9</v>
      </c>
      <c r="I153" s="24">
        <v>21</v>
      </c>
      <c r="J153" s="10">
        <v>68.040000000000006</v>
      </c>
      <c r="K153" s="31" t="s">
        <v>28</v>
      </c>
      <c r="L153" s="24">
        <v>1910</v>
      </c>
      <c r="M153" s="26">
        <v>3.3</v>
      </c>
      <c r="N153" s="29" t="s">
        <v>34</v>
      </c>
      <c r="O153" s="29" t="s">
        <v>30</v>
      </c>
      <c r="P153" s="27" t="e">
        <f t="shared" ca="1" si="1"/>
        <v>#NAME?</v>
      </c>
      <c r="Q153" s="28" t="e">
        <f ca="1"/>
        <v>#NAME?</v>
      </c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2.75">
      <c r="A154" s="29" t="s">
        <v>170</v>
      </c>
      <c r="B154" s="29" t="s">
        <v>431</v>
      </c>
      <c r="C154" s="30">
        <v>27</v>
      </c>
      <c r="D154" s="30">
        <v>182</v>
      </c>
      <c r="E154" s="30">
        <v>53</v>
      </c>
      <c r="F154" s="9" t="str">
        <v>16.0 (Underweight)</v>
      </c>
      <c r="G154" s="9" t="str">
        <f t="shared" si="0"/>
        <v>Underweight</v>
      </c>
      <c r="H154" s="24">
        <f ca="1">IFERROR(__xludf.DUMMYFUNCTION("""COMPUTED_VALUE"""),16)</f>
        <v>16</v>
      </c>
      <c r="I154" s="24">
        <v>21</v>
      </c>
      <c r="J154" s="10">
        <v>69.560400000000001</v>
      </c>
      <c r="K154" s="31" t="s">
        <v>4</v>
      </c>
      <c r="L154" s="24">
        <v>1537.5</v>
      </c>
      <c r="M154" s="26">
        <v>1.75</v>
      </c>
      <c r="N154" s="29" t="s">
        <v>34</v>
      </c>
      <c r="O154" s="29" t="s">
        <v>7</v>
      </c>
      <c r="P154" s="27" t="e">
        <f t="shared" ca="1" si="1"/>
        <v>#NAME?</v>
      </c>
      <c r="Q154" s="28" t="e">
        <f ca="1"/>
        <v>#NAME?</v>
      </c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2.75">
      <c r="A155" s="29" t="s">
        <v>171</v>
      </c>
      <c r="B155" s="29" t="s">
        <v>431</v>
      </c>
      <c r="C155" s="30">
        <v>24</v>
      </c>
      <c r="D155" s="30">
        <v>168</v>
      </c>
      <c r="E155" s="30">
        <v>56</v>
      </c>
      <c r="F155" s="9" t="str">
        <v>19.8 (Normal)</v>
      </c>
      <c r="G155" s="9" t="str">
        <f t="shared" si="0"/>
        <v>Normal</v>
      </c>
      <c r="H155" s="24">
        <f ca="1">IFERROR(__xludf.DUMMYFUNCTION("""COMPUTED_VALUE"""),19.8)</f>
        <v>19.8</v>
      </c>
      <c r="I155" s="24">
        <v>21</v>
      </c>
      <c r="J155" s="10">
        <v>59.270399999999988</v>
      </c>
      <c r="K155" s="31" t="s">
        <v>28</v>
      </c>
      <c r="L155" s="24">
        <v>1495</v>
      </c>
      <c r="M155" s="26">
        <v>1.85</v>
      </c>
      <c r="N155" s="29" t="s">
        <v>34</v>
      </c>
      <c r="O155" s="29" t="s">
        <v>30</v>
      </c>
      <c r="P155" s="27" t="e">
        <f t="shared" ca="1" si="1"/>
        <v>#NAME?</v>
      </c>
      <c r="Q155" s="28" t="e">
        <f ca="1"/>
        <v>#NAME?</v>
      </c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2.75">
      <c r="A156" s="29" t="s">
        <v>53</v>
      </c>
      <c r="B156" s="29" t="s">
        <v>431</v>
      </c>
      <c r="C156" s="30">
        <v>28</v>
      </c>
      <c r="D156" s="30">
        <v>155</v>
      </c>
      <c r="E156" s="30">
        <v>55</v>
      </c>
      <c r="F156" s="9" t="str">
        <v>22.9 (Normal)</v>
      </c>
      <c r="G156" s="9" t="str">
        <f t="shared" si="0"/>
        <v>Normal</v>
      </c>
      <c r="H156" s="24">
        <f ca="1">IFERROR(__xludf.DUMMYFUNCTION("""COMPUTED_VALUE"""),22.9)</f>
        <v>22.9</v>
      </c>
      <c r="I156" s="24">
        <v>21</v>
      </c>
      <c r="J156" s="10">
        <v>50.452500000000008</v>
      </c>
      <c r="K156" s="31" t="s">
        <v>42</v>
      </c>
      <c r="L156" s="24">
        <v>1383.75</v>
      </c>
      <c r="M156" s="26">
        <v>1.82</v>
      </c>
      <c r="N156" s="29" t="s">
        <v>39</v>
      </c>
      <c r="O156" s="29" t="s">
        <v>60</v>
      </c>
      <c r="P156" s="27" t="e">
        <f t="shared" ca="1" si="1"/>
        <v>#NAME?</v>
      </c>
      <c r="Q156" s="28" t="e">
        <f ca="1"/>
        <v>#NAME?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2.75">
      <c r="A157" s="29" t="s">
        <v>172</v>
      </c>
      <c r="B157" s="29" t="s">
        <v>431</v>
      </c>
      <c r="C157" s="30">
        <v>55</v>
      </c>
      <c r="D157" s="30">
        <v>165</v>
      </c>
      <c r="E157" s="30">
        <v>92</v>
      </c>
      <c r="F157" s="9" t="str">
        <v>33.8 (Obese)</v>
      </c>
      <c r="G157" s="9" t="str">
        <f t="shared" si="0"/>
        <v>Obese</v>
      </c>
      <c r="H157" s="24">
        <f ca="1">IFERROR(__xludf.DUMMYFUNCTION("""COMPUTED_VALUE"""),33.8)</f>
        <v>33.799999999999997</v>
      </c>
      <c r="I157" s="24">
        <v>21</v>
      </c>
      <c r="J157" s="10">
        <v>57.172499999999992</v>
      </c>
      <c r="K157" s="31" t="s">
        <v>4</v>
      </c>
      <c r="L157" s="24">
        <v>1681.25</v>
      </c>
      <c r="M157" s="26">
        <v>3.04</v>
      </c>
      <c r="N157" s="29" t="s">
        <v>39</v>
      </c>
      <c r="O157" s="29" t="s">
        <v>63</v>
      </c>
      <c r="P157" s="27" t="e">
        <f t="shared" ca="1" si="1"/>
        <v>#NAME?</v>
      </c>
      <c r="Q157" s="28" t="e">
        <f ca="1"/>
        <v>#NAME?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2.75">
      <c r="A158" s="29" t="s">
        <v>43</v>
      </c>
      <c r="B158" s="29" t="s">
        <v>431</v>
      </c>
      <c r="C158" s="30">
        <v>41</v>
      </c>
      <c r="D158" s="30">
        <v>171</v>
      </c>
      <c r="E158" s="30">
        <v>77</v>
      </c>
      <c r="F158" s="9" t="str">
        <v>26.3 (Overweight)</v>
      </c>
      <c r="G158" s="9" t="str">
        <f t="shared" si="0"/>
        <v>Overweight</v>
      </c>
      <c r="H158" s="24">
        <f ca="1">IFERROR(__xludf.DUMMYFUNCTION("""COMPUTED_VALUE"""),26.3)</f>
        <v>26.3</v>
      </c>
      <c r="I158" s="24">
        <v>21</v>
      </c>
      <c r="J158" s="10">
        <v>61.406099999999995</v>
      </c>
      <c r="K158" s="31" t="s">
        <v>28</v>
      </c>
      <c r="L158" s="24">
        <v>1638.75</v>
      </c>
      <c r="M158" s="26">
        <v>2.54</v>
      </c>
      <c r="N158" s="29" t="s">
        <v>39</v>
      </c>
      <c r="O158" s="29" t="s">
        <v>60</v>
      </c>
      <c r="P158" s="27" t="e">
        <f t="shared" ca="1" si="1"/>
        <v>#NAME?</v>
      </c>
      <c r="Q158" s="28" t="e">
        <f ca="1"/>
        <v>#NAME?</v>
      </c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2.75">
      <c r="A159" s="29" t="s">
        <v>173</v>
      </c>
      <c r="B159" s="29" t="s">
        <v>431</v>
      </c>
      <c r="C159" s="30">
        <v>46</v>
      </c>
      <c r="D159" s="30">
        <v>166</v>
      </c>
      <c r="E159" s="30">
        <v>101</v>
      </c>
      <c r="F159" s="9" t="str">
        <v>36.7 (Obese)</v>
      </c>
      <c r="G159" s="9" t="str">
        <f t="shared" si="0"/>
        <v>Obese</v>
      </c>
      <c r="H159" s="24">
        <f ca="1">IFERROR(__xludf.DUMMYFUNCTION("""COMPUTED_VALUE"""),36.7)</f>
        <v>36.700000000000003</v>
      </c>
      <c r="I159" s="24">
        <v>21</v>
      </c>
      <c r="J159" s="10">
        <v>57.867599999999996</v>
      </c>
      <c r="K159" s="31" t="s">
        <v>18</v>
      </c>
      <c r="L159" s="24">
        <v>1822.5</v>
      </c>
      <c r="M159" s="26">
        <v>3.33</v>
      </c>
      <c r="N159" s="29" t="s">
        <v>39</v>
      </c>
      <c r="O159" s="29" t="s">
        <v>19</v>
      </c>
      <c r="P159" s="27" t="e">
        <f t="shared" ca="1" si="1"/>
        <v>#NAME?</v>
      </c>
      <c r="Q159" s="28" t="e">
        <f ca="1"/>
        <v>#NAME?</v>
      </c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2.75">
      <c r="A160" s="29" t="s">
        <v>174</v>
      </c>
      <c r="B160" s="29" t="s">
        <v>431</v>
      </c>
      <c r="C160" s="30">
        <v>46</v>
      </c>
      <c r="D160" s="30">
        <v>187</v>
      </c>
      <c r="E160" s="30">
        <v>58</v>
      </c>
      <c r="F160" s="9" t="str">
        <v>16.6 (Underweight)</v>
      </c>
      <c r="G160" s="9" t="str">
        <f t="shared" si="0"/>
        <v>Underweight</v>
      </c>
      <c r="H160" s="24">
        <f ca="1">IFERROR(__xludf.DUMMYFUNCTION("""COMPUTED_VALUE"""),16.6)</f>
        <v>16.600000000000001</v>
      </c>
      <c r="I160" s="24">
        <v>21</v>
      </c>
      <c r="J160" s="10">
        <v>73.434900000000013</v>
      </c>
      <c r="K160" s="31" t="s">
        <v>4</v>
      </c>
      <c r="L160" s="24">
        <v>1523.75</v>
      </c>
      <c r="M160" s="26">
        <v>1.91</v>
      </c>
      <c r="N160" s="29" t="s">
        <v>26</v>
      </c>
      <c r="O160" s="29" t="s">
        <v>30</v>
      </c>
      <c r="P160" s="27" t="e">
        <f t="shared" ca="1" si="1"/>
        <v>#NAME?</v>
      </c>
      <c r="Q160" s="28" t="e">
        <f ca="1"/>
        <v>#NAME?</v>
      </c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2.75">
      <c r="A161" s="29" t="s">
        <v>175</v>
      </c>
      <c r="B161" s="29" t="s">
        <v>431</v>
      </c>
      <c r="C161" s="30">
        <v>23</v>
      </c>
      <c r="D161" s="30">
        <v>188</v>
      </c>
      <c r="E161" s="30">
        <v>72</v>
      </c>
      <c r="F161" s="9" t="str">
        <v>20.4 (Normal)</v>
      </c>
      <c r="G161" s="9" t="str">
        <f t="shared" si="0"/>
        <v>Normal</v>
      </c>
      <c r="H161" s="24">
        <f ca="1">IFERROR(__xludf.DUMMYFUNCTION("""COMPUTED_VALUE"""),20.4)</f>
        <v>20.399999999999999</v>
      </c>
      <c r="I161" s="24">
        <v>21</v>
      </c>
      <c r="J161" s="10">
        <v>74.222399999999993</v>
      </c>
      <c r="K161" s="31" t="s">
        <v>18</v>
      </c>
      <c r="L161" s="24">
        <v>1785</v>
      </c>
      <c r="M161" s="26">
        <v>2.38</v>
      </c>
      <c r="N161" s="29" t="s">
        <v>26</v>
      </c>
      <c r="O161" s="29" t="s">
        <v>30</v>
      </c>
      <c r="P161" s="27" t="e">
        <f t="shared" ca="1" si="1"/>
        <v>#NAME?</v>
      </c>
      <c r="Q161" s="28" t="e">
        <f ca="1"/>
        <v>#NAME?</v>
      </c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2.75">
      <c r="A162" s="29" t="s">
        <v>54</v>
      </c>
      <c r="B162" s="29" t="s">
        <v>431</v>
      </c>
      <c r="C162" s="30">
        <v>37</v>
      </c>
      <c r="D162" s="30">
        <v>164</v>
      </c>
      <c r="E162" s="30">
        <v>65</v>
      </c>
      <c r="F162" s="9" t="str">
        <v>24.2 (Normal)</v>
      </c>
      <c r="G162" s="9" t="str">
        <f t="shared" si="0"/>
        <v>Normal</v>
      </c>
      <c r="H162" s="24">
        <f ca="1">IFERROR(__xludf.DUMMYFUNCTION("""COMPUTED_VALUE"""),24.2)</f>
        <v>24.2</v>
      </c>
      <c r="I162" s="24">
        <v>21</v>
      </c>
      <c r="J162" s="10">
        <v>56.481599999999993</v>
      </c>
      <c r="K162" s="31" t="s">
        <v>42</v>
      </c>
      <c r="L162" s="24">
        <v>1495</v>
      </c>
      <c r="M162" s="26">
        <v>2.15</v>
      </c>
      <c r="N162" s="29" t="s">
        <v>26</v>
      </c>
      <c r="O162" s="29" t="s">
        <v>30</v>
      </c>
      <c r="P162" s="27" t="e">
        <f t="shared" ca="1" si="1"/>
        <v>#NAME?</v>
      </c>
      <c r="Q162" s="28" t="e">
        <f ca="1"/>
        <v>#NAME?</v>
      </c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2.75">
      <c r="A163" s="29" t="s">
        <v>176</v>
      </c>
      <c r="B163" s="29" t="s">
        <v>431</v>
      </c>
      <c r="C163" s="30">
        <v>21</v>
      </c>
      <c r="D163" s="30">
        <v>183</v>
      </c>
      <c r="E163" s="30">
        <v>53</v>
      </c>
      <c r="F163" s="9" t="str">
        <v>15.8 (Underweight)</v>
      </c>
      <c r="G163" s="9" t="str">
        <f t="shared" si="0"/>
        <v>Underweight</v>
      </c>
      <c r="H163" s="24">
        <f ca="1">IFERROR(__xludf.DUMMYFUNCTION("""COMPUTED_VALUE"""),15.8)</f>
        <v>15.8</v>
      </c>
      <c r="I163" s="24">
        <v>21</v>
      </c>
      <c r="J163" s="10">
        <v>70.326900000000009</v>
      </c>
      <c r="K163" s="31" t="s">
        <v>42</v>
      </c>
      <c r="L163" s="24">
        <v>1573.75</v>
      </c>
      <c r="M163" s="26">
        <v>1.75</v>
      </c>
      <c r="N163" s="29" t="s">
        <v>26</v>
      </c>
      <c r="O163" s="29" t="s">
        <v>7</v>
      </c>
      <c r="P163" s="27" t="e">
        <f t="shared" ca="1" si="1"/>
        <v>#NAME?</v>
      </c>
      <c r="Q163" s="28" t="e">
        <f ca="1"/>
        <v>#NAME?</v>
      </c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2.75">
      <c r="A164" s="29" t="s">
        <v>148</v>
      </c>
      <c r="B164" s="29" t="s">
        <v>431</v>
      </c>
      <c r="C164" s="30">
        <v>56</v>
      </c>
      <c r="D164" s="30">
        <v>168</v>
      </c>
      <c r="E164" s="30">
        <v>85</v>
      </c>
      <c r="F164" s="9" t="str">
        <v>30.1 (Obese)</v>
      </c>
      <c r="G164" s="9" t="str">
        <f t="shared" si="0"/>
        <v>Obese</v>
      </c>
      <c r="H164" s="24">
        <f ca="1">IFERROR(__xludf.DUMMYFUNCTION("""COMPUTED_VALUE"""),30.1)</f>
        <v>30.1</v>
      </c>
      <c r="I164" s="24">
        <v>21</v>
      </c>
      <c r="J164" s="10">
        <v>59.270399999999988</v>
      </c>
      <c r="K164" s="31" t="s">
        <v>18</v>
      </c>
      <c r="L164" s="24">
        <v>1625</v>
      </c>
      <c r="M164" s="26">
        <v>2.81</v>
      </c>
      <c r="N164" s="29" t="s">
        <v>34</v>
      </c>
      <c r="O164" s="29" t="s">
        <v>60</v>
      </c>
      <c r="P164" s="27" t="e">
        <f t="shared" ca="1" si="1"/>
        <v>#NAME?</v>
      </c>
      <c r="Q164" s="28" t="e">
        <f ca="1"/>
        <v>#NAME?</v>
      </c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2.75">
      <c r="A165" s="29" t="s">
        <v>159</v>
      </c>
      <c r="B165" s="29" t="s">
        <v>431</v>
      </c>
      <c r="C165" s="30">
        <v>52</v>
      </c>
      <c r="D165" s="30">
        <v>177</v>
      </c>
      <c r="E165" s="30">
        <v>87</v>
      </c>
      <c r="F165" s="9" t="str">
        <v>27.8 (Obese)</v>
      </c>
      <c r="G165" s="9" t="str">
        <f t="shared" si="0"/>
        <v>Obese</v>
      </c>
      <c r="H165" s="24">
        <f ca="1">IFERROR(__xludf.DUMMYFUNCTION("""COMPUTED_VALUE"""),27.8)</f>
        <v>27.8</v>
      </c>
      <c r="I165" s="24">
        <v>21</v>
      </c>
      <c r="J165" s="10">
        <v>65.790900000000008</v>
      </c>
      <c r="K165" s="31" t="s">
        <v>42</v>
      </c>
      <c r="L165" s="24">
        <v>1721.25</v>
      </c>
      <c r="M165" s="26">
        <v>2.87</v>
      </c>
      <c r="N165" s="29" t="s">
        <v>39</v>
      </c>
      <c r="O165" s="29" t="s">
        <v>63</v>
      </c>
      <c r="P165" s="27" t="e">
        <f t="shared" ca="1" si="1"/>
        <v>#NAME?</v>
      </c>
      <c r="Q165" s="28" t="e">
        <f ca="1"/>
        <v>#NAME?</v>
      </c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2.75">
      <c r="A166" s="29" t="s">
        <v>177</v>
      </c>
      <c r="B166" s="29" t="s">
        <v>431</v>
      </c>
      <c r="C166" s="30">
        <v>37</v>
      </c>
      <c r="D166" s="30">
        <v>178</v>
      </c>
      <c r="E166" s="30">
        <v>60</v>
      </c>
      <c r="F166" s="9" t="str">
        <v>18.9 (Normal)</v>
      </c>
      <c r="G166" s="9" t="str">
        <f t="shared" si="0"/>
        <v>Normal</v>
      </c>
      <c r="H166" s="24">
        <f ca="1">IFERROR(__xludf.DUMMYFUNCTION("""COMPUTED_VALUE"""),18.9)</f>
        <v>18.899999999999999</v>
      </c>
      <c r="I166" s="24">
        <v>21</v>
      </c>
      <c r="J166" s="10">
        <v>66.5364</v>
      </c>
      <c r="K166" s="31" t="s">
        <v>18</v>
      </c>
      <c r="L166" s="24">
        <v>1532.5</v>
      </c>
      <c r="M166" s="26">
        <v>1.98</v>
      </c>
      <c r="N166" s="29" t="s">
        <v>39</v>
      </c>
      <c r="O166" s="29" t="s">
        <v>37</v>
      </c>
      <c r="P166" s="27" t="e">
        <f t="shared" ca="1" si="1"/>
        <v>#NAME?</v>
      </c>
      <c r="Q166" s="28" t="e">
        <f ca="1"/>
        <v>#NAME?</v>
      </c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2.75">
      <c r="A167" s="29" t="s">
        <v>57</v>
      </c>
      <c r="B167" s="29" t="s">
        <v>431</v>
      </c>
      <c r="C167" s="30">
        <v>23</v>
      </c>
      <c r="D167" s="30">
        <v>155</v>
      </c>
      <c r="E167" s="30">
        <v>93</v>
      </c>
      <c r="F167" s="9" t="str">
        <v>38.7 (Obese)</v>
      </c>
      <c r="G167" s="9" t="str">
        <f t="shared" si="0"/>
        <v>Obese</v>
      </c>
      <c r="H167" s="24">
        <f ca="1">IFERROR(__xludf.DUMMYFUNCTION("""COMPUTED_VALUE"""),38.7)</f>
        <v>38.700000000000003</v>
      </c>
      <c r="I167" s="24">
        <v>21</v>
      </c>
      <c r="J167" s="10">
        <v>50.452500000000008</v>
      </c>
      <c r="K167" s="31" t="s">
        <v>18</v>
      </c>
      <c r="L167" s="24">
        <v>1788.75</v>
      </c>
      <c r="M167" s="26">
        <v>3.07</v>
      </c>
      <c r="N167" s="29" t="s">
        <v>26</v>
      </c>
      <c r="O167" s="29" t="s">
        <v>63</v>
      </c>
      <c r="P167" s="27" t="e">
        <f t="shared" ca="1" si="1"/>
        <v>#NAME?</v>
      </c>
      <c r="Q167" s="28" t="e">
        <f ca="1"/>
        <v>#NAME?</v>
      </c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2.75">
      <c r="A168" s="29" t="s">
        <v>178</v>
      </c>
      <c r="B168" s="29" t="s">
        <v>431</v>
      </c>
      <c r="C168" s="30">
        <v>35</v>
      </c>
      <c r="D168" s="30">
        <v>169</v>
      </c>
      <c r="E168" s="30">
        <v>75</v>
      </c>
      <c r="F168" s="9" t="str">
        <v>26.3 (Overweight)</v>
      </c>
      <c r="G168" s="9" t="str">
        <f t="shared" si="0"/>
        <v>Overweight</v>
      </c>
      <c r="H168" s="24">
        <f ca="1">IFERROR(__xludf.DUMMYFUNCTION("""COMPUTED_VALUE"""),26.3)</f>
        <v>26.3</v>
      </c>
      <c r="I168" s="24">
        <v>21</v>
      </c>
      <c r="J168" s="10">
        <v>59.978099999999991</v>
      </c>
      <c r="K168" s="31" t="s">
        <v>28</v>
      </c>
      <c r="L168" s="24">
        <v>1636.25</v>
      </c>
      <c r="M168" s="26">
        <v>2.48</v>
      </c>
      <c r="N168" s="29" t="s">
        <v>26</v>
      </c>
      <c r="O168" s="29" t="s">
        <v>19</v>
      </c>
      <c r="P168" s="27" t="e">
        <f t="shared" ca="1" si="1"/>
        <v>#NAME?</v>
      </c>
      <c r="Q168" s="28" t="e">
        <f ca="1"/>
        <v>#NAME?</v>
      </c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2.75">
      <c r="A169" s="29" t="s">
        <v>152</v>
      </c>
      <c r="B169" s="29" t="s">
        <v>431</v>
      </c>
      <c r="C169" s="30">
        <v>45</v>
      </c>
      <c r="D169" s="30">
        <v>166</v>
      </c>
      <c r="E169" s="30">
        <v>108</v>
      </c>
      <c r="F169" s="9" t="str">
        <v>39.2 (Obese)</v>
      </c>
      <c r="G169" s="9" t="str">
        <f t="shared" si="0"/>
        <v>Obese</v>
      </c>
      <c r="H169" s="24">
        <f ca="1">IFERROR(__xludf.DUMMYFUNCTION("""COMPUTED_VALUE"""),39.2)</f>
        <v>39.200000000000003</v>
      </c>
      <c r="I169" s="24">
        <v>21</v>
      </c>
      <c r="J169" s="10">
        <v>57.867599999999996</v>
      </c>
      <c r="K169" s="31" t="s">
        <v>18</v>
      </c>
      <c r="L169" s="24">
        <v>1897.5</v>
      </c>
      <c r="M169" s="26">
        <v>3.56</v>
      </c>
      <c r="N169" s="29" t="s">
        <v>34</v>
      </c>
      <c r="O169" s="29" t="s">
        <v>19</v>
      </c>
      <c r="P169" s="27" t="e">
        <f t="shared" ca="1" si="1"/>
        <v>#NAME?</v>
      </c>
      <c r="Q169" s="28" t="e">
        <f ca="1"/>
        <v>#NAME?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2.75">
      <c r="A170" s="29" t="s">
        <v>75</v>
      </c>
      <c r="B170" s="29" t="s">
        <v>431</v>
      </c>
      <c r="C170" s="30">
        <v>58</v>
      </c>
      <c r="D170" s="30">
        <v>178</v>
      </c>
      <c r="E170" s="30">
        <v>88</v>
      </c>
      <c r="F170" s="9" t="str">
        <v>27.8 (Obese)</v>
      </c>
      <c r="G170" s="9" t="str">
        <f t="shared" si="0"/>
        <v>Obese</v>
      </c>
      <c r="H170" s="24">
        <f ca="1">IFERROR(__xludf.DUMMYFUNCTION("""COMPUTED_VALUE"""),27.8)</f>
        <v>27.8</v>
      </c>
      <c r="I170" s="24">
        <v>21</v>
      </c>
      <c r="J170" s="10">
        <v>66.5364</v>
      </c>
      <c r="K170" s="31" t="s">
        <v>4</v>
      </c>
      <c r="L170" s="24">
        <v>1707.5</v>
      </c>
      <c r="M170" s="26">
        <v>2.9</v>
      </c>
      <c r="N170" s="29" t="s">
        <v>26</v>
      </c>
      <c r="O170" s="29" t="s">
        <v>60</v>
      </c>
      <c r="P170" s="27" t="e">
        <f t="shared" ca="1" si="1"/>
        <v>#NAME?</v>
      </c>
      <c r="Q170" s="28" t="e">
        <f ca="1"/>
        <v>#NAME?</v>
      </c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2.75">
      <c r="A171" s="29" t="s">
        <v>65</v>
      </c>
      <c r="B171" s="29" t="s">
        <v>431</v>
      </c>
      <c r="C171" s="30">
        <v>49</v>
      </c>
      <c r="D171" s="30">
        <v>171</v>
      </c>
      <c r="E171" s="30">
        <v>109</v>
      </c>
      <c r="F171" s="9" t="str">
        <v>37.3 (Obese)</v>
      </c>
      <c r="G171" s="9" t="str">
        <f t="shared" si="0"/>
        <v>Obese</v>
      </c>
      <c r="H171" s="24">
        <f ca="1">IFERROR(__xludf.DUMMYFUNCTION("""COMPUTED_VALUE"""),37.3)</f>
        <v>37.299999999999997</v>
      </c>
      <c r="I171" s="24">
        <v>21</v>
      </c>
      <c r="J171" s="10">
        <v>61.406099999999995</v>
      </c>
      <c r="K171" s="31" t="s">
        <v>42</v>
      </c>
      <c r="L171" s="24">
        <v>1918.75</v>
      </c>
      <c r="M171" s="26">
        <v>3.6</v>
      </c>
      <c r="N171" s="29" t="s">
        <v>26</v>
      </c>
      <c r="O171" s="29" t="s">
        <v>30</v>
      </c>
      <c r="P171" s="27" t="e">
        <f t="shared" ca="1" si="1"/>
        <v>#NAME?</v>
      </c>
      <c r="Q171" s="28" t="e">
        <f ca="1"/>
        <v>#NAME?</v>
      </c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2.75">
      <c r="A172" s="29" t="s">
        <v>162</v>
      </c>
      <c r="B172" s="29" t="s">
        <v>431</v>
      </c>
      <c r="C172" s="30">
        <v>51</v>
      </c>
      <c r="D172" s="30">
        <v>177</v>
      </c>
      <c r="E172" s="30">
        <v>103</v>
      </c>
      <c r="F172" s="9" t="str">
        <v>32.9 (Obese)</v>
      </c>
      <c r="G172" s="9" t="str">
        <f t="shared" si="0"/>
        <v>Obese</v>
      </c>
      <c r="H172" s="24">
        <f ca="1">IFERROR(__xludf.DUMMYFUNCTION("""COMPUTED_VALUE"""),32.9)</f>
        <v>32.9</v>
      </c>
      <c r="I172" s="24">
        <v>21</v>
      </c>
      <c r="J172" s="10">
        <v>65.790900000000008</v>
      </c>
      <c r="K172" s="31" t="s">
        <v>28</v>
      </c>
      <c r="L172" s="24">
        <v>1886.25</v>
      </c>
      <c r="M172" s="26">
        <v>3.4</v>
      </c>
      <c r="N172" s="29" t="s">
        <v>34</v>
      </c>
      <c r="O172" s="29" t="s">
        <v>7</v>
      </c>
      <c r="P172" s="27" t="e">
        <f t="shared" ca="1" si="1"/>
        <v>#NAME?</v>
      </c>
      <c r="Q172" s="28" t="e">
        <f ca="1"/>
        <v>#NAME?</v>
      </c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2.75">
      <c r="A173" s="29" t="s">
        <v>179</v>
      </c>
      <c r="B173" s="29" t="s">
        <v>431</v>
      </c>
      <c r="C173" s="30">
        <v>47</v>
      </c>
      <c r="D173" s="30">
        <v>179</v>
      </c>
      <c r="E173" s="30">
        <v>106</v>
      </c>
      <c r="F173" s="9" t="str">
        <v>33.1 (Obese)</v>
      </c>
      <c r="G173" s="9" t="str">
        <f t="shared" si="0"/>
        <v>Obese</v>
      </c>
      <c r="H173" s="24">
        <f ca="1">IFERROR(__xludf.DUMMYFUNCTION("""COMPUTED_VALUE"""),33.1)</f>
        <v>33.1</v>
      </c>
      <c r="I173" s="24">
        <v>21</v>
      </c>
      <c r="J173" s="10">
        <v>67.286100000000005</v>
      </c>
      <c r="K173" s="31" t="s">
        <v>28</v>
      </c>
      <c r="L173" s="24">
        <v>1948.75</v>
      </c>
      <c r="M173" s="26">
        <v>3.5</v>
      </c>
      <c r="N173" s="29" t="s">
        <v>34</v>
      </c>
      <c r="O173" s="29" t="s">
        <v>37</v>
      </c>
      <c r="P173" s="27" t="e">
        <f t="shared" ca="1" si="1"/>
        <v>#NAME?</v>
      </c>
      <c r="Q173" s="28" t="e">
        <f ca="1"/>
        <v>#NAME?</v>
      </c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2.75">
      <c r="A174" s="29" t="s">
        <v>161</v>
      </c>
      <c r="B174" s="29" t="s">
        <v>431</v>
      </c>
      <c r="C174" s="30">
        <v>29</v>
      </c>
      <c r="D174" s="30">
        <v>166</v>
      </c>
      <c r="E174" s="30">
        <v>107</v>
      </c>
      <c r="F174" s="9" t="str">
        <v>38.8 (Obese)</v>
      </c>
      <c r="G174" s="9" t="str">
        <f t="shared" si="0"/>
        <v>Obese</v>
      </c>
      <c r="H174" s="24">
        <f ca="1">IFERROR(__xludf.DUMMYFUNCTION("""COMPUTED_VALUE"""),38.8)</f>
        <v>38.799999999999997</v>
      </c>
      <c r="I174" s="24">
        <v>21</v>
      </c>
      <c r="J174" s="10">
        <v>57.867599999999996</v>
      </c>
      <c r="K174" s="31" t="s">
        <v>4</v>
      </c>
      <c r="L174" s="24">
        <v>1967.5</v>
      </c>
      <c r="M174" s="26">
        <v>3.53</v>
      </c>
      <c r="N174" s="29" t="s">
        <v>34</v>
      </c>
      <c r="O174" s="29" t="s">
        <v>60</v>
      </c>
      <c r="P174" s="27" t="e">
        <f t="shared" ca="1" si="1"/>
        <v>#NAME?</v>
      </c>
      <c r="Q174" s="28" t="e">
        <f ca="1"/>
        <v>#NAME?</v>
      </c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2.75">
      <c r="A175" s="29" t="s">
        <v>180</v>
      </c>
      <c r="B175" s="29" t="s">
        <v>431</v>
      </c>
      <c r="C175" s="30">
        <v>40</v>
      </c>
      <c r="D175" s="30">
        <v>157</v>
      </c>
      <c r="E175" s="30">
        <v>80</v>
      </c>
      <c r="F175" s="9" t="str">
        <v>32.5 (Obese)</v>
      </c>
      <c r="G175" s="9" t="str">
        <f t="shared" si="0"/>
        <v>Obese</v>
      </c>
      <c r="H175" s="24">
        <f ca="1">IFERROR(__xludf.DUMMYFUNCTION("""COMPUTED_VALUE"""),32.5)</f>
        <v>32.5</v>
      </c>
      <c r="I175" s="24">
        <v>21</v>
      </c>
      <c r="J175" s="10">
        <v>51.762900000000002</v>
      </c>
      <c r="K175" s="31" t="s">
        <v>42</v>
      </c>
      <c r="L175" s="24">
        <v>1586.25</v>
      </c>
      <c r="M175" s="26">
        <v>2.64</v>
      </c>
      <c r="N175" s="29" t="s">
        <v>39</v>
      </c>
      <c r="O175" s="29" t="s">
        <v>60</v>
      </c>
      <c r="P175" s="27" t="e">
        <f t="shared" ca="1" si="1"/>
        <v>#NAME?</v>
      </c>
      <c r="Q175" s="28" t="e">
        <f ca="1"/>
        <v>#NAME?</v>
      </c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2.75">
      <c r="A176" s="29" t="s">
        <v>163</v>
      </c>
      <c r="B176" s="29" t="s">
        <v>431</v>
      </c>
      <c r="C176" s="30">
        <v>57</v>
      </c>
      <c r="D176" s="30">
        <v>176</v>
      </c>
      <c r="E176" s="30">
        <v>84</v>
      </c>
      <c r="F176" s="9" t="str">
        <v>27.1 (Overweight)</v>
      </c>
      <c r="G176" s="9" t="str">
        <f t="shared" si="0"/>
        <v>Overweight</v>
      </c>
      <c r="H176" s="24">
        <f ca="1">IFERROR(__xludf.DUMMYFUNCTION("""COMPUTED_VALUE"""),27.1)</f>
        <v>27.1</v>
      </c>
      <c r="I176" s="24">
        <v>21</v>
      </c>
      <c r="J176" s="10">
        <v>65.049599999999998</v>
      </c>
      <c r="K176" s="31" t="s">
        <v>28</v>
      </c>
      <c r="L176" s="24">
        <v>1660</v>
      </c>
      <c r="M176" s="26">
        <v>2.77</v>
      </c>
      <c r="N176" s="29" t="s">
        <v>26</v>
      </c>
      <c r="O176" s="29" t="s">
        <v>37</v>
      </c>
      <c r="P176" s="27" t="e">
        <f t="shared" ca="1" si="1"/>
        <v>#NAME?</v>
      </c>
      <c r="Q176" s="28" t="e">
        <f ca="1"/>
        <v>#NAME?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2.75">
      <c r="A177" s="29" t="s">
        <v>181</v>
      </c>
      <c r="B177" s="29" t="s">
        <v>431</v>
      </c>
      <c r="C177" s="30">
        <v>26</v>
      </c>
      <c r="D177" s="30">
        <v>185</v>
      </c>
      <c r="E177" s="30">
        <v>55</v>
      </c>
      <c r="F177" s="9" t="str">
        <v>16.1 (Underweight)</v>
      </c>
      <c r="G177" s="9" t="str">
        <f t="shared" si="0"/>
        <v>Underweight</v>
      </c>
      <c r="H177" s="24">
        <f ca="1">IFERROR(__xludf.DUMMYFUNCTION("""COMPUTED_VALUE"""),16.1)</f>
        <v>16.100000000000001</v>
      </c>
      <c r="I177" s="24">
        <v>21</v>
      </c>
      <c r="J177" s="10">
        <v>71.872500000000002</v>
      </c>
      <c r="K177" s="31" t="s">
        <v>28</v>
      </c>
      <c r="L177" s="24">
        <v>1581.25</v>
      </c>
      <c r="M177" s="26">
        <v>1.82</v>
      </c>
      <c r="N177" s="29" t="s">
        <v>34</v>
      </c>
      <c r="O177" s="29" t="s">
        <v>7</v>
      </c>
      <c r="P177" s="27" t="e">
        <f t="shared" ca="1" si="1"/>
        <v>#NAME?</v>
      </c>
      <c r="Q177" s="28" t="e">
        <f ca="1"/>
        <v>#NAME?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2.75">
      <c r="A178" s="29" t="s">
        <v>182</v>
      </c>
      <c r="B178" s="29" t="s">
        <v>431</v>
      </c>
      <c r="C178" s="30">
        <v>33</v>
      </c>
      <c r="D178" s="30">
        <v>182</v>
      </c>
      <c r="E178" s="30">
        <v>79</v>
      </c>
      <c r="F178" s="9" t="str">
        <v>23.8 (Normal)</v>
      </c>
      <c r="G178" s="9" t="str">
        <f t="shared" si="0"/>
        <v>Normal</v>
      </c>
      <c r="H178" s="24">
        <f ca="1">IFERROR(__xludf.DUMMYFUNCTION("""COMPUTED_VALUE"""),23.8)</f>
        <v>23.8</v>
      </c>
      <c r="I178" s="24">
        <v>21</v>
      </c>
      <c r="J178" s="10">
        <v>69.560400000000001</v>
      </c>
      <c r="K178" s="31" t="s">
        <v>42</v>
      </c>
      <c r="L178" s="24">
        <v>1767.5</v>
      </c>
      <c r="M178" s="26">
        <v>2.61</v>
      </c>
      <c r="N178" s="29" t="s">
        <v>39</v>
      </c>
      <c r="O178" s="29" t="s">
        <v>30</v>
      </c>
      <c r="P178" s="27" t="e">
        <f t="shared" ca="1" si="1"/>
        <v>#NAME?</v>
      </c>
      <c r="Q178" s="28" t="e">
        <f ca="1"/>
        <v>#NAME?</v>
      </c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2.75">
      <c r="A179" s="29" t="s">
        <v>146</v>
      </c>
      <c r="B179" s="29" t="s">
        <v>431</v>
      </c>
      <c r="C179" s="30">
        <v>54</v>
      </c>
      <c r="D179" s="30">
        <v>158</v>
      </c>
      <c r="E179" s="30">
        <v>67</v>
      </c>
      <c r="F179" s="9" t="str">
        <v>26.8 (Overweight)</v>
      </c>
      <c r="G179" s="9" t="str">
        <f t="shared" si="0"/>
        <v>Overweight</v>
      </c>
      <c r="H179" s="24">
        <f ca="1">IFERROR(__xludf.DUMMYFUNCTION("""COMPUTED_VALUE"""),26.8)</f>
        <v>26.8</v>
      </c>
      <c r="I179" s="24">
        <v>21</v>
      </c>
      <c r="J179" s="10">
        <v>52.424400000000006</v>
      </c>
      <c r="K179" s="31" t="s">
        <v>4</v>
      </c>
      <c r="L179" s="24">
        <v>1392.5</v>
      </c>
      <c r="M179" s="26">
        <v>2.21</v>
      </c>
      <c r="N179" s="29" t="s">
        <v>16</v>
      </c>
      <c r="O179" s="29" t="s">
        <v>37</v>
      </c>
      <c r="P179" s="27" t="e">
        <f t="shared" ca="1" si="1"/>
        <v>#NAME?</v>
      </c>
      <c r="Q179" s="28" t="e">
        <f ca="1"/>
        <v>#NAME?</v>
      </c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2.75">
      <c r="A180" s="29" t="s">
        <v>183</v>
      </c>
      <c r="B180" s="29" t="s">
        <v>431</v>
      </c>
      <c r="C180" s="30">
        <v>39</v>
      </c>
      <c r="D180" s="30">
        <v>160</v>
      </c>
      <c r="E180" s="30">
        <v>64</v>
      </c>
      <c r="F180" s="9" t="str">
        <v>25.0 (Overweight)</v>
      </c>
      <c r="G180" s="9" t="str">
        <f t="shared" si="0"/>
        <v>Overweight</v>
      </c>
      <c r="H180" s="24">
        <f ca="1">IFERROR(__xludf.DUMMYFUNCTION("""COMPUTED_VALUE"""),25)</f>
        <v>25</v>
      </c>
      <c r="I180" s="24">
        <v>21</v>
      </c>
      <c r="J180" s="10">
        <v>53.760000000000012</v>
      </c>
      <c r="K180" s="31" t="s">
        <v>4</v>
      </c>
      <c r="L180" s="24">
        <v>1450</v>
      </c>
      <c r="M180" s="26">
        <v>2.11</v>
      </c>
      <c r="N180" s="29" t="s">
        <v>16</v>
      </c>
      <c r="O180" s="29" t="s">
        <v>60</v>
      </c>
      <c r="P180" s="27" t="e">
        <f t="shared" ca="1" si="1"/>
        <v>#NAME?</v>
      </c>
      <c r="Q180" s="28" t="e">
        <f ca="1"/>
        <v>#NAME?</v>
      </c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2.75">
      <c r="A181" s="29" t="s">
        <v>180</v>
      </c>
      <c r="B181" s="29" t="s">
        <v>431</v>
      </c>
      <c r="C181" s="30">
        <v>22</v>
      </c>
      <c r="D181" s="30">
        <v>188</v>
      </c>
      <c r="E181" s="30">
        <v>62</v>
      </c>
      <c r="F181" s="9" t="str">
        <v>17.5 (Underweight)</v>
      </c>
      <c r="G181" s="9" t="str">
        <f t="shared" si="0"/>
        <v>Underweight</v>
      </c>
      <c r="H181" s="24">
        <f ca="1">IFERROR(__xludf.DUMMYFUNCTION("""COMPUTED_VALUE"""),17.5)</f>
        <v>17.5</v>
      </c>
      <c r="I181" s="24">
        <v>21</v>
      </c>
      <c r="J181" s="10">
        <v>74.222399999999993</v>
      </c>
      <c r="K181" s="31" t="s">
        <v>42</v>
      </c>
      <c r="L181" s="24">
        <v>1690</v>
      </c>
      <c r="M181" s="26">
        <v>2.0499999999999998</v>
      </c>
      <c r="N181" s="29" t="s">
        <v>39</v>
      </c>
      <c r="O181" s="29" t="s">
        <v>60</v>
      </c>
      <c r="P181" s="27" t="e">
        <f t="shared" ca="1" si="1"/>
        <v>#NAME?</v>
      </c>
      <c r="Q181" s="28" t="e">
        <f ca="1"/>
        <v>#NAME?</v>
      </c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2.75">
      <c r="A182" s="29" t="s">
        <v>184</v>
      </c>
      <c r="B182" s="29" t="s">
        <v>431</v>
      </c>
      <c r="C182" s="30">
        <v>54</v>
      </c>
      <c r="D182" s="30">
        <v>174</v>
      </c>
      <c r="E182" s="30">
        <v>73</v>
      </c>
      <c r="F182" s="9" t="str">
        <v>24.1 (Normal)</v>
      </c>
      <c r="G182" s="9" t="str">
        <f t="shared" si="0"/>
        <v>Normal</v>
      </c>
      <c r="H182" s="24">
        <f ca="1">IFERROR(__xludf.DUMMYFUNCTION("""COMPUTED_VALUE"""),24.1)</f>
        <v>24.1</v>
      </c>
      <c r="I182" s="24">
        <v>21</v>
      </c>
      <c r="J182" s="10">
        <v>63.579599999999999</v>
      </c>
      <c r="K182" s="31" t="s">
        <v>4</v>
      </c>
      <c r="L182" s="24">
        <v>1552.5</v>
      </c>
      <c r="M182" s="26">
        <v>2.41</v>
      </c>
      <c r="N182" s="29" t="s">
        <v>34</v>
      </c>
      <c r="O182" s="29" t="s">
        <v>63</v>
      </c>
      <c r="P182" s="27" t="e">
        <f t="shared" ca="1" si="1"/>
        <v>#NAME?</v>
      </c>
      <c r="Q182" s="28" t="e">
        <f ca="1"/>
        <v>#NAME?</v>
      </c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2.75">
      <c r="A183" s="29" t="s">
        <v>179</v>
      </c>
      <c r="B183" s="29" t="s">
        <v>431</v>
      </c>
      <c r="C183" s="30">
        <v>48</v>
      </c>
      <c r="D183" s="30">
        <v>158</v>
      </c>
      <c r="E183" s="30">
        <v>66</v>
      </c>
      <c r="F183" s="9" t="str">
        <v>26.4 (Overweight)</v>
      </c>
      <c r="G183" s="9" t="str">
        <f t="shared" si="0"/>
        <v>Overweight</v>
      </c>
      <c r="H183" s="24">
        <f ca="1">IFERROR(__xludf.DUMMYFUNCTION("""COMPUTED_VALUE"""),26.4)</f>
        <v>26.4</v>
      </c>
      <c r="I183" s="24">
        <v>21</v>
      </c>
      <c r="J183" s="10">
        <v>52.424400000000006</v>
      </c>
      <c r="K183" s="31" t="s">
        <v>4</v>
      </c>
      <c r="L183" s="24">
        <v>1412.5</v>
      </c>
      <c r="M183" s="26">
        <v>2.1800000000000002</v>
      </c>
      <c r="N183" s="29" t="s">
        <v>26</v>
      </c>
      <c r="O183" s="29" t="s">
        <v>7</v>
      </c>
      <c r="P183" s="27" t="e">
        <f t="shared" ca="1" si="1"/>
        <v>#NAME?</v>
      </c>
      <c r="Q183" s="28" t="e">
        <f ca="1"/>
        <v>#NAME?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2.75">
      <c r="A184" s="29" t="s">
        <v>59</v>
      </c>
      <c r="B184" s="29" t="s">
        <v>431</v>
      </c>
      <c r="C184" s="30">
        <v>33</v>
      </c>
      <c r="D184" s="30">
        <v>158</v>
      </c>
      <c r="E184" s="30">
        <v>78</v>
      </c>
      <c r="F184" s="9" t="str">
        <v>31.2 (Obese)</v>
      </c>
      <c r="G184" s="9" t="str">
        <f t="shared" si="0"/>
        <v>Obese</v>
      </c>
      <c r="H184" s="24">
        <f ca="1">IFERROR(__xludf.DUMMYFUNCTION("""COMPUTED_VALUE"""),31.2)</f>
        <v>31.2</v>
      </c>
      <c r="I184" s="24">
        <v>21</v>
      </c>
      <c r="J184" s="10">
        <v>52.424400000000006</v>
      </c>
      <c r="K184" s="31" t="s">
        <v>42</v>
      </c>
      <c r="L184" s="24">
        <v>1607.5</v>
      </c>
      <c r="M184" s="26">
        <v>2.57</v>
      </c>
      <c r="N184" s="29" t="s">
        <v>26</v>
      </c>
      <c r="O184" s="29" t="s">
        <v>60</v>
      </c>
      <c r="P184" s="27" t="e">
        <f t="shared" ca="1" si="1"/>
        <v>#NAME?</v>
      </c>
      <c r="Q184" s="28" t="e">
        <f ca="1"/>
        <v>#NAME?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2.75">
      <c r="A185" s="29" t="s">
        <v>185</v>
      </c>
      <c r="B185" s="29" t="s">
        <v>431</v>
      </c>
      <c r="C185" s="30">
        <v>57</v>
      </c>
      <c r="D185" s="30">
        <v>168</v>
      </c>
      <c r="E185" s="30">
        <v>65</v>
      </c>
      <c r="F185" s="9" t="str">
        <v>23.0 (Normal)</v>
      </c>
      <c r="G185" s="9" t="str">
        <f t="shared" si="0"/>
        <v>Normal</v>
      </c>
      <c r="H185" s="24">
        <f ca="1">IFERROR(__xludf.DUMMYFUNCTION("""COMPUTED_VALUE"""),23)</f>
        <v>23</v>
      </c>
      <c r="I185" s="24">
        <v>21</v>
      </c>
      <c r="J185" s="10">
        <v>59.270399999999988</v>
      </c>
      <c r="K185" s="31" t="s">
        <v>18</v>
      </c>
      <c r="L185" s="24">
        <v>1420</v>
      </c>
      <c r="M185" s="26">
        <v>2.15</v>
      </c>
      <c r="N185" s="29" t="s">
        <v>39</v>
      </c>
      <c r="O185" s="29" t="s">
        <v>7</v>
      </c>
      <c r="P185" s="27" t="e">
        <f t="shared" ca="1" si="1"/>
        <v>#NAME?</v>
      </c>
      <c r="Q185" s="28" t="e">
        <f ca="1"/>
        <v>#NAME?</v>
      </c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2.75">
      <c r="A186" s="29" t="s">
        <v>186</v>
      </c>
      <c r="B186" s="29" t="s">
        <v>431</v>
      </c>
      <c r="C186" s="30">
        <v>28</v>
      </c>
      <c r="D186" s="30">
        <v>181</v>
      </c>
      <c r="E186" s="30">
        <v>60</v>
      </c>
      <c r="F186" s="9" t="str">
        <v>18.3 (Underweight)</v>
      </c>
      <c r="G186" s="9" t="str">
        <f t="shared" si="0"/>
        <v>Underweight</v>
      </c>
      <c r="H186" s="24">
        <f ca="1">IFERROR(__xludf.DUMMYFUNCTION("""COMPUTED_VALUE"""),18.3)</f>
        <v>18.3</v>
      </c>
      <c r="I186" s="24">
        <v>21</v>
      </c>
      <c r="J186" s="10">
        <v>68.798100000000005</v>
      </c>
      <c r="K186" s="31" t="s">
        <v>42</v>
      </c>
      <c r="L186" s="24">
        <v>1596.25</v>
      </c>
      <c r="M186" s="26">
        <v>1.98</v>
      </c>
      <c r="N186" s="29" t="s">
        <v>39</v>
      </c>
      <c r="O186" s="29" t="s">
        <v>63</v>
      </c>
      <c r="P186" s="27" t="e">
        <f t="shared" ca="1" si="1"/>
        <v>#NAME?</v>
      </c>
      <c r="Q186" s="28" t="e">
        <f ca="1"/>
        <v>#NAME?</v>
      </c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2.75">
      <c r="A187" s="29" t="s">
        <v>70</v>
      </c>
      <c r="B187" s="29" t="s">
        <v>431</v>
      </c>
      <c r="C187" s="30">
        <v>31</v>
      </c>
      <c r="D187" s="30">
        <v>182</v>
      </c>
      <c r="E187" s="30">
        <v>78</v>
      </c>
      <c r="F187" s="9" t="str">
        <v>23.5 (Normal)</v>
      </c>
      <c r="G187" s="9" t="str">
        <f t="shared" si="0"/>
        <v>Normal</v>
      </c>
      <c r="H187" s="24">
        <f ca="1">IFERROR(__xludf.DUMMYFUNCTION("""COMPUTED_VALUE"""),23.5)</f>
        <v>23.5</v>
      </c>
      <c r="I187" s="24">
        <v>21</v>
      </c>
      <c r="J187" s="10">
        <v>69.560400000000001</v>
      </c>
      <c r="K187" s="31" t="s">
        <v>42</v>
      </c>
      <c r="L187" s="24">
        <v>1767.5</v>
      </c>
      <c r="M187" s="26">
        <v>2.57</v>
      </c>
      <c r="N187" s="29" t="s">
        <v>26</v>
      </c>
      <c r="O187" s="29" t="s">
        <v>30</v>
      </c>
      <c r="P187" s="27" t="e">
        <f t="shared" ca="1" si="1"/>
        <v>#NAME?</v>
      </c>
      <c r="Q187" s="28" t="e">
        <f ca="1"/>
        <v>#NAME?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2.75">
      <c r="A188" s="29" t="s">
        <v>136</v>
      </c>
      <c r="B188" s="29" t="s">
        <v>431</v>
      </c>
      <c r="C188" s="30">
        <v>45</v>
      </c>
      <c r="D188" s="30">
        <v>163</v>
      </c>
      <c r="E188" s="30">
        <v>82</v>
      </c>
      <c r="F188" s="9" t="str">
        <v>30.9 (Obese)</v>
      </c>
      <c r="G188" s="9" t="str">
        <f t="shared" si="0"/>
        <v>Obese</v>
      </c>
      <c r="H188" s="24">
        <f ca="1">IFERROR(__xludf.DUMMYFUNCTION("""COMPUTED_VALUE"""),30.9)</f>
        <v>30.9</v>
      </c>
      <c r="I188" s="24">
        <v>21</v>
      </c>
      <c r="J188" s="10">
        <v>55.794899999999998</v>
      </c>
      <c r="K188" s="31" t="s">
        <v>28</v>
      </c>
      <c r="L188" s="24">
        <v>1618.75</v>
      </c>
      <c r="M188" s="26">
        <v>2.71</v>
      </c>
      <c r="N188" s="29" t="s">
        <v>39</v>
      </c>
      <c r="O188" s="29" t="s">
        <v>60</v>
      </c>
      <c r="P188" s="27" t="e">
        <f t="shared" ca="1" si="1"/>
        <v>#NAME?</v>
      </c>
      <c r="Q188" s="28" t="e">
        <f ca="1"/>
        <v>#NAME?</v>
      </c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2.75">
      <c r="A189" s="29" t="s">
        <v>48</v>
      </c>
      <c r="B189" s="29" t="s">
        <v>431</v>
      </c>
      <c r="C189" s="30">
        <v>29</v>
      </c>
      <c r="D189" s="30">
        <v>167</v>
      </c>
      <c r="E189" s="30">
        <v>82</v>
      </c>
      <c r="F189" s="9" t="str">
        <v>29.4 (Obese)</v>
      </c>
      <c r="G189" s="9" t="str">
        <f t="shared" si="0"/>
        <v>Obese</v>
      </c>
      <c r="H189" s="24">
        <f ca="1">IFERROR(__xludf.DUMMYFUNCTION("""COMPUTED_VALUE"""),29.4)</f>
        <v>29.4</v>
      </c>
      <c r="I189" s="24">
        <v>21</v>
      </c>
      <c r="J189" s="10">
        <v>58.566899999999997</v>
      </c>
      <c r="K189" s="31" t="s">
        <v>4</v>
      </c>
      <c r="L189" s="24">
        <v>1723.75</v>
      </c>
      <c r="M189" s="26">
        <v>2.71</v>
      </c>
      <c r="N189" s="29" t="s">
        <v>34</v>
      </c>
      <c r="O189" s="29" t="s">
        <v>7</v>
      </c>
      <c r="P189" s="27" t="e">
        <f t="shared" ca="1" si="1"/>
        <v>#NAME?</v>
      </c>
      <c r="Q189" s="28" t="e">
        <f ca="1"/>
        <v>#NAME?</v>
      </c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2.75">
      <c r="A190" s="29" t="s">
        <v>187</v>
      </c>
      <c r="B190" s="29" t="s">
        <v>431</v>
      </c>
      <c r="C190" s="30">
        <v>33</v>
      </c>
      <c r="D190" s="30">
        <v>188</v>
      </c>
      <c r="E190" s="30">
        <v>54</v>
      </c>
      <c r="F190" s="9" t="str">
        <v>15.3 (Underweight)</v>
      </c>
      <c r="G190" s="9" t="str">
        <f t="shared" si="0"/>
        <v>Underweight</v>
      </c>
      <c r="H190" s="24">
        <f ca="1">IFERROR(__xludf.DUMMYFUNCTION("""COMPUTED_VALUE"""),15.3)</f>
        <v>15.3</v>
      </c>
      <c r="I190" s="24">
        <v>21</v>
      </c>
      <c r="J190" s="10">
        <v>74.222399999999993</v>
      </c>
      <c r="K190" s="31" t="s">
        <v>18</v>
      </c>
      <c r="L190" s="24">
        <v>1555</v>
      </c>
      <c r="M190" s="26">
        <v>1.78</v>
      </c>
      <c r="N190" s="29" t="s">
        <v>16</v>
      </c>
      <c r="O190" s="29" t="s">
        <v>7</v>
      </c>
      <c r="P190" s="27" t="e">
        <f t="shared" ca="1" si="1"/>
        <v>#NAME?</v>
      </c>
      <c r="Q190" s="28" t="e">
        <f ca="1"/>
        <v>#NAME?</v>
      </c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2.75">
      <c r="A191" s="29" t="s">
        <v>112</v>
      </c>
      <c r="B191" s="29" t="s">
        <v>431</v>
      </c>
      <c r="C191" s="30">
        <v>52</v>
      </c>
      <c r="D191" s="30">
        <v>162</v>
      </c>
      <c r="E191" s="30">
        <v>98</v>
      </c>
      <c r="F191" s="9" t="str">
        <v>37.3 (Obese)</v>
      </c>
      <c r="G191" s="9" t="str">
        <f t="shared" si="0"/>
        <v>Obese</v>
      </c>
      <c r="H191" s="24">
        <f ca="1">IFERROR(__xludf.DUMMYFUNCTION("""COMPUTED_VALUE"""),37.3)</f>
        <v>37.299999999999997</v>
      </c>
      <c r="I191" s="24">
        <v>21</v>
      </c>
      <c r="J191" s="10">
        <v>55.112400000000008</v>
      </c>
      <c r="K191" s="31" t="s">
        <v>4</v>
      </c>
      <c r="L191" s="24">
        <v>1737.5</v>
      </c>
      <c r="M191" s="26">
        <v>3.23</v>
      </c>
      <c r="N191" s="29" t="s">
        <v>26</v>
      </c>
      <c r="O191" s="29" t="s">
        <v>19</v>
      </c>
      <c r="P191" s="27" t="e">
        <f t="shared" ca="1" si="1"/>
        <v>#NAME?</v>
      </c>
      <c r="Q191" s="28" t="e">
        <f ca="1"/>
        <v>#NAME?</v>
      </c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2.75">
      <c r="A192" s="29" t="s">
        <v>165</v>
      </c>
      <c r="B192" s="29" t="s">
        <v>431</v>
      </c>
      <c r="C192" s="30">
        <v>20</v>
      </c>
      <c r="D192" s="30">
        <v>160</v>
      </c>
      <c r="E192" s="30">
        <v>105</v>
      </c>
      <c r="F192" s="9" t="str">
        <v>41.0 (Obese)</v>
      </c>
      <c r="G192" s="9" t="str">
        <f t="shared" si="0"/>
        <v>Obese</v>
      </c>
      <c r="H192" s="24">
        <f ca="1">IFERROR(__xludf.DUMMYFUNCTION("""COMPUTED_VALUE"""),41)</f>
        <v>41</v>
      </c>
      <c r="I192" s="24">
        <v>21</v>
      </c>
      <c r="J192" s="10">
        <v>53.760000000000012</v>
      </c>
      <c r="K192" s="31" t="s">
        <v>28</v>
      </c>
      <c r="L192" s="24">
        <v>1955</v>
      </c>
      <c r="M192" s="26">
        <v>3.47</v>
      </c>
      <c r="N192" s="29" t="s">
        <v>26</v>
      </c>
      <c r="O192" s="29" t="s">
        <v>63</v>
      </c>
      <c r="P192" s="27" t="e">
        <f t="shared" ca="1" si="1"/>
        <v>#NAME?</v>
      </c>
      <c r="Q192" s="28" t="e">
        <f ca="1"/>
        <v>#NAME?</v>
      </c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2.75">
      <c r="A193" s="29" t="s">
        <v>108</v>
      </c>
      <c r="B193" s="29" t="s">
        <v>431</v>
      </c>
      <c r="C193" s="30">
        <v>46</v>
      </c>
      <c r="D193" s="30">
        <v>161</v>
      </c>
      <c r="E193" s="30">
        <v>102</v>
      </c>
      <c r="F193" s="9" t="str">
        <v>39.4 (Obese)</v>
      </c>
      <c r="G193" s="9" t="str">
        <f t="shared" si="0"/>
        <v>Obese</v>
      </c>
      <c r="H193" s="24">
        <f ca="1">IFERROR(__xludf.DUMMYFUNCTION("""COMPUTED_VALUE"""),39.4)</f>
        <v>39.4</v>
      </c>
      <c r="I193" s="24">
        <v>21</v>
      </c>
      <c r="J193" s="10">
        <v>54.434100000000008</v>
      </c>
      <c r="K193" s="31" t="s">
        <v>42</v>
      </c>
      <c r="L193" s="24">
        <v>1801.25</v>
      </c>
      <c r="M193" s="26">
        <v>3.37</v>
      </c>
      <c r="N193" s="29" t="s">
        <v>39</v>
      </c>
      <c r="O193" s="29" t="s">
        <v>7</v>
      </c>
      <c r="P193" s="27" t="e">
        <f t="shared" ca="1" si="1"/>
        <v>#NAME?</v>
      </c>
      <c r="Q193" s="28" t="e">
        <f ca="1"/>
        <v>#NAME?</v>
      </c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2.75">
      <c r="A194" s="29" t="s">
        <v>87</v>
      </c>
      <c r="B194" s="29" t="s">
        <v>431</v>
      </c>
      <c r="C194" s="30">
        <v>39</v>
      </c>
      <c r="D194" s="30">
        <v>166</v>
      </c>
      <c r="E194" s="30">
        <v>73</v>
      </c>
      <c r="F194" s="9" t="str">
        <v>26.5 (Overweight)</v>
      </c>
      <c r="G194" s="9" t="str">
        <f t="shared" si="0"/>
        <v>Overweight</v>
      </c>
      <c r="H194" s="24">
        <f ca="1">IFERROR(__xludf.DUMMYFUNCTION("""COMPUTED_VALUE"""),26.5)</f>
        <v>26.5</v>
      </c>
      <c r="I194" s="24">
        <v>21</v>
      </c>
      <c r="J194" s="10">
        <v>57.867599999999996</v>
      </c>
      <c r="K194" s="31" t="s">
        <v>18</v>
      </c>
      <c r="L194" s="24">
        <v>1577.5</v>
      </c>
      <c r="M194" s="26">
        <v>2.41</v>
      </c>
      <c r="N194" s="29" t="s">
        <v>26</v>
      </c>
      <c r="O194" s="29" t="s">
        <v>60</v>
      </c>
      <c r="P194" s="27" t="e">
        <f t="shared" ca="1" si="1"/>
        <v>#NAME?</v>
      </c>
      <c r="Q194" s="28" t="e">
        <f ca="1"/>
        <v>#NAME?</v>
      </c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2.75">
      <c r="A195" s="29" t="s">
        <v>188</v>
      </c>
      <c r="B195" s="29" t="s">
        <v>431</v>
      </c>
      <c r="C195" s="30">
        <v>51</v>
      </c>
      <c r="D195" s="30">
        <v>173</v>
      </c>
      <c r="E195" s="30">
        <v>91</v>
      </c>
      <c r="F195" s="9" t="str">
        <v>30.4 (Obese)</v>
      </c>
      <c r="G195" s="9" t="str">
        <f t="shared" si="0"/>
        <v>Obese</v>
      </c>
      <c r="H195" s="24">
        <f ca="1">IFERROR(__xludf.DUMMYFUNCTION("""COMPUTED_VALUE"""),30.4)</f>
        <v>30.4</v>
      </c>
      <c r="I195" s="24">
        <v>21</v>
      </c>
      <c r="J195" s="10">
        <v>62.850900000000003</v>
      </c>
      <c r="K195" s="31" t="s">
        <v>18</v>
      </c>
      <c r="L195" s="24">
        <v>1741.25</v>
      </c>
      <c r="M195" s="26">
        <v>3</v>
      </c>
      <c r="N195" s="29" t="s">
        <v>39</v>
      </c>
      <c r="O195" s="29" t="s">
        <v>60</v>
      </c>
      <c r="P195" s="27" t="e">
        <f t="shared" ca="1" si="1"/>
        <v>#NAME?</v>
      </c>
      <c r="Q195" s="28" t="e">
        <f ca="1"/>
        <v>#NAME?</v>
      </c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2.75">
      <c r="A196" s="29" t="s">
        <v>163</v>
      </c>
      <c r="B196" s="29" t="s">
        <v>431</v>
      </c>
      <c r="C196" s="30">
        <v>20</v>
      </c>
      <c r="D196" s="30">
        <v>161</v>
      </c>
      <c r="E196" s="30">
        <v>69</v>
      </c>
      <c r="F196" s="9" t="str">
        <v>26.6 (Overweight)</v>
      </c>
      <c r="G196" s="9" t="str">
        <f t="shared" si="0"/>
        <v>Overweight</v>
      </c>
      <c r="H196" s="24">
        <f ca="1">IFERROR(__xludf.DUMMYFUNCTION("""COMPUTED_VALUE"""),26.6)</f>
        <v>26.6</v>
      </c>
      <c r="I196" s="24">
        <v>21</v>
      </c>
      <c r="J196" s="10">
        <v>54.434100000000008</v>
      </c>
      <c r="K196" s="31" t="s">
        <v>28</v>
      </c>
      <c r="L196" s="24">
        <v>1601.25</v>
      </c>
      <c r="M196" s="26">
        <v>2.2799999999999998</v>
      </c>
      <c r="N196" s="29" t="s">
        <v>26</v>
      </c>
      <c r="O196" s="29" t="s">
        <v>19</v>
      </c>
      <c r="P196" s="27" t="e">
        <f t="shared" ca="1" si="1"/>
        <v>#NAME?</v>
      </c>
      <c r="Q196" s="28" t="e">
        <f ca="1"/>
        <v>#NAME?</v>
      </c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2.75">
      <c r="A197" s="29" t="s">
        <v>122</v>
      </c>
      <c r="B197" s="29" t="s">
        <v>431</v>
      </c>
      <c r="C197" s="30">
        <v>27</v>
      </c>
      <c r="D197" s="30">
        <v>188</v>
      </c>
      <c r="E197" s="30">
        <v>101</v>
      </c>
      <c r="F197" s="9" t="str">
        <v>28.6 (Obese)</v>
      </c>
      <c r="G197" s="9" t="str">
        <f t="shared" si="0"/>
        <v>Obese</v>
      </c>
      <c r="H197" s="24">
        <f ca="1">IFERROR(__xludf.DUMMYFUNCTION("""COMPUTED_VALUE"""),28.6)</f>
        <v>28.6</v>
      </c>
      <c r="I197" s="24">
        <v>21</v>
      </c>
      <c r="J197" s="10">
        <v>74.222399999999993</v>
      </c>
      <c r="K197" s="31" t="s">
        <v>18</v>
      </c>
      <c r="L197" s="24">
        <v>2055</v>
      </c>
      <c r="M197" s="26">
        <v>3.33</v>
      </c>
      <c r="N197" s="29" t="s">
        <v>26</v>
      </c>
      <c r="O197" s="29" t="s">
        <v>19</v>
      </c>
      <c r="P197" s="27" t="e">
        <f t="shared" ca="1" si="1"/>
        <v>#NAME?</v>
      </c>
      <c r="Q197" s="28" t="e">
        <f ca="1"/>
        <v>#NAME?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2.75">
      <c r="A198" s="29" t="s">
        <v>68</v>
      </c>
      <c r="B198" s="29" t="s">
        <v>431</v>
      </c>
      <c r="C198" s="30">
        <v>52</v>
      </c>
      <c r="D198" s="30">
        <v>177</v>
      </c>
      <c r="E198" s="30">
        <v>74</v>
      </c>
      <c r="F198" s="9" t="str">
        <v>23.6 (Normal)</v>
      </c>
      <c r="G198" s="9" t="str">
        <f t="shared" si="0"/>
        <v>Normal</v>
      </c>
      <c r="H198" s="24">
        <f ca="1">IFERROR(__xludf.DUMMYFUNCTION("""COMPUTED_VALUE"""),23.6)</f>
        <v>23.6</v>
      </c>
      <c r="I198" s="24">
        <v>21</v>
      </c>
      <c r="J198" s="10">
        <v>65.790900000000008</v>
      </c>
      <c r="K198" s="31" t="s">
        <v>42</v>
      </c>
      <c r="L198" s="24">
        <v>1591.25</v>
      </c>
      <c r="M198" s="26">
        <v>2.44</v>
      </c>
      <c r="N198" s="29" t="s">
        <v>39</v>
      </c>
      <c r="O198" s="29" t="s">
        <v>7</v>
      </c>
      <c r="P198" s="27" t="e">
        <f t="shared" ca="1" si="1"/>
        <v>#NAME?</v>
      </c>
      <c r="Q198" s="28" t="e">
        <f ca="1"/>
        <v>#NAME?</v>
      </c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2.75">
      <c r="A199" s="29" t="s">
        <v>159</v>
      </c>
      <c r="B199" s="29" t="s">
        <v>431</v>
      </c>
      <c r="C199" s="30">
        <v>48</v>
      </c>
      <c r="D199" s="30">
        <v>160</v>
      </c>
      <c r="E199" s="30">
        <v>62</v>
      </c>
      <c r="F199" s="9" t="str">
        <v>24.2 (Normal)</v>
      </c>
      <c r="G199" s="9" t="str">
        <f t="shared" si="0"/>
        <v>Normal</v>
      </c>
      <c r="H199" s="24">
        <f ca="1">IFERROR(__xludf.DUMMYFUNCTION("""COMPUTED_VALUE"""),24.2)</f>
        <v>24.2</v>
      </c>
      <c r="I199" s="24">
        <v>21</v>
      </c>
      <c r="J199" s="10">
        <v>53.760000000000012</v>
      </c>
      <c r="K199" s="31" t="s">
        <v>4</v>
      </c>
      <c r="L199" s="24">
        <v>1385</v>
      </c>
      <c r="M199" s="26">
        <v>2.0499999999999998</v>
      </c>
      <c r="N199" s="29" t="s">
        <v>39</v>
      </c>
      <c r="O199" s="29" t="s">
        <v>60</v>
      </c>
      <c r="P199" s="27" t="e">
        <f t="shared" ca="1" si="1"/>
        <v>#NAME?</v>
      </c>
      <c r="Q199" s="28" t="e">
        <f ca="1"/>
        <v>#NAME?</v>
      </c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2.75">
      <c r="A200" s="29" t="s">
        <v>189</v>
      </c>
      <c r="B200" s="29" t="s">
        <v>431</v>
      </c>
      <c r="C200" s="30">
        <v>24</v>
      </c>
      <c r="D200" s="30">
        <v>187</v>
      </c>
      <c r="E200" s="30">
        <v>90</v>
      </c>
      <c r="F200" s="9" t="str">
        <v>25.7 (Overweight)</v>
      </c>
      <c r="G200" s="9" t="str">
        <f t="shared" si="0"/>
        <v>Overweight</v>
      </c>
      <c r="H200" s="24">
        <f ca="1">IFERROR(__xludf.DUMMYFUNCTION("""COMPUTED_VALUE"""),25.7)</f>
        <v>25.7</v>
      </c>
      <c r="I200" s="24">
        <v>21</v>
      </c>
      <c r="J200" s="10">
        <v>73.434900000000013</v>
      </c>
      <c r="K200" s="31" t="s">
        <v>42</v>
      </c>
      <c r="L200" s="24">
        <v>1953.75</v>
      </c>
      <c r="M200" s="26">
        <v>2.97</v>
      </c>
      <c r="N200" s="29" t="s">
        <v>16</v>
      </c>
      <c r="O200" s="29" t="s">
        <v>19</v>
      </c>
      <c r="P200" s="27" t="e">
        <f t="shared" ca="1" si="1"/>
        <v>#NAME?</v>
      </c>
      <c r="Q200" s="28" t="e">
        <f ca="1"/>
        <v>#NAME?</v>
      </c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2.75">
      <c r="A201" s="29" t="s">
        <v>190</v>
      </c>
      <c r="B201" s="29" t="s">
        <v>431</v>
      </c>
      <c r="C201" s="30">
        <v>52</v>
      </c>
      <c r="D201" s="30">
        <v>160</v>
      </c>
      <c r="E201" s="30">
        <v>106</v>
      </c>
      <c r="F201" s="9" t="str">
        <v>41.4 (Obese)</v>
      </c>
      <c r="G201" s="9" t="str">
        <f t="shared" si="0"/>
        <v>Obese</v>
      </c>
      <c r="H201" s="24">
        <f ca="1">IFERROR(__xludf.DUMMYFUNCTION("""COMPUTED_VALUE"""),41.4)</f>
        <v>41.4</v>
      </c>
      <c r="I201" s="24">
        <v>21</v>
      </c>
      <c r="J201" s="10">
        <v>53.760000000000012</v>
      </c>
      <c r="K201" s="31" t="s">
        <v>4</v>
      </c>
      <c r="L201" s="24">
        <v>1805</v>
      </c>
      <c r="M201" s="26">
        <v>3.5</v>
      </c>
      <c r="N201" s="29" t="s">
        <v>16</v>
      </c>
      <c r="O201" s="29" t="s">
        <v>30</v>
      </c>
      <c r="P201" s="27" t="e">
        <f t="shared" ca="1" si="1"/>
        <v>#NAME?</v>
      </c>
      <c r="Q201" s="28" t="e">
        <f ca="1"/>
        <v>#NAME?</v>
      </c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2.75">
      <c r="A202" s="29" t="s">
        <v>171</v>
      </c>
      <c r="B202" s="29" t="s">
        <v>431</v>
      </c>
      <c r="C202" s="30">
        <v>59</v>
      </c>
      <c r="D202" s="30">
        <v>158</v>
      </c>
      <c r="E202" s="30">
        <v>93</v>
      </c>
      <c r="F202" s="9" t="str">
        <v>37.3 (Obese)</v>
      </c>
      <c r="G202" s="9" t="str">
        <f t="shared" si="0"/>
        <v>Obese</v>
      </c>
      <c r="H202" s="24">
        <f ca="1">IFERROR(__xludf.DUMMYFUNCTION("""COMPUTED_VALUE"""),37.3)</f>
        <v>37.299999999999997</v>
      </c>
      <c r="I202" s="24">
        <v>21</v>
      </c>
      <c r="J202" s="10">
        <v>52.424400000000006</v>
      </c>
      <c r="K202" s="31" t="s">
        <v>28</v>
      </c>
      <c r="L202" s="24">
        <v>1627.5</v>
      </c>
      <c r="M202" s="26">
        <v>3.07</v>
      </c>
      <c r="N202" s="29" t="s">
        <v>39</v>
      </c>
      <c r="O202" s="29" t="s">
        <v>7</v>
      </c>
      <c r="P202" s="27" t="e">
        <f t="shared" ca="1" si="1"/>
        <v>#NAME?</v>
      </c>
      <c r="Q202" s="28" t="e">
        <f ca="1"/>
        <v>#NAME?</v>
      </c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2.75">
      <c r="A203" s="29" t="s">
        <v>81</v>
      </c>
      <c r="B203" s="29" t="s">
        <v>431</v>
      </c>
      <c r="C203" s="30">
        <v>25</v>
      </c>
      <c r="D203" s="30">
        <v>176</v>
      </c>
      <c r="E203" s="30">
        <v>50</v>
      </c>
      <c r="F203" s="9" t="str">
        <v>16.1 (Underweight)</v>
      </c>
      <c r="G203" s="9" t="str">
        <f t="shared" si="0"/>
        <v>Underweight</v>
      </c>
      <c r="H203" s="24">
        <f ca="1">IFERROR(__xludf.DUMMYFUNCTION("""COMPUTED_VALUE"""),16.1)</f>
        <v>16.100000000000001</v>
      </c>
      <c r="I203" s="24">
        <v>21</v>
      </c>
      <c r="J203" s="10">
        <v>65.049599999999998</v>
      </c>
      <c r="K203" s="31" t="s">
        <v>42</v>
      </c>
      <c r="L203" s="24">
        <v>1480</v>
      </c>
      <c r="M203" s="26">
        <v>1.65</v>
      </c>
      <c r="N203" s="29" t="s">
        <v>34</v>
      </c>
      <c r="O203" s="29" t="s">
        <v>37</v>
      </c>
      <c r="P203" s="27" t="e">
        <f t="shared" ca="1" si="1"/>
        <v>#NAME?</v>
      </c>
      <c r="Q203" s="28" t="e">
        <f ca="1"/>
        <v>#NAME?</v>
      </c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2.75">
      <c r="A204" s="29" t="s">
        <v>191</v>
      </c>
      <c r="B204" s="29" t="s">
        <v>431</v>
      </c>
      <c r="C204" s="30">
        <v>30</v>
      </c>
      <c r="D204" s="30">
        <v>181</v>
      </c>
      <c r="E204" s="30">
        <v>89</v>
      </c>
      <c r="F204" s="9" t="str">
        <v>27.2 (Overweight)</v>
      </c>
      <c r="G204" s="9" t="str">
        <f t="shared" si="0"/>
        <v>Overweight</v>
      </c>
      <c r="H204" s="24">
        <f ca="1">IFERROR(__xludf.DUMMYFUNCTION("""COMPUTED_VALUE"""),27.2)</f>
        <v>27.2</v>
      </c>
      <c r="I204" s="24">
        <v>21</v>
      </c>
      <c r="J204" s="10">
        <v>68.798100000000005</v>
      </c>
      <c r="K204" s="31" t="s">
        <v>28</v>
      </c>
      <c r="L204" s="24">
        <v>1876.25</v>
      </c>
      <c r="M204" s="26">
        <v>2.94</v>
      </c>
      <c r="N204" s="29" t="s">
        <v>34</v>
      </c>
      <c r="O204" s="29" t="s">
        <v>60</v>
      </c>
      <c r="P204" s="27" t="e">
        <f t="shared" ca="1" si="1"/>
        <v>#NAME?</v>
      </c>
      <c r="Q204" s="28" t="e">
        <f ca="1"/>
        <v>#NAME?</v>
      </c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2.75">
      <c r="A205" s="29" t="s">
        <v>192</v>
      </c>
      <c r="B205" s="29" t="s">
        <v>431</v>
      </c>
      <c r="C205" s="30">
        <v>44</v>
      </c>
      <c r="D205" s="30">
        <v>184</v>
      </c>
      <c r="E205" s="30">
        <v>57</v>
      </c>
      <c r="F205" s="9" t="str">
        <v>16.8 (Underweight)</v>
      </c>
      <c r="G205" s="9" t="str">
        <f t="shared" si="0"/>
        <v>Underweight</v>
      </c>
      <c r="H205" s="24">
        <f ca="1">IFERROR(__xludf.DUMMYFUNCTION("""COMPUTED_VALUE"""),16.8)</f>
        <v>16.8</v>
      </c>
      <c r="I205" s="24">
        <v>21</v>
      </c>
      <c r="J205" s="10">
        <v>71.0976</v>
      </c>
      <c r="K205" s="31" t="s">
        <v>4</v>
      </c>
      <c r="L205" s="24">
        <v>1505</v>
      </c>
      <c r="M205" s="26">
        <v>1.88</v>
      </c>
      <c r="N205" s="29" t="s">
        <v>26</v>
      </c>
      <c r="O205" s="29" t="s">
        <v>7</v>
      </c>
      <c r="P205" s="27" t="e">
        <f t="shared" ca="1" si="1"/>
        <v>#NAME?</v>
      </c>
      <c r="Q205" s="28" t="e">
        <f ca="1"/>
        <v>#NAME?</v>
      </c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2.75">
      <c r="A206" s="29" t="s">
        <v>167</v>
      </c>
      <c r="B206" s="29" t="s">
        <v>431</v>
      </c>
      <c r="C206" s="30">
        <v>59</v>
      </c>
      <c r="D206" s="30">
        <v>175</v>
      </c>
      <c r="E206" s="30">
        <v>73</v>
      </c>
      <c r="F206" s="9" t="str">
        <v>23.8 (Normal)</v>
      </c>
      <c r="G206" s="9" t="str">
        <f t="shared" si="0"/>
        <v>Normal</v>
      </c>
      <c r="H206" s="24">
        <f ca="1">IFERROR(__xludf.DUMMYFUNCTION("""COMPUTED_VALUE"""),23.8)</f>
        <v>23.8</v>
      </c>
      <c r="I206" s="24">
        <v>21</v>
      </c>
      <c r="J206" s="10">
        <v>64.3125</v>
      </c>
      <c r="K206" s="31" t="s">
        <v>18</v>
      </c>
      <c r="L206" s="24">
        <v>1533.75</v>
      </c>
      <c r="M206" s="26">
        <v>2.41</v>
      </c>
      <c r="N206" s="29" t="s">
        <v>39</v>
      </c>
      <c r="O206" s="29" t="s">
        <v>37</v>
      </c>
      <c r="P206" s="27" t="e">
        <f t="shared" ca="1" si="1"/>
        <v>#NAME?</v>
      </c>
      <c r="Q206" s="28" t="e">
        <f ca="1"/>
        <v>#NAME?</v>
      </c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2.75">
      <c r="A207" s="29" t="s">
        <v>193</v>
      </c>
      <c r="B207" s="29" t="s">
        <v>431</v>
      </c>
      <c r="C207" s="30">
        <v>41</v>
      </c>
      <c r="D207" s="30">
        <v>162</v>
      </c>
      <c r="E207" s="30">
        <v>54</v>
      </c>
      <c r="F207" s="9" t="str">
        <v>20.6 (Normal)</v>
      </c>
      <c r="G207" s="9" t="str">
        <f t="shared" si="0"/>
        <v>Normal</v>
      </c>
      <c r="H207" s="24">
        <f ca="1">IFERROR(__xludf.DUMMYFUNCTION("""COMPUTED_VALUE"""),20.6)</f>
        <v>20.6</v>
      </c>
      <c r="I207" s="24">
        <v>21</v>
      </c>
      <c r="J207" s="10">
        <v>55.112400000000008</v>
      </c>
      <c r="K207" s="31" t="s">
        <v>18</v>
      </c>
      <c r="L207" s="24">
        <v>1352.5</v>
      </c>
      <c r="M207" s="26">
        <v>1.78</v>
      </c>
      <c r="N207" s="29" t="s">
        <v>34</v>
      </c>
      <c r="O207" s="29" t="s">
        <v>19</v>
      </c>
      <c r="P207" s="27" t="e">
        <f t="shared" ca="1" si="1"/>
        <v>#NAME?</v>
      </c>
      <c r="Q207" s="28" t="e">
        <f ca="1"/>
        <v>#NAME?</v>
      </c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2.75">
      <c r="A208" s="29" t="s">
        <v>194</v>
      </c>
      <c r="B208" s="29" t="s">
        <v>431</v>
      </c>
      <c r="C208" s="30">
        <v>48</v>
      </c>
      <c r="D208" s="30">
        <v>182</v>
      </c>
      <c r="E208" s="30">
        <v>99</v>
      </c>
      <c r="F208" s="9" t="str">
        <v>29.9 (Obese)</v>
      </c>
      <c r="G208" s="9" t="str">
        <f t="shared" si="0"/>
        <v>Obese</v>
      </c>
      <c r="H208" s="24">
        <f ca="1">IFERROR(__xludf.DUMMYFUNCTION("""COMPUTED_VALUE"""),29.9)</f>
        <v>29.9</v>
      </c>
      <c r="I208" s="24">
        <v>21</v>
      </c>
      <c r="J208" s="10">
        <v>69.560400000000001</v>
      </c>
      <c r="K208" s="31" t="s">
        <v>18</v>
      </c>
      <c r="L208" s="24">
        <v>1892.5</v>
      </c>
      <c r="M208" s="26">
        <v>3.27</v>
      </c>
      <c r="N208" s="29" t="s">
        <v>34</v>
      </c>
      <c r="O208" s="29" t="s">
        <v>7</v>
      </c>
      <c r="P208" s="27" t="e">
        <f t="shared" ca="1" si="1"/>
        <v>#NAME?</v>
      </c>
      <c r="Q208" s="28" t="e">
        <f ca="1"/>
        <v>#NAME?</v>
      </c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2.75">
      <c r="A209" s="29" t="s">
        <v>195</v>
      </c>
      <c r="B209" s="29" t="s">
        <v>431</v>
      </c>
      <c r="C209" s="30">
        <v>42</v>
      </c>
      <c r="D209" s="30">
        <v>166</v>
      </c>
      <c r="E209" s="30">
        <v>69</v>
      </c>
      <c r="F209" s="9" t="str">
        <v>25.0 (Overweight)</v>
      </c>
      <c r="G209" s="9" t="str">
        <f t="shared" si="0"/>
        <v>Overweight</v>
      </c>
      <c r="H209" s="24">
        <f ca="1">IFERROR(__xludf.DUMMYFUNCTION("""COMPUTED_VALUE"""),25)</f>
        <v>25</v>
      </c>
      <c r="I209" s="24">
        <v>21</v>
      </c>
      <c r="J209" s="10">
        <v>57.867599999999996</v>
      </c>
      <c r="K209" s="31" t="s">
        <v>18</v>
      </c>
      <c r="L209" s="24">
        <v>1522.5</v>
      </c>
      <c r="M209" s="26">
        <v>2.2799999999999998</v>
      </c>
      <c r="N209" s="29" t="s">
        <v>26</v>
      </c>
      <c r="O209" s="29" t="s">
        <v>30</v>
      </c>
      <c r="P209" s="27" t="e">
        <f t="shared" ca="1" si="1"/>
        <v>#NAME?</v>
      </c>
      <c r="Q209" s="28" t="e">
        <f ca="1"/>
        <v>#NAME?</v>
      </c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2.75">
      <c r="A210" s="29" t="s">
        <v>99</v>
      </c>
      <c r="B210" s="29" t="s">
        <v>431</v>
      </c>
      <c r="C210" s="30">
        <v>33</v>
      </c>
      <c r="D210" s="30">
        <v>180</v>
      </c>
      <c r="E210" s="30">
        <v>69</v>
      </c>
      <c r="F210" s="9" t="str">
        <v>21.3 (Normal)</v>
      </c>
      <c r="G210" s="9" t="str">
        <f t="shared" si="0"/>
        <v>Normal</v>
      </c>
      <c r="H210" s="24">
        <f ca="1">IFERROR(__xludf.DUMMYFUNCTION("""COMPUTED_VALUE"""),21.3)</f>
        <v>21.3</v>
      </c>
      <c r="I210" s="24">
        <v>21</v>
      </c>
      <c r="J210" s="10">
        <v>68.040000000000006</v>
      </c>
      <c r="K210" s="31" t="s">
        <v>42</v>
      </c>
      <c r="L210" s="24">
        <v>1655</v>
      </c>
      <c r="M210" s="26">
        <v>2.2799999999999998</v>
      </c>
      <c r="N210" s="29" t="s">
        <v>26</v>
      </c>
      <c r="O210" s="29" t="s">
        <v>37</v>
      </c>
      <c r="P210" s="27" t="e">
        <f t="shared" ca="1" si="1"/>
        <v>#NAME?</v>
      </c>
      <c r="Q210" s="28" t="e">
        <f ca="1"/>
        <v>#NAME?</v>
      </c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2.75">
      <c r="A211" s="29" t="s">
        <v>93</v>
      </c>
      <c r="B211" s="29" t="s">
        <v>431</v>
      </c>
      <c r="C211" s="30">
        <v>48</v>
      </c>
      <c r="D211" s="30">
        <v>159</v>
      </c>
      <c r="E211" s="30">
        <v>58</v>
      </c>
      <c r="F211" s="9" t="str">
        <v>22.9 (Normal)</v>
      </c>
      <c r="G211" s="9" t="str">
        <f t="shared" si="0"/>
        <v>Normal</v>
      </c>
      <c r="H211" s="24">
        <f ca="1">IFERROR(__xludf.DUMMYFUNCTION("""COMPUTED_VALUE"""),22.9)</f>
        <v>22.9</v>
      </c>
      <c r="I211" s="24">
        <v>21</v>
      </c>
      <c r="J211" s="10">
        <v>53.090100000000007</v>
      </c>
      <c r="K211" s="31" t="s">
        <v>4</v>
      </c>
      <c r="L211" s="24">
        <v>1338.75</v>
      </c>
      <c r="M211" s="26">
        <v>1.91</v>
      </c>
      <c r="N211" s="29" t="s">
        <v>34</v>
      </c>
      <c r="O211" s="29" t="s">
        <v>19</v>
      </c>
      <c r="P211" s="27" t="e">
        <f t="shared" ca="1" si="1"/>
        <v>#NAME?</v>
      </c>
      <c r="Q211" s="28" t="e">
        <f ca="1"/>
        <v>#NAME?</v>
      </c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2.75">
      <c r="A212" s="29" t="s">
        <v>115</v>
      </c>
      <c r="B212" s="29" t="s">
        <v>431</v>
      </c>
      <c r="C212" s="30">
        <v>22</v>
      </c>
      <c r="D212" s="30">
        <v>158</v>
      </c>
      <c r="E212" s="30">
        <v>65</v>
      </c>
      <c r="F212" s="9" t="str">
        <v>26.0 (Overweight)</v>
      </c>
      <c r="G212" s="9" t="str">
        <f t="shared" si="0"/>
        <v>Overweight</v>
      </c>
      <c r="H212" s="24">
        <f ca="1">IFERROR(__xludf.DUMMYFUNCTION("""COMPUTED_VALUE"""),26)</f>
        <v>26</v>
      </c>
      <c r="I212" s="24">
        <v>21</v>
      </c>
      <c r="J212" s="10">
        <v>52.424400000000006</v>
      </c>
      <c r="K212" s="31" t="s">
        <v>18</v>
      </c>
      <c r="L212" s="24">
        <v>1532.5</v>
      </c>
      <c r="M212" s="26">
        <v>2.15</v>
      </c>
      <c r="N212" s="29" t="s">
        <v>16</v>
      </c>
      <c r="O212" s="29" t="s">
        <v>30</v>
      </c>
      <c r="P212" s="27" t="e">
        <f t="shared" ca="1" si="1"/>
        <v>#NAME?</v>
      </c>
      <c r="Q212" s="28" t="e">
        <f ca="1"/>
        <v>#NAME?</v>
      </c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2.75">
      <c r="A213" s="29" t="s">
        <v>61</v>
      </c>
      <c r="B213" s="29" t="s">
        <v>431</v>
      </c>
      <c r="C213" s="30">
        <v>34</v>
      </c>
      <c r="D213" s="30">
        <v>159</v>
      </c>
      <c r="E213" s="30">
        <v>62</v>
      </c>
      <c r="F213" s="9" t="str">
        <v>24.5 (Normal)</v>
      </c>
      <c r="G213" s="9" t="str">
        <f t="shared" si="0"/>
        <v>Normal</v>
      </c>
      <c r="H213" s="24">
        <f ca="1">IFERROR(__xludf.DUMMYFUNCTION("""COMPUTED_VALUE"""),24.5)</f>
        <v>24.5</v>
      </c>
      <c r="I213" s="24">
        <v>21</v>
      </c>
      <c r="J213" s="10">
        <v>53.090100000000007</v>
      </c>
      <c r="K213" s="31" t="s">
        <v>42</v>
      </c>
      <c r="L213" s="24">
        <v>1448.75</v>
      </c>
      <c r="M213" s="26">
        <v>2.0499999999999998</v>
      </c>
      <c r="N213" s="29" t="s">
        <v>16</v>
      </c>
      <c r="O213" s="29" t="s">
        <v>19</v>
      </c>
      <c r="P213" s="27" t="e">
        <f t="shared" ca="1" si="1"/>
        <v>#NAME?</v>
      </c>
      <c r="Q213" s="28" t="e">
        <f ca="1"/>
        <v>#NAME?</v>
      </c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2.75">
      <c r="A214" s="29" t="s">
        <v>196</v>
      </c>
      <c r="B214" s="29" t="s">
        <v>431</v>
      </c>
      <c r="C214" s="30">
        <v>35</v>
      </c>
      <c r="D214" s="30">
        <v>173</v>
      </c>
      <c r="E214" s="30">
        <v>86</v>
      </c>
      <c r="F214" s="9" t="str">
        <v>28.7 (Obese)</v>
      </c>
      <c r="G214" s="9" t="str">
        <f t="shared" si="0"/>
        <v>Obese</v>
      </c>
      <c r="H214" s="24">
        <f ca="1">IFERROR(__xludf.DUMMYFUNCTION("""COMPUTED_VALUE"""),28.7)</f>
        <v>28.7</v>
      </c>
      <c r="I214" s="24">
        <v>21</v>
      </c>
      <c r="J214" s="10">
        <v>62.850900000000003</v>
      </c>
      <c r="K214" s="31" t="s">
        <v>42</v>
      </c>
      <c r="L214" s="24">
        <v>1771.25</v>
      </c>
      <c r="M214" s="26">
        <v>2.84</v>
      </c>
      <c r="N214" s="29" t="s">
        <v>39</v>
      </c>
      <c r="O214" s="29" t="s">
        <v>37</v>
      </c>
      <c r="P214" s="27" t="e">
        <f t="shared" ca="1" si="1"/>
        <v>#NAME?</v>
      </c>
      <c r="Q214" s="28" t="e">
        <f ca="1"/>
        <v>#NAME?</v>
      </c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2.75">
      <c r="A215" s="29" t="s">
        <v>197</v>
      </c>
      <c r="B215" s="29" t="s">
        <v>431</v>
      </c>
      <c r="C215" s="30">
        <v>21</v>
      </c>
      <c r="D215" s="30">
        <v>163</v>
      </c>
      <c r="E215" s="30">
        <v>96</v>
      </c>
      <c r="F215" s="9" t="str">
        <v>36.1 (Obese)</v>
      </c>
      <c r="G215" s="9" t="str">
        <f t="shared" si="0"/>
        <v>Obese</v>
      </c>
      <c r="H215" s="24">
        <f ca="1">IFERROR(__xludf.DUMMYFUNCTION("""COMPUTED_VALUE"""),36.1)</f>
        <v>36.1</v>
      </c>
      <c r="I215" s="24">
        <v>21</v>
      </c>
      <c r="J215" s="10">
        <v>55.794899999999998</v>
      </c>
      <c r="K215" s="31" t="s">
        <v>28</v>
      </c>
      <c r="L215" s="24">
        <v>1878.75</v>
      </c>
      <c r="M215" s="26">
        <v>3.17</v>
      </c>
      <c r="N215" s="29" t="s">
        <v>39</v>
      </c>
      <c r="O215" s="29" t="s">
        <v>30</v>
      </c>
      <c r="P215" s="27" t="e">
        <f t="shared" ca="1" si="1"/>
        <v>#NAME?</v>
      </c>
      <c r="Q215" s="28" t="e">
        <f ca="1"/>
        <v>#NAME?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2.75">
      <c r="A216" s="29" t="s">
        <v>189</v>
      </c>
      <c r="B216" s="29" t="s">
        <v>431</v>
      </c>
      <c r="C216" s="30">
        <v>37</v>
      </c>
      <c r="D216" s="30">
        <v>183</v>
      </c>
      <c r="E216" s="30">
        <v>108</v>
      </c>
      <c r="F216" s="9" t="str">
        <v>32.2 (Obese)</v>
      </c>
      <c r="G216" s="9" t="str">
        <f t="shared" si="0"/>
        <v>Obese</v>
      </c>
      <c r="H216" s="24">
        <f ca="1">IFERROR(__xludf.DUMMYFUNCTION("""COMPUTED_VALUE"""),32.2)</f>
        <v>32.200000000000003</v>
      </c>
      <c r="I216" s="24">
        <v>21</v>
      </c>
      <c r="J216" s="10">
        <v>70.326900000000009</v>
      </c>
      <c r="K216" s="31" t="s">
        <v>28</v>
      </c>
      <c r="L216" s="24">
        <v>2043.75</v>
      </c>
      <c r="M216" s="26">
        <v>3.56</v>
      </c>
      <c r="N216" s="29" t="s">
        <v>26</v>
      </c>
      <c r="O216" s="29" t="s">
        <v>7</v>
      </c>
      <c r="P216" s="27" t="e">
        <f t="shared" ca="1" si="1"/>
        <v>#NAME?</v>
      </c>
      <c r="Q216" s="28" t="e">
        <f ca="1"/>
        <v>#NAME?</v>
      </c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2.75">
      <c r="A217" s="29" t="s">
        <v>178</v>
      </c>
      <c r="B217" s="29" t="s">
        <v>431</v>
      </c>
      <c r="C217" s="30">
        <v>57</v>
      </c>
      <c r="D217" s="30">
        <v>169</v>
      </c>
      <c r="E217" s="30">
        <v>95</v>
      </c>
      <c r="F217" s="9" t="str">
        <v>33.3 (Obese)</v>
      </c>
      <c r="G217" s="9" t="str">
        <f t="shared" si="0"/>
        <v>Obese</v>
      </c>
      <c r="H217" s="24">
        <f ca="1">IFERROR(__xludf.DUMMYFUNCTION("""COMPUTED_VALUE"""),33.3)</f>
        <v>33.299999999999997</v>
      </c>
      <c r="I217" s="24">
        <v>21</v>
      </c>
      <c r="J217" s="10">
        <v>59.978099999999991</v>
      </c>
      <c r="K217" s="31" t="s">
        <v>28</v>
      </c>
      <c r="L217" s="24">
        <v>1726.25</v>
      </c>
      <c r="M217" s="26">
        <v>3.14</v>
      </c>
      <c r="N217" s="29" t="s">
        <v>16</v>
      </c>
      <c r="O217" s="29" t="s">
        <v>7</v>
      </c>
      <c r="P217" s="27" t="e">
        <f t="shared" ca="1" si="1"/>
        <v>#NAME?</v>
      </c>
      <c r="Q217" s="28" t="e">
        <f ca="1"/>
        <v>#NAME?</v>
      </c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2.75">
      <c r="A218" s="29" t="s">
        <v>74</v>
      </c>
      <c r="B218" s="29" t="s">
        <v>431</v>
      </c>
      <c r="C218" s="30">
        <v>54</v>
      </c>
      <c r="D218" s="30">
        <v>177</v>
      </c>
      <c r="E218" s="30">
        <v>95</v>
      </c>
      <c r="F218" s="9" t="str">
        <v>30.3 (Obese)</v>
      </c>
      <c r="G218" s="9" t="str">
        <f t="shared" si="0"/>
        <v>Obese</v>
      </c>
      <c r="H218" s="24">
        <f ca="1">IFERROR(__xludf.DUMMYFUNCTION("""COMPUTED_VALUE"""),30.3)</f>
        <v>30.3</v>
      </c>
      <c r="I218" s="24">
        <v>21</v>
      </c>
      <c r="J218" s="10">
        <v>65.790900000000008</v>
      </c>
      <c r="K218" s="31" t="s">
        <v>18</v>
      </c>
      <c r="L218" s="24">
        <v>1791.25</v>
      </c>
      <c r="M218" s="26">
        <v>3.14</v>
      </c>
      <c r="N218" s="29" t="s">
        <v>26</v>
      </c>
      <c r="O218" s="29" t="s">
        <v>63</v>
      </c>
      <c r="P218" s="27" t="e">
        <f t="shared" ca="1" si="1"/>
        <v>#NAME?</v>
      </c>
      <c r="Q218" s="28" t="e">
        <f ca="1"/>
        <v>#NAME?</v>
      </c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2.75">
      <c r="A219" s="29" t="s">
        <v>170</v>
      </c>
      <c r="B219" s="29" t="s">
        <v>431</v>
      </c>
      <c r="C219" s="30">
        <v>44</v>
      </c>
      <c r="D219" s="30">
        <v>162</v>
      </c>
      <c r="E219" s="30">
        <v>99</v>
      </c>
      <c r="F219" s="9" t="str">
        <v>37.7 (Obese)</v>
      </c>
      <c r="G219" s="9" t="str">
        <f t="shared" si="0"/>
        <v>Obese</v>
      </c>
      <c r="H219" s="24">
        <f ca="1">IFERROR(__xludf.DUMMYFUNCTION("""COMPUTED_VALUE"""),37.7)</f>
        <v>37.700000000000003</v>
      </c>
      <c r="I219" s="24">
        <v>21</v>
      </c>
      <c r="J219" s="10">
        <v>55.112400000000008</v>
      </c>
      <c r="K219" s="31" t="s">
        <v>18</v>
      </c>
      <c r="L219" s="24">
        <v>1787.5</v>
      </c>
      <c r="M219" s="26">
        <v>3.27</v>
      </c>
      <c r="N219" s="29" t="s">
        <v>34</v>
      </c>
      <c r="O219" s="29" t="s">
        <v>30</v>
      </c>
      <c r="P219" s="27" t="e">
        <f t="shared" ca="1" si="1"/>
        <v>#NAME?</v>
      </c>
      <c r="Q219" s="28" t="e">
        <f ca="1"/>
        <v>#NAME?</v>
      </c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2.75">
      <c r="A220" s="29" t="s">
        <v>187</v>
      </c>
      <c r="B220" s="29" t="s">
        <v>431</v>
      </c>
      <c r="C220" s="30">
        <v>45</v>
      </c>
      <c r="D220" s="30">
        <v>172</v>
      </c>
      <c r="E220" s="30">
        <v>89</v>
      </c>
      <c r="F220" s="9" t="str">
        <v>30.1 (Obese)</v>
      </c>
      <c r="G220" s="9" t="str">
        <f t="shared" si="0"/>
        <v>Obese</v>
      </c>
      <c r="H220" s="24">
        <f ca="1">IFERROR(__xludf.DUMMYFUNCTION("""COMPUTED_VALUE"""),30.1)</f>
        <v>30.1</v>
      </c>
      <c r="I220" s="24">
        <v>21</v>
      </c>
      <c r="J220" s="10">
        <v>62.126399999999997</v>
      </c>
      <c r="K220" s="31" t="s">
        <v>42</v>
      </c>
      <c r="L220" s="24">
        <v>1745</v>
      </c>
      <c r="M220" s="26">
        <v>2.94</v>
      </c>
      <c r="N220" s="29" t="s">
        <v>26</v>
      </c>
      <c r="O220" s="29" t="s">
        <v>60</v>
      </c>
      <c r="P220" s="27" t="e">
        <f t="shared" ca="1" si="1"/>
        <v>#NAME?</v>
      </c>
      <c r="Q220" s="28" t="e">
        <f ca="1"/>
        <v>#NAME?</v>
      </c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2.75">
      <c r="A221" s="29" t="s">
        <v>198</v>
      </c>
      <c r="B221" s="29" t="s">
        <v>431</v>
      </c>
      <c r="C221" s="30">
        <v>56</v>
      </c>
      <c r="D221" s="30">
        <v>168</v>
      </c>
      <c r="E221" s="30">
        <v>108</v>
      </c>
      <c r="F221" s="9" t="str">
        <v>38.3 (Obese)</v>
      </c>
      <c r="G221" s="9" t="str">
        <f t="shared" si="0"/>
        <v>Obese</v>
      </c>
      <c r="H221" s="24">
        <f ca="1">IFERROR(__xludf.DUMMYFUNCTION("""COMPUTED_VALUE"""),38.3)</f>
        <v>38.299999999999997</v>
      </c>
      <c r="I221" s="24">
        <v>21</v>
      </c>
      <c r="J221" s="10">
        <v>59.270399999999988</v>
      </c>
      <c r="K221" s="31" t="s">
        <v>42</v>
      </c>
      <c r="L221" s="24">
        <v>1855</v>
      </c>
      <c r="M221" s="26">
        <v>3.56</v>
      </c>
      <c r="N221" s="29" t="s">
        <v>34</v>
      </c>
      <c r="O221" s="29" t="s">
        <v>37</v>
      </c>
      <c r="P221" s="27" t="e">
        <f t="shared" ca="1" si="1"/>
        <v>#NAME?</v>
      </c>
      <c r="Q221" s="28" t="e">
        <f ca="1"/>
        <v>#NAME?</v>
      </c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2.75">
      <c r="A222" s="29" t="s">
        <v>154</v>
      </c>
      <c r="B222" s="29" t="s">
        <v>431</v>
      </c>
      <c r="C222" s="30">
        <v>55</v>
      </c>
      <c r="D222" s="30">
        <v>172</v>
      </c>
      <c r="E222" s="30">
        <v>80</v>
      </c>
      <c r="F222" s="9" t="str">
        <v>27.0 (Overweight)</v>
      </c>
      <c r="G222" s="9" t="str">
        <f t="shared" si="0"/>
        <v>Overweight</v>
      </c>
      <c r="H222" s="24">
        <f ca="1">IFERROR(__xludf.DUMMYFUNCTION("""COMPUTED_VALUE"""),27)</f>
        <v>27</v>
      </c>
      <c r="I222" s="24">
        <v>21</v>
      </c>
      <c r="J222" s="10">
        <v>62.126399999999997</v>
      </c>
      <c r="K222" s="31" t="s">
        <v>4</v>
      </c>
      <c r="L222" s="24">
        <v>1605</v>
      </c>
      <c r="M222" s="26">
        <v>2.64</v>
      </c>
      <c r="N222" s="29" t="s">
        <v>16</v>
      </c>
      <c r="O222" s="29" t="s">
        <v>7</v>
      </c>
      <c r="P222" s="27" t="e">
        <f t="shared" ca="1" si="1"/>
        <v>#NAME?</v>
      </c>
      <c r="Q222" s="28" t="e">
        <f ca="1"/>
        <v>#NAME?</v>
      </c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2.75">
      <c r="A223" s="29" t="s">
        <v>199</v>
      </c>
      <c r="B223" s="29" t="s">
        <v>431</v>
      </c>
      <c r="C223" s="30">
        <v>53</v>
      </c>
      <c r="D223" s="30">
        <v>158</v>
      </c>
      <c r="E223" s="30">
        <v>96</v>
      </c>
      <c r="F223" s="9" t="str">
        <v>38.5 (Obese)</v>
      </c>
      <c r="G223" s="9" t="str">
        <f t="shared" si="0"/>
        <v>Obese</v>
      </c>
      <c r="H223" s="24">
        <f ca="1">IFERROR(__xludf.DUMMYFUNCTION("""COMPUTED_VALUE"""),38.5)</f>
        <v>38.5</v>
      </c>
      <c r="I223" s="24">
        <v>21</v>
      </c>
      <c r="J223" s="10">
        <v>52.424400000000006</v>
      </c>
      <c r="K223" s="31" t="s">
        <v>18</v>
      </c>
      <c r="L223" s="24">
        <v>1687.5</v>
      </c>
      <c r="M223" s="26">
        <v>3.17</v>
      </c>
      <c r="N223" s="29" t="s">
        <v>34</v>
      </c>
      <c r="O223" s="29" t="s">
        <v>30</v>
      </c>
      <c r="P223" s="27" t="e">
        <f t="shared" ca="1" si="1"/>
        <v>#NAME?</v>
      </c>
      <c r="Q223" s="28" t="e">
        <f ca="1"/>
        <v>#NAME?</v>
      </c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2.75">
      <c r="A224" s="29" t="s">
        <v>200</v>
      </c>
      <c r="B224" s="29" t="s">
        <v>431</v>
      </c>
      <c r="C224" s="30">
        <v>40</v>
      </c>
      <c r="D224" s="30">
        <v>184</v>
      </c>
      <c r="E224" s="30">
        <v>59</v>
      </c>
      <c r="F224" s="9" t="str">
        <v>17.4 (Underweight)</v>
      </c>
      <c r="G224" s="9" t="str">
        <f t="shared" si="0"/>
        <v>Underweight</v>
      </c>
      <c r="H224" s="24">
        <f ca="1">IFERROR(__xludf.DUMMYFUNCTION("""COMPUTED_VALUE"""),17.4)</f>
        <v>17.399999999999999</v>
      </c>
      <c r="I224" s="24">
        <v>21</v>
      </c>
      <c r="J224" s="10">
        <v>71.0976</v>
      </c>
      <c r="K224" s="31" t="s">
        <v>4</v>
      </c>
      <c r="L224" s="24">
        <v>1545</v>
      </c>
      <c r="M224" s="26">
        <v>1.95</v>
      </c>
      <c r="N224" s="29" t="s">
        <v>39</v>
      </c>
      <c r="O224" s="29" t="s">
        <v>37</v>
      </c>
      <c r="P224" s="27" t="e">
        <f t="shared" ca="1" si="1"/>
        <v>#NAME?</v>
      </c>
      <c r="Q224" s="28" t="e">
        <f ca="1"/>
        <v>#NAME?</v>
      </c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2.75">
      <c r="A225" s="29" t="s">
        <v>66</v>
      </c>
      <c r="B225" s="29" t="s">
        <v>431</v>
      </c>
      <c r="C225" s="30">
        <v>24</v>
      </c>
      <c r="D225" s="30">
        <v>186</v>
      </c>
      <c r="E225" s="30">
        <v>108</v>
      </c>
      <c r="F225" s="9" t="str">
        <v>31.2 (Obese)</v>
      </c>
      <c r="G225" s="9" t="str">
        <f t="shared" si="0"/>
        <v>Obese</v>
      </c>
      <c r="H225" s="24">
        <f ca="1">IFERROR(__xludf.DUMMYFUNCTION("""COMPUTED_VALUE"""),31.2)</f>
        <v>31.2</v>
      </c>
      <c r="I225" s="24">
        <v>21</v>
      </c>
      <c r="J225" s="10">
        <v>72.651600000000016</v>
      </c>
      <c r="K225" s="31" t="s">
        <v>28</v>
      </c>
      <c r="L225" s="24">
        <v>2127.5</v>
      </c>
      <c r="M225" s="26">
        <v>3.56</v>
      </c>
      <c r="N225" s="29" t="s">
        <v>39</v>
      </c>
      <c r="O225" s="29" t="s">
        <v>30</v>
      </c>
      <c r="P225" s="27" t="e">
        <f t="shared" ca="1" si="1"/>
        <v>#NAME?</v>
      </c>
      <c r="Q225" s="28" t="e">
        <f ca="1"/>
        <v>#NAME?</v>
      </c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2.75">
      <c r="A226" s="29" t="s">
        <v>201</v>
      </c>
      <c r="B226" s="29" t="s">
        <v>431</v>
      </c>
      <c r="C226" s="30">
        <v>31</v>
      </c>
      <c r="D226" s="30">
        <v>177</v>
      </c>
      <c r="E226" s="30">
        <v>80</v>
      </c>
      <c r="F226" s="9" t="str">
        <v>25.5 (Overweight)</v>
      </c>
      <c r="G226" s="9" t="str">
        <f t="shared" si="0"/>
        <v>Overweight</v>
      </c>
      <c r="H226" s="24">
        <f ca="1">IFERROR(__xludf.DUMMYFUNCTION("""COMPUTED_VALUE"""),25.5)</f>
        <v>25.5</v>
      </c>
      <c r="I226" s="24">
        <v>21</v>
      </c>
      <c r="J226" s="10">
        <v>65.790900000000008</v>
      </c>
      <c r="K226" s="31" t="s">
        <v>18</v>
      </c>
      <c r="L226" s="24">
        <v>1756.25</v>
      </c>
      <c r="M226" s="26">
        <v>2.64</v>
      </c>
      <c r="N226" s="29" t="s">
        <v>26</v>
      </c>
      <c r="O226" s="29" t="s">
        <v>19</v>
      </c>
      <c r="P226" s="27" t="e">
        <f t="shared" ca="1" si="1"/>
        <v>#NAME?</v>
      </c>
      <c r="Q226" s="28" t="e">
        <f ca="1"/>
        <v>#NAME?</v>
      </c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2.75">
      <c r="A227" s="29" t="s">
        <v>181</v>
      </c>
      <c r="B227" s="29" t="s">
        <v>431</v>
      </c>
      <c r="C227" s="30">
        <v>40</v>
      </c>
      <c r="D227" s="30">
        <v>174</v>
      </c>
      <c r="E227" s="30">
        <v>74</v>
      </c>
      <c r="F227" s="9" t="str">
        <v>24.4 (Normal)</v>
      </c>
      <c r="G227" s="9" t="str">
        <f t="shared" si="0"/>
        <v>Normal</v>
      </c>
      <c r="H227" s="24">
        <f ca="1">IFERROR(__xludf.DUMMYFUNCTION("""COMPUTED_VALUE"""),24.4)</f>
        <v>24.4</v>
      </c>
      <c r="I227" s="24">
        <v>21</v>
      </c>
      <c r="J227" s="10">
        <v>63.579599999999999</v>
      </c>
      <c r="K227" s="31" t="s">
        <v>18</v>
      </c>
      <c r="L227" s="24">
        <v>1632.5</v>
      </c>
      <c r="M227" s="26">
        <v>2.44</v>
      </c>
      <c r="N227" s="29" t="s">
        <v>34</v>
      </c>
      <c r="O227" s="29" t="s">
        <v>37</v>
      </c>
      <c r="P227" s="27" t="e">
        <f t="shared" ca="1" si="1"/>
        <v>#NAME?</v>
      </c>
      <c r="Q227" s="28" t="e">
        <f ca="1"/>
        <v>#NAME?</v>
      </c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2.75">
      <c r="A228" s="29" t="s">
        <v>202</v>
      </c>
      <c r="B228" s="29" t="s">
        <v>431</v>
      </c>
      <c r="C228" s="30">
        <v>39</v>
      </c>
      <c r="D228" s="30">
        <v>176</v>
      </c>
      <c r="E228" s="30">
        <v>69</v>
      </c>
      <c r="F228" s="9" t="str">
        <v>22.3 (Normal)</v>
      </c>
      <c r="G228" s="9" t="str">
        <f t="shared" si="0"/>
        <v>Normal</v>
      </c>
      <c r="H228" s="24">
        <f ca="1">IFERROR(__xludf.DUMMYFUNCTION("""COMPUTED_VALUE"""),22.3)</f>
        <v>22.3</v>
      </c>
      <c r="I228" s="24">
        <v>21</v>
      </c>
      <c r="J228" s="10">
        <v>65.049599999999998</v>
      </c>
      <c r="K228" s="31" t="s">
        <v>42</v>
      </c>
      <c r="L228" s="24">
        <v>1600</v>
      </c>
      <c r="M228" s="26">
        <v>2.2799999999999998</v>
      </c>
      <c r="N228" s="29" t="s">
        <v>34</v>
      </c>
      <c r="O228" s="29" t="s">
        <v>37</v>
      </c>
      <c r="P228" s="27" t="e">
        <f t="shared" ca="1" si="1"/>
        <v>#NAME?</v>
      </c>
      <c r="Q228" s="28" t="e">
        <f ca="1"/>
        <v>#NAME?</v>
      </c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2.75">
      <c r="A229" s="29" t="s">
        <v>41</v>
      </c>
      <c r="B229" s="29" t="s">
        <v>431</v>
      </c>
      <c r="C229" s="30">
        <v>34</v>
      </c>
      <c r="D229" s="30">
        <v>159</v>
      </c>
      <c r="E229" s="30">
        <v>100</v>
      </c>
      <c r="F229" s="9" t="str">
        <v>39.6 (Obese)</v>
      </c>
      <c r="G229" s="9" t="str">
        <f t="shared" si="0"/>
        <v>Obese</v>
      </c>
      <c r="H229" s="24">
        <f ca="1">IFERROR(__xludf.DUMMYFUNCTION("""COMPUTED_VALUE"""),39.6)</f>
        <v>39.6</v>
      </c>
      <c r="I229" s="24">
        <v>21</v>
      </c>
      <c r="J229" s="10">
        <v>53.090100000000007</v>
      </c>
      <c r="K229" s="31" t="s">
        <v>28</v>
      </c>
      <c r="L229" s="24">
        <v>1828.75</v>
      </c>
      <c r="M229" s="26">
        <v>3.3</v>
      </c>
      <c r="N229" s="29" t="s">
        <v>16</v>
      </c>
      <c r="O229" s="29" t="s">
        <v>7</v>
      </c>
      <c r="P229" s="27" t="e">
        <f t="shared" ca="1" si="1"/>
        <v>#NAME?</v>
      </c>
      <c r="Q229" s="28" t="e">
        <f ca="1"/>
        <v>#NAME?</v>
      </c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2.75">
      <c r="A230" s="29" t="s">
        <v>203</v>
      </c>
      <c r="B230" s="29" t="s">
        <v>431</v>
      </c>
      <c r="C230" s="30">
        <v>37</v>
      </c>
      <c r="D230" s="30">
        <v>155</v>
      </c>
      <c r="E230" s="30">
        <v>102</v>
      </c>
      <c r="F230" s="9" t="str">
        <v>42.5 (Obese)</v>
      </c>
      <c r="G230" s="9" t="str">
        <f t="shared" si="0"/>
        <v>Obese</v>
      </c>
      <c r="H230" s="24">
        <f ca="1">IFERROR(__xludf.DUMMYFUNCTION("""COMPUTED_VALUE"""),42.5)</f>
        <v>42.5</v>
      </c>
      <c r="I230" s="24">
        <v>21</v>
      </c>
      <c r="J230" s="10">
        <v>50.452500000000008</v>
      </c>
      <c r="K230" s="31" t="s">
        <v>28</v>
      </c>
      <c r="L230" s="24">
        <v>1808.75</v>
      </c>
      <c r="M230" s="26">
        <v>3.37</v>
      </c>
      <c r="N230" s="29" t="s">
        <v>34</v>
      </c>
      <c r="O230" s="29" t="s">
        <v>60</v>
      </c>
      <c r="P230" s="27" t="e">
        <f t="shared" ca="1" si="1"/>
        <v>#NAME?</v>
      </c>
      <c r="Q230" s="28" t="e">
        <f ca="1"/>
        <v>#NAME?</v>
      </c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2.75">
      <c r="A231" s="29" t="s">
        <v>180</v>
      </c>
      <c r="B231" s="29" t="s">
        <v>431</v>
      </c>
      <c r="C231" s="30">
        <v>33</v>
      </c>
      <c r="D231" s="30">
        <v>169</v>
      </c>
      <c r="E231" s="30">
        <v>80</v>
      </c>
      <c r="F231" s="9" t="str">
        <v>28.0 (Obese)</v>
      </c>
      <c r="G231" s="9" t="str">
        <f t="shared" si="0"/>
        <v>Obese</v>
      </c>
      <c r="H231" s="24">
        <f ca="1">IFERROR(__xludf.DUMMYFUNCTION("""COMPUTED_VALUE"""),28)</f>
        <v>28</v>
      </c>
      <c r="I231" s="24">
        <v>21</v>
      </c>
      <c r="J231" s="10">
        <v>59.978099999999991</v>
      </c>
      <c r="K231" s="31" t="s">
        <v>28</v>
      </c>
      <c r="L231" s="24">
        <v>1696.25</v>
      </c>
      <c r="M231" s="26">
        <v>2.64</v>
      </c>
      <c r="N231" s="29" t="s">
        <v>34</v>
      </c>
      <c r="O231" s="29" t="s">
        <v>37</v>
      </c>
      <c r="P231" s="27" t="e">
        <f t="shared" ca="1" si="1"/>
        <v>#NAME?</v>
      </c>
      <c r="Q231" s="28" t="e">
        <f ca="1"/>
        <v>#NAME?</v>
      </c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2.75">
      <c r="A232" s="29" t="s">
        <v>164</v>
      </c>
      <c r="B232" s="29" t="s">
        <v>431</v>
      </c>
      <c r="C232" s="30">
        <v>39</v>
      </c>
      <c r="D232" s="30">
        <v>168</v>
      </c>
      <c r="E232" s="30">
        <v>103</v>
      </c>
      <c r="F232" s="9" t="str">
        <v>36.5 (Obese)</v>
      </c>
      <c r="G232" s="9" t="str">
        <f t="shared" si="0"/>
        <v>Obese</v>
      </c>
      <c r="H232" s="24">
        <f ca="1">IFERROR(__xludf.DUMMYFUNCTION("""COMPUTED_VALUE"""),36.5)</f>
        <v>36.5</v>
      </c>
      <c r="I232" s="24">
        <v>21</v>
      </c>
      <c r="J232" s="10">
        <v>59.270399999999988</v>
      </c>
      <c r="K232" s="31" t="s">
        <v>4</v>
      </c>
      <c r="L232" s="24">
        <v>1890</v>
      </c>
      <c r="M232" s="26">
        <v>3.4</v>
      </c>
      <c r="N232" s="29" t="s">
        <v>34</v>
      </c>
      <c r="O232" s="29" t="s">
        <v>30</v>
      </c>
      <c r="P232" s="27" t="e">
        <f t="shared" ca="1" si="1"/>
        <v>#NAME?</v>
      </c>
      <c r="Q232" s="28" t="e">
        <f ca="1"/>
        <v>#NAME?</v>
      </c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2.75">
      <c r="A233" s="29" t="s">
        <v>106</v>
      </c>
      <c r="B233" s="29" t="s">
        <v>431</v>
      </c>
      <c r="C233" s="30">
        <v>42</v>
      </c>
      <c r="D233" s="30">
        <v>166</v>
      </c>
      <c r="E233" s="30">
        <v>101</v>
      </c>
      <c r="F233" s="9" t="str">
        <v>36.7 (Obese)</v>
      </c>
      <c r="G233" s="9" t="str">
        <f t="shared" si="0"/>
        <v>Obese</v>
      </c>
      <c r="H233" s="24">
        <f ca="1">IFERROR(__xludf.DUMMYFUNCTION("""COMPUTED_VALUE"""),36.7)</f>
        <v>36.700000000000003</v>
      </c>
      <c r="I233" s="24">
        <v>21</v>
      </c>
      <c r="J233" s="10">
        <v>57.867599999999996</v>
      </c>
      <c r="K233" s="31" t="s">
        <v>4</v>
      </c>
      <c r="L233" s="24">
        <v>1842.5</v>
      </c>
      <c r="M233" s="26">
        <v>3.33</v>
      </c>
      <c r="N233" s="29" t="s">
        <v>34</v>
      </c>
      <c r="O233" s="29" t="s">
        <v>37</v>
      </c>
      <c r="P233" s="27" t="e">
        <f t="shared" ca="1" si="1"/>
        <v>#NAME?</v>
      </c>
      <c r="Q233" s="28" t="e">
        <f ca="1"/>
        <v>#NAME?</v>
      </c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2.75">
      <c r="A234" s="29" t="s">
        <v>27</v>
      </c>
      <c r="B234" s="29" t="s">
        <v>431</v>
      </c>
      <c r="C234" s="30">
        <v>30</v>
      </c>
      <c r="D234" s="30">
        <v>174</v>
      </c>
      <c r="E234" s="30">
        <v>107</v>
      </c>
      <c r="F234" s="9" t="str">
        <v>35.3 (Obese)</v>
      </c>
      <c r="G234" s="9" t="str">
        <f t="shared" si="0"/>
        <v>Obese</v>
      </c>
      <c r="H234" s="24">
        <f ca="1">IFERROR(__xludf.DUMMYFUNCTION("""COMPUTED_VALUE"""),35.3)</f>
        <v>35.299999999999997</v>
      </c>
      <c r="I234" s="24">
        <v>21</v>
      </c>
      <c r="J234" s="10">
        <v>63.579599999999999</v>
      </c>
      <c r="K234" s="31" t="s">
        <v>18</v>
      </c>
      <c r="L234" s="24">
        <v>2012.5</v>
      </c>
      <c r="M234" s="26">
        <v>3.53</v>
      </c>
      <c r="N234" s="29" t="s">
        <v>34</v>
      </c>
      <c r="O234" s="29" t="s">
        <v>7</v>
      </c>
      <c r="P234" s="27" t="e">
        <f t="shared" ca="1" si="1"/>
        <v>#NAME?</v>
      </c>
      <c r="Q234" s="28" t="e">
        <f ca="1"/>
        <v>#NAME?</v>
      </c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2.75">
      <c r="A235" s="29" t="s">
        <v>151</v>
      </c>
      <c r="B235" s="29" t="s">
        <v>431</v>
      </c>
      <c r="C235" s="30">
        <v>33</v>
      </c>
      <c r="D235" s="30">
        <v>162</v>
      </c>
      <c r="E235" s="30">
        <v>103</v>
      </c>
      <c r="F235" s="9" t="str">
        <v>39.2 (Obese)</v>
      </c>
      <c r="G235" s="9" t="str">
        <f t="shared" si="0"/>
        <v>Obese</v>
      </c>
      <c r="H235" s="24">
        <f ca="1">IFERROR(__xludf.DUMMYFUNCTION("""COMPUTED_VALUE"""),39.2)</f>
        <v>39.200000000000003</v>
      </c>
      <c r="I235" s="24">
        <v>21</v>
      </c>
      <c r="J235" s="10">
        <v>55.112400000000008</v>
      </c>
      <c r="K235" s="31" t="s">
        <v>18</v>
      </c>
      <c r="L235" s="24">
        <v>1882.5</v>
      </c>
      <c r="M235" s="26">
        <v>3.4</v>
      </c>
      <c r="N235" s="29" t="s">
        <v>34</v>
      </c>
      <c r="O235" s="29" t="s">
        <v>37</v>
      </c>
      <c r="P235" s="27" t="e">
        <f t="shared" ca="1" si="1"/>
        <v>#NAME?</v>
      </c>
      <c r="Q235" s="28" t="e">
        <f ca="1"/>
        <v>#NAME?</v>
      </c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2.75">
      <c r="A236" s="29" t="s">
        <v>86</v>
      </c>
      <c r="B236" s="29" t="s">
        <v>431</v>
      </c>
      <c r="C236" s="30">
        <v>32</v>
      </c>
      <c r="D236" s="30">
        <v>157</v>
      </c>
      <c r="E236" s="30">
        <v>92</v>
      </c>
      <c r="F236" s="9" t="str">
        <v>37.3 (Obese)</v>
      </c>
      <c r="G236" s="9" t="str">
        <f t="shared" si="0"/>
        <v>Obese</v>
      </c>
      <c r="H236" s="24">
        <f ca="1">IFERROR(__xludf.DUMMYFUNCTION("""COMPUTED_VALUE"""),37.3)</f>
        <v>37.299999999999997</v>
      </c>
      <c r="I236" s="24">
        <v>21</v>
      </c>
      <c r="J236" s="10">
        <v>51.762900000000002</v>
      </c>
      <c r="K236" s="31" t="s">
        <v>18</v>
      </c>
      <c r="L236" s="24">
        <v>1746.25</v>
      </c>
      <c r="M236" s="26">
        <v>3.04</v>
      </c>
      <c r="N236" s="29" t="s">
        <v>26</v>
      </c>
      <c r="O236" s="29" t="s">
        <v>60</v>
      </c>
      <c r="P236" s="27" t="e">
        <f t="shared" ca="1" si="1"/>
        <v>#NAME?</v>
      </c>
      <c r="Q236" s="28" t="e">
        <f ca="1"/>
        <v>#NAME?</v>
      </c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2.75">
      <c r="A237" s="29" t="s">
        <v>204</v>
      </c>
      <c r="B237" s="29" t="s">
        <v>431</v>
      </c>
      <c r="C237" s="30">
        <v>34</v>
      </c>
      <c r="D237" s="30">
        <v>176</v>
      </c>
      <c r="E237" s="30">
        <v>52</v>
      </c>
      <c r="F237" s="9" t="str">
        <v>16.8 (Underweight)</v>
      </c>
      <c r="G237" s="9" t="str">
        <f t="shared" si="0"/>
        <v>Underweight</v>
      </c>
      <c r="H237" s="24">
        <f ca="1">IFERROR(__xludf.DUMMYFUNCTION("""COMPUTED_VALUE"""),16.8)</f>
        <v>16.8</v>
      </c>
      <c r="I237" s="24">
        <v>21</v>
      </c>
      <c r="J237" s="10">
        <v>65.049599999999998</v>
      </c>
      <c r="K237" s="31" t="s">
        <v>4</v>
      </c>
      <c r="L237" s="24">
        <v>1455</v>
      </c>
      <c r="M237" s="26">
        <v>1.72</v>
      </c>
      <c r="N237" s="29" t="s">
        <v>34</v>
      </c>
      <c r="O237" s="29" t="s">
        <v>30</v>
      </c>
      <c r="P237" s="27" t="e">
        <f t="shared" ca="1" si="1"/>
        <v>#NAME?</v>
      </c>
      <c r="Q237" s="28" t="e">
        <f ca="1"/>
        <v>#NAME?</v>
      </c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2.75">
      <c r="A238" s="29" t="s">
        <v>171</v>
      </c>
      <c r="B238" s="29" t="s">
        <v>431</v>
      </c>
      <c r="C238" s="30">
        <v>24</v>
      </c>
      <c r="D238" s="30">
        <v>179</v>
      </c>
      <c r="E238" s="30">
        <v>71</v>
      </c>
      <c r="F238" s="9" t="str">
        <v>22.2 (Normal)</v>
      </c>
      <c r="G238" s="9" t="str">
        <f t="shared" si="0"/>
        <v>Normal</v>
      </c>
      <c r="H238" s="24">
        <f ca="1">IFERROR(__xludf.DUMMYFUNCTION("""COMPUTED_VALUE"""),22.2)</f>
        <v>22.2</v>
      </c>
      <c r="I238" s="24">
        <v>21</v>
      </c>
      <c r="J238" s="10">
        <v>67.286100000000005</v>
      </c>
      <c r="K238" s="31" t="s">
        <v>42</v>
      </c>
      <c r="L238" s="24">
        <v>1713.75</v>
      </c>
      <c r="M238" s="26">
        <v>2.34</v>
      </c>
      <c r="N238" s="29" t="s">
        <v>26</v>
      </c>
      <c r="O238" s="29" t="s">
        <v>30</v>
      </c>
      <c r="P238" s="27" t="e">
        <f t="shared" ca="1" si="1"/>
        <v>#NAME?</v>
      </c>
      <c r="Q238" s="28" t="e">
        <f ca="1"/>
        <v>#NAME?</v>
      </c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2.75">
      <c r="A239" s="29" t="s">
        <v>205</v>
      </c>
      <c r="B239" s="29" t="s">
        <v>431</v>
      </c>
      <c r="C239" s="30">
        <v>42</v>
      </c>
      <c r="D239" s="30">
        <v>163</v>
      </c>
      <c r="E239" s="30">
        <v>90</v>
      </c>
      <c r="F239" s="9" t="str">
        <v>33.9 (Obese)</v>
      </c>
      <c r="G239" s="9" t="str">
        <f t="shared" si="0"/>
        <v>Obese</v>
      </c>
      <c r="H239" s="24">
        <f ca="1">IFERROR(__xludf.DUMMYFUNCTION("""COMPUTED_VALUE"""),33.9)</f>
        <v>33.9</v>
      </c>
      <c r="I239" s="24">
        <v>21</v>
      </c>
      <c r="J239" s="10">
        <v>55.794899999999998</v>
      </c>
      <c r="K239" s="31" t="s">
        <v>28</v>
      </c>
      <c r="L239" s="24">
        <v>1713.75</v>
      </c>
      <c r="M239" s="26">
        <v>2.97</v>
      </c>
      <c r="N239" s="29" t="s">
        <v>26</v>
      </c>
      <c r="O239" s="29" t="s">
        <v>7</v>
      </c>
      <c r="P239" s="27" t="e">
        <f t="shared" ca="1" si="1"/>
        <v>#NAME?</v>
      </c>
      <c r="Q239" s="28" t="e">
        <f ca="1"/>
        <v>#NAME?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2.75">
      <c r="A240" s="29" t="s">
        <v>154</v>
      </c>
      <c r="B240" s="29" t="s">
        <v>431</v>
      </c>
      <c r="C240" s="30">
        <v>31</v>
      </c>
      <c r="D240" s="30">
        <v>172</v>
      </c>
      <c r="E240" s="30">
        <v>87</v>
      </c>
      <c r="F240" s="9" t="str">
        <v>29.4 (Obese)</v>
      </c>
      <c r="G240" s="9" t="str">
        <f t="shared" si="0"/>
        <v>Obese</v>
      </c>
      <c r="H240" s="24">
        <f ca="1">IFERROR(__xludf.DUMMYFUNCTION("""COMPUTED_VALUE"""),29.4)</f>
        <v>29.4</v>
      </c>
      <c r="I240" s="24">
        <v>21</v>
      </c>
      <c r="J240" s="10">
        <v>62.126399999999997</v>
      </c>
      <c r="K240" s="31" t="s">
        <v>28</v>
      </c>
      <c r="L240" s="24">
        <v>1795</v>
      </c>
      <c r="M240" s="26">
        <v>2.87</v>
      </c>
      <c r="N240" s="29" t="s">
        <v>26</v>
      </c>
      <c r="O240" s="29" t="s">
        <v>63</v>
      </c>
      <c r="P240" s="27" t="e">
        <f t="shared" ca="1" si="1"/>
        <v>#NAME?</v>
      </c>
      <c r="Q240" s="28" t="e">
        <f ca="1"/>
        <v>#NAME?</v>
      </c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2.75">
      <c r="A241" s="29" t="s">
        <v>195</v>
      </c>
      <c r="B241" s="29" t="s">
        <v>431</v>
      </c>
      <c r="C241" s="30">
        <v>47</v>
      </c>
      <c r="D241" s="30">
        <v>180</v>
      </c>
      <c r="E241" s="30">
        <v>60</v>
      </c>
      <c r="F241" s="9" t="str">
        <v>18.5 (Normal)</v>
      </c>
      <c r="G241" s="9" t="str">
        <f t="shared" si="0"/>
        <v>Normal</v>
      </c>
      <c r="H241" s="24">
        <f ca="1">IFERROR(__xludf.DUMMYFUNCTION("""COMPUTED_VALUE"""),18.5)</f>
        <v>18.5</v>
      </c>
      <c r="I241" s="24">
        <v>21</v>
      </c>
      <c r="J241" s="10">
        <v>68.040000000000006</v>
      </c>
      <c r="K241" s="31" t="s">
        <v>18</v>
      </c>
      <c r="L241" s="24">
        <v>1495</v>
      </c>
      <c r="M241" s="26">
        <v>1.98</v>
      </c>
      <c r="N241" s="29" t="s">
        <v>26</v>
      </c>
      <c r="O241" s="29" t="s">
        <v>30</v>
      </c>
      <c r="P241" s="27" t="e">
        <f t="shared" ca="1" si="1"/>
        <v>#NAME?</v>
      </c>
      <c r="Q241" s="28" t="e">
        <f ca="1"/>
        <v>#NAME?</v>
      </c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2.75">
      <c r="A242" s="29" t="s">
        <v>206</v>
      </c>
      <c r="B242" s="29" t="s">
        <v>431</v>
      </c>
      <c r="C242" s="30">
        <v>58</v>
      </c>
      <c r="D242" s="30">
        <v>160</v>
      </c>
      <c r="E242" s="30">
        <v>106</v>
      </c>
      <c r="F242" s="9" t="str">
        <v>41.4 (Obese)</v>
      </c>
      <c r="G242" s="9" t="str">
        <f t="shared" si="0"/>
        <v>Obese</v>
      </c>
      <c r="H242" s="24">
        <f ca="1">IFERROR(__xludf.DUMMYFUNCTION("""COMPUTED_VALUE"""),41.4)</f>
        <v>41.4</v>
      </c>
      <c r="I242" s="24">
        <v>21</v>
      </c>
      <c r="J242" s="10">
        <v>53.760000000000012</v>
      </c>
      <c r="K242" s="31" t="s">
        <v>28</v>
      </c>
      <c r="L242" s="24">
        <v>1775</v>
      </c>
      <c r="M242" s="26">
        <v>3.5</v>
      </c>
      <c r="N242" s="29" t="s">
        <v>34</v>
      </c>
      <c r="O242" s="29" t="s">
        <v>37</v>
      </c>
      <c r="P242" s="27" t="e">
        <f t="shared" ca="1" si="1"/>
        <v>#NAME?</v>
      </c>
      <c r="Q242" s="28" t="e">
        <f ca="1"/>
        <v>#NAME?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2.75">
      <c r="A243" s="29" t="s">
        <v>85</v>
      </c>
      <c r="B243" s="29" t="s">
        <v>431</v>
      </c>
      <c r="C243" s="30">
        <v>35</v>
      </c>
      <c r="D243" s="30">
        <v>181</v>
      </c>
      <c r="E243" s="30">
        <v>98</v>
      </c>
      <c r="F243" s="9" t="str">
        <v>29.9 (Obese)</v>
      </c>
      <c r="G243" s="9" t="str">
        <f t="shared" si="0"/>
        <v>Obese</v>
      </c>
      <c r="H243" s="24">
        <f ca="1">IFERROR(__xludf.DUMMYFUNCTION("""COMPUTED_VALUE"""),29.9)</f>
        <v>29.9</v>
      </c>
      <c r="I243" s="24">
        <v>21</v>
      </c>
      <c r="J243" s="10">
        <v>68.798100000000005</v>
      </c>
      <c r="K243" s="31" t="s">
        <v>18</v>
      </c>
      <c r="L243" s="24">
        <v>1941.25</v>
      </c>
      <c r="M243" s="26">
        <v>3.23</v>
      </c>
      <c r="N243" s="29" t="s">
        <v>34</v>
      </c>
      <c r="O243" s="29" t="s">
        <v>30</v>
      </c>
      <c r="P243" s="27" t="e">
        <f t="shared" ca="1" si="1"/>
        <v>#NAME?</v>
      </c>
      <c r="Q243" s="28" t="e">
        <f ca="1"/>
        <v>#NAME?</v>
      </c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2.75">
      <c r="A244" s="29" t="s">
        <v>195</v>
      </c>
      <c r="B244" s="29" t="s">
        <v>431</v>
      </c>
      <c r="C244" s="30">
        <v>25</v>
      </c>
      <c r="D244" s="30">
        <v>177</v>
      </c>
      <c r="E244" s="30">
        <v>58</v>
      </c>
      <c r="F244" s="9" t="str">
        <v>18.5 (Normal)</v>
      </c>
      <c r="G244" s="9" t="str">
        <f t="shared" si="0"/>
        <v>Normal</v>
      </c>
      <c r="H244" s="24">
        <f ca="1">IFERROR(__xludf.DUMMYFUNCTION("""COMPUTED_VALUE"""),18.5)</f>
        <v>18.5</v>
      </c>
      <c r="I244" s="24">
        <v>21</v>
      </c>
      <c r="J244" s="10">
        <v>65.790900000000008</v>
      </c>
      <c r="K244" s="31" t="s">
        <v>28</v>
      </c>
      <c r="L244" s="24">
        <v>1566.25</v>
      </c>
      <c r="M244" s="26">
        <v>1.91</v>
      </c>
      <c r="N244" s="29" t="s">
        <v>26</v>
      </c>
      <c r="O244" s="29" t="s">
        <v>7</v>
      </c>
      <c r="P244" s="27" t="e">
        <f t="shared" ca="1" si="1"/>
        <v>#NAME?</v>
      </c>
      <c r="Q244" s="28" t="e">
        <f ca="1"/>
        <v>#NAME?</v>
      </c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2.75">
      <c r="A245" s="29" t="s">
        <v>207</v>
      </c>
      <c r="B245" s="29" t="s">
        <v>431</v>
      </c>
      <c r="C245" s="30">
        <v>55</v>
      </c>
      <c r="D245" s="30">
        <v>186</v>
      </c>
      <c r="E245" s="30">
        <v>52</v>
      </c>
      <c r="F245" s="9" t="str">
        <v>15.0 (Underweight)</v>
      </c>
      <c r="G245" s="9" t="str">
        <f t="shared" si="0"/>
        <v>Underweight</v>
      </c>
      <c r="H245" s="24">
        <f ca="1">IFERROR(__xludf.DUMMYFUNCTION("""COMPUTED_VALUE"""),15)</f>
        <v>15</v>
      </c>
      <c r="I245" s="24">
        <v>21</v>
      </c>
      <c r="J245" s="10">
        <v>72.651600000000016</v>
      </c>
      <c r="K245" s="31" t="s">
        <v>18</v>
      </c>
      <c r="L245" s="24">
        <v>1412.5</v>
      </c>
      <c r="M245" s="26">
        <v>1.72</v>
      </c>
      <c r="N245" s="29" t="s">
        <v>26</v>
      </c>
      <c r="O245" s="29" t="s">
        <v>63</v>
      </c>
      <c r="P245" s="27" t="e">
        <f t="shared" ca="1" si="1"/>
        <v>#NAME?</v>
      </c>
      <c r="Q245" s="28" t="e">
        <f ca="1"/>
        <v>#NAME?</v>
      </c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2.75">
      <c r="A246" s="29" t="s">
        <v>208</v>
      </c>
      <c r="B246" s="29" t="s">
        <v>431</v>
      </c>
      <c r="C246" s="30">
        <v>59</v>
      </c>
      <c r="D246" s="30">
        <v>166</v>
      </c>
      <c r="E246" s="30">
        <v>67</v>
      </c>
      <c r="F246" s="9" t="str">
        <v>24.3 (Normal)</v>
      </c>
      <c r="G246" s="9" t="str">
        <f t="shared" si="0"/>
        <v>Normal</v>
      </c>
      <c r="H246" s="24">
        <f ca="1">IFERROR(__xludf.DUMMYFUNCTION("""COMPUTED_VALUE"""),24.3)</f>
        <v>24.3</v>
      </c>
      <c r="I246" s="24">
        <v>21</v>
      </c>
      <c r="J246" s="10">
        <v>57.867599999999996</v>
      </c>
      <c r="K246" s="31" t="s">
        <v>18</v>
      </c>
      <c r="L246" s="24">
        <v>1417.5</v>
      </c>
      <c r="M246" s="26">
        <v>2.21</v>
      </c>
      <c r="N246" s="29" t="s">
        <v>39</v>
      </c>
      <c r="O246" s="29" t="s">
        <v>60</v>
      </c>
      <c r="P246" s="27" t="e">
        <f t="shared" ca="1" si="1"/>
        <v>#NAME?</v>
      </c>
      <c r="Q246" s="28" t="e">
        <f ca="1"/>
        <v>#NAME?</v>
      </c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2.75">
      <c r="A247" s="29" t="s">
        <v>57</v>
      </c>
      <c r="B247" s="29" t="s">
        <v>431</v>
      </c>
      <c r="C247" s="30">
        <v>22</v>
      </c>
      <c r="D247" s="30">
        <v>174</v>
      </c>
      <c r="E247" s="30">
        <v>94</v>
      </c>
      <c r="F247" s="9" t="str">
        <v>31.0 (Obese)</v>
      </c>
      <c r="G247" s="9" t="str">
        <f t="shared" si="0"/>
        <v>Obese</v>
      </c>
      <c r="H247" s="24">
        <f ca="1">IFERROR(__xludf.DUMMYFUNCTION("""COMPUTED_VALUE"""),31)</f>
        <v>31</v>
      </c>
      <c r="I247" s="24">
        <v>21</v>
      </c>
      <c r="J247" s="10">
        <v>63.579599999999999</v>
      </c>
      <c r="K247" s="31" t="s">
        <v>18</v>
      </c>
      <c r="L247" s="24">
        <v>1922.5</v>
      </c>
      <c r="M247" s="26">
        <v>3.1</v>
      </c>
      <c r="N247" s="29" t="s">
        <v>39</v>
      </c>
      <c r="O247" s="29" t="s">
        <v>63</v>
      </c>
      <c r="P247" s="27" t="e">
        <f t="shared" ca="1" si="1"/>
        <v>#NAME?</v>
      </c>
      <c r="Q247" s="28" t="e">
        <f ca="1"/>
        <v>#NAME?</v>
      </c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2.75">
      <c r="A248" s="29" t="s">
        <v>161</v>
      </c>
      <c r="B248" s="29" t="s">
        <v>431</v>
      </c>
      <c r="C248" s="30">
        <v>31</v>
      </c>
      <c r="D248" s="30">
        <v>183</v>
      </c>
      <c r="E248" s="30">
        <v>107</v>
      </c>
      <c r="F248" s="9" t="str">
        <v>32.0 (Obese)</v>
      </c>
      <c r="G248" s="9" t="str">
        <f t="shared" si="0"/>
        <v>Obese</v>
      </c>
      <c r="H248" s="24">
        <f ca="1">IFERROR(__xludf.DUMMYFUNCTION("""COMPUTED_VALUE"""),32)</f>
        <v>32</v>
      </c>
      <c r="I248" s="24">
        <v>21</v>
      </c>
      <c r="J248" s="10">
        <v>70.326900000000009</v>
      </c>
      <c r="K248" s="31" t="s">
        <v>18</v>
      </c>
      <c r="L248" s="24">
        <v>2063.75</v>
      </c>
      <c r="M248" s="26">
        <v>3.53</v>
      </c>
      <c r="N248" s="29" t="s">
        <v>16</v>
      </c>
      <c r="O248" s="29" t="s">
        <v>37</v>
      </c>
      <c r="P248" s="27" t="e">
        <f t="shared" ca="1" si="1"/>
        <v>#NAME?</v>
      </c>
      <c r="Q248" s="28" t="e">
        <f ca="1"/>
        <v>#NAME?</v>
      </c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2.75">
      <c r="A249" s="29" t="s">
        <v>209</v>
      </c>
      <c r="B249" s="29" t="s">
        <v>431</v>
      </c>
      <c r="C249" s="30">
        <v>22</v>
      </c>
      <c r="D249" s="30">
        <v>169</v>
      </c>
      <c r="E249" s="30">
        <v>102</v>
      </c>
      <c r="F249" s="9" t="str">
        <v>35.7 (Obese)</v>
      </c>
      <c r="G249" s="9" t="str">
        <f t="shared" si="0"/>
        <v>Obese</v>
      </c>
      <c r="H249" s="24">
        <f ca="1">IFERROR(__xludf.DUMMYFUNCTION("""COMPUTED_VALUE"""),35.7)</f>
        <v>35.700000000000003</v>
      </c>
      <c r="I249" s="24">
        <v>21</v>
      </c>
      <c r="J249" s="10">
        <v>59.978099999999991</v>
      </c>
      <c r="K249" s="31" t="s">
        <v>18</v>
      </c>
      <c r="L249" s="24">
        <v>1971.25</v>
      </c>
      <c r="M249" s="26">
        <v>3.37</v>
      </c>
      <c r="N249" s="29" t="s">
        <v>16</v>
      </c>
      <c r="O249" s="29" t="s">
        <v>19</v>
      </c>
      <c r="P249" s="27" t="e">
        <f t="shared" ca="1" si="1"/>
        <v>#NAME?</v>
      </c>
      <c r="Q249" s="28" t="e">
        <f ca="1"/>
        <v>#NAME?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2.75">
      <c r="A250" s="29" t="s">
        <v>196</v>
      </c>
      <c r="B250" s="29" t="s">
        <v>431</v>
      </c>
      <c r="C250" s="30">
        <v>40</v>
      </c>
      <c r="D250" s="30">
        <v>168</v>
      </c>
      <c r="E250" s="30">
        <v>54</v>
      </c>
      <c r="F250" s="9" t="str">
        <v>19.1 (Normal)</v>
      </c>
      <c r="G250" s="9" t="str">
        <f t="shared" si="0"/>
        <v>Normal</v>
      </c>
      <c r="H250" s="24">
        <f ca="1">IFERROR(__xludf.DUMMYFUNCTION("""COMPUTED_VALUE"""),19.1)</f>
        <v>19.100000000000001</v>
      </c>
      <c r="I250" s="24">
        <v>21</v>
      </c>
      <c r="J250" s="10">
        <v>59.270399999999988</v>
      </c>
      <c r="K250" s="31" t="s">
        <v>18</v>
      </c>
      <c r="L250" s="24">
        <v>1395</v>
      </c>
      <c r="M250" s="26">
        <v>1.78</v>
      </c>
      <c r="N250" s="29" t="s">
        <v>39</v>
      </c>
      <c r="O250" s="29" t="s">
        <v>19</v>
      </c>
      <c r="P250" s="27" t="e">
        <f t="shared" ca="1" si="1"/>
        <v>#NAME?</v>
      </c>
      <c r="Q250" s="28" t="e">
        <f ca="1"/>
        <v>#NAME?</v>
      </c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2.75">
      <c r="A251" s="29" t="s">
        <v>187</v>
      </c>
      <c r="B251" s="29" t="s">
        <v>431</v>
      </c>
      <c r="C251" s="30">
        <v>45</v>
      </c>
      <c r="D251" s="30">
        <v>170</v>
      </c>
      <c r="E251" s="30">
        <v>65</v>
      </c>
      <c r="F251" s="9" t="str">
        <v>22.5 (Normal)</v>
      </c>
      <c r="G251" s="9" t="str">
        <f t="shared" si="0"/>
        <v>Normal</v>
      </c>
      <c r="H251" s="24">
        <f ca="1">IFERROR(__xludf.DUMMYFUNCTION("""COMPUTED_VALUE"""),22.5)</f>
        <v>22.5</v>
      </c>
      <c r="I251" s="24">
        <v>21</v>
      </c>
      <c r="J251" s="10">
        <v>60.689999999999991</v>
      </c>
      <c r="K251" s="31" t="s">
        <v>18</v>
      </c>
      <c r="L251" s="24">
        <v>1492.5</v>
      </c>
      <c r="M251" s="26">
        <v>2.15</v>
      </c>
      <c r="N251" s="29" t="s">
        <v>34</v>
      </c>
      <c r="O251" s="29" t="s">
        <v>30</v>
      </c>
      <c r="P251" s="27" t="e">
        <f t="shared" ca="1" si="1"/>
        <v>#NAME?</v>
      </c>
      <c r="Q251" s="28" t="e">
        <f ca="1"/>
        <v>#NAME?</v>
      </c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2.75">
      <c r="A252" s="29" t="s">
        <v>210</v>
      </c>
      <c r="B252" s="29" t="s">
        <v>431</v>
      </c>
      <c r="C252" s="30">
        <v>55</v>
      </c>
      <c r="D252" s="30">
        <v>182</v>
      </c>
      <c r="E252" s="30">
        <v>58</v>
      </c>
      <c r="F252" s="9" t="str">
        <v>17.5 (Underweight)</v>
      </c>
      <c r="G252" s="9" t="str">
        <f t="shared" si="0"/>
        <v>Underweight</v>
      </c>
      <c r="H252" s="24">
        <f ca="1">IFERROR(__xludf.DUMMYFUNCTION("""COMPUTED_VALUE"""),17.5)</f>
        <v>17.5</v>
      </c>
      <c r="I252" s="24">
        <v>21</v>
      </c>
      <c r="J252" s="10">
        <v>69.560400000000001</v>
      </c>
      <c r="K252" s="31" t="s">
        <v>18</v>
      </c>
      <c r="L252" s="24">
        <v>1447.5</v>
      </c>
      <c r="M252" s="26">
        <v>1.91</v>
      </c>
      <c r="N252" s="29" t="s">
        <v>16</v>
      </c>
      <c r="O252" s="29" t="s">
        <v>30</v>
      </c>
      <c r="P252" s="27" t="e">
        <f t="shared" ca="1" si="1"/>
        <v>#NAME?</v>
      </c>
      <c r="Q252" s="28" t="e">
        <f ca="1"/>
        <v>#NAME?</v>
      </c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2.75">
      <c r="A253" s="29" t="s">
        <v>196</v>
      </c>
      <c r="B253" s="29" t="s">
        <v>431</v>
      </c>
      <c r="C253" s="30">
        <v>45</v>
      </c>
      <c r="D253" s="30">
        <v>160</v>
      </c>
      <c r="E253" s="30">
        <v>71</v>
      </c>
      <c r="F253" s="9" t="str">
        <v>27.7 (Obese)</v>
      </c>
      <c r="G253" s="9" t="str">
        <f t="shared" si="0"/>
        <v>Obese</v>
      </c>
      <c r="H253" s="24">
        <f ca="1">IFERROR(__xludf.DUMMYFUNCTION("""COMPUTED_VALUE"""),27.7)</f>
        <v>27.7</v>
      </c>
      <c r="I253" s="24">
        <v>21</v>
      </c>
      <c r="J253" s="10">
        <v>53.760000000000012</v>
      </c>
      <c r="K253" s="31" t="s">
        <v>4</v>
      </c>
      <c r="L253" s="24">
        <v>1490</v>
      </c>
      <c r="M253" s="26">
        <v>2.34</v>
      </c>
      <c r="N253" s="29" t="s">
        <v>16</v>
      </c>
      <c r="O253" s="29" t="s">
        <v>19</v>
      </c>
      <c r="P253" s="27" t="e">
        <f t="shared" ca="1" si="1"/>
        <v>#NAME?</v>
      </c>
      <c r="Q253" s="28" t="e">
        <f ca="1"/>
        <v>#NAME?</v>
      </c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2.75">
      <c r="A254" s="29" t="s">
        <v>102</v>
      </c>
      <c r="B254" s="29" t="s">
        <v>431</v>
      </c>
      <c r="C254" s="30">
        <v>51</v>
      </c>
      <c r="D254" s="30">
        <v>166</v>
      </c>
      <c r="E254" s="30">
        <v>50</v>
      </c>
      <c r="F254" s="9" t="str">
        <v>18.1 (Underweight)</v>
      </c>
      <c r="G254" s="9" t="str">
        <f t="shared" si="0"/>
        <v>Underweight</v>
      </c>
      <c r="H254" s="24">
        <f ca="1">IFERROR(__xludf.DUMMYFUNCTION("""COMPUTED_VALUE"""),18.1)</f>
        <v>18.100000000000001</v>
      </c>
      <c r="I254" s="24">
        <v>21</v>
      </c>
      <c r="J254" s="10">
        <v>57.867599999999996</v>
      </c>
      <c r="K254" s="31" t="s">
        <v>42</v>
      </c>
      <c r="L254" s="24">
        <v>1287.5</v>
      </c>
      <c r="M254" s="26">
        <v>1.65</v>
      </c>
      <c r="N254" s="29" t="s">
        <v>26</v>
      </c>
      <c r="O254" s="29" t="s">
        <v>60</v>
      </c>
      <c r="P254" s="27" t="e">
        <f t="shared" ca="1" si="1"/>
        <v>#NAME?</v>
      </c>
      <c r="Q254" s="28" t="e">
        <f ca="1"/>
        <v>#NAME?</v>
      </c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2.75">
      <c r="A255" s="29" t="s">
        <v>211</v>
      </c>
      <c r="B255" s="29" t="s">
        <v>431</v>
      </c>
      <c r="C255" s="30">
        <v>51</v>
      </c>
      <c r="D255" s="30">
        <v>185</v>
      </c>
      <c r="E255" s="30">
        <v>69</v>
      </c>
      <c r="F255" s="9" t="str">
        <v>20.2 (Normal)</v>
      </c>
      <c r="G255" s="9" t="str">
        <f t="shared" si="0"/>
        <v>Normal</v>
      </c>
      <c r="H255" s="24">
        <f ca="1">IFERROR(__xludf.DUMMYFUNCTION("""COMPUTED_VALUE"""),20.2)</f>
        <v>20.2</v>
      </c>
      <c r="I255" s="24">
        <v>21</v>
      </c>
      <c r="J255" s="10">
        <v>71.872500000000002</v>
      </c>
      <c r="K255" s="31" t="s">
        <v>4</v>
      </c>
      <c r="L255" s="24">
        <v>1596.25</v>
      </c>
      <c r="M255" s="26">
        <v>2.2799999999999998</v>
      </c>
      <c r="N255" s="29" t="s">
        <v>34</v>
      </c>
      <c r="O255" s="29" t="s">
        <v>60</v>
      </c>
      <c r="P255" s="27" t="e">
        <f t="shared" ca="1" si="1"/>
        <v>#NAME?</v>
      </c>
      <c r="Q255" s="28" t="e">
        <f ca="1"/>
        <v>#NAME?</v>
      </c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2.75">
      <c r="A256" s="29" t="s">
        <v>188</v>
      </c>
      <c r="B256" s="29" t="s">
        <v>431</v>
      </c>
      <c r="C256" s="30">
        <v>34</v>
      </c>
      <c r="D256" s="30">
        <v>169</v>
      </c>
      <c r="E256" s="30">
        <v>51</v>
      </c>
      <c r="F256" s="9" t="str">
        <v>17.9 (Underweight)</v>
      </c>
      <c r="G256" s="9" t="str">
        <f t="shared" si="0"/>
        <v>Underweight</v>
      </c>
      <c r="H256" s="24">
        <f ca="1">IFERROR(__xludf.DUMMYFUNCTION("""COMPUTED_VALUE"""),17.9)</f>
        <v>17.899999999999999</v>
      </c>
      <c r="I256" s="24">
        <v>21</v>
      </c>
      <c r="J256" s="10">
        <v>59.978099999999991</v>
      </c>
      <c r="K256" s="31" t="s">
        <v>42</v>
      </c>
      <c r="L256" s="24">
        <v>1401.25</v>
      </c>
      <c r="M256" s="26">
        <v>1.68</v>
      </c>
      <c r="N256" s="29" t="s">
        <v>39</v>
      </c>
      <c r="O256" s="29" t="s">
        <v>60</v>
      </c>
      <c r="P256" s="27" t="e">
        <f t="shared" ca="1" si="1"/>
        <v>#NAME?</v>
      </c>
      <c r="Q256" s="28" t="e">
        <f ca="1"/>
        <v>#NAME?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2.75">
      <c r="A257" s="29" t="s">
        <v>212</v>
      </c>
      <c r="B257" s="29" t="s">
        <v>431</v>
      </c>
      <c r="C257" s="30">
        <v>23</v>
      </c>
      <c r="D257" s="30">
        <v>184</v>
      </c>
      <c r="E257" s="30">
        <v>65</v>
      </c>
      <c r="F257" s="9" t="str">
        <v>19.2 (Normal)</v>
      </c>
      <c r="G257" s="9" t="str">
        <f t="shared" si="0"/>
        <v>Normal</v>
      </c>
      <c r="H257" s="24">
        <f ca="1">IFERROR(__xludf.DUMMYFUNCTION("""COMPUTED_VALUE"""),19.2)</f>
        <v>19.2</v>
      </c>
      <c r="I257" s="24">
        <v>21</v>
      </c>
      <c r="J257" s="10">
        <v>71.0976</v>
      </c>
      <c r="K257" s="31" t="s">
        <v>42</v>
      </c>
      <c r="L257" s="24">
        <v>1690</v>
      </c>
      <c r="M257" s="26">
        <v>2.15</v>
      </c>
      <c r="N257" s="29" t="s">
        <v>39</v>
      </c>
      <c r="O257" s="29" t="s">
        <v>19</v>
      </c>
      <c r="P257" s="27" t="e">
        <f t="shared" ca="1" si="1"/>
        <v>#NAME?</v>
      </c>
      <c r="Q257" s="28" t="e">
        <f ca="1"/>
        <v>#NAME?</v>
      </c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2.75">
      <c r="A258" s="29" t="s">
        <v>83</v>
      </c>
      <c r="B258" s="29" t="s">
        <v>431</v>
      </c>
      <c r="C258" s="30">
        <v>58</v>
      </c>
      <c r="D258" s="30">
        <v>160</v>
      </c>
      <c r="E258" s="30">
        <v>102</v>
      </c>
      <c r="F258" s="9" t="str">
        <v>39.8 (Obese)</v>
      </c>
      <c r="G258" s="9" t="str">
        <f t="shared" ref="G258:G512" si="2">MID(F258, FIND("(", F258) + 1, FIND(")", F258) - FIND("(", F258) - 1)</f>
        <v>Obese</v>
      </c>
      <c r="H258" s="24">
        <f ca="1">IFERROR(__xludf.DUMMYFUNCTION("""COMPUTED_VALUE"""),39.8)</f>
        <v>39.799999999999997</v>
      </c>
      <c r="I258" s="24">
        <v>21</v>
      </c>
      <c r="J258" s="10">
        <v>53.760000000000012</v>
      </c>
      <c r="K258" s="31" t="s">
        <v>42</v>
      </c>
      <c r="L258" s="24">
        <v>1735</v>
      </c>
      <c r="M258" s="26">
        <v>3.37</v>
      </c>
      <c r="N258" s="29" t="s">
        <v>34</v>
      </c>
      <c r="O258" s="29" t="s">
        <v>30</v>
      </c>
      <c r="P258" s="27" t="e">
        <f t="shared" ref="P258:P512" ca="1" si="3">LET(
    activity, K257:K355,
    bmr, L257:L355,
    multiplier,
        IF(activity="Sedentary (little or no exercise)", 1.2,
        IF(activity="Lightly active (light exercise/sports 1-3 days/week)", 1.375,
        IF(activity="Moderately active (moderate exercise/sports 3-5 days/week)", 1.55,
        IF(activity="Very active (hard exercise/sports 6-7 days a week)", 1.725,
        IF(activity="Super active (very hard exercise/physical job)", 1.9, NA()))))),
    bmr * multiplier
)</f>
        <v>#NAME?</v>
      </c>
      <c r="Q258" s="28" t="e">
        <f ca="1"/>
        <v>#NAME?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2.75">
      <c r="A259" s="29" t="s">
        <v>213</v>
      </c>
      <c r="B259" s="29" t="s">
        <v>431</v>
      </c>
      <c r="C259" s="30">
        <v>58</v>
      </c>
      <c r="D259" s="30">
        <v>178</v>
      </c>
      <c r="E259" s="30">
        <v>61</v>
      </c>
      <c r="F259" s="9" t="str">
        <v>19.3 (Normal)</v>
      </c>
      <c r="G259" s="9" t="str">
        <f t="shared" si="2"/>
        <v>Normal</v>
      </c>
      <c r="H259" s="24">
        <f ca="1">IFERROR(__xludf.DUMMYFUNCTION("""COMPUTED_VALUE"""),19.3)</f>
        <v>19.3</v>
      </c>
      <c r="I259" s="24">
        <v>21</v>
      </c>
      <c r="J259" s="10">
        <v>66.5364</v>
      </c>
      <c r="K259" s="31" t="s">
        <v>4</v>
      </c>
      <c r="L259" s="24">
        <v>1437.5</v>
      </c>
      <c r="M259" s="26">
        <v>2.0099999999999998</v>
      </c>
      <c r="N259" s="29" t="s">
        <v>34</v>
      </c>
      <c r="O259" s="29" t="s">
        <v>37</v>
      </c>
      <c r="P259" s="27" t="e">
        <f t="shared" ca="1" si="3"/>
        <v>#NAME?</v>
      </c>
      <c r="Q259" s="28" t="e">
        <f ca="1"/>
        <v>#NAME?</v>
      </c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2.75">
      <c r="A260" s="29" t="s">
        <v>41</v>
      </c>
      <c r="B260" s="29" t="s">
        <v>431</v>
      </c>
      <c r="C260" s="30">
        <v>44</v>
      </c>
      <c r="D260" s="30">
        <v>179</v>
      </c>
      <c r="E260" s="30">
        <v>60</v>
      </c>
      <c r="F260" s="9" t="str">
        <v>18.7 (Normal)</v>
      </c>
      <c r="G260" s="9" t="str">
        <f t="shared" si="2"/>
        <v>Normal</v>
      </c>
      <c r="H260" s="24">
        <f ca="1">IFERROR(__xludf.DUMMYFUNCTION("""COMPUTED_VALUE"""),18.7)</f>
        <v>18.7</v>
      </c>
      <c r="I260" s="24">
        <v>21</v>
      </c>
      <c r="J260" s="10">
        <v>67.286100000000005</v>
      </c>
      <c r="K260" s="31" t="s">
        <v>18</v>
      </c>
      <c r="L260" s="24">
        <v>1503.75</v>
      </c>
      <c r="M260" s="26">
        <v>1.98</v>
      </c>
      <c r="N260" s="29" t="s">
        <v>16</v>
      </c>
      <c r="O260" s="29" t="s">
        <v>63</v>
      </c>
      <c r="P260" s="27" t="e">
        <f t="shared" ca="1" si="3"/>
        <v>#NAME?</v>
      </c>
      <c r="Q260" s="28" t="e">
        <f ca="1"/>
        <v>#NAME?</v>
      </c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2.75">
      <c r="A261" s="29" t="s">
        <v>113</v>
      </c>
      <c r="B261" s="29" t="s">
        <v>431</v>
      </c>
      <c r="C261" s="30">
        <v>25</v>
      </c>
      <c r="D261" s="30">
        <v>160</v>
      </c>
      <c r="E261" s="30">
        <v>87</v>
      </c>
      <c r="F261" s="9" t="str">
        <v>34.0 (Obese)</v>
      </c>
      <c r="G261" s="9" t="str">
        <f t="shared" si="2"/>
        <v>Obese</v>
      </c>
      <c r="H261" s="24">
        <f ca="1">IFERROR(__xludf.DUMMYFUNCTION("""COMPUTED_VALUE"""),34)</f>
        <v>34</v>
      </c>
      <c r="I261" s="24">
        <v>21</v>
      </c>
      <c r="J261" s="10">
        <v>53.760000000000012</v>
      </c>
      <c r="K261" s="31" t="s">
        <v>28</v>
      </c>
      <c r="L261" s="24">
        <v>1750</v>
      </c>
      <c r="M261" s="26">
        <v>2.87</v>
      </c>
      <c r="N261" s="29" t="s">
        <v>26</v>
      </c>
      <c r="O261" s="29" t="s">
        <v>63</v>
      </c>
      <c r="P261" s="27" t="e">
        <f t="shared" ca="1" si="3"/>
        <v>#NAME?</v>
      </c>
      <c r="Q261" s="28" t="e">
        <f ca="1"/>
        <v>#NAME?</v>
      </c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2.75">
      <c r="A262" s="29" t="s">
        <v>87</v>
      </c>
      <c r="B262" s="29" t="s">
        <v>431</v>
      </c>
      <c r="C262" s="30">
        <v>21</v>
      </c>
      <c r="D262" s="30">
        <v>177</v>
      </c>
      <c r="E262" s="30">
        <v>107</v>
      </c>
      <c r="F262" s="9" t="str">
        <v>34.2 (Obese)</v>
      </c>
      <c r="G262" s="9" t="str">
        <f t="shared" si="2"/>
        <v>Obese</v>
      </c>
      <c r="H262" s="24">
        <f ca="1">IFERROR(__xludf.DUMMYFUNCTION("""COMPUTED_VALUE"""),34.2)</f>
        <v>34.200000000000003</v>
      </c>
      <c r="I262" s="24">
        <v>21</v>
      </c>
      <c r="J262" s="10">
        <v>65.790900000000008</v>
      </c>
      <c r="K262" s="31" t="s">
        <v>42</v>
      </c>
      <c r="L262" s="24">
        <v>2076.25</v>
      </c>
      <c r="M262" s="26">
        <v>3.53</v>
      </c>
      <c r="N262" s="29" t="s">
        <v>39</v>
      </c>
      <c r="O262" s="29" t="s">
        <v>60</v>
      </c>
      <c r="P262" s="27" t="e">
        <f t="shared" ca="1" si="3"/>
        <v>#NAME?</v>
      </c>
      <c r="Q262" s="28" t="e">
        <f ca="1"/>
        <v>#NAME?</v>
      </c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2.75">
      <c r="A263" s="29" t="s">
        <v>111</v>
      </c>
      <c r="B263" s="29" t="s">
        <v>431</v>
      </c>
      <c r="C263" s="30">
        <v>51</v>
      </c>
      <c r="D263" s="30">
        <v>156</v>
      </c>
      <c r="E263" s="30">
        <v>50</v>
      </c>
      <c r="F263" s="9" t="str">
        <v>20.5 (Normal)</v>
      </c>
      <c r="G263" s="9" t="str">
        <f t="shared" si="2"/>
        <v>Normal</v>
      </c>
      <c r="H263" s="24">
        <f ca="1">IFERROR(__xludf.DUMMYFUNCTION("""COMPUTED_VALUE"""),20.5)</f>
        <v>20.5</v>
      </c>
      <c r="I263" s="24">
        <v>21</v>
      </c>
      <c r="J263" s="10">
        <v>51.105600000000003</v>
      </c>
      <c r="K263" s="31" t="s">
        <v>18</v>
      </c>
      <c r="L263" s="24">
        <v>1225</v>
      </c>
      <c r="M263" s="26">
        <v>1.65</v>
      </c>
      <c r="N263" s="29" t="s">
        <v>34</v>
      </c>
      <c r="O263" s="29" t="s">
        <v>60</v>
      </c>
      <c r="P263" s="27" t="e">
        <f t="shared" ca="1" si="3"/>
        <v>#NAME?</v>
      </c>
      <c r="Q263" s="28" t="e">
        <f ca="1"/>
        <v>#NAME?</v>
      </c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2.75">
      <c r="A264" s="29" t="s">
        <v>214</v>
      </c>
      <c r="B264" s="29" t="s">
        <v>431</v>
      </c>
      <c r="C264" s="30">
        <v>28</v>
      </c>
      <c r="D264" s="30">
        <v>160</v>
      </c>
      <c r="E264" s="30">
        <v>73</v>
      </c>
      <c r="F264" s="9" t="str">
        <v>28.5 (Obese)</v>
      </c>
      <c r="G264" s="9" t="str">
        <f t="shared" si="2"/>
        <v>Obese</v>
      </c>
      <c r="H264" s="24">
        <f ca="1">IFERROR(__xludf.DUMMYFUNCTION("""COMPUTED_VALUE"""),28.5)</f>
        <v>28.5</v>
      </c>
      <c r="I264" s="24">
        <v>21</v>
      </c>
      <c r="J264" s="10">
        <v>53.760000000000012</v>
      </c>
      <c r="K264" s="31" t="s">
        <v>18</v>
      </c>
      <c r="L264" s="24">
        <v>1595</v>
      </c>
      <c r="M264" s="26">
        <v>2.41</v>
      </c>
      <c r="N264" s="29" t="s">
        <v>39</v>
      </c>
      <c r="O264" s="29" t="s">
        <v>19</v>
      </c>
      <c r="P264" s="27" t="e">
        <f t="shared" ca="1" si="3"/>
        <v>#NAME?</v>
      </c>
      <c r="Q264" s="28" t="e">
        <f ca="1"/>
        <v>#NAME?</v>
      </c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2.75">
      <c r="A265" s="29" t="s">
        <v>215</v>
      </c>
      <c r="B265" s="29" t="s">
        <v>431</v>
      </c>
      <c r="C265" s="30">
        <v>39</v>
      </c>
      <c r="D265" s="30">
        <v>186</v>
      </c>
      <c r="E265" s="30">
        <v>84</v>
      </c>
      <c r="F265" s="9" t="str">
        <v>24.3 (Normal)</v>
      </c>
      <c r="G265" s="9" t="str">
        <f t="shared" si="2"/>
        <v>Normal</v>
      </c>
      <c r="H265" s="24">
        <f ca="1">IFERROR(__xludf.DUMMYFUNCTION("""COMPUTED_VALUE"""),24.3)</f>
        <v>24.3</v>
      </c>
      <c r="I265" s="24">
        <v>21</v>
      </c>
      <c r="J265" s="10">
        <v>72.651600000000016</v>
      </c>
      <c r="K265" s="31" t="s">
        <v>4</v>
      </c>
      <c r="L265" s="24">
        <v>1812.5</v>
      </c>
      <c r="M265" s="26">
        <v>2.77</v>
      </c>
      <c r="N265" s="29" t="s">
        <v>26</v>
      </c>
      <c r="O265" s="29" t="s">
        <v>63</v>
      </c>
      <c r="P265" s="27" t="e">
        <f t="shared" ca="1" si="3"/>
        <v>#NAME?</v>
      </c>
      <c r="Q265" s="28" t="e">
        <f ca="1"/>
        <v>#NAME?</v>
      </c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2.75">
      <c r="A266" s="29" t="s">
        <v>216</v>
      </c>
      <c r="B266" s="29" t="s">
        <v>431</v>
      </c>
      <c r="C266" s="30">
        <v>39</v>
      </c>
      <c r="D266" s="30">
        <v>167</v>
      </c>
      <c r="E266" s="30">
        <v>66</v>
      </c>
      <c r="F266" s="9" t="str">
        <v>23.7 (Normal)</v>
      </c>
      <c r="G266" s="9" t="str">
        <f t="shared" si="2"/>
        <v>Normal</v>
      </c>
      <c r="H266" s="24">
        <f ca="1">IFERROR(__xludf.DUMMYFUNCTION("""COMPUTED_VALUE"""),23.7)</f>
        <v>23.7</v>
      </c>
      <c r="I266" s="24">
        <v>21</v>
      </c>
      <c r="J266" s="10">
        <v>58.566899999999997</v>
      </c>
      <c r="K266" s="31" t="s">
        <v>28</v>
      </c>
      <c r="L266" s="24">
        <v>1513.75</v>
      </c>
      <c r="M266" s="26">
        <v>2.1800000000000002</v>
      </c>
      <c r="N266" s="29" t="s">
        <v>16</v>
      </c>
      <c r="O266" s="29" t="s">
        <v>19</v>
      </c>
      <c r="P266" s="27" t="e">
        <f t="shared" ca="1" si="3"/>
        <v>#NAME?</v>
      </c>
      <c r="Q266" s="28" t="e">
        <f ca="1"/>
        <v>#NAME?</v>
      </c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2.75">
      <c r="A267" s="29" t="s">
        <v>217</v>
      </c>
      <c r="B267" s="29" t="s">
        <v>431</v>
      </c>
      <c r="C267" s="30">
        <v>45</v>
      </c>
      <c r="D267" s="30">
        <v>172</v>
      </c>
      <c r="E267" s="30">
        <v>77</v>
      </c>
      <c r="F267" s="9" t="str">
        <v>26.0 (Overweight)</v>
      </c>
      <c r="G267" s="9" t="str">
        <f t="shared" si="2"/>
        <v>Overweight</v>
      </c>
      <c r="H267" s="24">
        <f ca="1">IFERROR(__xludf.DUMMYFUNCTION("""COMPUTED_VALUE"""),26)</f>
        <v>26</v>
      </c>
      <c r="I267" s="24">
        <v>21</v>
      </c>
      <c r="J267" s="10">
        <v>62.126399999999997</v>
      </c>
      <c r="K267" s="31" t="s">
        <v>28</v>
      </c>
      <c r="L267" s="24">
        <v>1625</v>
      </c>
      <c r="M267" s="26">
        <v>2.54</v>
      </c>
      <c r="N267" s="29" t="s">
        <v>34</v>
      </c>
      <c r="O267" s="29" t="s">
        <v>63</v>
      </c>
      <c r="P267" s="27" t="e">
        <f t="shared" ca="1" si="3"/>
        <v>#NAME?</v>
      </c>
      <c r="Q267" s="28" t="e">
        <f ca="1"/>
        <v>#NAME?</v>
      </c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2.75">
      <c r="A268" s="29" t="s">
        <v>41</v>
      </c>
      <c r="B268" s="29" t="s">
        <v>431</v>
      </c>
      <c r="C268" s="30">
        <v>51</v>
      </c>
      <c r="D268" s="30">
        <v>174</v>
      </c>
      <c r="E268" s="30">
        <v>101</v>
      </c>
      <c r="F268" s="9" t="str">
        <v>33.4 (Obese)</v>
      </c>
      <c r="G268" s="9" t="str">
        <f t="shared" si="2"/>
        <v>Obese</v>
      </c>
      <c r="H268" s="24">
        <f ca="1">IFERROR(__xludf.DUMMYFUNCTION("""COMPUTED_VALUE"""),33.4)</f>
        <v>33.4</v>
      </c>
      <c r="I268" s="24">
        <v>21</v>
      </c>
      <c r="J268" s="10">
        <v>63.579599999999999</v>
      </c>
      <c r="K268" s="31" t="s">
        <v>18</v>
      </c>
      <c r="L268" s="24">
        <v>1847.5</v>
      </c>
      <c r="M268" s="26">
        <v>3.33</v>
      </c>
      <c r="N268" s="29" t="s">
        <v>26</v>
      </c>
      <c r="O268" s="29" t="s">
        <v>63</v>
      </c>
      <c r="P268" s="27" t="e">
        <f t="shared" ca="1" si="3"/>
        <v>#NAME?</v>
      </c>
      <c r="Q268" s="28" t="e">
        <f ca="1"/>
        <v>#NAME?</v>
      </c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2.75">
      <c r="A269" s="29" t="s">
        <v>111</v>
      </c>
      <c r="B269" s="29" t="s">
        <v>431</v>
      </c>
      <c r="C269" s="30">
        <v>49</v>
      </c>
      <c r="D269" s="30">
        <v>169</v>
      </c>
      <c r="E269" s="30">
        <v>98</v>
      </c>
      <c r="F269" s="9" t="str">
        <v>34.3 (Obese)</v>
      </c>
      <c r="G269" s="9" t="str">
        <f t="shared" si="2"/>
        <v>Obese</v>
      </c>
      <c r="H269" s="24">
        <f ca="1">IFERROR(__xludf.DUMMYFUNCTION("""COMPUTED_VALUE"""),34.3)</f>
        <v>34.299999999999997</v>
      </c>
      <c r="I269" s="24">
        <v>21</v>
      </c>
      <c r="J269" s="10">
        <v>59.978099999999991</v>
      </c>
      <c r="K269" s="31" t="s">
        <v>42</v>
      </c>
      <c r="L269" s="24">
        <v>1796.25</v>
      </c>
      <c r="M269" s="26">
        <v>3.23</v>
      </c>
      <c r="N269" s="29" t="s">
        <v>16</v>
      </c>
      <c r="O269" s="29" t="s">
        <v>37</v>
      </c>
      <c r="P269" s="27" t="e">
        <f t="shared" ca="1" si="3"/>
        <v>#NAME?</v>
      </c>
      <c r="Q269" s="28" t="e">
        <f ca="1"/>
        <v>#NAME?</v>
      </c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2.75">
      <c r="A270" s="29" t="s">
        <v>163</v>
      </c>
      <c r="B270" s="29" t="s">
        <v>431</v>
      </c>
      <c r="C270" s="30">
        <v>40</v>
      </c>
      <c r="D270" s="30">
        <v>179</v>
      </c>
      <c r="E270" s="30">
        <v>54</v>
      </c>
      <c r="F270" s="9" t="str">
        <v>16.9 (Underweight)</v>
      </c>
      <c r="G270" s="9" t="str">
        <f t="shared" si="2"/>
        <v>Underweight</v>
      </c>
      <c r="H270" s="24">
        <f ca="1">IFERROR(__xludf.DUMMYFUNCTION("""COMPUTED_VALUE"""),16.9)</f>
        <v>16.899999999999999</v>
      </c>
      <c r="I270" s="24">
        <v>21</v>
      </c>
      <c r="J270" s="10">
        <v>67.286100000000005</v>
      </c>
      <c r="K270" s="31" t="s">
        <v>4</v>
      </c>
      <c r="L270" s="24">
        <v>1463.75</v>
      </c>
      <c r="M270" s="26">
        <v>1.78</v>
      </c>
      <c r="N270" s="29" t="s">
        <v>26</v>
      </c>
      <c r="O270" s="29" t="s">
        <v>7</v>
      </c>
      <c r="P270" s="27" t="e">
        <f t="shared" ca="1" si="3"/>
        <v>#NAME?</v>
      </c>
      <c r="Q270" s="28" t="e">
        <f ca="1"/>
        <v>#NAME?</v>
      </c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2.75">
      <c r="A271" s="29" t="s">
        <v>218</v>
      </c>
      <c r="B271" s="29" t="s">
        <v>431</v>
      </c>
      <c r="C271" s="30">
        <v>31</v>
      </c>
      <c r="D271" s="30">
        <v>167</v>
      </c>
      <c r="E271" s="30">
        <v>58</v>
      </c>
      <c r="F271" s="9" t="str">
        <v>20.8 (Normal)</v>
      </c>
      <c r="G271" s="9" t="str">
        <f t="shared" si="2"/>
        <v>Normal</v>
      </c>
      <c r="H271" s="24">
        <f ca="1">IFERROR(__xludf.DUMMYFUNCTION("""COMPUTED_VALUE"""),20.8)</f>
        <v>20.8</v>
      </c>
      <c r="I271" s="24">
        <v>21</v>
      </c>
      <c r="J271" s="10">
        <v>58.566899999999997</v>
      </c>
      <c r="K271" s="31" t="s">
        <v>18</v>
      </c>
      <c r="L271" s="24">
        <v>1473.75</v>
      </c>
      <c r="M271" s="26">
        <v>1.91</v>
      </c>
      <c r="N271" s="29" t="s">
        <v>39</v>
      </c>
      <c r="O271" s="29" t="s">
        <v>7</v>
      </c>
      <c r="P271" s="27" t="e">
        <f t="shared" ca="1" si="3"/>
        <v>#NAME?</v>
      </c>
      <c r="Q271" s="28" t="e">
        <f ca="1"/>
        <v>#NAME?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2.75">
      <c r="A272" s="29" t="s">
        <v>219</v>
      </c>
      <c r="B272" s="29" t="s">
        <v>431</v>
      </c>
      <c r="C272" s="30">
        <v>22</v>
      </c>
      <c r="D272" s="30">
        <v>157</v>
      </c>
      <c r="E272" s="30">
        <v>64</v>
      </c>
      <c r="F272" s="9" t="str">
        <v>26.0 (Overweight)</v>
      </c>
      <c r="G272" s="9" t="str">
        <f t="shared" si="2"/>
        <v>Overweight</v>
      </c>
      <c r="H272" s="24">
        <f ca="1">IFERROR(__xludf.DUMMYFUNCTION("""COMPUTED_VALUE"""),26)</f>
        <v>26</v>
      </c>
      <c r="I272" s="24">
        <v>21</v>
      </c>
      <c r="J272" s="10">
        <v>51.762900000000002</v>
      </c>
      <c r="K272" s="31" t="s">
        <v>4</v>
      </c>
      <c r="L272" s="24">
        <v>1516.25</v>
      </c>
      <c r="M272" s="26">
        <v>2.11</v>
      </c>
      <c r="N272" s="29" t="s">
        <v>34</v>
      </c>
      <c r="O272" s="29" t="s">
        <v>30</v>
      </c>
      <c r="P272" s="27" t="e">
        <f t="shared" ca="1" si="3"/>
        <v>#NAME?</v>
      </c>
      <c r="Q272" s="28" t="e">
        <f ca="1"/>
        <v>#NAME?</v>
      </c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2.75">
      <c r="A273" s="29" t="s">
        <v>43</v>
      </c>
      <c r="B273" s="29" t="s">
        <v>431</v>
      </c>
      <c r="C273" s="30">
        <v>42</v>
      </c>
      <c r="D273" s="30">
        <v>178</v>
      </c>
      <c r="E273" s="30">
        <v>88</v>
      </c>
      <c r="F273" s="9" t="str">
        <v>27.8 (Obese)</v>
      </c>
      <c r="G273" s="9" t="str">
        <f t="shared" si="2"/>
        <v>Obese</v>
      </c>
      <c r="H273" s="24">
        <f ca="1">IFERROR(__xludf.DUMMYFUNCTION("""COMPUTED_VALUE"""),27.8)</f>
        <v>27.8</v>
      </c>
      <c r="I273" s="24">
        <v>21</v>
      </c>
      <c r="J273" s="10">
        <v>66.5364</v>
      </c>
      <c r="K273" s="31" t="s">
        <v>42</v>
      </c>
      <c r="L273" s="24">
        <v>1787.5</v>
      </c>
      <c r="M273" s="26">
        <v>2.9</v>
      </c>
      <c r="N273" s="29" t="s">
        <v>34</v>
      </c>
      <c r="O273" s="29" t="s">
        <v>19</v>
      </c>
      <c r="P273" s="27" t="e">
        <f t="shared" ca="1" si="3"/>
        <v>#NAME?</v>
      </c>
      <c r="Q273" s="28" t="e">
        <f ca="1"/>
        <v>#NAME?</v>
      </c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2.75">
      <c r="A274" s="29" t="s">
        <v>220</v>
      </c>
      <c r="B274" s="29" t="s">
        <v>431</v>
      </c>
      <c r="C274" s="30">
        <v>39</v>
      </c>
      <c r="D274" s="30">
        <v>189</v>
      </c>
      <c r="E274" s="30">
        <v>92</v>
      </c>
      <c r="F274" s="9" t="str">
        <v>25.8 (Overweight)</v>
      </c>
      <c r="G274" s="9" t="str">
        <f t="shared" si="2"/>
        <v>Overweight</v>
      </c>
      <c r="H274" s="24">
        <f ca="1">IFERROR(__xludf.DUMMYFUNCTION("""COMPUTED_VALUE"""),25.8)</f>
        <v>25.8</v>
      </c>
      <c r="I274" s="24">
        <v>21</v>
      </c>
      <c r="J274" s="10">
        <v>75.014099999999999</v>
      </c>
      <c r="K274" s="31" t="s">
        <v>42</v>
      </c>
      <c r="L274" s="24">
        <v>1911.25</v>
      </c>
      <c r="M274" s="26">
        <v>3.04</v>
      </c>
      <c r="N274" s="29" t="s">
        <v>26</v>
      </c>
      <c r="O274" s="29" t="s">
        <v>37</v>
      </c>
      <c r="P274" s="27" t="e">
        <f t="shared" ca="1" si="3"/>
        <v>#NAME?</v>
      </c>
      <c r="Q274" s="28" t="e">
        <f ca="1"/>
        <v>#NAME?</v>
      </c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2.75">
      <c r="A275" s="29" t="s">
        <v>79</v>
      </c>
      <c r="B275" s="29" t="s">
        <v>431</v>
      </c>
      <c r="C275" s="30">
        <v>40</v>
      </c>
      <c r="D275" s="30">
        <v>164</v>
      </c>
      <c r="E275" s="30">
        <v>101</v>
      </c>
      <c r="F275" s="9" t="str">
        <v>37.6 (Obese)</v>
      </c>
      <c r="G275" s="9" t="str">
        <f t="shared" si="2"/>
        <v>Obese</v>
      </c>
      <c r="H275" s="24">
        <f ca="1">IFERROR(__xludf.DUMMYFUNCTION("""COMPUTED_VALUE"""),37.6)</f>
        <v>37.6</v>
      </c>
      <c r="I275" s="24">
        <v>21</v>
      </c>
      <c r="J275" s="10">
        <v>56.481599999999993</v>
      </c>
      <c r="K275" s="31" t="s">
        <v>4</v>
      </c>
      <c r="L275" s="24">
        <v>1840</v>
      </c>
      <c r="M275" s="26">
        <v>3.33</v>
      </c>
      <c r="N275" s="29" t="s">
        <v>39</v>
      </c>
      <c r="O275" s="29" t="s">
        <v>63</v>
      </c>
      <c r="P275" s="27" t="e">
        <f t="shared" ca="1" si="3"/>
        <v>#NAME?</v>
      </c>
      <c r="Q275" s="28" t="e">
        <f ca="1"/>
        <v>#NAME?</v>
      </c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2.75">
      <c r="A276" s="29" t="s">
        <v>221</v>
      </c>
      <c r="B276" s="29" t="s">
        <v>431</v>
      </c>
      <c r="C276" s="30">
        <v>29</v>
      </c>
      <c r="D276" s="30">
        <v>170</v>
      </c>
      <c r="E276" s="30">
        <v>78</v>
      </c>
      <c r="F276" s="9" t="str">
        <v>27.0 (Overweight)</v>
      </c>
      <c r="G276" s="9" t="str">
        <f t="shared" si="2"/>
        <v>Overweight</v>
      </c>
      <c r="H276" s="24">
        <f ca="1">IFERROR(__xludf.DUMMYFUNCTION("""COMPUTED_VALUE"""),27)</f>
        <v>27</v>
      </c>
      <c r="I276" s="24">
        <v>21</v>
      </c>
      <c r="J276" s="10">
        <v>60.689999999999991</v>
      </c>
      <c r="K276" s="31" t="s">
        <v>4</v>
      </c>
      <c r="L276" s="24">
        <v>1702.5</v>
      </c>
      <c r="M276" s="26">
        <v>2.57</v>
      </c>
      <c r="N276" s="29" t="s">
        <v>16</v>
      </c>
      <c r="O276" s="29" t="s">
        <v>7</v>
      </c>
      <c r="P276" s="27" t="e">
        <f t="shared" ca="1" si="3"/>
        <v>#NAME?</v>
      </c>
      <c r="Q276" s="28" t="e">
        <f ca="1"/>
        <v>#NAME?</v>
      </c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2.75">
      <c r="A277" s="29" t="s">
        <v>93</v>
      </c>
      <c r="B277" s="29" t="s">
        <v>431</v>
      </c>
      <c r="C277" s="30">
        <v>30</v>
      </c>
      <c r="D277" s="30">
        <v>164</v>
      </c>
      <c r="E277" s="30">
        <v>69</v>
      </c>
      <c r="F277" s="9" t="str">
        <v>25.7 (Overweight)</v>
      </c>
      <c r="G277" s="9" t="str">
        <f t="shared" si="2"/>
        <v>Overweight</v>
      </c>
      <c r="H277" s="24">
        <f ca="1">IFERROR(__xludf.DUMMYFUNCTION("""COMPUTED_VALUE"""),25.7)</f>
        <v>25.7</v>
      </c>
      <c r="I277" s="24">
        <v>21</v>
      </c>
      <c r="J277" s="10">
        <v>56.481599999999993</v>
      </c>
      <c r="K277" s="31" t="s">
        <v>28</v>
      </c>
      <c r="L277" s="24">
        <v>1570</v>
      </c>
      <c r="M277" s="26">
        <v>2.2799999999999998</v>
      </c>
      <c r="N277" s="29" t="s">
        <v>34</v>
      </c>
      <c r="O277" s="29" t="s">
        <v>30</v>
      </c>
      <c r="P277" s="27" t="e">
        <f t="shared" ca="1" si="3"/>
        <v>#NAME?</v>
      </c>
      <c r="Q277" s="28" t="e">
        <f ca="1"/>
        <v>#NAME?</v>
      </c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2.75">
      <c r="A278" s="32" t="s">
        <v>92</v>
      </c>
      <c r="B278" s="29" t="s">
        <v>431</v>
      </c>
      <c r="C278" s="33">
        <v>55</v>
      </c>
      <c r="D278" s="33">
        <v>167</v>
      </c>
      <c r="E278" s="33">
        <v>86</v>
      </c>
      <c r="F278" s="9" t="str">
        <v>30.8 (Obese)</v>
      </c>
      <c r="G278" s="9" t="str">
        <f t="shared" si="2"/>
        <v>Obese</v>
      </c>
      <c r="H278" s="24">
        <f ca="1">IFERROR(__xludf.DUMMYFUNCTION("""COMPUTED_VALUE"""),30.8)</f>
        <v>30.8</v>
      </c>
      <c r="I278" s="24">
        <v>21</v>
      </c>
      <c r="J278" s="10">
        <v>58.566899999999997</v>
      </c>
      <c r="K278" s="34" t="s">
        <v>42</v>
      </c>
      <c r="L278" s="24">
        <v>1633.75</v>
      </c>
      <c r="M278" s="26">
        <v>2.84</v>
      </c>
      <c r="N278" s="32" t="s">
        <v>26</v>
      </c>
      <c r="O278" s="32" t="s">
        <v>63</v>
      </c>
      <c r="P278" s="27" t="e">
        <f t="shared" ca="1" si="3"/>
        <v>#NAME?</v>
      </c>
      <c r="Q278" s="28" t="e">
        <f ca="1"/>
        <v>#NAME?</v>
      </c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2.75">
      <c r="A279" s="32" t="s">
        <v>87</v>
      </c>
      <c r="B279" s="29" t="s">
        <v>431</v>
      </c>
      <c r="C279" s="33">
        <v>59</v>
      </c>
      <c r="D279" s="33">
        <v>172</v>
      </c>
      <c r="E279" s="33">
        <v>73</v>
      </c>
      <c r="F279" s="9" t="str">
        <v>24.7 (Normal)</v>
      </c>
      <c r="G279" s="9" t="str">
        <f t="shared" si="2"/>
        <v>Normal</v>
      </c>
      <c r="H279" s="24">
        <f ca="1">IFERROR(__xludf.DUMMYFUNCTION("""COMPUTED_VALUE"""),24.7)</f>
        <v>24.7</v>
      </c>
      <c r="I279" s="24">
        <v>21</v>
      </c>
      <c r="J279" s="10">
        <v>62.126399999999997</v>
      </c>
      <c r="K279" s="34" t="s">
        <v>4</v>
      </c>
      <c r="L279" s="24">
        <v>1515</v>
      </c>
      <c r="M279" s="26">
        <v>2.41</v>
      </c>
      <c r="N279" s="32" t="s">
        <v>16</v>
      </c>
      <c r="O279" s="32" t="s">
        <v>37</v>
      </c>
      <c r="P279" s="27" t="e">
        <f t="shared" ca="1" si="3"/>
        <v>#NAME?</v>
      </c>
      <c r="Q279" s="28" t="e">
        <f ca="1"/>
        <v>#NAME?</v>
      </c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2.75">
      <c r="A280" s="32" t="s">
        <v>48</v>
      </c>
      <c r="B280" s="29" t="s">
        <v>431</v>
      </c>
      <c r="C280" s="33">
        <v>22</v>
      </c>
      <c r="D280" s="33">
        <v>175</v>
      </c>
      <c r="E280" s="33">
        <v>98</v>
      </c>
      <c r="F280" s="9" t="str">
        <v>32.0 (Obese)</v>
      </c>
      <c r="G280" s="9" t="str">
        <f t="shared" si="2"/>
        <v>Obese</v>
      </c>
      <c r="H280" s="24">
        <f ca="1">IFERROR(__xludf.DUMMYFUNCTION("""COMPUTED_VALUE"""),32)</f>
        <v>32</v>
      </c>
      <c r="I280" s="24">
        <v>21</v>
      </c>
      <c r="J280" s="10">
        <v>64.3125</v>
      </c>
      <c r="K280" s="34" t="s">
        <v>4</v>
      </c>
      <c r="L280" s="24">
        <v>1968.75</v>
      </c>
      <c r="M280" s="26">
        <v>3.23</v>
      </c>
      <c r="N280" s="32" t="s">
        <v>16</v>
      </c>
      <c r="O280" s="32" t="s">
        <v>30</v>
      </c>
      <c r="P280" s="27" t="e">
        <f t="shared" ca="1" si="3"/>
        <v>#NAME?</v>
      </c>
      <c r="Q280" s="28" t="e">
        <f ca="1"/>
        <v>#NAME?</v>
      </c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2.75">
      <c r="A281" s="32" t="s">
        <v>222</v>
      </c>
      <c r="B281" s="29" t="s">
        <v>431</v>
      </c>
      <c r="C281" s="33">
        <v>32</v>
      </c>
      <c r="D281" s="33">
        <v>174</v>
      </c>
      <c r="E281" s="33">
        <v>62</v>
      </c>
      <c r="F281" s="9" t="str">
        <v>20.5 (Normal)</v>
      </c>
      <c r="G281" s="9" t="str">
        <f t="shared" si="2"/>
        <v>Normal</v>
      </c>
      <c r="H281" s="24">
        <f ca="1">IFERROR(__xludf.DUMMYFUNCTION("""COMPUTED_VALUE"""),20.5)</f>
        <v>20.5</v>
      </c>
      <c r="I281" s="24">
        <v>21</v>
      </c>
      <c r="J281" s="10">
        <v>63.579599999999999</v>
      </c>
      <c r="K281" s="34" t="s">
        <v>42</v>
      </c>
      <c r="L281" s="24">
        <v>1552.5</v>
      </c>
      <c r="M281" s="26">
        <v>2.0499999999999998</v>
      </c>
      <c r="N281" s="32" t="s">
        <v>39</v>
      </c>
      <c r="O281" s="32" t="s">
        <v>7</v>
      </c>
      <c r="P281" s="27" t="e">
        <f t="shared" ca="1" si="3"/>
        <v>#NAME?</v>
      </c>
      <c r="Q281" s="28" t="e">
        <f ca="1"/>
        <v>#NAME?</v>
      </c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2.75">
      <c r="A282" s="32" t="s">
        <v>223</v>
      </c>
      <c r="B282" s="29" t="s">
        <v>431</v>
      </c>
      <c r="C282" s="33">
        <v>53</v>
      </c>
      <c r="D282" s="33">
        <v>178</v>
      </c>
      <c r="E282" s="33">
        <v>50</v>
      </c>
      <c r="F282" s="9" t="str">
        <v>15.8 (Underweight)</v>
      </c>
      <c r="G282" s="9" t="str">
        <f t="shared" si="2"/>
        <v>Underweight</v>
      </c>
      <c r="H282" s="24">
        <f ca="1">IFERROR(__xludf.DUMMYFUNCTION("""COMPUTED_VALUE"""),15.8)</f>
        <v>15.8</v>
      </c>
      <c r="I282" s="24">
        <v>21</v>
      </c>
      <c r="J282" s="10">
        <v>66.5364</v>
      </c>
      <c r="K282" s="34" t="s">
        <v>18</v>
      </c>
      <c r="L282" s="24">
        <v>1352.5</v>
      </c>
      <c r="M282" s="26">
        <v>1.65</v>
      </c>
      <c r="N282" s="32" t="s">
        <v>34</v>
      </c>
      <c r="O282" s="32" t="s">
        <v>60</v>
      </c>
      <c r="P282" s="27" t="e">
        <f t="shared" ca="1" si="3"/>
        <v>#NAME?</v>
      </c>
      <c r="Q282" s="28" t="e">
        <f ca="1"/>
        <v>#NAME?</v>
      </c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2.75">
      <c r="A283" s="32" t="s">
        <v>224</v>
      </c>
      <c r="B283" s="29" t="s">
        <v>431</v>
      </c>
      <c r="C283" s="33">
        <v>24</v>
      </c>
      <c r="D283" s="33">
        <v>159</v>
      </c>
      <c r="E283" s="33">
        <v>85</v>
      </c>
      <c r="F283" s="9" t="str">
        <v>33.6 (Obese)</v>
      </c>
      <c r="G283" s="9" t="str">
        <f t="shared" si="2"/>
        <v>Obese</v>
      </c>
      <c r="H283" s="24">
        <f ca="1">IFERROR(__xludf.DUMMYFUNCTION("""COMPUTED_VALUE"""),33.6)</f>
        <v>33.6</v>
      </c>
      <c r="I283" s="24">
        <v>21</v>
      </c>
      <c r="J283" s="10">
        <v>53.090100000000007</v>
      </c>
      <c r="K283" s="34" t="s">
        <v>28</v>
      </c>
      <c r="L283" s="24">
        <v>1728.75</v>
      </c>
      <c r="M283" s="26">
        <v>2.81</v>
      </c>
      <c r="N283" s="32" t="s">
        <v>39</v>
      </c>
      <c r="O283" s="32" t="s">
        <v>37</v>
      </c>
      <c r="P283" s="27" t="e">
        <f t="shared" ca="1" si="3"/>
        <v>#NAME?</v>
      </c>
      <c r="Q283" s="28" t="e">
        <f ca="1"/>
        <v>#NAME?</v>
      </c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2.75">
      <c r="A284" s="32" t="s">
        <v>170</v>
      </c>
      <c r="B284" s="29" t="s">
        <v>431</v>
      </c>
      <c r="C284" s="33">
        <v>21</v>
      </c>
      <c r="D284" s="33">
        <v>163</v>
      </c>
      <c r="E284" s="33">
        <v>57</v>
      </c>
      <c r="F284" s="9" t="str">
        <v>21.5 (Normal)</v>
      </c>
      <c r="G284" s="9" t="str">
        <f t="shared" si="2"/>
        <v>Normal</v>
      </c>
      <c r="H284" s="24">
        <f ca="1">IFERROR(__xludf.DUMMYFUNCTION("""COMPUTED_VALUE"""),21.5)</f>
        <v>21.5</v>
      </c>
      <c r="I284" s="24">
        <v>21</v>
      </c>
      <c r="J284" s="10">
        <v>55.794899999999998</v>
      </c>
      <c r="K284" s="34" t="s">
        <v>18</v>
      </c>
      <c r="L284" s="24">
        <v>1488.75</v>
      </c>
      <c r="M284" s="26">
        <v>1.88</v>
      </c>
      <c r="N284" s="32" t="s">
        <v>26</v>
      </c>
      <c r="O284" s="32" t="s">
        <v>37</v>
      </c>
      <c r="P284" s="27" t="e">
        <f t="shared" ca="1" si="3"/>
        <v>#NAME?</v>
      </c>
      <c r="Q284" s="28" t="e">
        <f ca="1"/>
        <v>#NAME?</v>
      </c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2.75">
      <c r="A285" s="32" t="s">
        <v>225</v>
      </c>
      <c r="B285" s="29" t="s">
        <v>431</v>
      </c>
      <c r="C285" s="33">
        <v>46</v>
      </c>
      <c r="D285" s="33">
        <v>172</v>
      </c>
      <c r="E285" s="33">
        <v>70</v>
      </c>
      <c r="F285" s="9" t="str">
        <v>23.7 (Normal)</v>
      </c>
      <c r="G285" s="9" t="str">
        <f t="shared" si="2"/>
        <v>Normal</v>
      </c>
      <c r="H285" s="24">
        <f ca="1">IFERROR(__xludf.DUMMYFUNCTION("""COMPUTED_VALUE"""),23.7)</f>
        <v>23.7</v>
      </c>
      <c r="I285" s="24">
        <v>21</v>
      </c>
      <c r="J285" s="10">
        <v>62.126399999999997</v>
      </c>
      <c r="K285" s="34" t="s">
        <v>28</v>
      </c>
      <c r="L285" s="24">
        <v>1550</v>
      </c>
      <c r="M285" s="26">
        <v>2.31</v>
      </c>
      <c r="N285" s="32" t="s">
        <v>39</v>
      </c>
      <c r="O285" s="32" t="s">
        <v>30</v>
      </c>
      <c r="P285" s="27" t="e">
        <f t="shared" ca="1" si="3"/>
        <v>#NAME?</v>
      </c>
      <c r="Q285" s="28" t="e">
        <f ca="1"/>
        <v>#NAME?</v>
      </c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2.75">
      <c r="A286" s="32" t="s">
        <v>175</v>
      </c>
      <c r="B286" s="29" t="s">
        <v>431</v>
      </c>
      <c r="C286" s="33">
        <v>31</v>
      </c>
      <c r="D286" s="33">
        <v>160</v>
      </c>
      <c r="E286" s="33">
        <v>82</v>
      </c>
      <c r="F286" s="9" t="str">
        <v>32.0 (Obese)</v>
      </c>
      <c r="G286" s="9" t="str">
        <f t="shared" si="2"/>
        <v>Obese</v>
      </c>
      <c r="H286" s="24">
        <f ca="1">IFERROR(__xludf.DUMMYFUNCTION("""COMPUTED_VALUE"""),32)</f>
        <v>32</v>
      </c>
      <c r="I286" s="24">
        <v>21</v>
      </c>
      <c r="J286" s="10">
        <v>53.760000000000012</v>
      </c>
      <c r="K286" s="34" t="s">
        <v>18</v>
      </c>
      <c r="L286" s="24">
        <v>1670</v>
      </c>
      <c r="M286" s="26">
        <v>2.71</v>
      </c>
      <c r="N286" s="32" t="s">
        <v>26</v>
      </c>
      <c r="O286" s="32" t="s">
        <v>60</v>
      </c>
      <c r="P286" s="27" t="e">
        <f t="shared" ca="1" si="3"/>
        <v>#NAME?</v>
      </c>
      <c r="Q286" s="28" t="e">
        <f ca="1"/>
        <v>#NAME?</v>
      </c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2.75">
      <c r="A287" s="32" t="s">
        <v>226</v>
      </c>
      <c r="B287" s="29" t="s">
        <v>431</v>
      </c>
      <c r="C287" s="33">
        <v>40</v>
      </c>
      <c r="D287" s="33">
        <v>177</v>
      </c>
      <c r="E287" s="33">
        <v>107</v>
      </c>
      <c r="F287" s="9" t="str">
        <v>34.2 (Obese)</v>
      </c>
      <c r="G287" s="9" t="str">
        <f t="shared" si="2"/>
        <v>Obese</v>
      </c>
      <c r="H287" s="24">
        <f ca="1">IFERROR(__xludf.DUMMYFUNCTION("""COMPUTED_VALUE"""),34.2)</f>
        <v>34.200000000000003</v>
      </c>
      <c r="I287" s="24">
        <v>21</v>
      </c>
      <c r="J287" s="10">
        <v>65.790900000000008</v>
      </c>
      <c r="K287" s="34" t="s">
        <v>28</v>
      </c>
      <c r="L287" s="24">
        <v>1981.25</v>
      </c>
      <c r="M287" s="26">
        <v>3.53</v>
      </c>
      <c r="N287" s="32" t="s">
        <v>39</v>
      </c>
      <c r="O287" s="32" t="s">
        <v>63</v>
      </c>
      <c r="P287" s="27" t="e">
        <f t="shared" ca="1" si="3"/>
        <v>#NAME?</v>
      </c>
      <c r="Q287" s="28" t="e">
        <f ca="1"/>
        <v>#NAME?</v>
      </c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2.75">
      <c r="A288" s="32" t="s">
        <v>102</v>
      </c>
      <c r="B288" s="29" t="s">
        <v>431</v>
      </c>
      <c r="C288" s="33">
        <v>46</v>
      </c>
      <c r="D288" s="33">
        <v>184</v>
      </c>
      <c r="E288" s="33">
        <v>109</v>
      </c>
      <c r="F288" s="9" t="str">
        <v>32.2 (Obese)</v>
      </c>
      <c r="G288" s="9" t="str">
        <f t="shared" si="2"/>
        <v>Obese</v>
      </c>
      <c r="H288" s="24">
        <f ca="1">IFERROR(__xludf.DUMMYFUNCTION("""COMPUTED_VALUE"""),32.2)</f>
        <v>32.200000000000003</v>
      </c>
      <c r="I288" s="24">
        <v>21</v>
      </c>
      <c r="J288" s="10">
        <v>71.0976</v>
      </c>
      <c r="K288" s="34" t="s">
        <v>4</v>
      </c>
      <c r="L288" s="24">
        <v>2015</v>
      </c>
      <c r="M288" s="26">
        <v>3.6</v>
      </c>
      <c r="N288" s="32" t="s">
        <v>34</v>
      </c>
      <c r="O288" s="32" t="s">
        <v>19</v>
      </c>
      <c r="P288" s="27" t="e">
        <f t="shared" ca="1" si="3"/>
        <v>#NAME?</v>
      </c>
      <c r="Q288" s="28" t="e">
        <f ca="1"/>
        <v>#NAME?</v>
      </c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2.75">
      <c r="A289" s="32" t="s">
        <v>227</v>
      </c>
      <c r="B289" s="29" t="s">
        <v>431</v>
      </c>
      <c r="C289" s="33">
        <v>52</v>
      </c>
      <c r="D289" s="33">
        <v>179</v>
      </c>
      <c r="E289" s="33">
        <v>100</v>
      </c>
      <c r="F289" s="9" t="str">
        <v>31.2 (Obese)</v>
      </c>
      <c r="G289" s="9" t="str">
        <f t="shared" si="2"/>
        <v>Obese</v>
      </c>
      <c r="H289" s="24">
        <f ca="1">IFERROR(__xludf.DUMMYFUNCTION("""COMPUTED_VALUE"""),31.2)</f>
        <v>31.2</v>
      </c>
      <c r="I289" s="24">
        <v>21</v>
      </c>
      <c r="J289" s="10">
        <v>67.286100000000005</v>
      </c>
      <c r="K289" s="34" t="s">
        <v>42</v>
      </c>
      <c r="L289" s="24">
        <v>1863.75</v>
      </c>
      <c r="M289" s="26">
        <v>3.3</v>
      </c>
      <c r="N289" s="32" t="s">
        <v>39</v>
      </c>
      <c r="O289" s="32" t="s">
        <v>7</v>
      </c>
      <c r="P289" s="27" t="e">
        <f t="shared" ca="1" si="3"/>
        <v>#NAME?</v>
      </c>
      <c r="Q289" s="28" t="e">
        <f ca="1"/>
        <v>#NAME?</v>
      </c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2.75">
      <c r="A290" s="32" t="s">
        <v>48</v>
      </c>
      <c r="B290" s="29" t="s">
        <v>431</v>
      </c>
      <c r="C290" s="33">
        <v>55</v>
      </c>
      <c r="D290" s="33">
        <v>188</v>
      </c>
      <c r="E290" s="33">
        <v>107</v>
      </c>
      <c r="F290" s="9" t="str">
        <v>30.3 (Obese)</v>
      </c>
      <c r="G290" s="9" t="str">
        <f t="shared" si="2"/>
        <v>Obese</v>
      </c>
      <c r="H290" s="24">
        <f ca="1">IFERROR(__xludf.DUMMYFUNCTION("""COMPUTED_VALUE"""),30.3)</f>
        <v>30.3</v>
      </c>
      <c r="I290" s="24">
        <v>21</v>
      </c>
      <c r="J290" s="10">
        <v>74.222399999999993</v>
      </c>
      <c r="K290" s="34" t="s">
        <v>28</v>
      </c>
      <c r="L290" s="24">
        <v>1975</v>
      </c>
      <c r="M290" s="26">
        <v>3.53</v>
      </c>
      <c r="N290" s="32" t="s">
        <v>34</v>
      </c>
      <c r="O290" s="32" t="s">
        <v>60</v>
      </c>
      <c r="P290" s="27" t="e">
        <f t="shared" ca="1" si="3"/>
        <v>#NAME?</v>
      </c>
      <c r="Q290" s="28" t="e">
        <f ca="1"/>
        <v>#NAME?</v>
      </c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2.75">
      <c r="A291" s="32" t="s">
        <v>156</v>
      </c>
      <c r="B291" s="29" t="s">
        <v>431</v>
      </c>
      <c r="C291" s="33">
        <v>41</v>
      </c>
      <c r="D291" s="33">
        <v>180</v>
      </c>
      <c r="E291" s="33">
        <v>91</v>
      </c>
      <c r="F291" s="9" t="str">
        <v>28.1 (Obese)</v>
      </c>
      <c r="G291" s="9" t="str">
        <f t="shared" si="2"/>
        <v>Obese</v>
      </c>
      <c r="H291" s="24">
        <f ca="1">IFERROR(__xludf.DUMMYFUNCTION("""COMPUTED_VALUE"""),28.1)</f>
        <v>28.1</v>
      </c>
      <c r="I291" s="24">
        <v>21</v>
      </c>
      <c r="J291" s="10">
        <v>68.040000000000006</v>
      </c>
      <c r="K291" s="34" t="s">
        <v>18</v>
      </c>
      <c r="L291" s="24">
        <v>1835</v>
      </c>
      <c r="M291" s="26">
        <v>3</v>
      </c>
      <c r="N291" s="32" t="s">
        <v>34</v>
      </c>
      <c r="O291" s="32" t="s">
        <v>30</v>
      </c>
      <c r="P291" s="27" t="e">
        <f t="shared" ca="1" si="3"/>
        <v>#NAME?</v>
      </c>
      <c r="Q291" s="28" t="e">
        <f ca="1"/>
        <v>#NAME?</v>
      </c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2.75">
      <c r="A292" s="32" t="s">
        <v>228</v>
      </c>
      <c r="B292" s="29" t="s">
        <v>431</v>
      </c>
      <c r="C292" s="33">
        <v>27</v>
      </c>
      <c r="D292" s="33">
        <v>187</v>
      </c>
      <c r="E292" s="33">
        <v>57</v>
      </c>
      <c r="F292" s="9" t="str">
        <v>16.3 (Underweight)</v>
      </c>
      <c r="G292" s="9" t="str">
        <f t="shared" si="2"/>
        <v>Underweight</v>
      </c>
      <c r="H292" s="24">
        <f ca="1">IFERROR(__xludf.DUMMYFUNCTION("""COMPUTED_VALUE"""),16.3)</f>
        <v>16.3</v>
      </c>
      <c r="I292" s="24">
        <v>21</v>
      </c>
      <c r="J292" s="10">
        <v>73.434900000000013</v>
      </c>
      <c r="K292" s="34" t="s">
        <v>4</v>
      </c>
      <c r="L292" s="24">
        <v>1608.75</v>
      </c>
      <c r="M292" s="26">
        <v>1.88</v>
      </c>
      <c r="N292" s="32" t="s">
        <v>39</v>
      </c>
      <c r="O292" s="32" t="s">
        <v>60</v>
      </c>
      <c r="P292" s="27" t="e">
        <f t="shared" ca="1" si="3"/>
        <v>#NAME?</v>
      </c>
      <c r="Q292" s="28" t="e">
        <f ca="1"/>
        <v>#NAME?</v>
      </c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2.75">
      <c r="A293" s="32" t="s">
        <v>92</v>
      </c>
      <c r="B293" s="29" t="s">
        <v>431</v>
      </c>
      <c r="C293" s="33">
        <v>47</v>
      </c>
      <c r="D293" s="33">
        <v>180</v>
      </c>
      <c r="E293" s="33">
        <v>109</v>
      </c>
      <c r="F293" s="9" t="str">
        <v>33.6 (Obese)</v>
      </c>
      <c r="G293" s="9" t="str">
        <f t="shared" si="2"/>
        <v>Obese</v>
      </c>
      <c r="H293" s="24">
        <f ca="1">IFERROR(__xludf.DUMMYFUNCTION("""COMPUTED_VALUE"""),33.6)</f>
        <v>33.6</v>
      </c>
      <c r="I293" s="24">
        <v>21</v>
      </c>
      <c r="J293" s="10">
        <v>68.040000000000006</v>
      </c>
      <c r="K293" s="34" t="s">
        <v>4</v>
      </c>
      <c r="L293" s="24">
        <v>1985</v>
      </c>
      <c r="M293" s="26">
        <v>3.6</v>
      </c>
      <c r="N293" s="32" t="s">
        <v>34</v>
      </c>
      <c r="O293" s="32" t="s">
        <v>30</v>
      </c>
      <c r="P293" s="27" t="e">
        <f t="shared" ca="1" si="3"/>
        <v>#NAME?</v>
      </c>
      <c r="Q293" s="28" t="e">
        <f ca="1"/>
        <v>#NAME?</v>
      </c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2.75">
      <c r="A294" s="32" t="s">
        <v>171</v>
      </c>
      <c r="B294" s="29" t="s">
        <v>431</v>
      </c>
      <c r="C294" s="33">
        <v>59</v>
      </c>
      <c r="D294" s="33">
        <v>162</v>
      </c>
      <c r="E294" s="33">
        <v>63</v>
      </c>
      <c r="F294" s="9" t="str">
        <v>24.0 (Normal)</v>
      </c>
      <c r="G294" s="9" t="str">
        <f t="shared" si="2"/>
        <v>Normal</v>
      </c>
      <c r="H294" s="24">
        <f ca="1">IFERROR(__xludf.DUMMYFUNCTION("""COMPUTED_VALUE"""),24)</f>
        <v>24</v>
      </c>
      <c r="I294" s="24">
        <v>21</v>
      </c>
      <c r="J294" s="10">
        <v>55.112400000000008</v>
      </c>
      <c r="K294" s="34" t="s">
        <v>18</v>
      </c>
      <c r="L294" s="24">
        <v>1352.5</v>
      </c>
      <c r="M294" s="26">
        <v>2.08</v>
      </c>
      <c r="N294" s="32" t="s">
        <v>39</v>
      </c>
      <c r="O294" s="32" t="s">
        <v>7</v>
      </c>
      <c r="P294" s="27" t="e">
        <f t="shared" ca="1" si="3"/>
        <v>#NAME?</v>
      </c>
      <c r="Q294" s="28" t="e">
        <f ca="1"/>
        <v>#NAME?</v>
      </c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2.75">
      <c r="A295" s="32" t="s">
        <v>229</v>
      </c>
      <c r="B295" s="29" t="s">
        <v>431</v>
      </c>
      <c r="C295" s="33">
        <v>22</v>
      </c>
      <c r="D295" s="33">
        <v>164</v>
      </c>
      <c r="E295" s="33">
        <v>63</v>
      </c>
      <c r="F295" s="9" t="str">
        <v>23.4 (Normal)</v>
      </c>
      <c r="G295" s="9" t="str">
        <f t="shared" si="2"/>
        <v>Normal</v>
      </c>
      <c r="H295" s="24">
        <f ca="1">IFERROR(__xludf.DUMMYFUNCTION("""COMPUTED_VALUE"""),23.4)</f>
        <v>23.4</v>
      </c>
      <c r="I295" s="24">
        <v>21</v>
      </c>
      <c r="J295" s="10">
        <v>56.481599999999993</v>
      </c>
      <c r="K295" s="34" t="s">
        <v>4</v>
      </c>
      <c r="L295" s="24">
        <v>1550</v>
      </c>
      <c r="M295" s="26">
        <v>2.08</v>
      </c>
      <c r="N295" s="32" t="s">
        <v>34</v>
      </c>
      <c r="O295" s="32" t="s">
        <v>30</v>
      </c>
      <c r="P295" s="27" t="e">
        <f t="shared" ca="1" si="3"/>
        <v>#NAME?</v>
      </c>
      <c r="Q295" s="28" t="e">
        <f ca="1"/>
        <v>#NAME?</v>
      </c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2.75">
      <c r="A296" s="32" t="s">
        <v>80</v>
      </c>
      <c r="B296" s="29" t="s">
        <v>431</v>
      </c>
      <c r="C296" s="33">
        <v>35</v>
      </c>
      <c r="D296" s="33">
        <v>178</v>
      </c>
      <c r="E296" s="33">
        <v>68</v>
      </c>
      <c r="F296" s="9" t="str">
        <v>21.5 (Normal)</v>
      </c>
      <c r="G296" s="9" t="str">
        <f t="shared" si="2"/>
        <v>Normal</v>
      </c>
      <c r="H296" s="24">
        <f ca="1">IFERROR(__xludf.DUMMYFUNCTION("""COMPUTED_VALUE"""),21.5)</f>
        <v>21.5</v>
      </c>
      <c r="I296" s="24">
        <v>21</v>
      </c>
      <c r="J296" s="10">
        <v>66.5364</v>
      </c>
      <c r="K296" s="34" t="s">
        <v>42</v>
      </c>
      <c r="L296" s="24">
        <v>1622.5</v>
      </c>
      <c r="M296" s="26">
        <v>2.2400000000000002</v>
      </c>
      <c r="N296" s="32" t="s">
        <v>39</v>
      </c>
      <c r="O296" s="32" t="s">
        <v>60</v>
      </c>
      <c r="P296" s="27" t="e">
        <f t="shared" ca="1" si="3"/>
        <v>#NAME?</v>
      </c>
      <c r="Q296" s="28" t="e">
        <f ca="1"/>
        <v>#NAME?</v>
      </c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2.75">
      <c r="A297" s="32" t="s">
        <v>111</v>
      </c>
      <c r="B297" s="29" t="s">
        <v>431</v>
      </c>
      <c r="C297" s="33">
        <v>30</v>
      </c>
      <c r="D297" s="33">
        <v>166</v>
      </c>
      <c r="E297" s="33">
        <v>92</v>
      </c>
      <c r="F297" s="9" t="str">
        <v>33.4 (Obese)</v>
      </c>
      <c r="G297" s="9" t="str">
        <f t="shared" si="2"/>
        <v>Obese</v>
      </c>
      <c r="H297" s="24">
        <f ca="1">IFERROR(__xludf.DUMMYFUNCTION("""COMPUTED_VALUE"""),33.4)</f>
        <v>33.4</v>
      </c>
      <c r="I297" s="24">
        <v>21</v>
      </c>
      <c r="J297" s="10">
        <v>57.867599999999996</v>
      </c>
      <c r="K297" s="34" t="s">
        <v>28</v>
      </c>
      <c r="L297" s="24">
        <v>1812.5</v>
      </c>
      <c r="M297" s="26">
        <v>3.04</v>
      </c>
      <c r="N297" s="32" t="s">
        <v>34</v>
      </c>
      <c r="O297" s="32" t="s">
        <v>30</v>
      </c>
      <c r="P297" s="27" t="e">
        <f t="shared" ca="1" si="3"/>
        <v>#NAME?</v>
      </c>
      <c r="Q297" s="28" t="e">
        <f ca="1"/>
        <v>#NAME?</v>
      </c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2.75">
      <c r="A298" s="32" t="s">
        <v>196</v>
      </c>
      <c r="B298" s="29" t="s">
        <v>431</v>
      </c>
      <c r="C298" s="33">
        <v>29</v>
      </c>
      <c r="D298" s="33">
        <v>161</v>
      </c>
      <c r="E298" s="33">
        <v>99</v>
      </c>
      <c r="F298" s="9" t="str">
        <v>38.2 (Obese)</v>
      </c>
      <c r="G298" s="9" t="str">
        <f t="shared" si="2"/>
        <v>Obese</v>
      </c>
      <c r="H298" s="24">
        <f ca="1">IFERROR(__xludf.DUMMYFUNCTION("""COMPUTED_VALUE"""),38.2)</f>
        <v>38.200000000000003</v>
      </c>
      <c r="I298" s="24">
        <v>21</v>
      </c>
      <c r="J298" s="10">
        <v>54.434100000000008</v>
      </c>
      <c r="K298" s="34" t="s">
        <v>4</v>
      </c>
      <c r="L298" s="24">
        <v>1856.25</v>
      </c>
      <c r="M298" s="26">
        <v>3.27</v>
      </c>
      <c r="N298" s="32" t="s">
        <v>39</v>
      </c>
      <c r="O298" s="32" t="s">
        <v>30</v>
      </c>
      <c r="P298" s="27" t="e">
        <f t="shared" ca="1" si="3"/>
        <v>#NAME?</v>
      </c>
      <c r="Q298" s="28" t="e">
        <f ca="1"/>
        <v>#NAME?</v>
      </c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2.75">
      <c r="A299" s="32" t="s">
        <v>178</v>
      </c>
      <c r="B299" s="29" t="s">
        <v>431</v>
      </c>
      <c r="C299" s="33">
        <v>42</v>
      </c>
      <c r="D299" s="33">
        <v>179</v>
      </c>
      <c r="E299" s="33">
        <v>83</v>
      </c>
      <c r="F299" s="9" t="str">
        <v>25.9 (Overweight)</v>
      </c>
      <c r="G299" s="9" t="str">
        <f t="shared" si="2"/>
        <v>Overweight</v>
      </c>
      <c r="H299" s="24">
        <f ca="1">IFERROR(__xludf.DUMMYFUNCTION("""COMPUTED_VALUE"""),25.9)</f>
        <v>25.9</v>
      </c>
      <c r="I299" s="24">
        <v>21</v>
      </c>
      <c r="J299" s="10">
        <v>67.286100000000005</v>
      </c>
      <c r="K299" s="34" t="s">
        <v>28</v>
      </c>
      <c r="L299" s="24">
        <v>1743.75</v>
      </c>
      <c r="M299" s="26">
        <v>2.74</v>
      </c>
      <c r="N299" s="32" t="s">
        <v>26</v>
      </c>
      <c r="O299" s="32" t="s">
        <v>30</v>
      </c>
      <c r="P299" s="27" t="e">
        <f t="shared" ca="1" si="3"/>
        <v>#NAME?</v>
      </c>
      <c r="Q299" s="28" t="e">
        <f ca="1"/>
        <v>#NAME?</v>
      </c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2.75">
      <c r="A300" s="32" t="s">
        <v>151</v>
      </c>
      <c r="B300" s="29" t="s">
        <v>431</v>
      </c>
      <c r="C300" s="33">
        <v>56</v>
      </c>
      <c r="D300" s="33">
        <v>174</v>
      </c>
      <c r="E300" s="33">
        <v>74</v>
      </c>
      <c r="F300" s="9" t="str">
        <v>24.4 (Normal)</v>
      </c>
      <c r="G300" s="9" t="str">
        <f t="shared" si="2"/>
        <v>Normal</v>
      </c>
      <c r="H300" s="24">
        <f ca="1">IFERROR(__xludf.DUMMYFUNCTION("""COMPUTED_VALUE"""),24.4)</f>
        <v>24.4</v>
      </c>
      <c r="I300" s="24">
        <v>21</v>
      </c>
      <c r="J300" s="10">
        <v>63.579599999999999</v>
      </c>
      <c r="K300" s="34" t="s">
        <v>18</v>
      </c>
      <c r="L300" s="24">
        <v>1552.5</v>
      </c>
      <c r="M300" s="26">
        <v>2.44</v>
      </c>
      <c r="N300" s="32" t="s">
        <v>39</v>
      </c>
      <c r="O300" s="32" t="s">
        <v>30</v>
      </c>
      <c r="P300" s="27" t="e">
        <f t="shared" ca="1" si="3"/>
        <v>#NAME?</v>
      </c>
      <c r="Q300" s="28" t="e">
        <f ca="1"/>
        <v>#NAME?</v>
      </c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2.75">
      <c r="A301" s="32" t="s">
        <v>41</v>
      </c>
      <c r="B301" s="29" t="s">
        <v>431</v>
      </c>
      <c r="C301" s="33">
        <v>20</v>
      </c>
      <c r="D301" s="33">
        <v>189</v>
      </c>
      <c r="E301" s="33">
        <v>106</v>
      </c>
      <c r="F301" s="9" t="str">
        <v>29.7 (Obese)</v>
      </c>
      <c r="G301" s="9" t="str">
        <f t="shared" si="2"/>
        <v>Obese</v>
      </c>
      <c r="H301" s="24">
        <f ca="1">IFERROR(__xludf.DUMMYFUNCTION("""COMPUTED_VALUE"""),29.7)</f>
        <v>29.7</v>
      </c>
      <c r="I301" s="24">
        <v>21</v>
      </c>
      <c r="J301" s="10">
        <v>75.014099999999999</v>
      </c>
      <c r="K301" s="34" t="s">
        <v>42</v>
      </c>
      <c r="L301" s="24">
        <v>2146.25</v>
      </c>
      <c r="M301" s="26">
        <v>3.5</v>
      </c>
      <c r="N301" s="32" t="s">
        <v>39</v>
      </c>
      <c r="O301" s="32" t="s">
        <v>60</v>
      </c>
      <c r="P301" s="27" t="e">
        <f t="shared" ca="1" si="3"/>
        <v>#NAME?</v>
      </c>
      <c r="Q301" s="28" t="e">
        <f ca="1"/>
        <v>#NAME?</v>
      </c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2.75">
      <c r="A302" s="32" t="s">
        <v>230</v>
      </c>
      <c r="B302" s="29" t="s">
        <v>431</v>
      </c>
      <c r="C302" s="33">
        <v>46</v>
      </c>
      <c r="D302" s="33">
        <v>186</v>
      </c>
      <c r="E302" s="33">
        <v>52</v>
      </c>
      <c r="F302" s="9" t="str">
        <v>15.0 (Underweight)</v>
      </c>
      <c r="G302" s="9" t="str">
        <f t="shared" si="2"/>
        <v>Underweight</v>
      </c>
      <c r="H302" s="24">
        <f ca="1">IFERROR(__xludf.DUMMYFUNCTION("""COMPUTED_VALUE"""),15)</f>
        <v>15</v>
      </c>
      <c r="I302" s="24">
        <v>21</v>
      </c>
      <c r="J302" s="10">
        <v>72.651600000000016</v>
      </c>
      <c r="K302" s="34" t="s">
        <v>42</v>
      </c>
      <c r="L302" s="24">
        <v>1457.5</v>
      </c>
      <c r="M302" s="26">
        <v>1.72</v>
      </c>
      <c r="N302" s="32" t="s">
        <v>26</v>
      </c>
      <c r="O302" s="32" t="s">
        <v>7</v>
      </c>
      <c r="P302" s="27" t="e">
        <f t="shared" ca="1" si="3"/>
        <v>#NAME?</v>
      </c>
      <c r="Q302" s="28" t="e">
        <f ca="1"/>
        <v>#NAME?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2.75">
      <c r="A303" s="32" t="s">
        <v>231</v>
      </c>
      <c r="B303" s="29" t="s">
        <v>431</v>
      </c>
      <c r="C303" s="33">
        <v>49</v>
      </c>
      <c r="D303" s="33">
        <v>157</v>
      </c>
      <c r="E303" s="33">
        <v>66</v>
      </c>
      <c r="F303" s="9" t="str">
        <v>26.8 (Overweight)</v>
      </c>
      <c r="G303" s="9" t="str">
        <f t="shared" si="2"/>
        <v>Overweight</v>
      </c>
      <c r="H303" s="24">
        <f ca="1">IFERROR(__xludf.DUMMYFUNCTION("""COMPUTED_VALUE"""),26.8)</f>
        <v>26.8</v>
      </c>
      <c r="I303" s="24">
        <v>21</v>
      </c>
      <c r="J303" s="10">
        <v>51.762900000000002</v>
      </c>
      <c r="K303" s="34" t="s">
        <v>18</v>
      </c>
      <c r="L303" s="24">
        <v>1401.25</v>
      </c>
      <c r="M303" s="26">
        <v>2.1800000000000002</v>
      </c>
      <c r="N303" s="32" t="s">
        <v>26</v>
      </c>
      <c r="O303" s="32" t="s">
        <v>60</v>
      </c>
      <c r="P303" s="27" t="e">
        <f t="shared" ca="1" si="3"/>
        <v>#NAME?</v>
      </c>
      <c r="Q303" s="28" t="e">
        <f ca="1"/>
        <v>#NAME?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2.75">
      <c r="A304" s="32" t="s">
        <v>232</v>
      </c>
      <c r="B304" s="29" t="s">
        <v>431</v>
      </c>
      <c r="C304" s="33">
        <v>20</v>
      </c>
      <c r="D304" s="33">
        <v>183</v>
      </c>
      <c r="E304" s="33">
        <v>98</v>
      </c>
      <c r="F304" s="9" t="str">
        <v>29.3 (Obese)</v>
      </c>
      <c r="G304" s="9" t="str">
        <f t="shared" si="2"/>
        <v>Obese</v>
      </c>
      <c r="H304" s="24">
        <f ca="1">IFERROR(__xludf.DUMMYFUNCTION("""COMPUTED_VALUE"""),29.3)</f>
        <v>29.3</v>
      </c>
      <c r="I304" s="24">
        <v>21</v>
      </c>
      <c r="J304" s="10">
        <v>70.326900000000009</v>
      </c>
      <c r="K304" s="34" t="s">
        <v>28</v>
      </c>
      <c r="L304" s="24">
        <v>2028.75</v>
      </c>
      <c r="M304" s="26">
        <v>3.23</v>
      </c>
      <c r="N304" s="32" t="s">
        <v>26</v>
      </c>
      <c r="O304" s="32" t="s">
        <v>63</v>
      </c>
      <c r="P304" s="27" t="e">
        <f t="shared" ca="1" si="3"/>
        <v>#NAME?</v>
      </c>
      <c r="Q304" s="28" t="e">
        <f ca="1"/>
        <v>#NAME?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2.75">
      <c r="A305" s="32" t="s">
        <v>57</v>
      </c>
      <c r="B305" s="29" t="s">
        <v>431</v>
      </c>
      <c r="C305" s="33">
        <v>40</v>
      </c>
      <c r="D305" s="33">
        <v>182</v>
      </c>
      <c r="E305" s="33">
        <v>93</v>
      </c>
      <c r="F305" s="9" t="str">
        <v>28.1 (Obese)</v>
      </c>
      <c r="G305" s="9" t="str">
        <f t="shared" si="2"/>
        <v>Obese</v>
      </c>
      <c r="H305" s="24">
        <f ca="1">IFERROR(__xludf.DUMMYFUNCTION("""COMPUTED_VALUE"""),28.1)</f>
        <v>28.1</v>
      </c>
      <c r="I305" s="24">
        <v>21</v>
      </c>
      <c r="J305" s="10">
        <v>69.560400000000001</v>
      </c>
      <c r="K305" s="34" t="s">
        <v>18</v>
      </c>
      <c r="L305" s="24">
        <v>1872.5</v>
      </c>
      <c r="M305" s="26">
        <v>3.07</v>
      </c>
      <c r="N305" s="32" t="s">
        <v>26</v>
      </c>
      <c r="O305" s="32" t="s">
        <v>7</v>
      </c>
      <c r="P305" s="27" t="e">
        <f t="shared" ca="1" si="3"/>
        <v>#NAME?</v>
      </c>
      <c r="Q305" s="28" t="e">
        <f ca="1"/>
        <v>#NAME?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2.75">
      <c r="A306" s="32" t="s">
        <v>233</v>
      </c>
      <c r="B306" s="29" t="s">
        <v>431</v>
      </c>
      <c r="C306" s="33">
        <v>20</v>
      </c>
      <c r="D306" s="33">
        <v>177</v>
      </c>
      <c r="E306" s="33">
        <v>77</v>
      </c>
      <c r="F306" s="9" t="str">
        <v>24.6 (Normal)</v>
      </c>
      <c r="G306" s="9" t="str">
        <f t="shared" si="2"/>
        <v>Normal</v>
      </c>
      <c r="H306" s="24">
        <f ca="1">IFERROR(__xludf.DUMMYFUNCTION("""COMPUTED_VALUE"""),24.6)</f>
        <v>24.6</v>
      </c>
      <c r="I306" s="24">
        <v>21</v>
      </c>
      <c r="J306" s="10">
        <v>65.790900000000008</v>
      </c>
      <c r="K306" s="34" t="s">
        <v>18</v>
      </c>
      <c r="L306" s="24">
        <v>1781.25</v>
      </c>
      <c r="M306" s="26">
        <v>2.54</v>
      </c>
      <c r="N306" s="32" t="s">
        <v>26</v>
      </c>
      <c r="O306" s="32" t="s">
        <v>30</v>
      </c>
      <c r="P306" s="27" t="e">
        <f t="shared" ca="1" si="3"/>
        <v>#NAME?</v>
      </c>
      <c r="Q306" s="28" t="e">
        <f ca="1"/>
        <v>#NAME?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2.75">
      <c r="A307" s="32" t="s">
        <v>155</v>
      </c>
      <c r="B307" s="29" t="s">
        <v>431</v>
      </c>
      <c r="C307" s="33">
        <v>20</v>
      </c>
      <c r="D307" s="33">
        <v>159</v>
      </c>
      <c r="E307" s="33">
        <v>106</v>
      </c>
      <c r="F307" s="9" t="str">
        <v>41.9 (Obese)</v>
      </c>
      <c r="G307" s="9" t="str">
        <f t="shared" si="2"/>
        <v>Obese</v>
      </c>
      <c r="H307" s="24">
        <f ca="1">IFERROR(__xludf.DUMMYFUNCTION("""COMPUTED_VALUE"""),41.9)</f>
        <v>41.9</v>
      </c>
      <c r="I307" s="24">
        <v>21</v>
      </c>
      <c r="J307" s="10">
        <v>53.090100000000007</v>
      </c>
      <c r="K307" s="34" t="s">
        <v>4</v>
      </c>
      <c r="L307" s="24">
        <v>1958.75</v>
      </c>
      <c r="M307" s="26">
        <v>3.5</v>
      </c>
      <c r="N307" s="32" t="s">
        <v>26</v>
      </c>
      <c r="O307" s="32" t="s">
        <v>19</v>
      </c>
      <c r="P307" s="27" t="e">
        <f t="shared" ca="1" si="3"/>
        <v>#NAME?</v>
      </c>
      <c r="Q307" s="28" t="e">
        <f ca="1"/>
        <v>#NAME?</v>
      </c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2.75">
      <c r="A308" s="32" t="s">
        <v>68</v>
      </c>
      <c r="B308" s="29" t="s">
        <v>431</v>
      </c>
      <c r="C308" s="33">
        <v>51</v>
      </c>
      <c r="D308" s="33">
        <v>175</v>
      </c>
      <c r="E308" s="33">
        <v>74</v>
      </c>
      <c r="F308" s="9" t="str">
        <v>24.2 (Normal)</v>
      </c>
      <c r="G308" s="9" t="str">
        <f t="shared" si="2"/>
        <v>Normal</v>
      </c>
      <c r="H308" s="24">
        <f ca="1">IFERROR(__xludf.DUMMYFUNCTION("""COMPUTED_VALUE"""),24.2)</f>
        <v>24.2</v>
      </c>
      <c r="I308" s="24">
        <v>21</v>
      </c>
      <c r="J308" s="10">
        <v>64.3125</v>
      </c>
      <c r="K308" s="34" t="s">
        <v>4</v>
      </c>
      <c r="L308" s="24">
        <v>1583.75</v>
      </c>
      <c r="M308" s="26">
        <v>2.44</v>
      </c>
      <c r="N308" s="32" t="s">
        <v>26</v>
      </c>
      <c r="O308" s="32" t="s">
        <v>63</v>
      </c>
      <c r="P308" s="27" t="e">
        <f t="shared" ca="1" si="3"/>
        <v>#NAME?</v>
      </c>
      <c r="Q308" s="28" t="e">
        <f ca="1"/>
        <v>#NAME?</v>
      </c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2.75">
      <c r="A309" s="32" t="s">
        <v>106</v>
      </c>
      <c r="B309" s="29" t="s">
        <v>431</v>
      </c>
      <c r="C309" s="33">
        <v>23</v>
      </c>
      <c r="D309" s="33">
        <v>160</v>
      </c>
      <c r="E309" s="33">
        <v>94</v>
      </c>
      <c r="F309" s="9" t="str">
        <v>36.7 (Obese)</v>
      </c>
      <c r="G309" s="9" t="str">
        <f t="shared" si="2"/>
        <v>Obese</v>
      </c>
      <c r="H309" s="24">
        <f ca="1">IFERROR(__xludf.DUMMYFUNCTION("""COMPUTED_VALUE"""),36.7)</f>
        <v>36.700000000000003</v>
      </c>
      <c r="I309" s="24">
        <v>21</v>
      </c>
      <c r="J309" s="10">
        <v>53.760000000000012</v>
      </c>
      <c r="K309" s="34" t="s">
        <v>42</v>
      </c>
      <c r="L309" s="24">
        <v>1830</v>
      </c>
      <c r="M309" s="26">
        <v>3.1</v>
      </c>
      <c r="N309" s="32" t="s">
        <v>39</v>
      </c>
      <c r="O309" s="32" t="s">
        <v>60</v>
      </c>
      <c r="P309" s="27" t="e">
        <f t="shared" ca="1" si="3"/>
        <v>#NAME?</v>
      </c>
      <c r="Q309" s="28" t="e">
        <f ca="1"/>
        <v>#NAME?</v>
      </c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2.75">
      <c r="A310" s="32" t="s">
        <v>234</v>
      </c>
      <c r="B310" s="29" t="s">
        <v>431</v>
      </c>
      <c r="C310" s="33">
        <v>55</v>
      </c>
      <c r="D310" s="33">
        <v>156</v>
      </c>
      <c r="E310" s="33">
        <v>94</v>
      </c>
      <c r="F310" s="9" t="str">
        <v>38.6 (Obese)</v>
      </c>
      <c r="G310" s="9" t="str">
        <f t="shared" si="2"/>
        <v>Obese</v>
      </c>
      <c r="H310" s="24">
        <f ca="1">IFERROR(__xludf.DUMMYFUNCTION("""COMPUTED_VALUE"""),38.6)</f>
        <v>38.6</v>
      </c>
      <c r="I310" s="24">
        <v>21</v>
      </c>
      <c r="J310" s="10">
        <v>51.105600000000003</v>
      </c>
      <c r="K310" s="34" t="s">
        <v>42</v>
      </c>
      <c r="L310" s="24">
        <v>1645</v>
      </c>
      <c r="M310" s="26">
        <v>3.1</v>
      </c>
      <c r="N310" s="32" t="s">
        <v>26</v>
      </c>
      <c r="O310" s="32" t="s">
        <v>60</v>
      </c>
      <c r="P310" s="27" t="e">
        <f t="shared" ca="1" si="3"/>
        <v>#NAME?</v>
      </c>
      <c r="Q310" s="28" t="e">
        <f ca="1"/>
        <v>#NAME?</v>
      </c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2.75">
      <c r="A311" s="32" t="s">
        <v>171</v>
      </c>
      <c r="B311" s="29" t="s">
        <v>431</v>
      </c>
      <c r="C311" s="33">
        <v>55</v>
      </c>
      <c r="D311" s="33">
        <v>160</v>
      </c>
      <c r="E311" s="33">
        <v>94</v>
      </c>
      <c r="F311" s="9" t="str">
        <v>36.7 (Obese)</v>
      </c>
      <c r="G311" s="9" t="str">
        <f t="shared" si="2"/>
        <v>Obese</v>
      </c>
      <c r="H311" s="24">
        <f ca="1">IFERROR(__xludf.DUMMYFUNCTION("""COMPUTED_VALUE"""),36.7)</f>
        <v>36.700000000000003</v>
      </c>
      <c r="I311" s="24">
        <v>21</v>
      </c>
      <c r="J311" s="10">
        <v>53.760000000000012</v>
      </c>
      <c r="K311" s="34" t="s">
        <v>42</v>
      </c>
      <c r="L311" s="24">
        <v>1670</v>
      </c>
      <c r="M311" s="26">
        <v>3.1</v>
      </c>
      <c r="N311" s="32" t="s">
        <v>34</v>
      </c>
      <c r="O311" s="32" t="s">
        <v>7</v>
      </c>
      <c r="P311" s="27" t="e">
        <f t="shared" ca="1" si="3"/>
        <v>#NAME?</v>
      </c>
      <c r="Q311" s="28" t="e">
        <f ca="1"/>
        <v>#NAME?</v>
      </c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2.75">
      <c r="A312" s="32" t="s">
        <v>95</v>
      </c>
      <c r="B312" s="29" t="s">
        <v>431</v>
      </c>
      <c r="C312" s="33">
        <v>34</v>
      </c>
      <c r="D312" s="33">
        <v>167</v>
      </c>
      <c r="E312" s="33">
        <v>72</v>
      </c>
      <c r="F312" s="9" t="str">
        <v>25.8 (Overweight)</v>
      </c>
      <c r="G312" s="9" t="str">
        <f t="shared" si="2"/>
        <v>Overweight</v>
      </c>
      <c r="H312" s="24">
        <f ca="1">IFERROR(__xludf.DUMMYFUNCTION("""COMPUTED_VALUE"""),25.8)</f>
        <v>25.8</v>
      </c>
      <c r="I312" s="24">
        <v>21</v>
      </c>
      <c r="J312" s="10">
        <v>58.566899999999997</v>
      </c>
      <c r="K312" s="34" t="s">
        <v>18</v>
      </c>
      <c r="L312" s="24">
        <v>1598.75</v>
      </c>
      <c r="M312" s="26">
        <v>2.38</v>
      </c>
      <c r="N312" s="32" t="s">
        <v>34</v>
      </c>
      <c r="O312" s="32" t="s">
        <v>63</v>
      </c>
      <c r="P312" s="27" t="e">
        <f t="shared" ca="1" si="3"/>
        <v>#NAME?</v>
      </c>
      <c r="Q312" s="28" t="e">
        <f ca="1"/>
        <v>#NAME?</v>
      </c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2.75">
      <c r="A313" s="32" t="s">
        <v>235</v>
      </c>
      <c r="B313" s="29" t="s">
        <v>431</v>
      </c>
      <c r="C313" s="33">
        <v>34</v>
      </c>
      <c r="D313" s="33">
        <v>171</v>
      </c>
      <c r="E313" s="33">
        <v>85</v>
      </c>
      <c r="F313" s="9" t="str">
        <v>29.1 (Obese)</v>
      </c>
      <c r="G313" s="9" t="str">
        <f t="shared" si="2"/>
        <v>Obese</v>
      </c>
      <c r="H313" s="24">
        <f ca="1">IFERROR(__xludf.DUMMYFUNCTION("""COMPUTED_VALUE"""),29.1)</f>
        <v>29.1</v>
      </c>
      <c r="I313" s="24">
        <v>21</v>
      </c>
      <c r="J313" s="10">
        <v>61.406099999999995</v>
      </c>
      <c r="K313" s="34" t="s">
        <v>42</v>
      </c>
      <c r="L313" s="24">
        <v>1753.75</v>
      </c>
      <c r="M313" s="26">
        <v>2.81</v>
      </c>
      <c r="N313" s="32" t="s">
        <v>26</v>
      </c>
      <c r="O313" s="32" t="s">
        <v>30</v>
      </c>
      <c r="P313" s="27" t="e">
        <f t="shared" ca="1" si="3"/>
        <v>#NAME?</v>
      </c>
      <c r="Q313" s="28" t="e">
        <f ca="1"/>
        <v>#NAME?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2.75">
      <c r="A314" s="32" t="s">
        <v>141</v>
      </c>
      <c r="B314" s="29" t="s">
        <v>431</v>
      </c>
      <c r="C314" s="33">
        <v>41</v>
      </c>
      <c r="D314" s="33">
        <v>161</v>
      </c>
      <c r="E314" s="33">
        <v>104</v>
      </c>
      <c r="F314" s="9" t="str">
        <v>40.1 (Obese)</v>
      </c>
      <c r="G314" s="9" t="str">
        <f t="shared" si="2"/>
        <v>Obese</v>
      </c>
      <c r="H314" s="24">
        <f ca="1">IFERROR(__xludf.DUMMYFUNCTION("""COMPUTED_VALUE"""),40.1)</f>
        <v>40.1</v>
      </c>
      <c r="I314" s="24">
        <v>21</v>
      </c>
      <c r="J314" s="10">
        <v>54.434100000000008</v>
      </c>
      <c r="K314" s="34" t="s">
        <v>28</v>
      </c>
      <c r="L314" s="24">
        <v>1846.25</v>
      </c>
      <c r="M314" s="26">
        <v>3.43</v>
      </c>
      <c r="N314" s="32" t="s">
        <v>34</v>
      </c>
      <c r="O314" s="32" t="s">
        <v>7</v>
      </c>
      <c r="P314" s="27" t="e">
        <f t="shared" ca="1" si="3"/>
        <v>#NAME?</v>
      </c>
      <c r="Q314" s="28" t="e">
        <f ca="1"/>
        <v>#NAME?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2.75">
      <c r="A315" s="32" t="s">
        <v>205</v>
      </c>
      <c r="B315" s="29" t="s">
        <v>431</v>
      </c>
      <c r="C315" s="33">
        <v>43</v>
      </c>
      <c r="D315" s="33">
        <v>179</v>
      </c>
      <c r="E315" s="33">
        <v>50</v>
      </c>
      <c r="F315" s="9" t="str">
        <v>15.6 (Underweight)</v>
      </c>
      <c r="G315" s="9" t="str">
        <f t="shared" si="2"/>
        <v>Underweight</v>
      </c>
      <c r="H315" s="24">
        <f ca="1">IFERROR(__xludf.DUMMYFUNCTION("""COMPUTED_VALUE"""),15.6)</f>
        <v>15.6</v>
      </c>
      <c r="I315" s="24">
        <v>21</v>
      </c>
      <c r="J315" s="10">
        <v>67.286100000000005</v>
      </c>
      <c r="K315" s="34" t="s">
        <v>42</v>
      </c>
      <c r="L315" s="24">
        <v>1408.75</v>
      </c>
      <c r="M315" s="26">
        <v>1.65</v>
      </c>
      <c r="N315" s="32" t="s">
        <v>26</v>
      </c>
      <c r="O315" s="32" t="s">
        <v>37</v>
      </c>
      <c r="P315" s="27" t="e">
        <f t="shared" ca="1" si="3"/>
        <v>#NAME?</v>
      </c>
      <c r="Q315" s="28" t="e">
        <f ca="1"/>
        <v>#NAME?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2.75">
      <c r="A316" s="32" t="s">
        <v>116</v>
      </c>
      <c r="B316" s="29" t="s">
        <v>431</v>
      </c>
      <c r="C316" s="33">
        <v>36</v>
      </c>
      <c r="D316" s="33">
        <v>171</v>
      </c>
      <c r="E316" s="33">
        <v>66</v>
      </c>
      <c r="F316" s="9" t="str">
        <v>22.6 (Normal)</v>
      </c>
      <c r="G316" s="9" t="str">
        <f t="shared" si="2"/>
        <v>Normal</v>
      </c>
      <c r="H316" s="24">
        <f ca="1">IFERROR(__xludf.DUMMYFUNCTION("""COMPUTED_VALUE"""),22.6)</f>
        <v>22.6</v>
      </c>
      <c r="I316" s="24">
        <v>21</v>
      </c>
      <c r="J316" s="10">
        <v>61.406099999999995</v>
      </c>
      <c r="K316" s="34" t="s">
        <v>28</v>
      </c>
      <c r="L316" s="24">
        <v>1553.75</v>
      </c>
      <c r="M316" s="26">
        <v>2.1800000000000002</v>
      </c>
      <c r="N316" s="32" t="s">
        <v>39</v>
      </c>
      <c r="O316" s="32" t="s">
        <v>30</v>
      </c>
      <c r="P316" s="27" t="e">
        <f t="shared" ca="1" si="3"/>
        <v>#NAME?</v>
      </c>
      <c r="Q316" s="28" t="e">
        <f ca="1"/>
        <v>#NAME?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2.75">
      <c r="A317" s="32" t="s">
        <v>203</v>
      </c>
      <c r="B317" s="29" t="s">
        <v>431</v>
      </c>
      <c r="C317" s="33">
        <v>56</v>
      </c>
      <c r="D317" s="33">
        <v>186</v>
      </c>
      <c r="E317" s="33">
        <v>63</v>
      </c>
      <c r="F317" s="9" t="str">
        <v>18.2 (Underweight)</v>
      </c>
      <c r="G317" s="9" t="str">
        <f t="shared" si="2"/>
        <v>Underweight</v>
      </c>
      <c r="H317" s="24">
        <f ca="1">IFERROR(__xludf.DUMMYFUNCTION("""COMPUTED_VALUE"""),18.2)</f>
        <v>18.2</v>
      </c>
      <c r="I317" s="24">
        <v>21</v>
      </c>
      <c r="J317" s="10">
        <v>72.651600000000016</v>
      </c>
      <c r="K317" s="34" t="s">
        <v>4</v>
      </c>
      <c r="L317" s="24">
        <v>1517.5</v>
      </c>
      <c r="M317" s="26">
        <v>2.08</v>
      </c>
      <c r="N317" s="32" t="s">
        <v>26</v>
      </c>
      <c r="O317" s="32" t="s">
        <v>60</v>
      </c>
      <c r="P317" s="27" t="e">
        <f t="shared" ca="1" si="3"/>
        <v>#NAME?</v>
      </c>
      <c r="Q317" s="28" t="e">
        <f ca="1"/>
        <v>#NAME?</v>
      </c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2.75">
      <c r="A318" s="32" t="s">
        <v>236</v>
      </c>
      <c r="B318" s="29" t="s">
        <v>431</v>
      </c>
      <c r="C318" s="33">
        <v>45</v>
      </c>
      <c r="D318" s="33">
        <v>181</v>
      </c>
      <c r="E318" s="33">
        <v>95</v>
      </c>
      <c r="F318" s="9" t="str">
        <v>29.0 (Obese)</v>
      </c>
      <c r="G318" s="9" t="str">
        <f t="shared" si="2"/>
        <v>Obese</v>
      </c>
      <c r="H318" s="24">
        <f ca="1">IFERROR(__xludf.DUMMYFUNCTION("""COMPUTED_VALUE"""),29)</f>
        <v>29</v>
      </c>
      <c r="I318" s="24">
        <v>21</v>
      </c>
      <c r="J318" s="10">
        <v>68.798100000000005</v>
      </c>
      <c r="K318" s="34" t="s">
        <v>4</v>
      </c>
      <c r="L318" s="24">
        <v>1861.25</v>
      </c>
      <c r="M318" s="26">
        <v>3.14</v>
      </c>
      <c r="N318" s="32" t="s">
        <v>16</v>
      </c>
      <c r="O318" s="32" t="s">
        <v>7</v>
      </c>
      <c r="P318" s="27" t="e">
        <f t="shared" ca="1" si="3"/>
        <v>#NAME?</v>
      </c>
      <c r="Q318" s="28" t="e">
        <f ca="1"/>
        <v>#NAME?</v>
      </c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2.75">
      <c r="A319" s="32" t="s">
        <v>237</v>
      </c>
      <c r="B319" s="29" t="s">
        <v>431</v>
      </c>
      <c r="C319" s="33">
        <v>38</v>
      </c>
      <c r="D319" s="33">
        <v>160</v>
      </c>
      <c r="E319" s="33">
        <v>94</v>
      </c>
      <c r="F319" s="9" t="str">
        <v>36.7 (Obese)</v>
      </c>
      <c r="G319" s="9" t="str">
        <f t="shared" si="2"/>
        <v>Obese</v>
      </c>
      <c r="H319" s="24">
        <f ca="1">IFERROR(__xludf.DUMMYFUNCTION("""COMPUTED_VALUE"""),36.7)</f>
        <v>36.700000000000003</v>
      </c>
      <c r="I319" s="24">
        <v>21</v>
      </c>
      <c r="J319" s="10">
        <v>53.760000000000012</v>
      </c>
      <c r="K319" s="34" t="s">
        <v>42</v>
      </c>
      <c r="L319" s="24">
        <v>1755</v>
      </c>
      <c r="M319" s="26">
        <v>3.1</v>
      </c>
      <c r="N319" s="32" t="s">
        <v>16</v>
      </c>
      <c r="O319" s="32" t="s">
        <v>30</v>
      </c>
      <c r="P319" s="27" t="e">
        <f t="shared" ca="1" si="3"/>
        <v>#NAME?</v>
      </c>
      <c r="Q319" s="28" t="e">
        <f ca="1"/>
        <v>#NAME?</v>
      </c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2.75">
      <c r="A320" s="32" t="s">
        <v>120</v>
      </c>
      <c r="B320" s="29" t="s">
        <v>431</v>
      </c>
      <c r="C320" s="33">
        <v>41</v>
      </c>
      <c r="D320" s="33">
        <v>166</v>
      </c>
      <c r="E320" s="33">
        <v>103</v>
      </c>
      <c r="F320" s="9" t="str">
        <v>37.4 (Obese)</v>
      </c>
      <c r="G320" s="9" t="str">
        <f t="shared" si="2"/>
        <v>Obese</v>
      </c>
      <c r="H320" s="24">
        <f ca="1">IFERROR(__xludf.DUMMYFUNCTION("""COMPUTED_VALUE"""),37.4)</f>
        <v>37.4</v>
      </c>
      <c r="I320" s="24">
        <v>21</v>
      </c>
      <c r="J320" s="10">
        <v>57.867599999999996</v>
      </c>
      <c r="K320" s="34" t="s">
        <v>4</v>
      </c>
      <c r="L320" s="24">
        <v>1867.5</v>
      </c>
      <c r="M320" s="26">
        <v>3.4</v>
      </c>
      <c r="N320" s="32" t="s">
        <v>16</v>
      </c>
      <c r="O320" s="32" t="s">
        <v>19</v>
      </c>
      <c r="P320" s="27" t="e">
        <f t="shared" ca="1" si="3"/>
        <v>#NAME?</v>
      </c>
      <c r="Q320" s="28" t="e">
        <f ca="1"/>
        <v>#NAME?</v>
      </c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2.75">
      <c r="A321" s="32" t="s">
        <v>238</v>
      </c>
      <c r="B321" s="29" t="s">
        <v>431</v>
      </c>
      <c r="C321" s="33">
        <v>40</v>
      </c>
      <c r="D321" s="33">
        <v>184</v>
      </c>
      <c r="E321" s="33">
        <v>61</v>
      </c>
      <c r="F321" s="9" t="str">
        <v>18.0 (Underweight)</v>
      </c>
      <c r="G321" s="9" t="str">
        <f t="shared" si="2"/>
        <v>Underweight</v>
      </c>
      <c r="H321" s="24">
        <f ca="1">IFERROR(__xludf.DUMMYFUNCTION("""COMPUTED_VALUE"""),18)</f>
        <v>18</v>
      </c>
      <c r="I321" s="24">
        <v>21</v>
      </c>
      <c r="J321" s="10">
        <v>71.0976</v>
      </c>
      <c r="K321" s="34" t="s">
        <v>42</v>
      </c>
      <c r="L321" s="24">
        <v>1565</v>
      </c>
      <c r="M321" s="26">
        <v>2.0099999999999998</v>
      </c>
      <c r="N321" s="32" t="s">
        <v>39</v>
      </c>
      <c r="O321" s="32" t="s">
        <v>63</v>
      </c>
      <c r="P321" s="27" t="e">
        <f t="shared" ca="1" si="3"/>
        <v>#NAME?</v>
      </c>
      <c r="Q321" s="28" t="e">
        <f ca="1"/>
        <v>#NAME?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2.75">
      <c r="A322" s="32" t="s">
        <v>239</v>
      </c>
      <c r="B322" s="29" t="s">
        <v>431</v>
      </c>
      <c r="C322" s="33">
        <v>20</v>
      </c>
      <c r="D322" s="33">
        <v>168</v>
      </c>
      <c r="E322" s="33">
        <v>64</v>
      </c>
      <c r="F322" s="9" t="str">
        <v>22.7 (Normal)</v>
      </c>
      <c r="G322" s="9" t="str">
        <f t="shared" si="2"/>
        <v>Normal</v>
      </c>
      <c r="H322" s="24">
        <f ca="1">IFERROR(__xludf.DUMMYFUNCTION("""COMPUTED_VALUE"""),22.7)</f>
        <v>22.7</v>
      </c>
      <c r="I322" s="24">
        <v>21</v>
      </c>
      <c r="J322" s="10">
        <v>59.270399999999988</v>
      </c>
      <c r="K322" s="34" t="s">
        <v>18</v>
      </c>
      <c r="L322" s="24">
        <v>1595</v>
      </c>
      <c r="M322" s="26">
        <v>2.11</v>
      </c>
      <c r="N322" s="32" t="s">
        <v>39</v>
      </c>
      <c r="O322" s="32" t="s">
        <v>30</v>
      </c>
      <c r="P322" s="27" t="e">
        <f t="shared" ca="1" si="3"/>
        <v>#NAME?</v>
      </c>
      <c r="Q322" s="28" t="e">
        <f ca="1"/>
        <v>#NAME?</v>
      </c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2.75">
      <c r="A323" s="32" t="s">
        <v>189</v>
      </c>
      <c r="B323" s="29" t="s">
        <v>431</v>
      </c>
      <c r="C323" s="33">
        <v>35</v>
      </c>
      <c r="D323" s="33">
        <v>170</v>
      </c>
      <c r="E323" s="33">
        <v>94</v>
      </c>
      <c r="F323" s="9" t="str">
        <v>32.5 (Obese)</v>
      </c>
      <c r="G323" s="9" t="str">
        <f t="shared" si="2"/>
        <v>Obese</v>
      </c>
      <c r="H323" s="24">
        <f ca="1">IFERROR(__xludf.DUMMYFUNCTION("""COMPUTED_VALUE"""),32.5)</f>
        <v>32.5</v>
      </c>
      <c r="I323" s="24">
        <v>21</v>
      </c>
      <c r="J323" s="10">
        <v>60.689999999999991</v>
      </c>
      <c r="K323" s="34" t="s">
        <v>42</v>
      </c>
      <c r="L323" s="24">
        <v>1832.5</v>
      </c>
      <c r="M323" s="26">
        <v>3.1</v>
      </c>
      <c r="N323" s="32" t="s">
        <v>26</v>
      </c>
      <c r="O323" s="32" t="s">
        <v>37</v>
      </c>
      <c r="P323" s="27" t="e">
        <f t="shared" ca="1" si="3"/>
        <v>#NAME?</v>
      </c>
      <c r="Q323" s="28" t="e">
        <f ca="1"/>
        <v>#NAME?</v>
      </c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2.75">
      <c r="A324" s="32" t="s">
        <v>114</v>
      </c>
      <c r="B324" s="29" t="s">
        <v>431</v>
      </c>
      <c r="C324" s="33">
        <v>30</v>
      </c>
      <c r="D324" s="33">
        <v>161</v>
      </c>
      <c r="E324" s="33">
        <v>105</v>
      </c>
      <c r="F324" s="9" t="str">
        <v>40.5 (Obese)</v>
      </c>
      <c r="G324" s="9" t="str">
        <f t="shared" si="2"/>
        <v>Obese</v>
      </c>
      <c r="H324" s="24">
        <f ca="1">IFERROR(__xludf.DUMMYFUNCTION("""COMPUTED_VALUE"""),40.5)</f>
        <v>40.5</v>
      </c>
      <c r="I324" s="24">
        <v>21</v>
      </c>
      <c r="J324" s="10">
        <v>54.434100000000008</v>
      </c>
      <c r="K324" s="34" t="s">
        <v>18</v>
      </c>
      <c r="L324" s="24">
        <v>1911.25</v>
      </c>
      <c r="M324" s="26">
        <v>3.47</v>
      </c>
      <c r="N324" s="32" t="s">
        <v>16</v>
      </c>
      <c r="O324" s="32" t="s">
        <v>7</v>
      </c>
      <c r="P324" s="27" t="e">
        <f t="shared" ca="1" si="3"/>
        <v>#NAME?</v>
      </c>
      <c r="Q324" s="28" t="e">
        <f ca="1"/>
        <v>#NAME?</v>
      </c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2.75">
      <c r="A325" s="32" t="s">
        <v>45</v>
      </c>
      <c r="B325" s="29" t="s">
        <v>431</v>
      </c>
      <c r="C325" s="33">
        <v>38</v>
      </c>
      <c r="D325" s="33">
        <v>172</v>
      </c>
      <c r="E325" s="33">
        <v>97</v>
      </c>
      <c r="F325" s="9" t="str">
        <v>32.8 (Obese)</v>
      </c>
      <c r="G325" s="9" t="str">
        <f t="shared" si="2"/>
        <v>Obese</v>
      </c>
      <c r="H325" s="24">
        <f ca="1">IFERROR(__xludf.DUMMYFUNCTION("""COMPUTED_VALUE"""),32.8)</f>
        <v>32.799999999999997</v>
      </c>
      <c r="I325" s="24">
        <v>21</v>
      </c>
      <c r="J325" s="10">
        <v>62.126399999999997</v>
      </c>
      <c r="K325" s="34" t="s">
        <v>28</v>
      </c>
      <c r="L325" s="24">
        <v>1860</v>
      </c>
      <c r="M325" s="26">
        <v>3.2</v>
      </c>
      <c r="N325" s="32" t="s">
        <v>34</v>
      </c>
      <c r="O325" s="32" t="s">
        <v>63</v>
      </c>
      <c r="P325" s="27" t="e">
        <f t="shared" ca="1" si="3"/>
        <v>#NAME?</v>
      </c>
      <c r="Q325" s="28" t="e">
        <f ca="1"/>
        <v>#NAME?</v>
      </c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2.75">
      <c r="A326" s="32" t="s">
        <v>240</v>
      </c>
      <c r="B326" s="29" t="s">
        <v>431</v>
      </c>
      <c r="C326" s="33">
        <v>24</v>
      </c>
      <c r="D326" s="33">
        <v>159</v>
      </c>
      <c r="E326" s="33">
        <v>106</v>
      </c>
      <c r="F326" s="9" t="str">
        <v>41.9 (Obese)</v>
      </c>
      <c r="G326" s="9" t="str">
        <f t="shared" si="2"/>
        <v>Obese</v>
      </c>
      <c r="H326" s="24">
        <f ca="1">IFERROR(__xludf.DUMMYFUNCTION("""COMPUTED_VALUE"""),41.9)</f>
        <v>41.9</v>
      </c>
      <c r="I326" s="24">
        <v>21</v>
      </c>
      <c r="J326" s="10">
        <v>53.090100000000007</v>
      </c>
      <c r="K326" s="34" t="s">
        <v>42</v>
      </c>
      <c r="L326" s="24">
        <v>1938.75</v>
      </c>
      <c r="M326" s="26">
        <v>3.5</v>
      </c>
      <c r="N326" s="32" t="s">
        <v>34</v>
      </c>
      <c r="O326" s="32" t="s">
        <v>37</v>
      </c>
      <c r="P326" s="27" t="e">
        <f t="shared" ca="1" si="3"/>
        <v>#NAME?</v>
      </c>
      <c r="Q326" s="28" t="e">
        <f ca="1"/>
        <v>#NAME?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2.75">
      <c r="A327" s="32" t="s">
        <v>102</v>
      </c>
      <c r="B327" s="29" t="s">
        <v>431</v>
      </c>
      <c r="C327" s="33">
        <v>28</v>
      </c>
      <c r="D327" s="33">
        <v>176</v>
      </c>
      <c r="E327" s="33">
        <v>54</v>
      </c>
      <c r="F327" s="9" t="str">
        <v>17.4 (Underweight)</v>
      </c>
      <c r="G327" s="9" t="str">
        <f t="shared" si="2"/>
        <v>Underweight</v>
      </c>
      <c r="H327" s="24">
        <f ca="1">IFERROR(__xludf.DUMMYFUNCTION("""COMPUTED_VALUE"""),17.4)</f>
        <v>17.399999999999999</v>
      </c>
      <c r="I327" s="24">
        <v>21</v>
      </c>
      <c r="J327" s="10">
        <v>65.049599999999998</v>
      </c>
      <c r="K327" s="34" t="s">
        <v>18</v>
      </c>
      <c r="L327" s="24">
        <v>1505</v>
      </c>
      <c r="M327" s="26">
        <v>1.78</v>
      </c>
      <c r="N327" s="32" t="s">
        <v>39</v>
      </c>
      <c r="O327" s="32" t="s">
        <v>30</v>
      </c>
      <c r="P327" s="27" t="e">
        <f t="shared" ca="1" si="3"/>
        <v>#NAME?</v>
      </c>
      <c r="Q327" s="28" t="e">
        <f ca="1"/>
        <v>#NAME?</v>
      </c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2.75">
      <c r="A328" s="32" t="s">
        <v>85</v>
      </c>
      <c r="B328" s="29" t="s">
        <v>431</v>
      </c>
      <c r="C328" s="33">
        <v>36</v>
      </c>
      <c r="D328" s="33">
        <v>165</v>
      </c>
      <c r="E328" s="33">
        <v>68</v>
      </c>
      <c r="F328" s="9" t="str">
        <v>25.0 (Overweight)</v>
      </c>
      <c r="G328" s="9" t="str">
        <f t="shared" si="2"/>
        <v>Overweight</v>
      </c>
      <c r="H328" s="24">
        <f ca="1">IFERROR(__xludf.DUMMYFUNCTION("""COMPUTED_VALUE"""),25)</f>
        <v>25</v>
      </c>
      <c r="I328" s="24">
        <v>21</v>
      </c>
      <c r="J328" s="10">
        <v>57.172499999999992</v>
      </c>
      <c r="K328" s="34" t="s">
        <v>42</v>
      </c>
      <c r="L328" s="24">
        <v>1536.25</v>
      </c>
      <c r="M328" s="26">
        <v>2.2400000000000002</v>
      </c>
      <c r="N328" s="32" t="s">
        <v>34</v>
      </c>
      <c r="O328" s="32" t="s">
        <v>30</v>
      </c>
      <c r="P328" s="27" t="e">
        <f t="shared" ca="1" si="3"/>
        <v>#NAME?</v>
      </c>
      <c r="Q328" s="28" t="e">
        <f ca="1"/>
        <v>#NAME?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2.75">
      <c r="A329" s="32" t="s">
        <v>241</v>
      </c>
      <c r="B329" s="29" t="s">
        <v>431</v>
      </c>
      <c r="C329" s="33">
        <v>50</v>
      </c>
      <c r="D329" s="33">
        <v>182</v>
      </c>
      <c r="E329" s="33">
        <v>102</v>
      </c>
      <c r="F329" s="9" t="str">
        <v>30.8 (Obese)</v>
      </c>
      <c r="G329" s="9" t="str">
        <f t="shared" si="2"/>
        <v>Obese</v>
      </c>
      <c r="H329" s="24">
        <f ca="1">IFERROR(__xludf.DUMMYFUNCTION("""COMPUTED_VALUE"""),30.8)</f>
        <v>30.8</v>
      </c>
      <c r="I329" s="24">
        <v>21</v>
      </c>
      <c r="J329" s="10">
        <v>69.560400000000001</v>
      </c>
      <c r="K329" s="34" t="s">
        <v>28</v>
      </c>
      <c r="L329" s="24">
        <v>1912.5</v>
      </c>
      <c r="M329" s="26">
        <v>3.37</v>
      </c>
      <c r="N329" s="32" t="s">
        <v>26</v>
      </c>
      <c r="O329" s="32" t="s">
        <v>37</v>
      </c>
      <c r="P329" s="27" t="e">
        <f t="shared" ca="1" si="3"/>
        <v>#NAME?</v>
      </c>
      <c r="Q329" s="28" t="e">
        <f ca="1"/>
        <v>#NAME?</v>
      </c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2.75">
      <c r="A330" s="32" t="s">
        <v>153</v>
      </c>
      <c r="B330" s="29" t="s">
        <v>431</v>
      </c>
      <c r="C330" s="33">
        <v>47</v>
      </c>
      <c r="D330" s="33">
        <v>166</v>
      </c>
      <c r="E330" s="33">
        <v>54</v>
      </c>
      <c r="F330" s="9" t="str">
        <v>19.6 (Normal)</v>
      </c>
      <c r="G330" s="9" t="str">
        <f t="shared" si="2"/>
        <v>Normal</v>
      </c>
      <c r="H330" s="24">
        <f ca="1">IFERROR(__xludf.DUMMYFUNCTION("""COMPUTED_VALUE"""),19.6)</f>
        <v>19.600000000000001</v>
      </c>
      <c r="I330" s="24">
        <v>21</v>
      </c>
      <c r="J330" s="10">
        <v>57.867599999999996</v>
      </c>
      <c r="K330" s="34" t="s">
        <v>18</v>
      </c>
      <c r="L330" s="24">
        <v>1347.5</v>
      </c>
      <c r="M330" s="26">
        <v>1.78</v>
      </c>
      <c r="N330" s="32" t="s">
        <v>26</v>
      </c>
      <c r="O330" s="32" t="s">
        <v>60</v>
      </c>
      <c r="P330" s="27" t="e">
        <f t="shared" ca="1" si="3"/>
        <v>#NAME?</v>
      </c>
      <c r="Q330" s="28" t="e">
        <f ca="1"/>
        <v>#NAME?</v>
      </c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2.75">
      <c r="A331" s="32" t="s">
        <v>111</v>
      </c>
      <c r="B331" s="29" t="s">
        <v>431</v>
      </c>
      <c r="C331" s="33">
        <v>50</v>
      </c>
      <c r="D331" s="33">
        <v>167</v>
      </c>
      <c r="E331" s="33">
        <v>82</v>
      </c>
      <c r="F331" s="9" t="str">
        <v>29.4 (Obese)</v>
      </c>
      <c r="G331" s="9" t="str">
        <f t="shared" si="2"/>
        <v>Obese</v>
      </c>
      <c r="H331" s="24">
        <f ca="1">IFERROR(__xludf.DUMMYFUNCTION("""COMPUTED_VALUE"""),29.4)</f>
        <v>29.4</v>
      </c>
      <c r="I331" s="24">
        <v>21</v>
      </c>
      <c r="J331" s="10">
        <v>58.566899999999997</v>
      </c>
      <c r="K331" s="34" t="s">
        <v>18</v>
      </c>
      <c r="L331" s="24">
        <v>1618.75</v>
      </c>
      <c r="M331" s="26">
        <v>2.71</v>
      </c>
      <c r="N331" s="32" t="s">
        <v>34</v>
      </c>
      <c r="O331" s="32" t="s">
        <v>19</v>
      </c>
      <c r="P331" s="27" t="e">
        <f t="shared" ca="1" si="3"/>
        <v>#NAME?</v>
      </c>
      <c r="Q331" s="28" t="e">
        <f ca="1"/>
        <v>#NAME?</v>
      </c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2.75">
      <c r="A332" s="32" t="s">
        <v>172</v>
      </c>
      <c r="B332" s="29" t="s">
        <v>431</v>
      </c>
      <c r="C332" s="33">
        <v>24</v>
      </c>
      <c r="D332" s="33">
        <v>182</v>
      </c>
      <c r="E332" s="33">
        <v>83</v>
      </c>
      <c r="F332" s="9" t="str">
        <v>25.1 (Overweight)</v>
      </c>
      <c r="G332" s="9" t="str">
        <f t="shared" si="2"/>
        <v>Overweight</v>
      </c>
      <c r="H332" s="24">
        <f ca="1">IFERROR(__xludf.DUMMYFUNCTION("""COMPUTED_VALUE"""),25.1)</f>
        <v>25.1</v>
      </c>
      <c r="I332" s="24">
        <v>21</v>
      </c>
      <c r="J332" s="10">
        <v>69.560400000000001</v>
      </c>
      <c r="K332" s="34" t="s">
        <v>42</v>
      </c>
      <c r="L332" s="24">
        <v>1852.5</v>
      </c>
      <c r="M332" s="26">
        <v>2.74</v>
      </c>
      <c r="N332" s="32" t="s">
        <v>34</v>
      </c>
      <c r="O332" s="32" t="s">
        <v>63</v>
      </c>
      <c r="P332" s="27" t="e">
        <f t="shared" ca="1" si="3"/>
        <v>#NAME?</v>
      </c>
      <c r="Q332" s="28" t="e">
        <f ca="1"/>
        <v>#NAME?</v>
      </c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2.75">
      <c r="A333" s="32" t="s">
        <v>41</v>
      </c>
      <c r="B333" s="29" t="s">
        <v>431</v>
      </c>
      <c r="C333" s="33">
        <v>56</v>
      </c>
      <c r="D333" s="33">
        <v>184</v>
      </c>
      <c r="E333" s="33">
        <v>73</v>
      </c>
      <c r="F333" s="9" t="str">
        <v>21.6 (Normal)</v>
      </c>
      <c r="G333" s="9" t="str">
        <f t="shared" si="2"/>
        <v>Normal</v>
      </c>
      <c r="H333" s="24">
        <f ca="1">IFERROR(__xludf.DUMMYFUNCTION("""COMPUTED_VALUE"""),21.6)</f>
        <v>21.6</v>
      </c>
      <c r="I333" s="24">
        <v>21</v>
      </c>
      <c r="J333" s="10">
        <v>71.0976</v>
      </c>
      <c r="K333" s="34" t="s">
        <v>4</v>
      </c>
      <c r="L333" s="24">
        <v>1605</v>
      </c>
      <c r="M333" s="26">
        <v>2.41</v>
      </c>
      <c r="N333" s="32" t="s">
        <v>16</v>
      </c>
      <c r="O333" s="32" t="s">
        <v>37</v>
      </c>
      <c r="P333" s="27" t="e">
        <f t="shared" ca="1" si="3"/>
        <v>#NAME?</v>
      </c>
      <c r="Q333" s="28" t="e">
        <f ca="1"/>
        <v>#NAME?</v>
      </c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2.75">
      <c r="A334" s="32" t="s">
        <v>187</v>
      </c>
      <c r="B334" s="29" t="s">
        <v>431</v>
      </c>
      <c r="C334" s="33">
        <v>25</v>
      </c>
      <c r="D334" s="33">
        <v>185</v>
      </c>
      <c r="E334" s="33">
        <v>64</v>
      </c>
      <c r="F334" s="9" t="str">
        <v>18.7 (Normal)</v>
      </c>
      <c r="G334" s="9" t="str">
        <f t="shared" si="2"/>
        <v>Normal</v>
      </c>
      <c r="H334" s="24">
        <f ca="1">IFERROR(__xludf.DUMMYFUNCTION("""COMPUTED_VALUE"""),18.7)</f>
        <v>18.7</v>
      </c>
      <c r="I334" s="24">
        <v>21</v>
      </c>
      <c r="J334" s="10">
        <v>71.872500000000002</v>
      </c>
      <c r="K334" s="34" t="s">
        <v>4</v>
      </c>
      <c r="L334" s="24">
        <v>1676.25</v>
      </c>
      <c r="M334" s="26">
        <v>2.11</v>
      </c>
      <c r="N334" s="32" t="s">
        <v>34</v>
      </c>
      <c r="O334" s="32" t="s">
        <v>19</v>
      </c>
      <c r="P334" s="27" t="e">
        <f t="shared" ca="1" si="3"/>
        <v>#NAME?</v>
      </c>
      <c r="Q334" s="28" t="e">
        <f ca="1"/>
        <v>#NAME?</v>
      </c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2.75">
      <c r="A335" s="32" t="s">
        <v>242</v>
      </c>
      <c r="B335" s="29" t="s">
        <v>431</v>
      </c>
      <c r="C335" s="33">
        <v>31</v>
      </c>
      <c r="D335" s="33">
        <v>171</v>
      </c>
      <c r="E335" s="33">
        <v>76</v>
      </c>
      <c r="F335" s="9" t="str">
        <v>26.0 (Overweight)</v>
      </c>
      <c r="G335" s="9" t="str">
        <f t="shared" si="2"/>
        <v>Overweight</v>
      </c>
      <c r="H335" s="24">
        <f ca="1">IFERROR(__xludf.DUMMYFUNCTION("""COMPUTED_VALUE"""),26)</f>
        <v>26</v>
      </c>
      <c r="I335" s="24">
        <v>21</v>
      </c>
      <c r="J335" s="10">
        <v>61.406099999999995</v>
      </c>
      <c r="K335" s="34" t="s">
        <v>28</v>
      </c>
      <c r="L335" s="24">
        <v>1678.75</v>
      </c>
      <c r="M335" s="26">
        <v>2.5099999999999998</v>
      </c>
      <c r="N335" s="32" t="s">
        <v>34</v>
      </c>
      <c r="O335" s="32" t="s">
        <v>37</v>
      </c>
      <c r="P335" s="27" t="e">
        <f t="shared" ca="1" si="3"/>
        <v>#NAME?</v>
      </c>
      <c r="Q335" s="28" t="e">
        <f ca="1"/>
        <v>#NAME?</v>
      </c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2.75">
      <c r="A336" s="32" t="s">
        <v>154</v>
      </c>
      <c r="B336" s="29" t="s">
        <v>431</v>
      </c>
      <c r="C336" s="33">
        <v>38</v>
      </c>
      <c r="D336" s="33">
        <v>172</v>
      </c>
      <c r="E336" s="33">
        <v>70</v>
      </c>
      <c r="F336" s="9" t="str">
        <v>23.7 (Normal)</v>
      </c>
      <c r="G336" s="9" t="str">
        <f t="shared" si="2"/>
        <v>Normal</v>
      </c>
      <c r="H336" s="24">
        <f ca="1">IFERROR(__xludf.DUMMYFUNCTION("""COMPUTED_VALUE"""),23.7)</f>
        <v>23.7</v>
      </c>
      <c r="I336" s="24">
        <v>21</v>
      </c>
      <c r="J336" s="10">
        <v>62.126399999999997</v>
      </c>
      <c r="K336" s="34" t="s">
        <v>42</v>
      </c>
      <c r="L336" s="24">
        <v>1590</v>
      </c>
      <c r="M336" s="26">
        <v>2.31</v>
      </c>
      <c r="N336" s="32" t="s">
        <v>16</v>
      </c>
      <c r="O336" s="32" t="s">
        <v>37</v>
      </c>
      <c r="P336" s="27" t="e">
        <f t="shared" ca="1" si="3"/>
        <v>#NAME?</v>
      </c>
      <c r="Q336" s="28" t="e">
        <f ca="1"/>
        <v>#NAME?</v>
      </c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2.75">
      <c r="A337" s="32" t="s">
        <v>152</v>
      </c>
      <c r="B337" s="29" t="s">
        <v>431</v>
      </c>
      <c r="C337" s="33">
        <v>26</v>
      </c>
      <c r="D337" s="33">
        <v>162</v>
      </c>
      <c r="E337" s="33">
        <v>53</v>
      </c>
      <c r="F337" s="9" t="str">
        <v>20.2 (Normal)</v>
      </c>
      <c r="G337" s="9" t="str">
        <f t="shared" si="2"/>
        <v>Normal</v>
      </c>
      <c r="H337" s="24">
        <f ca="1">IFERROR(__xludf.DUMMYFUNCTION("""COMPUTED_VALUE"""),20.2)</f>
        <v>20.2</v>
      </c>
      <c r="I337" s="24">
        <v>21</v>
      </c>
      <c r="J337" s="10">
        <v>55.112400000000008</v>
      </c>
      <c r="K337" s="34" t="s">
        <v>28</v>
      </c>
      <c r="L337" s="24">
        <v>1417.5</v>
      </c>
      <c r="M337" s="26">
        <v>1.75</v>
      </c>
      <c r="N337" s="32" t="s">
        <v>34</v>
      </c>
      <c r="O337" s="32" t="s">
        <v>19</v>
      </c>
      <c r="P337" s="27" t="e">
        <f t="shared" ca="1" si="3"/>
        <v>#NAME?</v>
      </c>
      <c r="Q337" s="28" t="e">
        <f ca="1"/>
        <v>#NAME?</v>
      </c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2.75">
      <c r="A338" s="32" t="s">
        <v>243</v>
      </c>
      <c r="B338" s="29" t="s">
        <v>431</v>
      </c>
      <c r="C338" s="33">
        <v>54</v>
      </c>
      <c r="D338" s="33">
        <v>165</v>
      </c>
      <c r="E338" s="33">
        <v>99</v>
      </c>
      <c r="F338" s="9" t="str">
        <v>36.4 (Obese)</v>
      </c>
      <c r="G338" s="9" t="str">
        <f t="shared" si="2"/>
        <v>Obese</v>
      </c>
      <c r="H338" s="24">
        <f ca="1">IFERROR(__xludf.DUMMYFUNCTION("""COMPUTED_VALUE"""),36.4)</f>
        <v>36.4</v>
      </c>
      <c r="I338" s="24">
        <v>21</v>
      </c>
      <c r="J338" s="10">
        <v>57.172499999999992</v>
      </c>
      <c r="K338" s="34" t="s">
        <v>4</v>
      </c>
      <c r="L338" s="24">
        <v>1756.25</v>
      </c>
      <c r="M338" s="26">
        <v>3.27</v>
      </c>
      <c r="N338" s="32" t="s">
        <v>26</v>
      </c>
      <c r="O338" s="32" t="s">
        <v>30</v>
      </c>
      <c r="P338" s="27" t="e">
        <f t="shared" ca="1" si="3"/>
        <v>#NAME?</v>
      </c>
      <c r="Q338" s="28" t="e">
        <f ca="1"/>
        <v>#NAME?</v>
      </c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2.75">
      <c r="A339" s="35" t="s">
        <v>86</v>
      </c>
      <c r="B339" s="35" t="s">
        <v>431</v>
      </c>
      <c r="C339" s="36">
        <v>48</v>
      </c>
      <c r="D339" s="36">
        <v>187</v>
      </c>
      <c r="E339" s="36">
        <v>53</v>
      </c>
      <c r="F339" s="35" t="str">
        <v>15.2 (Underweight)</v>
      </c>
      <c r="G339" s="35" t="str">
        <f t="shared" si="2"/>
        <v>Underweight</v>
      </c>
      <c r="H339" s="36">
        <f ca="1">IFERROR(__xludf.DUMMYFUNCTION("""COMPUTED_VALUE"""),15.2)</f>
        <v>15.2</v>
      </c>
      <c r="I339" s="36">
        <v>21</v>
      </c>
      <c r="J339" s="10">
        <v>73.434900000000013</v>
      </c>
      <c r="K339" s="37" t="s">
        <v>18</v>
      </c>
      <c r="L339" s="36">
        <v>1463.75</v>
      </c>
      <c r="M339" s="38">
        <v>1.75</v>
      </c>
      <c r="N339" s="35" t="s">
        <v>26</v>
      </c>
      <c r="O339" s="35" t="s">
        <v>7</v>
      </c>
      <c r="P339" s="36" t="e">
        <f t="shared" ca="1" si="3"/>
        <v>#NAME?</v>
      </c>
      <c r="Q339" s="36" t="e">
        <f ca="1"/>
        <v>#NAME?</v>
      </c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</row>
    <row r="340" spans="1:28" ht="12.75">
      <c r="A340" s="35" t="s">
        <v>182</v>
      </c>
      <c r="B340" s="35" t="s">
        <v>431</v>
      </c>
      <c r="C340" s="36">
        <v>58</v>
      </c>
      <c r="D340" s="36">
        <v>181</v>
      </c>
      <c r="E340" s="36">
        <v>87</v>
      </c>
      <c r="F340" s="35" t="str">
        <v>26.6 (Overweight)</v>
      </c>
      <c r="G340" s="35" t="str">
        <f t="shared" si="2"/>
        <v>Overweight</v>
      </c>
      <c r="H340" s="36">
        <f ca="1">IFERROR(__xludf.DUMMYFUNCTION("""COMPUTED_VALUE"""),26.6)</f>
        <v>26.6</v>
      </c>
      <c r="I340" s="36">
        <v>21</v>
      </c>
      <c r="J340" s="10">
        <v>68.798100000000005</v>
      </c>
      <c r="K340" s="37" t="s">
        <v>4</v>
      </c>
      <c r="L340" s="36">
        <v>1716.25</v>
      </c>
      <c r="M340" s="38">
        <v>2.87</v>
      </c>
      <c r="N340" s="35" t="s">
        <v>39</v>
      </c>
      <c r="O340" s="35" t="s">
        <v>19</v>
      </c>
      <c r="P340" s="36" t="e">
        <f t="shared" ca="1" si="3"/>
        <v>#NAME?</v>
      </c>
      <c r="Q340" s="36" t="e">
        <f ca="1"/>
        <v>#NAME?</v>
      </c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</row>
    <row r="341" spans="1:28" ht="12.75">
      <c r="A341" s="35" t="s">
        <v>57</v>
      </c>
      <c r="B341" s="35" t="s">
        <v>431</v>
      </c>
      <c r="C341" s="36">
        <v>57</v>
      </c>
      <c r="D341" s="36">
        <v>183</v>
      </c>
      <c r="E341" s="36">
        <v>65</v>
      </c>
      <c r="F341" s="35" t="str">
        <v>19.4 (Normal)</v>
      </c>
      <c r="G341" s="35" t="str">
        <f t="shared" si="2"/>
        <v>Normal</v>
      </c>
      <c r="H341" s="36">
        <f ca="1">IFERROR(__xludf.DUMMYFUNCTION("""COMPUTED_VALUE"""),19.4)</f>
        <v>19.399999999999999</v>
      </c>
      <c r="I341" s="36">
        <v>21</v>
      </c>
      <c r="J341" s="10">
        <v>70.326900000000009</v>
      </c>
      <c r="K341" s="37" t="s">
        <v>4</v>
      </c>
      <c r="L341" s="36">
        <v>1513.75</v>
      </c>
      <c r="M341" s="38">
        <v>2.15</v>
      </c>
      <c r="N341" s="35" t="s">
        <v>34</v>
      </c>
      <c r="O341" s="35" t="s">
        <v>7</v>
      </c>
      <c r="P341" s="36" t="e">
        <f t="shared" ca="1" si="3"/>
        <v>#NAME?</v>
      </c>
      <c r="Q341" s="36" t="e">
        <f ca="1"/>
        <v>#NAME?</v>
      </c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</row>
    <row r="342" spans="1:28" ht="12.75">
      <c r="A342" s="35" t="s">
        <v>241</v>
      </c>
      <c r="B342" s="35" t="s">
        <v>431</v>
      </c>
      <c r="C342" s="36">
        <v>26</v>
      </c>
      <c r="D342" s="36">
        <v>181</v>
      </c>
      <c r="E342" s="36">
        <v>62</v>
      </c>
      <c r="F342" s="35" t="str">
        <v>18.9 (Normal)</v>
      </c>
      <c r="G342" s="35" t="str">
        <f t="shared" si="2"/>
        <v>Normal</v>
      </c>
      <c r="H342" s="36">
        <f ca="1">IFERROR(__xludf.DUMMYFUNCTION("""COMPUTED_VALUE"""),18.9)</f>
        <v>18.899999999999999</v>
      </c>
      <c r="I342" s="36">
        <v>21</v>
      </c>
      <c r="J342" s="10">
        <v>68.798100000000005</v>
      </c>
      <c r="K342" s="37" t="s">
        <v>28</v>
      </c>
      <c r="L342" s="36">
        <v>1626.25</v>
      </c>
      <c r="M342" s="38">
        <v>2.0499999999999998</v>
      </c>
      <c r="N342" s="35" t="s">
        <v>39</v>
      </c>
      <c r="O342" s="35" t="s">
        <v>60</v>
      </c>
      <c r="P342" s="36" t="e">
        <f t="shared" ca="1" si="3"/>
        <v>#NAME?</v>
      </c>
      <c r="Q342" s="36" t="e">
        <f ca="1"/>
        <v>#NAME?</v>
      </c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</row>
    <row r="343" spans="1:28" ht="12.75">
      <c r="A343" s="35" t="s">
        <v>178</v>
      </c>
      <c r="B343" s="35" t="s">
        <v>431</v>
      </c>
      <c r="C343" s="36">
        <v>30</v>
      </c>
      <c r="D343" s="36">
        <v>161</v>
      </c>
      <c r="E343" s="36">
        <v>75</v>
      </c>
      <c r="F343" s="35" t="str">
        <v>28.9 (Obese)</v>
      </c>
      <c r="G343" s="35" t="str">
        <f t="shared" si="2"/>
        <v>Obese</v>
      </c>
      <c r="H343" s="36">
        <f ca="1">IFERROR(__xludf.DUMMYFUNCTION("""COMPUTED_VALUE"""),28.9)</f>
        <v>28.9</v>
      </c>
      <c r="I343" s="36">
        <v>21</v>
      </c>
      <c r="J343" s="10">
        <v>54.434100000000008</v>
      </c>
      <c r="K343" s="37" t="s">
        <v>18</v>
      </c>
      <c r="L343" s="36">
        <v>1611.25</v>
      </c>
      <c r="M343" s="38">
        <v>2.48</v>
      </c>
      <c r="N343" s="35" t="s">
        <v>39</v>
      </c>
      <c r="O343" s="35" t="s">
        <v>7</v>
      </c>
      <c r="P343" s="36" t="e">
        <f t="shared" ca="1" si="3"/>
        <v>#NAME?</v>
      </c>
      <c r="Q343" s="36" t="e">
        <f ca="1"/>
        <v>#NAME?</v>
      </c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</row>
    <row r="344" spans="1:28" ht="12.75">
      <c r="A344" s="35" t="s">
        <v>244</v>
      </c>
      <c r="B344" s="35" t="s">
        <v>431</v>
      </c>
      <c r="C344" s="36">
        <v>40</v>
      </c>
      <c r="D344" s="36">
        <v>185</v>
      </c>
      <c r="E344" s="36">
        <v>103</v>
      </c>
      <c r="F344" s="35" t="str">
        <v>30.1 (Obese)</v>
      </c>
      <c r="G344" s="35" t="str">
        <f t="shared" si="2"/>
        <v>Obese</v>
      </c>
      <c r="H344" s="36">
        <f ca="1">IFERROR(__xludf.DUMMYFUNCTION("""COMPUTED_VALUE"""),30.1)</f>
        <v>30.1</v>
      </c>
      <c r="I344" s="36">
        <v>21</v>
      </c>
      <c r="J344" s="10">
        <v>71.872500000000002</v>
      </c>
      <c r="K344" s="37" t="s">
        <v>18</v>
      </c>
      <c r="L344" s="36">
        <v>1991.25</v>
      </c>
      <c r="M344" s="38">
        <v>3.4</v>
      </c>
      <c r="N344" s="35" t="s">
        <v>34</v>
      </c>
      <c r="O344" s="35" t="s">
        <v>60</v>
      </c>
      <c r="P344" s="36" t="e">
        <f t="shared" ca="1" si="3"/>
        <v>#NAME?</v>
      </c>
      <c r="Q344" s="36" t="e">
        <f ca="1"/>
        <v>#NAME?</v>
      </c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</row>
    <row r="345" spans="1:28" ht="12.75">
      <c r="A345" s="35" t="s">
        <v>57</v>
      </c>
      <c r="B345" s="35" t="s">
        <v>431</v>
      </c>
      <c r="C345" s="36">
        <v>58</v>
      </c>
      <c r="D345" s="36">
        <v>186</v>
      </c>
      <c r="E345" s="36">
        <v>85</v>
      </c>
      <c r="F345" s="35" t="str">
        <v>24.6 (Normal)</v>
      </c>
      <c r="G345" s="35" t="str">
        <f t="shared" si="2"/>
        <v>Normal</v>
      </c>
      <c r="H345" s="36">
        <f ca="1">IFERROR(__xludf.DUMMYFUNCTION("""COMPUTED_VALUE"""),24.6)</f>
        <v>24.6</v>
      </c>
      <c r="I345" s="36">
        <v>21</v>
      </c>
      <c r="J345" s="10">
        <v>72.651600000000016</v>
      </c>
      <c r="K345" s="37" t="s">
        <v>28</v>
      </c>
      <c r="L345" s="36">
        <v>1727.5</v>
      </c>
      <c r="M345" s="38">
        <v>2.81</v>
      </c>
      <c r="N345" s="35" t="s">
        <v>26</v>
      </c>
      <c r="O345" s="35" t="s">
        <v>7</v>
      </c>
      <c r="P345" s="36" t="e">
        <f t="shared" ca="1" si="3"/>
        <v>#NAME?</v>
      </c>
      <c r="Q345" s="36" t="e">
        <f ca="1"/>
        <v>#NAME?</v>
      </c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</row>
    <row r="346" spans="1:28" ht="12.75">
      <c r="A346" s="35" t="s">
        <v>245</v>
      </c>
      <c r="B346" s="35" t="s">
        <v>431</v>
      </c>
      <c r="C346" s="36">
        <v>34</v>
      </c>
      <c r="D346" s="36">
        <v>187</v>
      </c>
      <c r="E346" s="36">
        <v>72</v>
      </c>
      <c r="F346" s="35" t="str">
        <v>20.6 (Normal)</v>
      </c>
      <c r="G346" s="35" t="str">
        <f t="shared" si="2"/>
        <v>Normal</v>
      </c>
      <c r="H346" s="36">
        <f ca="1">IFERROR(__xludf.DUMMYFUNCTION("""COMPUTED_VALUE"""),20.6)</f>
        <v>20.6</v>
      </c>
      <c r="I346" s="36">
        <v>21</v>
      </c>
      <c r="J346" s="10">
        <v>73.434900000000013</v>
      </c>
      <c r="K346" s="37" t="s">
        <v>4</v>
      </c>
      <c r="L346" s="36">
        <v>1723.75</v>
      </c>
      <c r="M346" s="38">
        <v>2.38</v>
      </c>
      <c r="N346" s="35" t="s">
        <v>34</v>
      </c>
      <c r="O346" s="35" t="s">
        <v>60</v>
      </c>
      <c r="P346" s="36" t="e">
        <f t="shared" ca="1" si="3"/>
        <v>#NAME?</v>
      </c>
      <c r="Q346" s="36" t="e">
        <f ca="1"/>
        <v>#NAME?</v>
      </c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</row>
    <row r="347" spans="1:28" ht="12.75">
      <c r="A347" s="35" t="s">
        <v>59</v>
      </c>
      <c r="B347" s="35" t="s">
        <v>431</v>
      </c>
      <c r="C347" s="36">
        <v>29</v>
      </c>
      <c r="D347" s="36">
        <v>189</v>
      </c>
      <c r="E347" s="36">
        <v>74</v>
      </c>
      <c r="F347" s="35" t="str">
        <v>20.7 (Normal)</v>
      </c>
      <c r="G347" s="35" t="str">
        <f t="shared" si="2"/>
        <v>Normal</v>
      </c>
      <c r="H347" s="36">
        <f ca="1">IFERROR(__xludf.DUMMYFUNCTION("""COMPUTED_VALUE"""),20.7)</f>
        <v>20.7</v>
      </c>
      <c r="I347" s="36">
        <v>21</v>
      </c>
      <c r="J347" s="10">
        <v>75.014099999999999</v>
      </c>
      <c r="K347" s="37" t="s">
        <v>28</v>
      </c>
      <c r="L347" s="36">
        <v>1781.25</v>
      </c>
      <c r="M347" s="38">
        <v>2.44</v>
      </c>
      <c r="N347" s="35" t="s">
        <v>16</v>
      </c>
      <c r="O347" s="35" t="s">
        <v>63</v>
      </c>
      <c r="P347" s="36" t="e">
        <f t="shared" ca="1" si="3"/>
        <v>#NAME?</v>
      </c>
      <c r="Q347" s="36" t="e">
        <f ca="1"/>
        <v>#NAME?</v>
      </c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</row>
    <row r="348" spans="1:28" ht="12.75">
      <c r="A348" s="35" t="s">
        <v>123</v>
      </c>
      <c r="B348" s="35" t="s">
        <v>431</v>
      </c>
      <c r="C348" s="36">
        <v>25</v>
      </c>
      <c r="D348" s="36">
        <v>156</v>
      </c>
      <c r="E348" s="36">
        <v>98</v>
      </c>
      <c r="F348" s="35" t="str">
        <v>40.3 (Obese)</v>
      </c>
      <c r="G348" s="35" t="str">
        <f t="shared" si="2"/>
        <v>Obese</v>
      </c>
      <c r="H348" s="36">
        <f ca="1">IFERROR(__xludf.DUMMYFUNCTION("""COMPUTED_VALUE"""),40.3)</f>
        <v>40.299999999999997</v>
      </c>
      <c r="I348" s="36">
        <v>21</v>
      </c>
      <c r="J348" s="10">
        <v>51.105600000000003</v>
      </c>
      <c r="K348" s="37" t="s">
        <v>28</v>
      </c>
      <c r="L348" s="36">
        <v>1835</v>
      </c>
      <c r="M348" s="38">
        <v>3.23</v>
      </c>
      <c r="N348" s="35" t="s">
        <v>16</v>
      </c>
      <c r="O348" s="35" t="s">
        <v>30</v>
      </c>
      <c r="P348" s="36" t="e">
        <f t="shared" ca="1" si="3"/>
        <v>#NAME?</v>
      </c>
      <c r="Q348" s="36" t="e">
        <f ca="1"/>
        <v>#NAME?</v>
      </c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</row>
    <row r="349" spans="1:28" ht="12.75">
      <c r="A349" s="35" t="s">
        <v>164</v>
      </c>
      <c r="B349" s="35" t="s">
        <v>431</v>
      </c>
      <c r="C349" s="36">
        <v>45</v>
      </c>
      <c r="D349" s="36">
        <v>172</v>
      </c>
      <c r="E349" s="36">
        <v>50</v>
      </c>
      <c r="F349" s="35" t="str">
        <v>16.9 (Underweight)</v>
      </c>
      <c r="G349" s="35" t="str">
        <f t="shared" si="2"/>
        <v>Underweight</v>
      </c>
      <c r="H349" s="36">
        <f ca="1">IFERROR(__xludf.DUMMYFUNCTION("""COMPUTED_VALUE"""),16.9)</f>
        <v>16.899999999999999</v>
      </c>
      <c r="I349" s="36">
        <v>21</v>
      </c>
      <c r="J349" s="10">
        <v>62.126399999999997</v>
      </c>
      <c r="K349" s="37" t="s">
        <v>4</v>
      </c>
      <c r="L349" s="36">
        <v>1355</v>
      </c>
      <c r="M349" s="38">
        <v>1.65</v>
      </c>
      <c r="N349" s="35" t="s">
        <v>39</v>
      </c>
      <c r="O349" s="35" t="s">
        <v>60</v>
      </c>
      <c r="P349" s="36" t="e">
        <f t="shared" ca="1" si="3"/>
        <v>#NAME?</v>
      </c>
      <c r="Q349" s="36" t="e">
        <f ca="1"/>
        <v>#NAME?</v>
      </c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</row>
    <row r="350" spans="1:28" ht="12.75">
      <c r="A350" s="35" t="s">
        <v>54</v>
      </c>
      <c r="B350" s="35" t="s">
        <v>431</v>
      </c>
      <c r="C350" s="36">
        <v>43</v>
      </c>
      <c r="D350" s="36">
        <v>171</v>
      </c>
      <c r="E350" s="36">
        <v>96</v>
      </c>
      <c r="F350" s="35" t="str">
        <v>32.8 (Obese)</v>
      </c>
      <c r="G350" s="35" t="str">
        <f t="shared" si="2"/>
        <v>Obese</v>
      </c>
      <c r="H350" s="36">
        <f ca="1">IFERROR(__xludf.DUMMYFUNCTION("""COMPUTED_VALUE"""),32.8)</f>
        <v>32.799999999999997</v>
      </c>
      <c r="I350" s="36">
        <v>21</v>
      </c>
      <c r="J350" s="10">
        <v>61.406099999999995</v>
      </c>
      <c r="K350" s="37" t="s">
        <v>42</v>
      </c>
      <c r="L350" s="36">
        <v>1818.75</v>
      </c>
      <c r="M350" s="38">
        <v>3.17</v>
      </c>
      <c r="N350" s="35" t="s">
        <v>39</v>
      </c>
      <c r="O350" s="35" t="s">
        <v>60</v>
      </c>
      <c r="P350" s="36" t="e">
        <f t="shared" ca="1" si="3"/>
        <v>#NAME?</v>
      </c>
      <c r="Q350" s="36" t="e">
        <f ca="1"/>
        <v>#NAME?</v>
      </c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</row>
    <row r="351" spans="1:28" ht="12.75">
      <c r="A351" s="39" t="s">
        <v>74</v>
      </c>
      <c r="B351" s="39" t="s">
        <v>431</v>
      </c>
      <c r="C351" s="40">
        <v>34</v>
      </c>
      <c r="D351" s="40">
        <v>174</v>
      </c>
      <c r="E351" s="40">
        <v>97</v>
      </c>
      <c r="F351" s="39" t="str">
        <v>32.0 (Obese)</v>
      </c>
      <c r="G351" s="39" t="str">
        <f t="shared" si="2"/>
        <v>Obese</v>
      </c>
      <c r="H351" s="40">
        <f ca="1">IFERROR(__xludf.DUMMYFUNCTION("""COMPUTED_VALUE"""),32)</f>
        <v>32</v>
      </c>
      <c r="I351" s="40">
        <v>21</v>
      </c>
      <c r="J351" s="41">
        <v>63.579599999999999</v>
      </c>
      <c r="K351" s="42" t="s">
        <v>4</v>
      </c>
      <c r="L351" s="40">
        <v>1892.5</v>
      </c>
      <c r="M351" s="43">
        <v>3.2</v>
      </c>
      <c r="N351" s="39" t="s">
        <v>16</v>
      </c>
      <c r="O351" s="39" t="s">
        <v>19</v>
      </c>
      <c r="P351" s="40" t="e">
        <f t="shared" ca="1" si="3"/>
        <v>#NAME?</v>
      </c>
      <c r="Q351" s="40" t="e">
        <f ca="1"/>
        <v>#NAME?</v>
      </c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</row>
    <row r="352" spans="1:28" ht="12.75">
      <c r="A352" s="44" t="s">
        <v>154</v>
      </c>
      <c r="B352" s="29" t="s">
        <v>431</v>
      </c>
      <c r="C352" s="45">
        <v>49</v>
      </c>
      <c r="D352" s="45">
        <v>164</v>
      </c>
      <c r="E352" s="45">
        <v>71</v>
      </c>
      <c r="F352" s="9" t="str">
        <v>26.4 (Overweight)</v>
      </c>
      <c r="G352" s="9" t="str">
        <f t="shared" si="2"/>
        <v>Overweight</v>
      </c>
      <c r="H352" s="24">
        <f ca="1">IFERROR(__xludf.DUMMYFUNCTION("""COMPUTED_VALUE"""),26.4)</f>
        <v>26.4</v>
      </c>
      <c r="I352" s="24">
        <v>21</v>
      </c>
      <c r="J352" s="10">
        <v>56.481599999999993</v>
      </c>
      <c r="K352" s="46" t="s">
        <v>4</v>
      </c>
      <c r="L352" s="24">
        <v>1495</v>
      </c>
      <c r="M352" s="26">
        <v>2.34</v>
      </c>
      <c r="N352" s="44" t="s">
        <v>26</v>
      </c>
      <c r="O352" s="44" t="s">
        <v>7</v>
      </c>
      <c r="P352" s="27" t="e">
        <f t="shared" ca="1" si="3"/>
        <v>#NAME?</v>
      </c>
      <c r="Q352" s="28" t="e">
        <f ca="1"/>
        <v>#NAME?</v>
      </c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2.75">
      <c r="A353" s="35" t="s">
        <v>220</v>
      </c>
      <c r="B353" s="35" t="s">
        <v>431</v>
      </c>
      <c r="C353" s="36">
        <v>23</v>
      </c>
      <c r="D353" s="36">
        <v>187</v>
      </c>
      <c r="E353" s="36">
        <v>76</v>
      </c>
      <c r="F353" s="35" t="str">
        <v>21.7 (Normal)</v>
      </c>
      <c r="G353" s="35" t="str">
        <f t="shared" si="2"/>
        <v>Normal</v>
      </c>
      <c r="H353" s="36">
        <f ca="1">IFERROR(__xludf.DUMMYFUNCTION("""COMPUTED_VALUE"""),21.7)</f>
        <v>21.7</v>
      </c>
      <c r="I353" s="36">
        <v>21</v>
      </c>
      <c r="J353" s="10">
        <v>73.434900000000013</v>
      </c>
      <c r="K353" s="37" t="s">
        <v>18</v>
      </c>
      <c r="L353" s="36">
        <v>1818.75</v>
      </c>
      <c r="M353" s="38">
        <v>2.5099999999999998</v>
      </c>
      <c r="N353" s="35" t="s">
        <v>39</v>
      </c>
      <c r="O353" s="35" t="s">
        <v>30</v>
      </c>
      <c r="P353" s="36" t="e">
        <f t="shared" ca="1" si="3"/>
        <v>#NAME?</v>
      </c>
      <c r="Q353" s="36" t="e">
        <f ca="1"/>
        <v>#NAME?</v>
      </c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</row>
    <row r="354" spans="1:28" ht="12.75">
      <c r="A354" s="35" t="s">
        <v>196</v>
      </c>
      <c r="B354" s="35" t="s">
        <v>431</v>
      </c>
      <c r="C354" s="36">
        <v>40</v>
      </c>
      <c r="D354" s="36">
        <v>164</v>
      </c>
      <c r="E354" s="36">
        <v>51</v>
      </c>
      <c r="F354" s="35" t="str">
        <v>19.0 (Normal)</v>
      </c>
      <c r="G354" s="35" t="str">
        <f t="shared" si="2"/>
        <v>Normal</v>
      </c>
      <c r="H354" s="36">
        <f ca="1">IFERROR(__xludf.DUMMYFUNCTION("""COMPUTED_VALUE"""),19)</f>
        <v>19</v>
      </c>
      <c r="I354" s="36">
        <v>21</v>
      </c>
      <c r="J354" s="10">
        <v>56.481599999999993</v>
      </c>
      <c r="K354" s="37" t="s">
        <v>4</v>
      </c>
      <c r="L354" s="36">
        <v>1340</v>
      </c>
      <c r="M354" s="38">
        <v>1.68</v>
      </c>
      <c r="N354" s="35" t="s">
        <v>34</v>
      </c>
      <c r="O354" s="35" t="s">
        <v>7</v>
      </c>
      <c r="P354" s="36" t="e">
        <f t="shared" ca="1" si="3"/>
        <v>#NAME?</v>
      </c>
      <c r="Q354" s="36" t="e">
        <f ca="1"/>
        <v>#NAME?</v>
      </c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</row>
    <row r="355" spans="1:28" ht="12.75">
      <c r="A355" s="35" t="s">
        <v>246</v>
      </c>
      <c r="B355" s="35" t="s">
        <v>431</v>
      </c>
      <c r="C355" s="36">
        <v>26</v>
      </c>
      <c r="D355" s="36">
        <v>186</v>
      </c>
      <c r="E355" s="36">
        <v>75</v>
      </c>
      <c r="F355" s="35" t="str">
        <v>21.7 (Normal)</v>
      </c>
      <c r="G355" s="35" t="str">
        <f t="shared" si="2"/>
        <v>Normal</v>
      </c>
      <c r="H355" s="36">
        <f ca="1">IFERROR(__xludf.DUMMYFUNCTION("""COMPUTED_VALUE"""),21.7)</f>
        <v>21.7</v>
      </c>
      <c r="I355" s="36">
        <v>21</v>
      </c>
      <c r="J355" s="10">
        <v>72.651600000000016</v>
      </c>
      <c r="K355" s="37" t="s">
        <v>28</v>
      </c>
      <c r="L355" s="36">
        <v>1787.5</v>
      </c>
      <c r="M355" s="38">
        <v>2.48</v>
      </c>
      <c r="N355" s="35" t="s">
        <v>34</v>
      </c>
      <c r="O355" s="35" t="s">
        <v>63</v>
      </c>
      <c r="P355" s="36" t="e">
        <f t="shared" ca="1" si="3"/>
        <v>#NAME?</v>
      </c>
      <c r="Q355" s="36" t="e">
        <f ca="1"/>
        <v>#NAME?</v>
      </c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</row>
    <row r="356" spans="1:28" ht="12.75">
      <c r="A356" s="35" t="s">
        <v>92</v>
      </c>
      <c r="B356" s="35" t="s">
        <v>431</v>
      </c>
      <c r="C356" s="36">
        <v>46</v>
      </c>
      <c r="D356" s="36">
        <v>161</v>
      </c>
      <c r="E356" s="36">
        <v>63</v>
      </c>
      <c r="F356" s="35" t="str">
        <v>24.3 (Normal)</v>
      </c>
      <c r="G356" s="35" t="str">
        <f t="shared" si="2"/>
        <v>Normal</v>
      </c>
      <c r="H356" s="36">
        <f ca="1">IFERROR(__xludf.DUMMYFUNCTION("""COMPUTED_VALUE"""),24.3)</f>
        <v>24.3</v>
      </c>
      <c r="I356" s="36">
        <v>21</v>
      </c>
      <c r="J356" s="10">
        <v>54.434100000000008</v>
      </c>
      <c r="K356" s="37" t="s">
        <v>42</v>
      </c>
      <c r="L356" s="36">
        <v>1411.25</v>
      </c>
      <c r="M356" s="38">
        <v>2.08</v>
      </c>
      <c r="N356" s="35" t="s">
        <v>34</v>
      </c>
      <c r="O356" s="35" t="s">
        <v>30</v>
      </c>
      <c r="P356" s="36" t="e">
        <f t="shared" ca="1" si="3"/>
        <v>#NAME?</v>
      </c>
      <c r="Q356" s="36" t="e">
        <f ca="1"/>
        <v>#NAME?</v>
      </c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</row>
    <row r="357" spans="1:28" ht="12.75">
      <c r="A357" s="35" t="s">
        <v>247</v>
      </c>
      <c r="B357" s="35" t="s">
        <v>431</v>
      </c>
      <c r="C357" s="36">
        <v>32</v>
      </c>
      <c r="D357" s="36">
        <v>173</v>
      </c>
      <c r="E357" s="36">
        <v>78</v>
      </c>
      <c r="F357" s="35" t="str">
        <v>26.1 (Overweight)</v>
      </c>
      <c r="G357" s="35" t="str">
        <f t="shared" si="2"/>
        <v>Overweight</v>
      </c>
      <c r="H357" s="36">
        <f ca="1">IFERROR(__xludf.DUMMYFUNCTION("""COMPUTED_VALUE"""),26.1)</f>
        <v>26.1</v>
      </c>
      <c r="I357" s="36">
        <v>21</v>
      </c>
      <c r="J357" s="10">
        <v>62.850900000000003</v>
      </c>
      <c r="K357" s="37" t="s">
        <v>4</v>
      </c>
      <c r="L357" s="36">
        <v>1706.25</v>
      </c>
      <c r="M357" s="38">
        <v>2.57</v>
      </c>
      <c r="N357" s="35" t="s">
        <v>34</v>
      </c>
      <c r="O357" s="35" t="s">
        <v>37</v>
      </c>
      <c r="P357" s="36" t="e">
        <f t="shared" ca="1" si="3"/>
        <v>#NAME?</v>
      </c>
      <c r="Q357" s="36" t="e">
        <f ca="1"/>
        <v>#NAME?</v>
      </c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</row>
    <row r="358" spans="1:28" ht="12.75">
      <c r="A358" s="35" t="s">
        <v>57</v>
      </c>
      <c r="B358" s="35" t="s">
        <v>431</v>
      </c>
      <c r="C358" s="36">
        <v>27</v>
      </c>
      <c r="D358" s="36">
        <v>158</v>
      </c>
      <c r="E358" s="36">
        <v>56</v>
      </c>
      <c r="F358" s="35" t="str">
        <v>22.4 (Normal)</v>
      </c>
      <c r="G358" s="35" t="str">
        <f t="shared" si="2"/>
        <v>Normal</v>
      </c>
      <c r="H358" s="36">
        <f ca="1">IFERROR(__xludf.DUMMYFUNCTION("""COMPUTED_VALUE"""),22.4)</f>
        <v>22.4</v>
      </c>
      <c r="I358" s="36">
        <v>21</v>
      </c>
      <c r="J358" s="10">
        <v>52.424400000000006</v>
      </c>
      <c r="K358" s="37" t="s">
        <v>42</v>
      </c>
      <c r="L358" s="36">
        <v>1417.5</v>
      </c>
      <c r="M358" s="38">
        <v>1.85</v>
      </c>
      <c r="N358" s="35" t="s">
        <v>34</v>
      </c>
      <c r="O358" s="35" t="s">
        <v>19</v>
      </c>
      <c r="P358" s="36" t="e">
        <f t="shared" ca="1" si="3"/>
        <v>#NAME?</v>
      </c>
      <c r="Q358" s="36" t="e">
        <f ca="1"/>
        <v>#NAME?</v>
      </c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</row>
    <row r="359" spans="1:28" ht="12.75">
      <c r="A359" s="35" t="s">
        <v>248</v>
      </c>
      <c r="B359" s="35" t="s">
        <v>431</v>
      </c>
      <c r="C359" s="36">
        <v>31</v>
      </c>
      <c r="D359" s="36">
        <v>158</v>
      </c>
      <c r="E359" s="36">
        <v>86</v>
      </c>
      <c r="F359" s="35" t="str">
        <v>34.4 (Obese)</v>
      </c>
      <c r="G359" s="35" t="str">
        <f t="shared" si="2"/>
        <v>Obese</v>
      </c>
      <c r="H359" s="36">
        <f ca="1">IFERROR(__xludf.DUMMYFUNCTION("""COMPUTED_VALUE"""),34.4)</f>
        <v>34.4</v>
      </c>
      <c r="I359" s="36">
        <v>21</v>
      </c>
      <c r="J359" s="10">
        <v>52.424400000000006</v>
      </c>
      <c r="K359" s="37" t="s">
        <v>18</v>
      </c>
      <c r="L359" s="36">
        <v>1697.5</v>
      </c>
      <c r="M359" s="38">
        <v>2.84</v>
      </c>
      <c r="N359" s="35" t="s">
        <v>39</v>
      </c>
      <c r="O359" s="35" t="s">
        <v>37</v>
      </c>
      <c r="P359" s="36" t="e">
        <f t="shared" ca="1" si="3"/>
        <v>#NAME?</v>
      </c>
      <c r="Q359" s="36" t="e">
        <f ca="1"/>
        <v>#NAME?</v>
      </c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</row>
    <row r="360" spans="1:28" ht="12.75">
      <c r="A360" s="39" t="s">
        <v>163</v>
      </c>
      <c r="B360" s="39" t="s">
        <v>431</v>
      </c>
      <c r="C360" s="40">
        <v>39</v>
      </c>
      <c r="D360" s="40">
        <v>183</v>
      </c>
      <c r="E360" s="40">
        <v>58</v>
      </c>
      <c r="F360" s="39" t="str">
        <v>17.3 (Underweight)</v>
      </c>
      <c r="G360" s="39" t="str">
        <f t="shared" si="2"/>
        <v>Underweight</v>
      </c>
      <c r="H360" s="40">
        <f ca="1">IFERROR(__xludf.DUMMYFUNCTION("""COMPUTED_VALUE"""),17.3)</f>
        <v>17.3</v>
      </c>
      <c r="I360" s="40">
        <v>21</v>
      </c>
      <c r="J360" s="41">
        <v>70.326900000000009</v>
      </c>
      <c r="K360" s="42" t="s">
        <v>42</v>
      </c>
      <c r="L360" s="40">
        <v>1533.75</v>
      </c>
      <c r="M360" s="43">
        <v>1.91</v>
      </c>
      <c r="N360" s="39" t="s">
        <v>16</v>
      </c>
      <c r="O360" s="39" t="s">
        <v>37</v>
      </c>
      <c r="P360" s="40" t="e">
        <f t="shared" ca="1" si="3"/>
        <v>#NAME?</v>
      </c>
      <c r="Q360" s="40" t="e">
        <f ca="1"/>
        <v>#NAME?</v>
      </c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</row>
    <row r="361" spans="1:28" ht="12.75">
      <c r="A361" s="35" t="s">
        <v>249</v>
      </c>
      <c r="B361" s="35" t="s">
        <v>431</v>
      </c>
      <c r="C361" s="36">
        <v>27</v>
      </c>
      <c r="D361" s="36">
        <v>167</v>
      </c>
      <c r="E361" s="36">
        <v>79</v>
      </c>
      <c r="F361" s="35" t="str">
        <v>28.3 (Obese)</v>
      </c>
      <c r="G361" s="35" t="str">
        <f t="shared" si="2"/>
        <v>Obese</v>
      </c>
      <c r="H361" s="36">
        <f ca="1">IFERROR(__xludf.DUMMYFUNCTION("""COMPUTED_VALUE"""),28.3)</f>
        <v>28.3</v>
      </c>
      <c r="I361" s="36">
        <v>21</v>
      </c>
      <c r="J361" s="10">
        <v>58.566899999999997</v>
      </c>
      <c r="K361" s="37" t="s">
        <v>4</v>
      </c>
      <c r="L361" s="36">
        <v>1703.75</v>
      </c>
      <c r="M361" s="38">
        <v>2.61</v>
      </c>
      <c r="N361" s="35" t="s">
        <v>26</v>
      </c>
      <c r="O361" s="35" t="s">
        <v>63</v>
      </c>
      <c r="P361" s="36" t="e">
        <f t="shared" ca="1" si="3"/>
        <v>#NAME?</v>
      </c>
      <c r="Q361" s="36" t="e">
        <f ca="1"/>
        <v>#NAME?</v>
      </c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</row>
    <row r="362" spans="1:28" ht="12.75">
      <c r="A362" s="39" t="s">
        <v>59</v>
      </c>
      <c r="B362" s="39" t="s">
        <v>431</v>
      </c>
      <c r="C362" s="40">
        <v>48</v>
      </c>
      <c r="D362" s="40">
        <v>171</v>
      </c>
      <c r="E362" s="40">
        <v>60</v>
      </c>
      <c r="F362" s="39" t="str">
        <v>20.5 (Normal)</v>
      </c>
      <c r="G362" s="39" t="str">
        <f t="shared" si="2"/>
        <v>Normal</v>
      </c>
      <c r="H362" s="40">
        <f ca="1">IFERROR(__xludf.DUMMYFUNCTION("""COMPUTED_VALUE"""),20.5)</f>
        <v>20.5</v>
      </c>
      <c r="I362" s="40">
        <v>21</v>
      </c>
      <c r="J362" s="41">
        <v>61.406099999999995</v>
      </c>
      <c r="K362" s="42" t="s">
        <v>18</v>
      </c>
      <c r="L362" s="40">
        <v>1433.75</v>
      </c>
      <c r="M362" s="43">
        <v>1.98</v>
      </c>
      <c r="N362" s="39" t="s">
        <v>16</v>
      </c>
      <c r="O362" s="39" t="s">
        <v>37</v>
      </c>
      <c r="P362" s="40" t="e">
        <f t="shared" ca="1" si="3"/>
        <v>#NAME?</v>
      </c>
      <c r="Q362" s="40" t="e">
        <f ca="1"/>
        <v>#NAME?</v>
      </c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 spans="1:28" ht="12.75">
      <c r="A363" s="35" t="s">
        <v>41</v>
      </c>
      <c r="B363" s="35" t="s">
        <v>431</v>
      </c>
      <c r="C363" s="36">
        <v>23</v>
      </c>
      <c r="D363" s="36">
        <v>183</v>
      </c>
      <c r="E363" s="36">
        <v>90</v>
      </c>
      <c r="F363" s="35" t="str">
        <v>26.9 (Overweight)</v>
      </c>
      <c r="G363" s="35" t="str">
        <f t="shared" si="2"/>
        <v>Overweight</v>
      </c>
      <c r="H363" s="36">
        <f ca="1">IFERROR(__xludf.DUMMYFUNCTION("""COMPUTED_VALUE"""),26.9)</f>
        <v>26.9</v>
      </c>
      <c r="I363" s="36">
        <v>21</v>
      </c>
      <c r="J363" s="10">
        <v>70.326900000000009</v>
      </c>
      <c r="K363" s="37" t="s">
        <v>42</v>
      </c>
      <c r="L363" s="36">
        <v>1933.75</v>
      </c>
      <c r="M363" s="38">
        <v>2.97</v>
      </c>
      <c r="N363" s="35" t="s">
        <v>39</v>
      </c>
      <c r="O363" s="35" t="s">
        <v>19</v>
      </c>
      <c r="P363" s="36" t="e">
        <f t="shared" ca="1" si="3"/>
        <v>#NAME?</v>
      </c>
      <c r="Q363" s="36" t="e">
        <f ca="1"/>
        <v>#NAME?</v>
      </c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</row>
    <row r="364" spans="1:28" ht="12.75">
      <c r="A364" s="39" t="s">
        <v>208</v>
      </c>
      <c r="B364" s="39" t="s">
        <v>431</v>
      </c>
      <c r="C364" s="40">
        <v>51</v>
      </c>
      <c r="D364" s="40">
        <v>167</v>
      </c>
      <c r="E364" s="40">
        <v>86</v>
      </c>
      <c r="F364" s="39" t="str">
        <v>30.8 (Obese)</v>
      </c>
      <c r="G364" s="39" t="str">
        <f t="shared" si="2"/>
        <v>Obese</v>
      </c>
      <c r="H364" s="40">
        <f ca="1">IFERROR(__xludf.DUMMYFUNCTION("""COMPUTED_VALUE"""),30.8)</f>
        <v>30.8</v>
      </c>
      <c r="I364" s="40">
        <v>21</v>
      </c>
      <c r="J364" s="41">
        <v>58.566899999999997</v>
      </c>
      <c r="K364" s="42" t="s">
        <v>4</v>
      </c>
      <c r="L364" s="40">
        <v>1653.75</v>
      </c>
      <c r="M364" s="43">
        <v>2.84</v>
      </c>
      <c r="N364" s="39" t="s">
        <v>16</v>
      </c>
      <c r="O364" s="39" t="s">
        <v>30</v>
      </c>
      <c r="P364" s="40" t="e">
        <f t="shared" ca="1" si="3"/>
        <v>#NAME?</v>
      </c>
      <c r="Q364" s="40" t="e">
        <f ca="1"/>
        <v>#NAME?</v>
      </c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</row>
    <row r="365" spans="1:28" ht="12.75">
      <c r="A365" s="35" t="s">
        <v>242</v>
      </c>
      <c r="B365" s="35" t="s">
        <v>431</v>
      </c>
      <c r="C365" s="36">
        <v>44</v>
      </c>
      <c r="D365" s="36">
        <v>186</v>
      </c>
      <c r="E365" s="36">
        <v>80</v>
      </c>
      <c r="F365" s="35" t="str">
        <v>23.1 (Normal)</v>
      </c>
      <c r="G365" s="35" t="str">
        <f t="shared" si="2"/>
        <v>Normal</v>
      </c>
      <c r="H365" s="36">
        <f ca="1">IFERROR(__xludf.DUMMYFUNCTION("""COMPUTED_VALUE"""),23.1)</f>
        <v>23.1</v>
      </c>
      <c r="I365" s="36">
        <v>21</v>
      </c>
      <c r="J365" s="10">
        <v>72.651600000000016</v>
      </c>
      <c r="K365" s="37" t="s">
        <v>4</v>
      </c>
      <c r="L365" s="36">
        <v>1747.5</v>
      </c>
      <c r="M365" s="38">
        <v>2.64</v>
      </c>
      <c r="N365" s="35" t="s">
        <v>34</v>
      </c>
      <c r="O365" s="35" t="s">
        <v>63</v>
      </c>
      <c r="P365" s="36" t="e">
        <f t="shared" ca="1" si="3"/>
        <v>#NAME?</v>
      </c>
      <c r="Q365" s="36" t="e">
        <f ca="1"/>
        <v>#NAME?</v>
      </c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</row>
    <row r="366" spans="1:28" ht="12.75">
      <c r="A366" s="35" t="s">
        <v>250</v>
      </c>
      <c r="B366" s="35" t="s">
        <v>431</v>
      </c>
      <c r="C366" s="36">
        <v>20</v>
      </c>
      <c r="D366" s="36">
        <v>161</v>
      </c>
      <c r="E366" s="36">
        <v>93</v>
      </c>
      <c r="F366" s="35" t="str">
        <v>35.9 (Obese)</v>
      </c>
      <c r="G366" s="35" t="str">
        <f t="shared" si="2"/>
        <v>Obese</v>
      </c>
      <c r="H366" s="36">
        <f ca="1">IFERROR(__xludf.DUMMYFUNCTION("""COMPUTED_VALUE"""),35.9)</f>
        <v>35.9</v>
      </c>
      <c r="I366" s="36">
        <v>21</v>
      </c>
      <c r="J366" s="10">
        <v>54.434100000000008</v>
      </c>
      <c r="K366" s="37" t="s">
        <v>4</v>
      </c>
      <c r="L366" s="36">
        <v>1841.25</v>
      </c>
      <c r="M366" s="38">
        <v>3.07</v>
      </c>
      <c r="N366" s="35" t="s">
        <v>26</v>
      </c>
      <c r="O366" s="35" t="s">
        <v>60</v>
      </c>
      <c r="P366" s="36" t="e">
        <f t="shared" ca="1" si="3"/>
        <v>#NAME?</v>
      </c>
      <c r="Q366" s="36" t="e">
        <f ca="1"/>
        <v>#NAME?</v>
      </c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</row>
    <row r="367" spans="1:28" ht="12.75">
      <c r="A367" s="35" t="s">
        <v>126</v>
      </c>
      <c r="B367" s="35" t="s">
        <v>431</v>
      </c>
      <c r="C367" s="36">
        <v>47</v>
      </c>
      <c r="D367" s="36">
        <v>184</v>
      </c>
      <c r="E367" s="36">
        <v>72</v>
      </c>
      <c r="F367" s="35" t="str">
        <v>21.3 (Normal)</v>
      </c>
      <c r="G367" s="35" t="str">
        <f t="shared" si="2"/>
        <v>Normal</v>
      </c>
      <c r="H367" s="36">
        <f ca="1">IFERROR(__xludf.DUMMYFUNCTION("""COMPUTED_VALUE"""),21.3)</f>
        <v>21.3</v>
      </c>
      <c r="I367" s="36">
        <v>21</v>
      </c>
      <c r="J367" s="10">
        <v>71.0976</v>
      </c>
      <c r="K367" s="37" t="s">
        <v>28</v>
      </c>
      <c r="L367" s="36">
        <v>1640</v>
      </c>
      <c r="M367" s="38">
        <v>2.38</v>
      </c>
      <c r="N367" s="35" t="s">
        <v>34</v>
      </c>
      <c r="O367" s="35" t="s">
        <v>7</v>
      </c>
      <c r="P367" s="36" t="e">
        <f t="shared" ca="1" si="3"/>
        <v>#NAME?</v>
      </c>
      <c r="Q367" s="36" t="e">
        <f ca="1"/>
        <v>#NAME?</v>
      </c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</row>
    <row r="368" spans="1:28" ht="12.75">
      <c r="A368" s="35" t="s">
        <v>249</v>
      </c>
      <c r="B368" s="35" t="s">
        <v>431</v>
      </c>
      <c r="C368" s="36">
        <v>50</v>
      </c>
      <c r="D368" s="36">
        <v>169</v>
      </c>
      <c r="E368" s="36">
        <v>56</v>
      </c>
      <c r="F368" s="35" t="str">
        <v>19.6 (Normal)</v>
      </c>
      <c r="G368" s="35" t="str">
        <f t="shared" si="2"/>
        <v>Normal</v>
      </c>
      <c r="H368" s="36">
        <f ca="1">IFERROR(__xludf.DUMMYFUNCTION("""COMPUTED_VALUE"""),19.6)</f>
        <v>19.600000000000001</v>
      </c>
      <c r="I368" s="36">
        <v>21</v>
      </c>
      <c r="J368" s="10">
        <v>59.978099999999991</v>
      </c>
      <c r="K368" s="37" t="s">
        <v>4</v>
      </c>
      <c r="L368" s="36">
        <v>1371.25</v>
      </c>
      <c r="M368" s="38">
        <v>1.85</v>
      </c>
      <c r="N368" s="35" t="s">
        <v>34</v>
      </c>
      <c r="O368" s="35" t="s">
        <v>7</v>
      </c>
      <c r="P368" s="36" t="e">
        <f t="shared" ca="1" si="3"/>
        <v>#NAME?</v>
      </c>
      <c r="Q368" s="36" t="e">
        <f ca="1"/>
        <v>#NAME?</v>
      </c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</row>
    <row r="369" spans="1:28" ht="12.75">
      <c r="A369" s="35" t="s">
        <v>57</v>
      </c>
      <c r="B369" s="35" t="s">
        <v>431</v>
      </c>
      <c r="C369" s="36">
        <v>34</v>
      </c>
      <c r="D369" s="36">
        <v>175</v>
      </c>
      <c r="E369" s="36">
        <v>50</v>
      </c>
      <c r="F369" s="35" t="str">
        <v>16.3 (Underweight)</v>
      </c>
      <c r="G369" s="35" t="str">
        <f t="shared" si="2"/>
        <v>Underweight</v>
      </c>
      <c r="H369" s="36">
        <f ca="1">IFERROR(__xludf.DUMMYFUNCTION("""COMPUTED_VALUE"""),16.3)</f>
        <v>16.3</v>
      </c>
      <c r="I369" s="36">
        <v>21</v>
      </c>
      <c r="J369" s="10">
        <v>64.3125</v>
      </c>
      <c r="K369" s="37" t="s">
        <v>18</v>
      </c>
      <c r="L369" s="36">
        <v>1428.75</v>
      </c>
      <c r="M369" s="38">
        <v>1.65</v>
      </c>
      <c r="N369" s="35" t="s">
        <v>39</v>
      </c>
      <c r="O369" s="35" t="s">
        <v>60</v>
      </c>
      <c r="P369" s="36" t="e">
        <f t="shared" ca="1" si="3"/>
        <v>#NAME?</v>
      </c>
      <c r="Q369" s="36" t="e">
        <f ca="1"/>
        <v>#NAME?</v>
      </c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</row>
    <row r="370" spans="1:28" ht="12.75">
      <c r="A370" s="35" t="s">
        <v>251</v>
      </c>
      <c r="B370" s="35" t="s">
        <v>431</v>
      </c>
      <c r="C370" s="36">
        <v>58</v>
      </c>
      <c r="D370" s="36">
        <v>186</v>
      </c>
      <c r="E370" s="36">
        <v>99</v>
      </c>
      <c r="F370" s="35" t="str">
        <v>28.6 (Obese)</v>
      </c>
      <c r="G370" s="35" t="str">
        <f t="shared" si="2"/>
        <v>Obese</v>
      </c>
      <c r="H370" s="36">
        <f ca="1">IFERROR(__xludf.DUMMYFUNCTION("""COMPUTED_VALUE"""),28.6)</f>
        <v>28.6</v>
      </c>
      <c r="I370" s="36">
        <v>21</v>
      </c>
      <c r="J370" s="10">
        <v>72.651600000000016</v>
      </c>
      <c r="K370" s="37" t="s">
        <v>4</v>
      </c>
      <c r="L370" s="36">
        <v>1867.5</v>
      </c>
      <c r="M370" s="38">
        <v>3.27</v>
      </c>
      <c r="N370" s="35" t="s">
        <v>26</v>
      </c>
      <c r="O370" s="35" t="s">
        <v>30</v>
      </c>
      <c r="P370" s="36" t="e">
        <f t="shared" ca="1" si="3"/>
        <v>#NAME?</v>
      </c>
      <c r="Q370" s="36" t="e">
        <f ca="1"/>
        <v>#NAME?</v>
      </c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</row>
    <row r="371" spans="1:28" ht="12.75">
      <c r="A371" s="35" t="s">
        <v>252</v>
      </c>
      <c r="B371" s="35" t="s">
        <v>431</v>
      </c>
      <c r="C371" s="36">
        <v>28</v>
      </c>
      <c r="D371" s="36">
        <v>161</v>
      </c>
      <c r="E371" s="36">
        <v>61</v>
      </c>
      <c r="F371" s="35" t="str">
        <v>23.5 (Normal)</v>
      </c>
      <c r="G371" s="35" t="str">
        <f t="shared" si="2"/>
        <v>Normal</v>
      </c>
      <c r="H371" s="36">
        <f ca="1">IFERROR(__xludf.DUMMYFUNCTION("""COMPUTED_VALUE"""),23.5)</f>
        <v>23.5</v>
      </c>
      <c r="I371" s="36">
        <v>21</v>
      </c>
      <c r="J371" s="10">
        <v>54.434100000000008</v>
      </c>
      <c r="K371" s="37" t="s">
        <v>4</v>
      </c>
      <c r="L371" s="36">
        <v>1481.25</v>
      </c>
      <c r="M371" s="38">
        <v>2.0099999999999998</v>
      </c>
      <c r="N371" s="35" t="s">
        <v>34</v>
      </c>
      <c r="O371" s="35" t="s">
        <v>37</v>
      </c>
      <c r="P371" s="36" t="e">
        <f t="shared" ca="1" si="3"/>
        <v>#NAME?</v>
      </c>
      <c r="Q371" s="36" t="e">
        <f ca="1"/>
        <v>#NAME?</v>
      </c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</row>
    <row r="372" spans="1:28" ht="12.75">
      <c r="A372" s="35" t="s">
        <v>253</v>
      </c>
      <c r="B372" s="35" t="s">
        <v>431</v>
      </c>
      <c r="C372" s="36">
        <v>36</v>
      </c>
      <c r="D372" s="36">
        <v>170</v>
      </c>
      <c r="E372" s="36">
        <v>72</v>
      </c>
      <c r="F372" s="35" t="str">
        <v>24.9 (Overweight)</v>
      </c>
      <c r="G372" s="35" t="str">
        <f t="shared" si="2"/>
        <v>Overweight</v>
      </c>
      <c r="H372" s="36">
        <f ca="1">IFERROR(__xludf.DUMMYFUNCTION("""COMPUTED_VALUE"""),24.9)</f>
        <v>24.9</v>
      </c>
      <c r="I372" s="36">
        <v>21</v>
      </c>
      <c r="J372" s="10">
        <v>60.689999999999991</v>
      </c>
      <c r="K372" s="37" t="s">
        <v>4</v>
      </c>
      <c r="L372" s="36">
        <v>1607.5</v>
      </c>
      <c r="M372" s="38">
        <v>2.38</v>
      </c>
      <c r="N372" s="35" t="s">
        <v>34</v>
      </c>
      <c r="O372" s="35" t="s">
        <v>63</v>
      </c>
      <c r="P372" s="36" t="e">
        <f t="shared" ca="1" si="3"/>
        <v>#NAME?</v>
      </c>
      <c r="Q372" s="36" t="e">
        <f ca="1"/>
        <v>#NAME?</v>
      </c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</row>
    <row r="373" spans="1:28" ht="12.75">
      <c r="A373" s="39" t="s">
        <v>221</v>
      </c>
      <c r="B373" s="39" t="s">
        <v>431</v>
      </c>
      <c r="C373" s="40">
        <v>40</v>
      </c>
      <c r="D373" s="40">
        <v>177</v>
      </c>
      <c r="E373" s="40">
        <v>97</v>
      </c>
      <c r="F373" s="39" t="str">
        <v>31.0 (Obese)</v>
      </c>
      <c r="G373" s="39" t="str">
        <f t="shared" si="2"/>
        <v>Obese</v>
      </c>
      <c r="H373" s="40">
        <f ca="1">IFERROR(__xludf.DUMMYFUNCTION("""COMPUTED_VALUE"""),31)</f>
        <v>31</v>
      </c>
      <c r="I373" s="40">
        <v>21</v>
      </c>
      <c r="J373" s="41">
        <v>65.790900000000008</v>
      </c>
      <c r="K373" s="42" t="s">
        <v>28</v>
      </c>
      <c r="L373" s="40">
        <v>1881.25</v>
      </c>
      <c r="M373" s="43">
        <v>3.2</v>
      </c>
      <c r="N373" s="39" t="s">
        <v>16</v>
      </c>
      <c r="O373" s="39" t="s">
        <v>37</v>
      </c>
      <c r="P373" s="40" t="e">
        <f t="shared" ca="1" si="3"/>
        <v>#NAME?</v>
      </c>
      <c r="Q373" s="40" t="e">
        <f ca="1"/>
        <v>#NAME?</v>
      </c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</row>
    <row r="374" spans="1:28" ht="12.75">
      <c r="A374" s="35" t="s">
        <v>67</v>
      </c>
      <c r="B374" s="35" t="s">
        <v>431</v>
      </c>
      <c r="C374" s="36">
        <v>25</v>
      </c>
      <c r="D374" s="36">
        <v>174</v>
      </c>
      <c r="E374" s="36">
        <v>78</v>
      </c>
      <c r="F374" s="35" t="str">
        <v>25.8 (Overweight)</v>
      </c>
      <c r="G374" s="35" t="str">
        <f t="shared" si="2"/>
        <v>Overweight</v>
      </c>
      <c r="H374" s="36">
        <f ca="1">IFERROR(__xludf.DUMMYFUNCTION("""COMPUTED_VALUE"""),25.8)</f>
        <v>25.8</v>
      </c>
      <c r="I374" s="36">
        <v>21</v>
      </c>
      <c r="J374" s="10">
        <v>63.579599999999999</v>
      </c>
      <c r="K374" s="37" t="s">
        <v>28</v>
      </c>
      <c r="L374" s="36">
        <v>1747.5</v>
      </c>
      <c r="M374" s="38">
        <v>2.57</v>
      </c>
      <c r="N374" s="35" t="s">
        <v>34</v>
      </c>
      <c r="O374" s="35" t="s">
        <v>19</v>
      </c>
      <c r="P374" s="36" t="e">
        <f t="shared" ca="1" si="3"/>
        <v>#NAME?</v>
      </c>
      <c r="Q374" s="36" t="e">
        <f ca="1"/>
        <v>#NAME?</v>
      </c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</row>
    <row r="375" spans="1:28" ht="12.75">
      <c r="A375" s="35" t="s">
        <v>137</v>
      </c>
      <c r="B375" s="35" t="s">
        <v>431</v>
      </c>
      <c r="C375" s="36">
        <v>35</v>
      </c>
      <c r="D375" s="36">
        <v>167</v>
      </c>
      <c r="E375" s="36">
        <v>82</v>
      </c>
      <c r="F375" s="35" t="str">
        <v>29.4 (Obese)</v>
      </c>
      <c r="G375" s="35" t="str">
        <f t="shared" si="2"/>
        <v>Obese</v>
      </c>
      <c r="H375" s="36">
        <f ca="1">IFERROR(__xludf.DUMMYFUNCTION("""COMPUTED_VALUE"""),29.4)</f>
        <v>29.4</v>
      </c>
      <c r="I375" s="36">
        <v>21</v>
      </c>
      <c r="J375" s="10">
        <v>58.566899999999997</v>
      </c>
      <c r="K375" s="37" t="s">
        <v>42</v>
      </c>
      <c r="L375" s="36">
        <v>1693.75</v>
      </c>
      <c r="M375" s="38">
        <v>2.71</v>
      </c>
      <c r="N375" s="35" t="s">
        <v>26</v>
      </c>
      <c r="O375" s="35" t="s">
        <v>63</v>
      </c>
      <c r="P375" s="36" t="e">
        <f t="shared" ca="1" si="3"/>
        <v>#NAME?</v>
      </c>
      <c r="Q375" s="36" t="e">
        <f ca="1"/>
        <v>#NAME?</v>
      </c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</row>
    <row r="376" spans="1:28" ht="12.75">
      <c r="A376" s="39" t="s">
        <v>57</v>
      </c>
      <c r="B376" s="39" t="s">
        <v>431</v>
      </c>
      <c r="C376" s="40">
        <v>38</v>
      </c>
      <c r="D376" s="40">
        <v>181</v>
      </c>
      <c r="E376" s="40">
        <v>64</v>
      </c>
      <c r="F376" s="39" t="str">
        <v>19.5 (Normal)</v>
      </c>
      <c r="G376" s="39" t="str">
        <f t="shared" si="2"/>
        <v>Normal</v>
      </c>
      <c r="H376" s="40">
        <f ca="1">IFERROR(__xludf.DUMMYFUNCTION("""COMPUTED_VALUE"""),19.5)</f>
        <v>19.5</v>
      </c>
      <c r="I376" s="40">
        <v>21</v>
      </c>
      <c r="J376" s="41">
        <v>68.798100000000005</v>
      </c>
      <c r="K376" s="42" t="s">
        <v>42</v>
      </c>
      <c r="L376" s="40">
        <v>1586.25</v>
      </c>
      <c r="M376" s="43">
        <v>2.11</v>
      </c>
      <c r="N376" s="39" t="s">
        <v>16</v>
      </c>
      <c r="O376" s="39" t="s">
        <v>60</v>
      </c>
      <c r="P376" s="40" t="e">
        <f t="shared" ca="1" si="3"/>
        <v>#NAME?</v>
      </c>
      <c r="Q376" s="40" t="e">
        <f ca="1"/>
        <v>#NAME?</v>
      </c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</row>
    <row r="377" spans="1:28" ht="12.75">
      <c r="A377" s="35" t="s">
        <v>43</v>
      </c>
      <c r="B377" s="35" t="s">
        <v>431</v>
      </c>
      <c r="C377" s="36">
        <v>31</v>
      </c>
      <c r="D377" s="36">
        <v>160</v>
      </c>
      <c r="E377" s="36">
        <v>70</v>
      </c>
      <c r="F377" s="35" t="str">
        <v>27.3 (Overweight)</v>
      </c>
      <c r="G377" s="35" t="str">
        <f t="shared" si="2"/>
        <v>Overweight</v>
      </c>
      <c r="H377" s="36">
        <f ca="1">IFERROR(__xludf.DUMMYFUNCTION("""COMPUTED_VALUE"""),27.3)</f>
        <v>27.3</v>
      </c>
      <c r="I377" s="36">
        <v>21</v>
      </c>
      <c r="J377" s="10">
        <v>53.760000000000012</v>
      </c>
      <c r="K377" s="37" t="s">
        <v>28</v>
      </c>
      <c r="L377" s="36">
        <v>1550</v>
      </c>
      <c r="M377" s="38">
        <v>2.31</v>
      </c>
      <c r="N377" s="35" t="s">
        <v>26</v>
      </c>
      <c r="O377" s="35" t="s">
        <v>30</v>
      </c>
      <c r="P377" s="36" t="e">
        <f t="shared" ca="1" si="3"/>
        <v>#NAME?</v>
      </c>
      <c r="Q377" s="36" t="e">
        <f ca="1"/>
        <v>#NAME?</v>
      </c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</row>
    <row r="378" spans="1:28" ht="12.75">
      <c r="A378" s="35" t="s">
        <v>112</v>
      </c>
      <c r="B378" s="35" t="s">
        <v>431</v>
      </c>
      <c r="C378" s="36">
        <v>50</v>
      </c>
      <c r="D378" s="36">
        <v>155</v>
      </c>
      <c r="E378" s="36">
        <v>104</v>
      </c>
      <c r="F378" s="35" t="str">
        <v>43.3 (Obese)</v>
      </c>
      <c r="G378" s="35" t="str">
        <f t="shared" si="2"/>
        <v>Obese</v>
      </c>
      <c r="H378" s="36">
        <f ca="1">IFERROR(__xludf.DUMMYFUNCTION("""COMPUTED_VALUE"""),43.3)</f>
        <v>43.3</v>
      </c>
      <c r="I378" s="36">
        <v>21</v>
      </c>
      <c r="J378" s="10">
        <v>50.452500000000008</v>
      </c>
      <c r="K378" s="37" t="s">
        <v>42</v>
      </c>
      <c r="L378" s="36">
        <v>1763.75</v>
      </c>
      <c r="M378" s="38">
        <v>3.43</v>
      </c>
      <c r="N378" s="35" t="s">
        <v>39</v>
      </c>
      <c r="O378" s="35" t="s">
        <v>7</v>
      </c>
      <c r="P378" s="36" t="e">
        <f t="shared" ca="1" si="3"/>
        <v>#NAME?</v>
      </c>
      <c r="Q378" s="36" t="e">
        <f ca="1"/>
        <v>#NAME?</v>
      </c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</row>
    <row r="379" spans="1:28" ht="12.75">
      <c r="A379" s="35" t="s">
        <v>106</v>
      </c>
      <c r="B379" s="35" t="s">
        <v>431</v>
      </c>
      <c r="C379" s="36">
        <v>36</v>
      </c>
      <c r="D379" s="36">
        <v>181</v>
      </c>
      <c r="E379" s="36">
        <v>108</v>
      </c>
      <c r="F379" s="35" t="str">
        <v>33.0 (Obese)</v>
      </c>
      <c r="G379" s="35" t="str">
        <f t="shared" si="2"/>
        <v>Obese</v>
      </c>
      <c r="H379" s="36">
        <f ca="1">IFERROR(__xludf.DUMMYFUNCTION("""COMPUTED_VALUE"""),33)</f>
        <v>33</v>
      </c>
      <c r="I379" s="36">
        <v>21</v>
      </c>
      <c r="J379" s="10">
        <v>68.798100000000005</v>
      </c>
      <c r="K379" s="37" t="s">
        <v>18</v>
      </c>
      <c r="L379" s="36">
        <v>2036.25</v>
      </c>
      <c r="M379" s="38">
        <v>3.56</v>
      </c>
      <c r="N379" s="35" t="s">
        <v>39</v>
      </c>
      <c r="O379" s="35" t="s">
        <v>60</v>
      </c>
      <c r="P379" s="36" t="e">
        <f t="shared" ca="1" si="3"/>
        <v>#NAME?</v>
      </c>
      <c r="Q379" s="36" t="e">
        <f ca="1"/>
        <v>#NAME?</v>
      </c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</row>
    <row r="380" spans="1:28" ht="12.75">
      <c r="A380" s="35" t="s">
        <v>126</v>
      </c>
      <c r="B380" s="35" t="s">
        <v>431</v>
      </c>
      <c r="C380" s="36">
        <v>37</v>
      </c>
      <c r="D380" s="36">
        <v>183</v>
      </c>
      <c r="E380" s="36">
        <v>86</v>
      </c>
      <c r="F380" s="35" t="str">
        <v>25.7 (Overweight)</v>
      </c>
      <c r="G380" s="35" t="str">
        <f t="shared" si="2"/>
        <v>Overweight</v>
      </c>
      <c r="H380" s="36">
        <f ca="1">IFERROR(__xludf.DUMMYFUNCTION("""COMPUTED_VALUE"""),25.7)</f>
        <v>25.7</v>
      </c>
      <c r="I380" s="36">
        <v>21</v>
      </c>
      <c r="J380" s="10">
        <v>70.326900000000009</v>
      </c>
      <c r="K380" s="37" t="s">
        <v>42</v>
      </c>
      <c r="L380" s="36">
        <v>1823.75</v>
      </c>
      <c r="M380" s="38">
        <v>2.84</v>
      </c>
      <c r="N380" s="35" t="s">
        <v>26</v>
      </c>
      <c r="O380" s="35" t="s">
        <v>7</v>
      </c>
      <c r="P380" s="36" t="e">
        <f t="shared" ca="1" si="3"/>
        <v>#NAME?</v>
      </c>
      <c r="Q380" s="36" t="e">
        <f ca="1"/>
        <v>#NAME?</v>
      </c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</row>
    <row r="381" spans="1:28" ht="12.75">
      <c r="A381" s="35" t="s">
        <v>95</v>
      </c>
      <c r="B381" s="35" t="s">
        <v>431</v>
      </c>
      <c r="C381" s="36">
        <v>44</v>
      </c>
      <c r="D381" s="36">
        <v>189</v>
      </c>
      <c r="E381" s="36">
        <v>106</v>
      </c>
      <c r="F381" s="35" t="str">
        <v>29.7 (Obese)</v>
      </c>
      <c r="G381" s="35" t="str">
        <f t="shared" si="2"/>
        <v>Obese</v>
      </c>
      <c r="H381" s="36">
        <f ca="1">IFERROR(__xludf.DUMMYFUNCTION("""COMPUTED_VALUE"""),29.7)</f>
        <v>29.7</v>
      </c>
      <c r="I381" s="36">
        <v>21</v>
      </c>
      <c r="J381" s="10">
        <v>75.014099999999999</v>
      </c>
      <c r="K381" s="37" t="s">
        <v>42</v>
      </c>
      <c r="L381" s="36">
        <v>2026.25</v>
      </c>
      <c r="M381" s="38">
        <v>3.5</v>
      </c>
      <c r="N381" s="35" t="s">
        <v>34</v>
      </c>
      <c r="O381" s="35" t="s">
        <v>63</v>
      </c>
      <c r="P381" s="36" t="e">
        <f t="shared" ca="1" si="3"/>
        <v>#NAME?</v>
      </c>
      <c r="Q381" s="36" t="e">
        <f ca="1"/>
        <v>#NAME?</v>
      </c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</row>
    <row r="382" spans="1:28" ht="12.75">
      <c r="A382" s="35" t="s">
        <v>56</v>
      </c>
      <c r="B382" s="35" t="s">
        <v>431</v>
      </c>
      <c r="C382" s="36">
        <v>34</v>
      </c>
      <c r="D382" s="36">
        <v>188</v>
      </c>
      <c r="E382" s="36">
        <v>73</v>
      </c>
      <c r="F382" s="35" t="str">
        <v>20.7 (Normal)</v>
      </c>
      <c r="G382" s="35" t="str">
        <f t="shared" si="2"/>
        <v>Normal</v>
      </c>
      <c r="H382" s="36">
        <f ca="1">IFERROR(__xludf.DUMMYFUNCTION("""COMPUTED_VALUE"""),20.7)</f>
        <v>20.7</v>
      </c>
      <c r="I382" s="36">
        <v>21</v>
      </c>
      <c r="J382" s="10">
        <v>74.222399999999993</v>
      </c>
      <c r="K382" s="37" t="s">
        <v>42</v>
      </c>
      <c r="L382" s="36">
        <v>1740</v>
      </c>
      <c r="M382" s="38">
        <v>2.41</v>
      </c>
      <c r="N382" s="35" t="s">
        <v>34</v>
      </c>
      <c r="O382" s="35" t="s">
        <v>7</v>
      </c>
      <c r="P382" s="36" t="e">
        <f t="shared" ca="1" si="3"/>
        <v>#NAME?</v>
      </c>
      <c r="Q382" s="36" t="e">
        <f ca="1"/>
        <v>#NAME?</v>
      </c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</row>
    <row r="383" spans="1:28" ht="12.75">
      <c r="A383" s="35" t="s">
        <v>255</v>
      </c>
      <c r="B383" s="35" t="s">
        <v>431</v>
      </c>
      <c r="C383" s="36">
        <v>30</v>
      </c>
      <c r="D383" s="36">
        <v>156</v>
      </c>
      <c r="E383" s="36">
        <v>51</v>
      </c>
      <c r="F383" s="35" t="str">
        <v>21.0 (Normal)</v>
      </c>
      <c r="G383" s="35" t="str">
        <f t="shared" si="2"/>
        <v>Normal</v>
      </c>
      <c r="H383" s="36">
        <f ca="1">IFERROR(__xludf.DUMMYFUNCTION("""COMPUTED_VALUE"""),21)</f>
        <v>21</v>
      </c>
      <c r="I383" s="36">
        <v>21</v>
      </c>
      <c r="J383" s="10">
        <v>51.105600000000003</v>
      </c>
      <c r="K383" s="37" t="s">
        <v>42</v>
      </c>
      <c r="L383" s="36">
        <v>1340</v>
      </c>
      <c r="M383" s="38">
        <v>1.68</v>
      </c>
      <c r="N383" s="35" t="s">
        <v>34</v>
      </c>
      <c r="O383" s="35" t="s">
        <v>37</v>
      </c>
      <c r="P383" s="36" t="e">
        <f t="shared" ca="1" si="3"/>
        <v>#NAME?</v>
      </c>
      <c r="Q383" s="36" t="e">
        <f ca="1"/>
        <v>#NAME?</v>
      </c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</row>
    <row r="384" spans="1:28" ht="12.75">
      <c r="A384" s="35" t="s">
        <v>256</v>
      </c>
      <c r="B384" s="35" t="s">
        <v>431</v>
      </c>
      <c r="C384" s="36">
        <v>39</v>
      </c>
      <c r="D384" s="36">
        <v>165</v>
      </c>
      <c r="E384" s="36">
        <v>85</v>
      </c>
      <c r="F384" s="35" t="str">
        <v>31.2 (Obese)</v>
      </c>
      <c r="G384" s="35" t="str">
        <f t="shared" si="2"/>
        <v>Obese</v>
      </c>
      <c r="H384" s="36">
        <f ca="1">IFERROR(__xludf.DUMMYFUNCTION("""COMPUTED_VALUE"""),31.2)</f>
        <v>31.2</v>
      </c>
      <c r="I384" s="36">
        <v>21</v>
      </c>
      <c r="J384" s="10">
        <v>57.172499999999992</v>
      </c>
      <c r="K384" s="37" t="s">
        <v>42</v>
      </c>
      <c r="L384" s="36">
        <v>1691.25</v>
      </c>
      <c r="M384" s="38">
        <v>2.81</v>
      </c>
      <c r="N384" s="35" t="s">
        <v>34</v>
      </c>
      <c r="O384" s="35" t="s">
        <v>60</v>
      </c>
      <c r="P384" s="36" t="e">
        <f t="shared" ca="1" si="3"/>
        <v>#NAME?</v>
      </c>
      <c r="Q384" s="36" t="e">
        <f ca="1"/>
        <v>#NAME?</v>
      </c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</row>
    <row r="385" spans="1:28" ht="12.75">
      <c r="A385" s="35" t="s">
        <v>254</v>
      </c>
      <c r="B385" s="35" t="s">
        <v>431</v>
      </c>
      <c r="C385" s="36">
        <v>54</v>
      </c>
      <c r="D385" s="36">
        <v>163</v>
      </c>
      <c r="E385" s="36">
        <v>51</v>
      </c>
      <c r="F385" s="35" t="str">
        <v>19.2 (Normal)</v>
      </c>
      <c r="G385" s="35" t="str">
        <f t="shared" si="2"/>
        <v>Normal</v>
      </c>
      <c r="H385" s="36">
        <f ca="1">IFERROR(__xludf.DUMMYFUNCTION("""COMPUTED_VALUE"""),19.2)</f>
        <v>19.2</v>
      </c>
      <c r="I385" s="36">
        <v>21</v>
      </c>
      <c r="J385" s="10">
        <v>55.794899999999998</v>
      </c>
      <c r="K385" s="37" t="s">
        <v>28</v>
      </c>
      <c r="L385" s="36">
        <v>1263.75</v>
      </c>
      <c r="M385" s="38">
        <v>1.68</v>
      </c>
      <c r="N385" s="35" t="s">
        <v>34</v>
      </c>
      <c r="O385" s="35" t="s">
        <v>60</v>
      </c>
      <c r="P385" s="36" t="e">
        <f t="shared" ca="1" si="3"/>
        <v>#NAME?</v>
      </c>
      <c r="Q385" s="36" t="e">
        <f ca="1"/>
        <v>#NAME?</v>
      </c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</row>
    <row r="386" spans="1:28" ht="12.75">
      <c r="A386" s="35" t="s">
        <v>170</v>
      </c>
      <c r="B386" s="35" t="s">
        <v>431</v>
      </c>
      <c r="C386" s="36">
        <v>42</v>
      </c>
      <c r="D386" s="36">
        <v>173</v>
      </c>
      <c r="E386" s="36">
        <v>105</v>
      </c>
      <c r="F386" s="35" t="str">
        <v>35.1 (Obese)</v>
      </c>
      <c r="G386" s="35" t="str">
        <f t="shared" si="2"/>
        <v>Obese</v>
      </c>
      <c r="H386" s="36">
        <f ca="1">IFERROR(__xludf.DUMMYFUNCTION("""COMPUTED_VALUE"""),35.1)</f>
        <v>35.1</v>
      </c>
      <c r="I386" s="36">
        <v>21</v>
      </c>
      <c r="J386" s="10">
        <v>62.850900000000003</v>
      </c>
      <c r="K386" s="37" t="s">
        <v>18</v>
      </c>
      <c r="L386" s="36">
        <v>1926.25</v>
      </c>
      <c r="M386" s="38">
        <v>3.47</v>
      </c>
      <c r="N386" s="35" t="s">
        <v>26</v>
      </c>
      <c r="O386" s="35" t="s">
        <v>37</v>
      </c>
      <c r="P386" s="36" t="e">
        <f t="shared" ca="1" si="3"/>
        <v>#NAME?</v>
      </c>
      <c r="Q386" s="36" t="e">
        <f ca="1"/>
        <v>#NAME?</v>
      </c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</row>
    <row r="387" spans="1:28" ht="12.75">
      <c r="A387" s="35" t="s">
        <v>171</v>
      </c>
      <c r="B387" s="35" t="s">
        <v>431</v>
      </c>
      <c r="C387" s="36">
        <v>37</v>
      </c>
      <c r="D387" s="36">
        <v>182</v>
      </c>
      <c r="E387" s="36">
        <v>89</v>
      </c>
      <c r="F387" s="35" t="str">
        <v>26.9 (Overweight)</v>
      </c>
      <c r="G387" s="35" t="str">
        <f t="shared" si="2"/>
        <v>Overweight</v>
      </c>
      <c r="H387" s="36">
        <f ca="1">IFERROR(__xludf.DUMMYFUNCTION("""COMPUTED_VALUE"""),26.9)</f>
        <v>26.9</v>
      </c>
      <c r="I387" s="36">
        <v>21</v>
      </c>
      <c r="J387" s="10">
        <v>69.560400000000001</v>
      </c>
      <c r="K387" s="37" t="s">
        <v>4</v>
      </c>
      <c r="L387" s="36">
        <v>1847.5</v>
      </c>
      <c r="M387" s="38">
        <v>2.94</v>
      </c>
      <c r="N387" s="35" t="s">
        <v>26</v>
      </c>
      <c r="O387" s="35" t="s">
        <v>60</v>
      </c>
      <c r="P387" s="36" t="e">
        <f t="shared" ca="1" si="3"/>
        <v>#NAME?</v>
      </c>
      <c r="Q387" s="36" t="e">
        <f ca="1"/>
        <v>#NAME?</v>
      </c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</row>
    <row r="388" spans="1:28" ht="12.75">
      <c r="A388" s="35" t="s">
        <v>158</v>
      </c>
      <c r="B388" s="35" t="s">
        <v>431</v>
      </c>
      <c r="C388" s="36">
        <v>22</v>
      </c>
      <c r="D388" s="36">
        <v>165</v>
      </c>
      <c r="E388" s="36">
        <v>88</v>
      </c>
      <c r="F388" s="35" t="str">
        <v>32.3 (Obese)</v>
      </c>
      <c r="G388" s="35" t="str">
        <f t="shared" si="2"/>
        <v>Obese</v>
      </c>
      <c r="H388" s="36">
        <f ca="1">IFERROR(__xludf.DUMMYFUNCTION("""COMPUTED_VALUE"""),32.3)</f>
        <v>32.299999999999997</v>
      </c>
      <c r="I388" s="36">
        <v>21</v>
      </c>
      <c r="J388" s="10">
        <v>57.172499999999992</v>
      </c>
      <c r="K388" s="37" t="s">
        <v>42</v>
      </c>
      <c r="L388" s="36">
        <v>1806.25</v>
      </c>
      <c r="M388" s="38">
        <v>2.9</v>
      </c>
      <c r="N388" s="35" t="s">
        <v>26</v>
      </c>
      <c r="O388" s="35" t="s">
        <v>60</v>
      </c>
      <c r="P388" s="36" t="e">
        <f t="shared" ca="1" si="3"/>
        <v>#NAME?</v>
      </c>
      <c r="Q388" s="36" t="e">
        <f ca="1"/>
        <v>#NAME?</v>
      </c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</row>
    <row r="389" spans="1:28" ht="12.75">
      <c r="A389" s="35" t="s">
        <v>232</v>
      </c>
      <c r="B389" s="35" t="s">
        <v>431</v>
      </c>
      <c r="C389" s="36">
        <v>48</v>
      </c>
      <c r="D389" s="36">
        <v>174</v>
      </c>
      <c r="E389" s="36">
        <v>59</v>
      </c>
      <c r="F389" s="35" t="str">
        <v>19.5 (Normal)</v>
      </c>
      <c r="G389" s="35" t="str">
        <f t="shared" si="2"/>
        <v>Normal</v>
      </c>
      <c r="H389" s="36">
        <f ca="1">IFERROR(__xludf.DUMMYFUNCTION("""COMPUTED_VALUE"""),19.5)</f>
        <v>19.5</v>
      </c>
      <c r="I389" s="36">
        <v>21</v>
      </c>
      <c r="J389" s="10">
        <v>63.579599999999999</v>
      </c>
      <c r="K389" s="37" t="s">
        <v>28</v>
      </c>
      <c r="L389" s="36">
        <v>1442.5</v>
      </c>
      <c r="M389" s="38">
        <v>1.95</v>
      </c>
      <c r="N389" s="35" t="s">
        <v>34</v>
      </c>
      <c r="O389" s="35" t="s">
        <v>60</v>
      </c>
      <c r="P389" s="36" t="e">
        <f t="shared" ca="1" si="3"/>
        <v>#NAME?</v>
      </c>
      <c r="Q389" s="36" t="e">
        <f ca="1"/>
        <v>#NAME?</v>
      </c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</row>
    <row r="390" spans="1:28" ht="12.75">
      <c r="A390" s="47" t="s">
        <v>238</v>
      </c>
      <c r="B390" s="47" t="s">
        <v>431</v>
      </c>
      <c r="C390" s="48">
        <v>20</v>
      </c>
      <c r="D390" s="48">
        <v>185</v>
      </c>
      <c r="E390" s="48">
        <v>100</v>
      </c>
      <c r="F390" s="47" t="str">
        <v>29.2 (Obese)</v>
      </c>
      <c r="G390" s="47" t="str">
        <f t="shared" si="2"/>
        <v>Obese</v>
      </c>
      <c r="H390" s="48">
        <f ca="1">IFERROR(__xludf.DUMMYFUNCTION("""COMPUTED_VALUE"""),29.2)</f>
        <v>29.2</v>
      </c>
      <c r="I390" s="48">
        <v>21</v>
      </c>
      <c r="J390" s="49">
        <v>71.872500000000002</v>
      </c>
      <c r="K390" s="50" t="s">
        <v>18</v>
      </c>
      <c r="L390" s="48">
        <v>2061.25</v>
      </c>
      <c r="M390" s="51">
        <v>3.3</v>
      </c>
      <c r="N390" s="47" t="s">
        <v>16</v>
      </c>
      <c r="O390" s="47" t="s">
        <v>63</v>
      </c>
      <c r="P390" s="48" t="e">
        <f t="shared" ca="1" si="3"/>
        <v>#NAME?</v>
      </c>
      <c r="Q390" s="48" t="e">
        <f ca="1"/>
        <v>#NAME?</v>
      </c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</row>
    <row r="391" spans="1:28" ht="12.75">
      <c r="A391" s="47" t="s">
        <v>257</v>
      </c>
      <c r="B391" s="47" t="s">
        <v>431</v>
      </c>
      <c r="C391" s="48">
        <v>33</v>
      </c>
      <c r="D391" s="48">
        <v>188</v>
      </c>
      <c r="E391" s="48">
        <v>74</v>
      </c>
      <c r="F391" s="47" t="str">
        <v>20.9 (Normal)</v>
      </c>
      <c r="G391" s="47" t="str">
        <f t="shared" si="2"/>
        <v>Normal</v>
      </c>
      <c r="H391" s="48">
        <f ca="1">IFERROR(__xludf.DUMMYFUNCTION("""COMPUTED_VALUE"""),20.9)</f>
        <v>20.9</v>
      </c>
      <c r="I391" s="48">
        <v>21</v>
      </c>
      <c r="J391" s="49">
        <v>74.222399999999993</v>
      </c>
      <c r="K391" s="50" t="s">
        <v>28</v>
      </c>
      <c r="L391" s="48">
        <v>1755</v>
      </c>
      <c r="M391" s="51">
        <v>2.44</v>
      </c>
      <c r="N391" s="47" t="s">
        <v>16</v>
      </c>
      <c r="O391" s="47" t="s">
        <v>30</v>
      </c>
      <c r="P391" s="48" t="e">
        <f t="shared" ca="1" si="3"/>
        <v>#NAME?</v>
      </c>
      <c r="Q391" s="48" t="e">
        <f ca="1"/>
        <v>#NAME?</v>
      </c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</row>
    <row r="392" spans="1:28" ht="12.75">
      <c r="A392" s="52" t="s">
        <v>258</v>
      </c>
      <c r="B392" s="52" t="s">
        <v>431</v>
      </c>
      <c r="C392" s="53">
        <v>25</v>
      </c>
      <c r="D392" s="53">
        <v>161</v>
      </c>
      <c r="E392" s="53">
        <v>92</v>
      </c>
      <c r="F392" s="52" t="str">
        <v>35.5 (Obese)</v>
      </c>
      <c r="G392" s="52" t="str">
        <f t="shared" si="2"/>
        <v>Obese</v>
      </c>
      <c r="H392" s="53">
        <f ca="1">IFERROR(__xludf.DUMMYFUNCTION("""COMPUTED_VALUE"""),35.5)</f>
        <v>35.5</v>
      </c>
      <c r="I392" s="53">
        <v>21</v>
      </c>
      <c r="J392" s="10">
        <v>54.434100000000008</v>
      </c>
      <c r="K392" s="54" t="s">
        <v>42</v>
      </c>
      <c r="L392" s="53">
        <v>1806.25</v>
      </c>
      <c r="M392" s="55">
        <v>3.04</v>
      </c>
      <c r="N392" s="52" t="s">
        <v>26</v>
      </c>
      <c r="O392" s="52" t="s">
        <v>37</v>
      </c>
      <c r="P392" s="53" t="e">
        <f t="shared" ca="1" si="3"/>
        <v>#NAME?</v>
      </c>
      <c r="Q392" s="53" t="e">
        <f ca="1"/>
        <v>#NAME?</v>
      </c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</row>
    <row r="393" spans="1:28" ht="12.75">
      <c r="A393" s="35" t="s">
        <v>259</v>
      </c>
      <c r="B393" s="35" t="s">
        <v>431</v>
      </c>
      <c r="C393" s="36">
        <v>28</v>
      </c>
      <c r="D393" s="36">
        <v>187</v>
      </c>
      <c r="E393" s="36">
        <v>57</v>
      </c>
      <c r="F393" s="35" t="str">
        <v>16.3 (Underweight)</v>
      </c>
      <c r="G393" s="35" t="str">
        <f t="shared" si="2"/>
        <v>Underweight</v>
      </c>
      <c r="H393" s="36">
        <f ca="1">IFERROR(__xludf.DUMMYFUNCTION("""COMPUTED_VALUE"""),16.3)</f>
        <v>16.3</v>
      </c>
      <c r="I393" s="36">
        <v>21</v>
      </c>
      <c r="J393" s="10">
        <v>73.434900000000013</v>
      </c>
      <c r="K393" s="37" t="s">
        <v>28</v>
      </c>
      <c r="L393" s="36">
        <v>1603.75</v>
      </c>
      <c r="M393" s="38">
        <v>1.88</v>
      </c>
      <c r="N393" s="35" t="s">
        <v>39</v>
      </c>
      <c r="O393" s="35" t="s">
        <v>30</v>
      </c>
      <c r="P393" s="36" t="e">
        <f t="shared" ca="1" si="3"/>
        <v>#NAME?</v>
      </c>
      <c r="Q393" s="36" t="e">
        <f ca="1"/>
        <v>#NAME?</v>
      </c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</row>
    <row r="394" spans="1:28" ht="12.75">
      <c r="A394" s="47" t="s">
        <v>65</v>
      </c>
      <c r="B394" s="47" t="s">
        <v>431</v>
      </c>
      <c r="C394" s="48">
        <v>43</v>
      </c>
      <c r="D394" s="48">
        <v>177</v>
      </c>
      <c r="E394" s="48">
        <v>93</v>
      </c>
      <c r="F394" s="47" t="str">
        <v>29.7 (Obese)</v>
      </c>
      <c r="G394" s="47" t="str">
        <f t="shared" si="2"/>
        <v>Obese</v>
      </c>
      <c r="H394" s="48">
        <f ca="1">IFERROR(__xludf.DUMMYFUNCTION("""COMPUTED_VALUE"""),29.7)</f>
        <v>29.7</v>
      </c>
      <c r="I394" s="48">
        <v>21</v>
      </c>
      <c r="J394" s="49">
        <v>65.790900000000008</v>
      </c>
      <c r="K394" s="50" t="s">
        <v>42</v>
      </c>
      <c r="L394" s="48">
        <v>1826.25</v>
      </c>
      <c r="M394" s="51">
        <v>3.07</v>
      </c>
      <c r="N394" s="47" t="s">
        <v>16</v>
      </c>
      <c r="O394" s="47" t="s">
        <v>7</v>
      </c>
      <c r="P394" s="48" t="e">
        <f t="shared" ca="1" si="3"/>
        <v>#NAME?</v>
      </c>
      <c r="Q394" s="48" t="e">
        <f ca="1"/>
        <v>#NAME?</v>
      </c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</row>
    <row r="395" spans="1:28" ht="12.75">
      <c r="A395" s="47" t="s">
        <v>260</v>
      </c>
      <c r="B395" s="47" t="s">
        <v>431</v>
      </c>
      <c r="C395" s="48">
        <v>32</v>
      </c>
      <c r="D395" s="48">
        <v>188</v>
      </c>
      <c r="E395" s="48">
        <v>53</v>
      </c>
      <c r="F395" s="47" t="str">
        <v>15.0 (Underweight)</v>
      </c>
      <c r="G395" s="47" t="str">
        <f t="shared" si="2"/>
        <v>Underweight</v>
      </c>
      <c r="H395" s="48">
        <f ca="1">IFERROR(__xludf.DUMMYFUNCTION("""COMPUTED_VALUE"""),15)</f>
        <v>15</v>
      </c>
      <c r="I395" s="48">
        <v>21</v>
      </c>
      <c r="J395" s="49">
        <v>74.222399999999993</v>
      </c>
      <c r="K395" s="50" t="s">
        <v>18</v>
      </c>
      <c r="L395" s="48">
        <v>1550</v>
      </c>
      <c r="M395" s="51">
        <v>1.75</v>
      </c>
      <c r="N395" s="47" t="s">
        <v>16</v>
      </c>
      <c r="O395" s="47" t="s">
        <v>19</v>
      </c>
      <c r="P395" s="48" t="e">
        <f t="shared" ca="1" si="3"/>
        <v>#NAME?</v>
      </c>
      <c r="Q395" s="48" t="e">
        <f ca="1"/>
        <v>#NAME?</v>
      </c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</row>
    <row r="396" spans="1:28" ht="12.75">
      <c r="A396" s="56" t="s">
        <v>154</v>
      </c>
      <c r="B396" s="56" t="s">
        <v>431</v>
      </c>
      <c r="C396" s="57">
        <v>31</v>
      </c>
      <c r="D396" s="57">
        <v>177</v>
      </c>
      <c r="E396" s="57">
        <v>83</v>
      </c>
      <c r="F396" s="56" t="str">
        <v>26.5 (Overweight)</v>
      </c>
      <c r="G396" s="56" t="str">
        <f t="shared" si="2"/>
        <v>Overweight</v>
      </c>
      <c r="H396" s="57">
        <f ca="1">IFERROR(__xludf.DUMMYFUNCTION("""COMPUTED_VALUE"""),26.5)</f>
        <v>26.5</v>
      </c>
      <c r="I396" s="57">
        <v>21</v>
      </c>
      <c r="J396" s="10">
        <v>65.790900000000008</v>
      </c>
      <c r="K396" s="58" t="s">
        <v>28</v>
      </c>
      <c r="L396" s="57">
        <v>1786.25</v>
      </c>
      <c r="M396" s="59">
        <v>2.74</v>
      </c>
      <c r="N396" s="56" t="s">
        <v>34</v>
      </c>
      <c r="O396" s="56" t="s">
        <v>37</v>
      </c>
      <c r="P396" s="27" t="e">
        <f t="shared" ca="1" si="3"/>
        <v>#NAME?</v>
      </c>
      <c r="Q396" s="28" t="e">
        <f ca="1"/>
        <v>#NAME?</v>
      </c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</row>
    <row r="397" spans="1:28" ht="12.75">
      <c r="A397" s="35" t="s">
        <v>162</v>
      </c>
      <c r="B397" s="35" t="s">
        <v>431</v>
      </c>
      <c r="C397" s="36">
        <v>52</v>
      </c>
      <c r="D397" s="36">
        <v>165</v>
      </c>
      <c r="E397" s="36">
        <v>103</v>
      </c>
      <c r="F397" s="35" t="str">
        <v>37.8 (Obese)</v>
      </c>
      <c r="G397" s="35" t="str">
        <f t="shared" si="2"/>
        <v>Obese</v>
      </c>
      <c r="H397" s="36">
        <f ca="1">IFERROR(__xludf.DUMMYFUNCTION("""COMPUTED_VALUE"""),37.8)</f>
        <v>37.799999999999997</v>
      </c>
      <c r="I397" s="36">
        <v>21</v>
      </c>
      <c r="J397" s="10">
        <v>57.172499999999992</v>
      </c>
      <c r="K397" s="37" t="s">
        <v>18</v>
      </c>
      <c r="L397" s="36">
        <v>1806.25</v>
      </c>
      <c r="M397" s="38">
        <v>3.4</v>
      </c>
      <c r="N397" s="35" t="s">
        <v>39</v>
      </c>
      <c r="O397" s="35" t="s">
        <v>63</v>
      </c>
      <c r="P397" s="36" t="e">
        <f t="shared" ca="1" si="3"/>
        <v>#NAME?</v>
      </c>
      <c r="Q397" s="36" t="e">
        <f ca="1"/>
        <v>#NAME?</v>
      </c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</row>
    <row r="398" spans="1:28" ht="12.75">
      <c r="A398" s="52" t="s">
        <v>102</v>
      </c>
      <c r="B398" s="52" t="s">
        <v>431</v>
      </c>
      <c r="C398" s="53">
        <v>41</v>
      </c>
      <c r="D398" s="53">
        <v>189</v>
      </c>
      <c r="E398" s="53">
        <v>81</v>
      </c>
      <c r="F398" s="52" t="str">
        <v>22.7 (Normal)</v>
      </c>
      <c r="G398" s="52" t="str">
        <f t="shared" si="2"/>
        <v>Normal</v>
      </c>
      <c r="H398" s="53">
        <f ca="1">IFERROR(__xludf.DUMMYFUNCTION("""COMPUTED_VALUE"""),22.7)</f>
        <v>22.7</v>
      </c>
      <c r="I398" s="53">
        <v>21</v>
      </c>
      <c r="J398" s="10">
        <v>75.014099999999999</v>
      </c>
      <c r="K398" s="54" t="s">
        <v>4</v>
      </c>
      <c r="L398" s="53">
        <v>1791.25</v>
      </c>
      <c r="M398" s="55">
        <v>2.67</v>
      </c>
      <c r="N398" s="52" t="s">
        <v>26</v>
      </c>
      <c r="O398" s="52" t="s">
        <v>7</v>
      </c>
      <c r="P398" s="53" t="e">
        <f t="shared" ca="1" si="3"/>
        <v>#NAME?</v>
      </c>
      <c r="Q398" s="53" t="e">
        <f ca="1"/>
        <v>#NAME?</v>
      </c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</row>
    <row r="399" spans="1:28" ht="12.75">
      <c r="A399" s="56" t="s">
        <v>261</v>
      </c>
      <c r="B399" s="56" t="s">
        <v>431</v>
      </c>
      <c r="C399" s="57">
        <v>29</v>
      </c>
      <c r="D399" s="57">
        <v>175</v>
      </c>
      <c r="E399" s="57">
        <v>55</v>
      </c>
      <c r="F399" s="56" t="str">
        <v>18.0 (Underweight)</v>
      </c>
      <c r="G399" s="56" t="str">
        <f t="shared" si="2"/>
        <v>Underweight</v>
      </c>
      <c r="H399" s="57">
        <f ca="1">IFERROR(__xludf.DUMMYFUNCTION("""COMPUTED_VALUE"""),18)</f>
        <v>18</v>
      </c>
      <c r="I399" s="57">
        <v>21</v>
      </c>
      <c r="J399" s="10">
        <v>64.3125</v>
      </c>
      <c r="K399" s="58" t="s">
        <v>28</v>
      </c>
      <c r="L399" s="57">
        <v>1503.75</v>
      </c>
      <c r="M399" s="59">
        <v>1.82</v>
      </c>
      <c r="N399" s="56" t="s">
        <v>34</v>
      </c>
      <c r="O399" s="56" t="s">
        <v>7</v>
      </c>
      <c r="P399" s="27" t="e">
        <f t="shared" ca="1" si="3"/>
        <v>#NAME?</v>
      </c>
      <c r="Q399" s="28" t="e">
        <f ca="1"/>
        <v>#NAME?</v>
      </c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</row>
    <row r="400" spans="1:28" ht="12.75">
      <c r="A400" s="52" t="s">
        <v>262</v>
      </c>
      <c r="B400" s="52" t="s">
        <v>431</v>
      </c>
      <c r="C400" s="53">
        <v>53</v>
      </c>
      <c r="D400" s="53">
        <v>188</v>
      </c>
      <c r="E400" s="53">
        <v>54</v>
      </c>
      <c r="F400" s="52" t="str">
        <v>15.3 (Underweight)</v>
      </c>
      <c r="G400" s="52" t="str">
        <f t="shared" si="2"/>
        <v>Underweight</v>
      </c>
      <c r="H400" s="53">
        <f ca="1">IFERROR(__xludf.DUMMYFUNCTION("""COMPUTED_VALUE"""),15.3)</f>
        <v>15.3</v>
      </c>
      <c r="I400" s="53">
        <v>21</v>
      </c>
      <c r="J400" s="10">
        <v>74.222399999999993</v>
      </c>
      <c r="K400" s="54" t="s">
        <v>4</v>
      </c>
      <c r="L400" s="53">
        <v>1455</v>
      </c>
      <c r="M400" s="55">
        <v>1.78</v>
      </c>
      <c r="N400" s="52" t="s">
        <v>26</v>
      </c>
      <c r="O400" s="52" t="s">
        <v>37</v>
      </c>
      <c r="P400" s="53" t="e">
        <f t="shared" ca="1" si="3"/>
        <v>#NAME?</v>
      </c>
      <c r="Q400" s="53" t="e">
        <f ca="1"/>
        <v>#NAME?</v>
      </c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</row>
    <row r="401" spans="1:28" ht="12.75">
      <c r="A401" s="47" t="s">
        <v>263</v>
      </c>
      <c r="B401" s="47" t="s">
        <v>431</v>
      </c>
      <c r="C401" s="48">
        <v>51</v>
      </c>
      <c r="D401" s="48">
        <v>156</v>
      </c>
      <c r="E401" s="48">
        <v>81</v>
      </c>
      <c r="F401" s="47" t="str">
        <v>33.3 (Obese)</v>
      </c>
      <c r="G401" s="47" t="str">
        <f t="shared" si="2"/>
        <v>Obese</v>
      </c>
      <c r="H401" s="48">
        <f ca="1">IFERROR(__xludf.DUMMYFUNCTION("""COMPUTED_VALUE"""),33.3)</f>
        <v>33.299999999999997</v>
      </c>
      <c r="I401" s="48">
        <v>21</v>
      </c>
      <c r="J401" s="49">
        <v>51.105600000000003</v>
      </c>
      <c r="K401" s="50" t="s">
        <v>18</v>
      </c>
      <c r="L401" s="48">
        <v>1535</v>
      </c>
      <c r="M401" s="51">
        <v>2.67</v>
      </c>
      <c r="N401" s="47" t="s">
        <v>16</v>
      </c>
      <c r="O401" s="47" t="s">
        <v>19</v>
      </c>
      <c r="P401" s="48" t="e">
        <f t="shared" ca="1" si="3"/>
        <v>#NAME?</v>
      </c>
      <c r="Q401" s="48" t="e">
        <f ca="1"/>
        <v>#NAME?</v>
      </c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</row>
    <row r="402" spans="1:28" ht="12.75">
      <c r="A402" s="56" t="s">
        <v>264</v>
      </c>
      <c r="B402" s="56" t="s">
        <v>431</v>
      </c>
      <c r="C402" s="57">
        <v>38</v>
      </c>
      <c r="D402" s="57">
        <v>157</v>
      </c>
      <c r="E402" s="57">
        <v>98</v>
      </c>
      <c r="F402" s="56" t="str">
        <v>39.8 (Obese)</v>
      </c>
      <c r="G402" s="56" t="str">
        <f t="shared" si="2"/>
        <v>Obese</v>
      </c>
      <c r="H402" s="57">
        <f ca="1">IFERROR(__xludf.DUMMYFUNCTION("""COMPUTED_VALUE"""),39.8)</f>
        <v>39.799999999999997</v>
      </c>
      <c r="I402" s="57">
        <v>21</v>
      </c>
      <c r="J402" s="10">
        <v>51.762900000000002</v>
      </c>
      <c r="K402" s="58" t="s">
        <v>4</v>
      </c>
      <c r="L402" s="57">
        <v>1776.25</v>
      </c>
      <c r="M402" s="59">
        <v>3.23</v>
      </c>
      <c r="N402" s="56" t="s">
        <v>34</v>
      </c>
      <c r="O402" s="56" t="s">
        <v>63</v>
      </c>
      <c r="P402" s="27" t="e">
        <f t="shared" ca="1" si="3"/>
        <v>#NAME?</v>
      </c>
      <c r="Q402" s="28" t="e">
        <f ca="1"/>
        <v>#NAME?</v>
      </c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</row>
    <row r="403" spans="1:28" ht="12.75">
      <c r="A403" s="47" t="s">
        <v>265</v>
      </c>
      <c r="B403" s="47" t="s">
        <v>431</v>
      </c>
      <c r="C403" s="48">
        <v>51</v>
      </c>
      <c r="D403" s="48">
        <v>162</v>
      </c>
      <c r="E403" s="48">
        <v>76</v>
      </c>
      <c r="F403" s="47" t="str">
        <v>29.0 (Obese)</v>
      </c>
      <c r="G403" s="47" t="str">
        <f t="shared" si="2"/>
        <v>Obese</v>
      </c>
      <c r="H403" s="48">
        <f ca="1">IFERROR(__xludf.DUMMYFUNCTION("""COMPUTED_VALUE"""),29)</f>
        <v>29</v>
      </c>
      <c r="I403" s="48">
        <v>21</v>
      </c>
      <c r="J403" s="49">
        <v>55.112400000000008</v>
      </c>
      <c r="K403" s="50" t="s">
        <v>28</v>
      </c>
      <c r="L403" s="48">
        <v>1522.5</v>
      </c>
      <c r="M403" s="51">
        <v>2.5099999999999998</v>
      </c>
      <c r="N403" s="47" t="s">
        <v>16</v>
      </c>
      <c r="O403" s="47" t="s">
        <v>19</v>
      </c>
      <c r="P403" s="48" t="e">
        <f t="shared" ca="1" si="3"/>
        <v>#NAME?</v>
      </c>
      <c r="Q403" s="48" t="e">
        <f ca="1"/>
        <v>#NAME?</v>
      </c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</row>
    <row r="404" spans="1:28" ht="12.75">
      <c r="A404" s="35" t="s">
        <v>236</v>
      </c>
      <c r="B404" s="35" t="s">
        <v>431</v>
      </c>
      <c r="C404" s="36">
        <v>31</v>
      </c>
      <c r="D404" s="36">
        <v>160</v>
      </c>
      <c r="E404" s="36">
        <v>63</v>
      </c>
      <c r="F404" s="35" t="str">
        <v>24.6 (Normal)</v>
      </c>
      <c r="G404" s="35" t="str">
        <f t="shared" si="2"/>
        <v>Normal</v>
      </c>
      <c r="H404" s="36">
        <f ca="1">IFERROR(__xludf.DUMMYFUNCTION("""COMPUTED_VALUE"""),24.6)</f>
        <v>24.6</v>
      </c>
      <c r="I404" s="36">
        <v>21</v>
      </c>
      <c r="J404" s="10">
        <v>53.760000000000012</v>
      </c>
      <c r="K404" s="37" t="s">
        <v>42</v>
      </c>
      <c r="L404" s="36">
        <v>1480</v>
      </c>
      <c r="M404" s="38">
        <v>2.08</v>
      </c>
      <c r="N404" s="35" t="s">
        <v>39</v>
      </c>
      <c r="O404" s="35" t="s">
        <v>19</v>
      </c>
      <c r="P404" s="36" t="e">
        <f t="shared" ca="1" si="3"/>
        <v>#NAME?</v>
      </c>
      <c r="Q404" s="36" t="e">
        <f ca="1"/>
        <v>#NAME?</v>
      </c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</row>
    <row r="405" spans="1:28" ht="12.75">
      <c r="A405" s="47" t="s">
        <v>115</v>
      </c>
      <c r="B405" s="47" t="s">
        <v>431</v>
      </c>
      <c r="C405" s="48">
        <v>42</v>
      </c>
      <c r="D405" s="48">
        <v>155</v>
      </c>
      <c r="E405" s="48">
        <v>76</v>
      </c>
      <c r="F405" s="47" t="str">
        <v>31.6 (Obese)</v>
      </c>
      <c r="G405" s="47" t="str">
        <f t="shared" si="2"/>
        <v>Obese</v>
      </c>
      <c r="H405" s="48">
        <f ca="1">IFERROR(__xludf.DUMMYFUNCTION("""COMPUTED_VALUE"""),31.6)</f>
        <v>31.6</v>
      </c>
      <c r="I405" s="48">
        <v>21</v>
      </c>
      <c r="J405" s="49">
        <v>50.452500000000008</v>
      </c>
      <c r="K405" s="50" t="s">
        <v>28</v>
      </c>
      <c r="L405" s="48">
        <v>1523.75</v>
      </c>
      <c r="M405" s="51">
        <v>2.5099999999999998</v>
      </c>
      <c r="N405" s="47" t="s">
        <v>16</v>
      </c>
      <c r="O405" s="47" t="s">
        <v>30</v>
      </c>
      <c r="P405" s="48" t="e">
        <f t="shared" ca="1" si="3"/>
        <v>#NAME?</v>
      </c>
      <c r="Q405" s="48" t="e">
        <f ca="1"/>
        <v>#NAME?</v>
      </c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</row>
    <row r="406" spans="1:28" ht="12.75">
      <c r="A406" s="52" t="s">
        <v>88</v>
      </c>
      <c r="B406" s="52" t="s">
        <v>431</v>
      </c>
      <c r="C406" s="53">
        <v>45</v>
      </c>
      <c r="D406" s="53">
        <v>159</v>
      </c>
      <c r="E406" s="53">
        <v>51</v>
      </c>
      <c r="F406" s="52" t="str">
        <v>20.2 (Normal)</v>
      </c>
      <c r="G406" s="52" t="str">
        <f t="shared" si="2"/>
        <v>Normal</v>
      </c>
      <c r="H406" s="53">
        <f ca="1">IFERROR(__xludf.DUMMYFUNCTION("""COMPUTED_VALUE"""),20.2)</f>
        <v>20.2</v>
      </c>
      <c r="I406" s="53">
        <v>21</v>
      </c>
      <c r="J406" s="10">
        <v>53.090100000000007</v>
      </c>
      <c r="K406" s="54" t="s">
        <v>18</v>
      </c>
      <c r="L406" s="53">
        <v>1283.75</v>
      </c>
      <c r="M406" s="55">
        <v>1.68</v>
      </c>
      <c r="N406" s="52" t="s">
        <v>26</v>
      </c>
      <c r="O406" s="52" t="s">
        <v>19</v>
      </c>
      <c r="P406" s="53" t="e">
        <f t="shared" ca="1" si="3"/>
        <v>#NAME?</v>
      </c>
      <c r="Q406" s="53" t="e">
        <f ca="1"/>
        <v>#NAME?</v>
      </c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</row>
    <row r="407" spans="1:28" ht="12.75">
      <c r="A407" s="56" t="s">
        <v>266</v>
      </c>
      <c r="B407" s="56" t="s">
        <v>431</v>
      </c>
      <c r="C407" s="57">
        <v>20</v>
      </c>
      <c r="D407" s="57">
        <v>187</v>
      </c>
      <c r="E407" s="57">
        <v>67</v>
      </c>
      <c r="F407" s="56" t="str">
        <v>19.2 (Normal)</v>
      </c>
      <c r="G407" s="56" t="str">
        <f t="shared" si="2"/>
        <v>Normal</v>
      </c>
      <c r="H407" s="57">
        <f ca="1">IFERROR(__xludf.DUMMYFUNCTION("""COMPUTED_VALUE"""),19.2)</f>
        <v>19.2</v>
      </c>
      <c r="I407" s="57">
        <v>21</v>
      </c>
      <c r="J407" s="10">
        <v>73.434900000000013</v>
      </c>
      <c r="K407" s="58" t="s">
        <v>42</v>
      </c>
      <c r="L407" s="57">
        <v>1743.75</v>
      </c>
      <c r="M407" s="59">
        <v>2.21</v>
      </c>
      <c r="N407" s="56" t="s">
        <v>34</v>
      </c>
      <c r="O407" s="56" t="s">
        <v>30</v>
      </c>
      <c r="P407" s="27" t="e">
        <f t="shared" ca="1" si="3"/>
        <v>#NAME?</v>
      </c>
      <c r="Q407" s="28" t="e">
        <f ca="1"/>
        <v>#NAME?</v>
      </c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</row>
    <row r="408" spans="1:28" ht="12.75">
      <c r="A408" s="35" t="s">
        <v>115</v>
      </c>
      <c r="B408" s="35" t="s">
        <v>431</v>
      </c>
      <c r="C408" s="36">
        <v>43</v>
      </c>
      <c r="D408" s="36">
        <v>161</v>
      </c>
      <c r="E408" s="36">
        <v>95</v>
      </c>
      <c r="F408" s="35" t="str">
        <v>36.6 (Obese)</v>
      </c>
      <c r="G408" s="35" t="str">
        <f t="shared" si="2"/>
        <v>Obese</v>
      </c>
      <c r="H408" s="36">
        <f ca="1">IFERROR(__xludf.DUMMYFUNCTION("""COMPUTED_VALUE"""),36.6)</f>
        <v>36.6</v>
      </c>
      <c r="I408" s="36">
        <v>21</v>
      </c>
      <c r="J408" s="10">
        <v>54.434100000000008</v>
      </c>
      <c r="K408" s="37" t="s">
        <v>42</v>
      </c>
      <c r="L408" s="36">
        <v>1746.25</v>
      </c>
      <c r="M408" s="38">
        <v>3.14</v>
      </c>
      <c r="N408" s="35" t="s">
        <v>39</v>
      </c>
      <c r="O408" s="35" t="s">
        <v>30</v>
      </c>
      <c r="P408" s="36" t="e">
        <f t="shared" ca="1" si="3"/>
        <v>#NAME?</v>
      </c>
      <c r="Q408" s="36" t="e">
        <f ca="1"/>
        <v>#NAME?</v>
      </c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</row>
    <row r="409" spans="1:28" ht="12.75">
      <c r="A409" s="47" t="s">
        <v>267</v>
      </c>
      <c r="B409" s="47" t="s">
        <v>431</v>
      </c>
      <c r="C409" s="48">
        <v>49</v>
      </c>
      <c r="D409" s="48">
        <v>173</v>
      </c>
      <c r="E409" s="48">
        <v>71</v>
      </c>
      <c r="F409" s="47" t="str">
        <v>23.7 (Normal)</v>
      </c>
      <c r="G409" s="47" t="str">
        <f t="shared" si="2"/>
        <v>Normal</v>
      </c>
      <c r="H409" s="48">
        <f ca="1">IFERROR(__xludf.DUMMYFUNCTION("""COMPUTED_VALUE"""),23.7)</f>
        <v>23.7</v>
      </c>
      <c r="I409" s="48">
        <v>21</v>
      </c>
      <c r="J409" s="49">
        <v>62.850900000000003</v>
      </c>
      <c r="K409" s="50" t="s">
        <v>4</v>
      </c>
      <c r="L409" s="48">
        <v>1551.25</v>
      </c>
      <c r="M409" s="51">
        <v>2.34</v>
      </c>
      <c r="N409" s="47" t="s">
        <v>16</v>
      </c>
      <c r="O409" s="47" t="s">
        <v>63</v>
      </c>
      <c r="P409" s="48" t="e">
        <f t="shared" ca="1" si="3"/>
        <v>#NAME?</v>
      </c>
      <c r="Q409" s="48" t="e">
        <f ca="1"/>
        <v>#NAME?</v>
      </c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</row>
    <row r="410" spans="1:28" ht="12.75">
      <c r="A410" s="56" t="s">
        <v>232</v>
      </c>
      <c r="B410" s="56" t="s">
        <v>431</v>
      </c>
      <c r="C410" s="57">
        <v>29</v>
      </c>
      <c r="D410" s="57">
        <v>181</v>
      </c>
      <c r="E410" s="57">
        <v>60</v>
      </c>
      <c r="F410" s="56" t="str">
        <v>18.3 (Underweight)</v>
      </c>
      <c r="G410" s="56" t="str">
        <f t="shared" si="2"/>
        <v>Underweight</v>
      </c>
      <c r="H410" s="57">
        <f ca="1">IFERROR(__xludf.DUMMYFUNCTION("""COMPUTED_VALUE"""),18.3)</f>
        <v>18.3</v>
      </c>
      <c r="I410" s="57">
        <v>21</v>
      </c>
      <c r="J410" s="10">
        <v>68.798100000000005</v>
      </c>
      <c r="K410" s="58" t="s">
        <v>4</v>
      </c>
      <c r="L410" s="57">
        <v>1591.25</v>
      </c>
      <c r="M410" s="59">
        <v>1.98</v>
      </c>
      <c r="N410" s="56" t="s">
        <v>34</v>
      </c>
      <c r="O410" s="56" t="s">
        <v>30</v>
      </c>
      <c r="P410" s="57" t="e">
        <f t="shared" ca="1" si="3"/>
        <v>#NAME?</v>
      </c>
      <c r="Q410" s="57" t="e">
        <f ca="1"/>
        <v>#NAME?</v>
      </c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</row>
    <row r="411" spans="1:28" ht="12.75">
      <c r="A411" s="47" t="s">
        <v>194</v>
      </c>
      <c r="B411" s="47" t="s">
        <v>431</v>
      </c>
      <c r="C411" s="48">
        <v>38</v>
      </c>
      <c r="D411" s="48">
        <v>174</v>
      </c>
      <c r="E411" s="48">
        <v>81</v>
      </c>
      <c r="F411" s="47" t="str">
        <v>26.8 (Overweight)</v>
      </c>
      <c r="G411" s="47" t="str">
        <f t="shared" si="2"/>
        <v>Overweight</v>
      </c>
      <c r="H411" s="48">
        <f ca="1">IFERROR(__xludf.DUMMYFUNCTION("""COMPUTED_VALUE"""),26.8)</f>
        <v>26.8</v>
      </c>
      <c r="I411" s="48">
        <v>21</v>
      </c>
      <c r="J411" s="49">
        <v>63.579599999999999</v>
      </c>
      <c r="K411" s="50" t="s">
        <v>18</v>
      </c>
      <c r="L411" s="48">
        <v>1712.5</v>
      </c>
      <c r="M411" s="51">
        <v>2.67</v>
      </c>
      <c r="N411" s="47" t="s">
        <v>16</v>
      </c>
      <c r="O411" s="47" t="s">
        <v>37</v>
      </c>
      <c r="P411" s="48" t="e">
        <f t="shared" ca="1" si="3"/>
        <v>#NAME?</v>
      </c>
      <c r="Q411" s="48" t="e">
        <f ca="1"/>
        <v>#NAME?</v>
      </c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</row>
    <row r="412" spans="1:28" ht="12.75">
      <c r="A412" s="35" t="s">
        <v>268</v>
      </c>
      <c r="B412" s="35" t="s">
        <v>431</v>
      </c>
      <c r="C412" s="36">
        <v>52</v>
      </c>
      <c r="D412" s="36">
        <v>162</v>
      </c>
      <c r="E412" s="36">
        <v>76</v>
      </c>
      <c r="F412" s="35" t="str">
        <v>29.0 (Obese)</v>
      </c>
      <c r="G412" s="35" t="str">
        <f t="shared" si="2"/>
        <v>Obese</v>
      </c>
      <c r="H412" s="36">
        <f ca="1">IFERROR(__xludf.DUMMYFUNCTION("""COMPUTED_VALUE"""),29)</f>
        <v>29</v>
      </c>
      <c r="I412" s="36">
        <v>21</v>
      </c>
      <c r="J412" s="10">
        <v>55.112400000000008</v>
      </c>
      <c r="K412" s="37" t="s">
        <v>4</v>
      </c>
      <c r="L412" s="36">
        <v>1517.5</v>
      </c>
      <c r="M412" s="38">
        <v>2.5099999999999998</v>
      </c>
      <c r="N412" s="35" t="s">
        <v>39</v>
      </c>
      <c r="O412" s="35" t="s">
        <v>19</v>
      </c>
      <c r="P412" s="36" t="e">
        <f t="shared" ca="1" si="3"/>
        <v>#NAME?</v>
      </c>
      <c r="Q412" s="36" t="e">
        <f ca="1"/>
        <v>#NAME?</v>
      </c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</row>
    <row r="413" spans="1:28" ht="12.75">
      <c r="A413" s="52" t="s">
        <v>93</v>
      </c>
      <c r="B413" s="52" t="s">
        <v>431</v>
      </c>
      <c r="C413" s="53">
        <v>35</v>
      </c>
      <c r="D413" s="53">
        <v>181</v>
      </c>
      <c r="E413" s="53">
        <v>51</v>
      </c>
      <c r="F413" s="52" t="str">
        <v>15.6 (Underweight)</v>
      </c>
      <c r="G413" s="52" t="str">
        <f t="shared" si="2"/>
        <v>Underweight</v>
      </c>
      <c r="H413" s="53">
        <f ca="1">IFERROR(__xludf.DUMMYFUNCTION("""COMPUTED_VALUE"""),15.6)</f>
        <v>15.6</v>
      </c>
      <c r="I413" s="53">
        <v>21</v>
      </c>
      <c r="J413" s="10">
        <v>68.798100000000005</v>
      </c>
      <c r="K413" s="54" t="s">
        <v>42</v>
      </c>
      <c r="L413" s="53">
        <v>1471.25</v>
      </c>
      <c r="M413" s="55">
        <v>1.68</v>
      </c>
      <c r="N413" s="52" t="s">
        <v>26</v>
      </c>
      <c r="O413" s="52" t="s">
        <v>30</v>
      </c>
      <c r="P413" s="53" t="e">
        <f t="shared" ca="1" si="3"/>
        <v>#NAME?</v>
      </c>
      <c r="Q413" s="53" t="e">
        <f ca="1"/>
        <v>#NAME?</v>
      </c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</row>
    <row r="414" spans="1:28" ht="12.75">
      <c r="A414" s="56" t="s">
        <v>95</v>
      </c>
      <c r="B414" s="56" t="s">
        <v>431</v>
      </c>
      <c r="C414" s="57">
        <v>35</v>
      </c>
      <c r="D414" s="57">
        <v>182</v>
      </c>
      <c r="E414" s="57">
        <v>76</v>
      </c>
      <c r="F414" s="56" t="str">
        <v>22.9 (Normal)</v>
      </c>
      <c r="G414" s="56" t="str">
        <f t="shared" si="2"/>
        <v>Normal</v>
      </c>
      <c r="H414" s="57">
        <f ca="1">IFERROR(__xludf.DUMMYFUNCTION("""COMPUTED_VALUE"""),22.9)</f>
        <v>22.9</v>
      </c>
      <c r="I414" s="57">
        <v>21</v>
      </c>
      <c r="J414" s="10">
        <v>69.560400000000001</v>
      </c>
      <c r="K414" s="58" t="s">
        <v>28</v>
      </c>
      <c r="L414" s="57">
        <v>1727.5</v>
      </c>
      <c r="M414" s="59">
        <v>2.5099999999999998</v>
      </c>
      <c r="N414" s="56" t="s">
        <v>34</v>
      </c>
      <c r="O414" s="56" t="s">
        <v>19</v>
      </c>
      <c r="P414" s="27" t="e">
        <f t="shared" ca="1" si="3"/>
        <v>#NAME?</v>
      </c>
      <c r="Q414" s="28" t="e">
        <f ca="1"/>
        <v>#NAME?</v>
      </c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</row>
    <row r="415" spans="1:28" ht="12.75">
      <c r="A415" s="52" t="s">
        <v>85</v>
      </c>
      <c r="B415" s="52" t="s">
        <v>431</v>
      </c>
      <c r="C415" s="53">
        <v>29</v>
      </c>
      <c r="D415" s="53">
        <v>178</v>
      </c>
      <c r="E415" s="53">
        <v>108</v>
      </c>
      <c r="F415" s="52" t="str">
        <v>34.1 (Obese)</v>
      </c>
      <c r="G415" s="52" t="str">
        <f t="shared" si="2"/>
        <v>Obese</v>
      </c>
      <c r="H415" s="53">
        <f ca="1">IFERROR(__xludf.DUMMYFUNCTION("""COMPUTED_VALUE"""),34.1)</f>
        <v>34.1</v>
      </c>
      <c r="I415" s="53">
        <v>21</v>
      </c>
      <c r="J415" s="10">
        <v>66.5364</v>
      </c>
      <c r="K415" s="54" t="s">
        <v>18</v>
      </c>
      <c r="L415" s="53">
        <v>2052.5</v>
      </c>
      <c r="M415" s="55">
        <v>3.56</v>
      </c>
      <c r="N415" s="52" t="s">
        <v>26</v>
      </c>
      <c r="O415" s="52" t="s">
        <v>19</v>
      </c>
      <c r="P415" s="53" t="e">
        <f t="shared" ca="1" si="3"/>
        <v>#NAME?</v>
      </c>
      <c r="Q415" s="53" t="e">
        <f ca="1"/>
        <v>#NAME?</v>
      </c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</row>
    <row r="416" spans="1:28" ht="12.75">
      <c r="A416" s="56" t="s">
        <v>269</v>
      </c>
      <c r="B416" s="56" t="s">
        <v>431</v>
      </c>
      <c r="C416" s="57">
        <v>24</v>
      </c>
      <c r="D416" s="57">
        <v>161</v>
      </c>
      <c r="E416" s="57">
        <v>99</v>
      </c>
      <c r="F416" s="56" t="str">
        <v>38.2 (Obese)</v>
      </c>
      <c r="G416" s="56" t="str">
        <f t="shared" si="2"/>
        <v>Obese</v>
      </c>
      <c r="H416" s="57">
        <f ca="1">IFERROR(__xludf.DUMMYFUNCTION("""COMPUTED_VALUE"""),38.2)</f>
        <v>38.200000000000003</v>
      </c>
      <c r="I416" s="57">
        <v>21</v>
      </c>
      <c r="J416" s="10">
        <v>54.434100000000008</v>
      </c>
      <c r="K416" s="58" t="s">
        <v>4</v>
      </c>
      <c r="L416" s="57">
        <v>1881.25</v>
      </c>
      <c r="M416" s="59">
        <v>3.27</v>
      </c>
      <c r="N416" s="56" t="s">
        <v>34</v>
      </c>
      <c r="O416" s="56" t="s">
        <v>30</v>
      </c>
      <c r="P416" s="27" t="e">
        <f t="shared" ca="1" si="3"/>
        <v>#NAME?</v>
      </c>
      <c r="Q416" s="28" t="e">
        <f ca="1"/>
        <v>#NAME?</v>
      </c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</row>
    <row r="417" spans="1:28" ht="12.75">
      <c r="A417" s="52" t="s">
        <v>103</v>
      </c>
      <c r="B417" s="52" t="s">
        <v>431</v>
      </c>
      <c r="C417" s="53">
        <v>45</v>
      </c>
      <c r="D417" s="53">
        <v>167</v>
      </c>
      <c r="E417" s="53">
        <v>55</v>
      </c>
      <c r="F417" s="52" t="str">
        <v>19.7 (Normal)</v>
      </c>
      <c r="G417" s="52" t="str">
        <f t="shared" si="2"/>
        <v>Normal</v>
      </c>
      <c r="H417" s="53">
        <f ca="1">IFERROR(__xludf.DUMMYFUNCTION("""COMPUTED_VALUE"""),19.7)</f>
        <v>19.7</v>
      </c>
      <c r="I417" s="53">
        <v>21</v>
      </c>
      <c r="J417" s="10">
        <v>58.566899999999997</v>
      </c>
      <c r="K417" s="54" t="s">
        <v>42</v>
      </c>
      <c r="L417" s="53">
        <v>1373.75</v>
      </c>
      <c r="M417" s="55">
        <v>1.82</v>
      </c>
      <c r="N417" s="52" t="s">
        <v>26</v>
      </c>
      <c r="O417" s="52" t="s">
        <v>60</v>
      </c>
      <c r="P417" s="53" t="e">
        <f t="shared" ca="1" si="3"/>
        <v>#NAME?</v>
      </c>
      <c r="Q417" s="53" t="e">
        <f ca="1"/>
        <v>#NAME?</v>
      </c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</row>
    <row r="418" spans="1:28" ht="12.75">
      <c r="A418" s="35" t="s">
        <v>270</v>
      </c>
      <c r="B418" s="35" t="s">
        <v>431</v>
      </c>
      <c r="C418" s="36">
        <v>57</v>
      </c>
      <c r="D418" s="36">
        <v>178</v>
      </c>
      <c r="E418" s="36">
        <v>104</v>
      </c>
      <c r="F418" s="35" t="str">
        <v>32.8 (Obese)</v>
      </c>
      <c r="G418" s="35" t="str">
        <f t="shared" si="2"/>
        <v>Obese</v>
      </c>
      <c r="H418" s="36">
        <f ca="1">IFERROR(__xludf.DUMMYFUNCTION("""COMPUTED_VALUE"""),32.8)</f>
        <v>32.799999999999997</v>
      </c>
      <c r="I418" s="36">
        <v>21</v>
      </c>
      <c r="J418" s="10">
        <v>66.5364</v>
      </c>
      <c r="K418" s="37" t="s">
        <v>42</v>
      </c>
      <c r="L418" s="36">
        <v>1872.5</v>
      </c>
      <c r="M418" s="38">
        <v>3.43</v>
      </c>
      <c r="N418" s="35" t="s">
        <v>34</v>
      </c>
      <c r="O418" s="35" t="s">
        <v>60</v>
      </c>
      <c r="P418" s="36" t="e">
        <f t="shared" ca="1" si="3"/>
        <v>#NAME?</v>
      </c>
      <c r="Q418" s="36" t="e">
        <f ca="1"/>
        <v>#NAME?</v>
      </c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</row>
    <row r="419" spans="1:28" ht="12.75">
      <c r="A419" s="47" t="s">
        <v>271</v>
      </c>
      <c r="B419" s="47" t="s">
        <v>431</v>
      </c>
      <c r="C419" s="48">
        <v>49</v>
      </c>
      <c r="D419" s="48">
        <v>174</v>
      </c>
      <c r="E419" s="48">
        <v>61</v>
      </c>
      <c r="F419" s="47" t="str">
        <v>20.1 (Normal)</v>
      </c>
      <c r="G419" s="47" t="str">
        <f t="shared" si="2"/>
        <v>Normal</v>
      </c>
      <c r="H419" s="48">
        <f ca="1">IFERROR(__xludf.DUMMYFUNCTION("""COMPUTED_VALUE"""),20.1)</f>
        <v>20.100000000000001</v>
      </c>
      <c r="I419" s="48">
        <v>21</v>
      </c>
      <c r="J419" s="49">
        <v>63.579599999999999</v>
      </c>
      <c r="K419" s="50" t="s">
        <v>4</v>
      </c>
      <c r="L419" s="48">
        <v>1457.5</v>
      </c>
      <c r="M419" s="51">
        <v>2.0099999999999998</v>
      </c>
      <c r="N419" s="47" t="s">
        <v>16</v>
      </c>
      <c r="O419" s="47" t="s">
        <v>30</v>
      </c>
      <c r="P419" s="48" t="e">
        <f t="shared" ca="1" si="3"/>
        <v>#NAME?</v>
      </c>
      <c r="Q419" s="48" t="e">
        <f ca="1"/>
        <v>#NAME?</v>
      </c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 spans="1:28" ht="12.75">
      <c r="A420" s="47" t="s">
        <v>137</v>
      </c>
      <c r="B420" s="47" t="s">
        <v>431</v>
      </c>
      <c r="C420" s="48">
        <v>55</v>
      </c>
      <c r="D420" s="48">
        <v>173</v>
      </c>
      <c r="E420" s="48">
        <v>78</v>
      </c>
      <c r="F420" s="47" t="str">
        <v>26.1 (Overweight)</v>
      </c>
      <c r="G420" s="47" t="str">
        <f t="shared" si="2"/>
        <v>Overweight</v>
      </c>
      <c r="H420" s="48">
        <f ca="1">IFERROR(__xludf.DUMMYFUNCTION("""COMPUTED_VALUE"""),26.1)</f>
        <v>26.1</v>
      </c>
      <c r="I420" s="48">
        <v>21</v>
      </c>
      <c r="J420" s="49">
        <v>62.850900000000003</v>
      </c>
      <c r="K420" s="50" t="s">
        <v>18</v>
      </c>
      <c r="L420" s="48">
        <v>1591.25</v>
      </c>
      <c r="M420" s="51">
        <v>2.57</v>
      </c>
      <c r="N420" s="47" t="s">
        <v>16</v>
      </c>
      <c r="O420" s="47" t="s">
        <v>63</v>
      </c>
      <c r="P420" s="48" t="e">
        <f t="shared" ca="1" si="3"/>
        <v>#NAME?</v>
      </c>
      <c r="Q420" s="48" t="e">
        <f ca="1"/>
        <v>#NAME?</v>
      </c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</row>
    <row r="421" spans="1:28" ht="12.75">
      <c r="A421" s="35" t="s">
        <v>258</v>
      </c>
      <c r="B421" s="35" t="s">
        <v>431</v>
      </c>
      <c r="C421" s="36">
        <v>35</v>
      </c>
      <c r="D421" s="36">
        <v>164</v>
      </c>
      <c r="E421" s="36">
        <v>93</v>
      </c>
      <c r="F421" s="35" t="str">
        <v>34.6 (Obese)</v>
      </c>
      <c r="G421" s="35" t="str">
        <f t="shared" si="2"/>
        <v>Obese</v>
      </c>
      <c r="H421" s="36">
        <f ca="1">IFERROR(__xludf.DUMMYFUNCTION("""COMPUTED_VALUE"""),34.6)</f>
        <v>34.6</v>
      </c>
      <c r="I421" s="36">
        <v>21</v>
      </c>
      <c r="J421" s="10">
        <v>56.481599999999993</v>
      </c>
      <c r="K421" s="37" t="s">
        <v>18</v>
      </c>
      <c r="L421" s="36">
        <v>1785</v>
      </c>
      <c r="M421" s="38">
        <v>3.07</v>
      </c>
      <c r="N421" s="35" t="s">
        <v>39</v>
      </c>
      <c r="O421" s="35" t="s">
        <v>37</v>
      </c>
      <c r="P421" s="27" t="e">
        <f t="shared" ca="1" si="3"/>
        <v>#NAME?</v>
      </c>
      <c r="Q421" s="28" t="e">
        <f ca="1"/>
        <v>#NAME?</v>
      </c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</row>
    <row r="422" spans="1:28" ht="12.75">
      <c r="A422" s="47" t="s">
        <v>239</v>
      </c>
      <c r="B422" s="47" t="s">
        <v>431</v>
      </c>
      <c r="C422" s="48">
        <v>35</v>
      </c>
      <c r="D422" s="48">
        <v>182</v>
      </c>
      <c r="E422" s="48">
        <v>52</v>
      </c>
      <c r="F422" s="47" t="str">
        <v>15.7 (Underweight)</v>
      </c>
      <c r="G422" s="47" t="str">
        <f t="shared" si="2"/>
        <v>Underweight</v>
      </c>
      <c r="H422" s="48">
        <f ca="1">IFERROR(__xludf.DUMMYFUNCTION("""COMPUTED_VALUE"""),15.7)</f>
        <v>15.7</v>
      </c>
      <c r="I422" s="48">
        <v>21</v>
      </c>
      <c r="J422" s="49">
        <v>69.560400000000001</v>
      </c>
      <c r="K422" s="50" t="s">
        <v>4</v>
      </c>
      <c r="L422" s="48">
        <v>1487.5</v>
      </c>
      <c r="M422" s="51">
        <v>1.72</v>
      </c>
      <c r="N422" s="47" t="s">
        <v>16</v>
      </c>
      <c r="O422" s="47" t="s">
        <v>19</v>
      </c>
      <c r="P422" s="48" t="e">
        <f t="shared" ca="1" si="3"/>
        <v>#NAME?</v>
      </c>
      <c r="Q422" s="48" t="e">
        <f ca="1"/>
        <v>#NAME?</v>
      </c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</row>
    <row r="423" spans="1:28" ht="12.75">
      <c r="A423" s="35" t="s">
        <v>180</v>
      </c>
      <c r="B423" s="35" t="s">
        <v>431</v>
      </c>
      <c r="C423" s="36">
        <v>31</v>
      </c>
      <c r="D423" s="36">
        <v>172</v>
      </c>
      <c r="E423" s="36">
        <v>88</v>
      </c>
      <c r="F423" s="35" t="str">
        <v>29.7 (Obese)</v>
      </c>
      <c r="G423" s="35" t="str">
        <f t="shared" si="2"/>
        <v>Obese</v>
      </c>
      <c r="H423" s="36">
        <f ca="1">IFERROR(__xludf.DUMMYFUNCTION("""COMPUTED_VALUE"""),29.7)</f>
        <v>29.7</v>
      </c>
      <c r="I423" s="36">
        <v>21</v>
      </c>
      <c r="J423" s="10">
        <v>62.126399999999997</v>
      </c>
      <c r="K423" s="37" t="s">
        <v>4</v>
      </c>
      <c r="L423" s="36">
        <v>1805</v>
      </c>
      <c r="M423" s="38">
        <v>2.9</v>
      </c>
      <c r="N423" s="35" t="s">
        <v>39</v>
      </c>
      <c r="O423" s="35" t="s">
        <v>37</v>
      </c>
      <c r="P423" s="27" t="e">
        <f t="shared" ca="1" si="3"/>
        <v>#NAME?</v>
      </c>
      <c r="Q423" s="28" t="e">
        <f ca="1"/>
        <v>#NAME?</v>
      </c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</row>
    <row r="424" spans="1:28" ht="12.75">
      <c r="A424" s="35" t="s">
        <v>272</v>
      </c>
      <c r="B424" s="35" t="s">
        <v>431</v>
      </c>
      <c r="C424" s="36">
        <v>41</v>
      </c>
      <c r="D424" s="36">
        <v>173</v>
      </c>
      <c r="E424" s="36">
        <v>67</v>
      </c>
      <c r="F424" s="35" t="str">
        <v>22.4 (Normal)</v>
      </c>
      <c r="G424" s="35" t="str">
        <f t="shared" si="2"/>
        <v>Normal</v>
      </c>
      <c r="H424" s="36">
        <f ca="1">IFERROR(__xludf.DUMMYFUNCTION("""COMPUTED_VALUE"""),22.4)</f>
        <v>22.4</v>
      </c>
      <c r="I424" s="36">
        <v>21</v>
      </c>
      <c r="J424" s="10">
        <v>62.850900000000003</v>
      </c>
      <c r="K424" s="37" t="s">
        <v>4</v>
      </c>
      <c r="L424" s="36">
        <v>1551.25</v>
      </c>
      <c r="M424" s="38">
        <v>2.21</v>
      </c>
      <c r="N424" s="35" t="s">
        <v>34</v>
      </c>
      <c r="O424" s="35" t="s">
        <v>63</v>
      </c>
      <c r="P424" s="36" t="e">
        <f t="shared" ca="1" si="3"/>
        <v>#NAME?</v>
      </c>
      <c r="Q424" s="36" t="e">
        <f ca="1"/>
        <v>#NAME?</v>
      </c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</row>
    <row r="425" spans="1:28" ht="12.75">
      <c r="A425" s="52" t="s">
        <v>273</v>
      </c>
      <c r="B425" s="52" t="s">
        <v>431</v>
      </c>
      <c r="C425" s="53">
        <v>39</v>
      </c>
      <c r="D425" s="53">
        <v>163</v>
      </c>
      <c r="E425" s="53">
        <v>98</v>
      </c>
      <c r="F425" s="52" t="str">
        <v>36.9 (Obese)</v>
      </c>
      <c r="G425" s="52" t="str">
        <f t="shared" si="2"/>
        <v>Obese</v>
      </c>
      <c r="H425" s="53">
        <f ca="1">IFERROR(__xludf.DUMMYFUNCTION("""COMPUTED_VALUE"""),36.9)</f>
        <v>36.9</v>
      </c>
      <c r="I425" s="53">
        <v>21</v>
      </c>
      <c r="J425" s="10">
        <v>55.794899999999998</v>
      </c>
      <c r="K425" s="54" t="s">
        <v>28</v>
      </c>
      <c r="L425" s="53">
        <v>1808.75</v>
      </c>
      <c r="M425" s="55">
        <v>3.23</v>
      </c>
      <c r="N425" s="52" t="s">
        <v>26</v>
      </c>
      <c r="O425" s="52" t="s">
        <v>7</v>
      </c>
      <c r="P425" s="53" t="e">
        <f t="shared" ca="1" si="3"/>
        <v>#NAME?</v>
      </c>
      <c r="Q425" s="53" t="e">
        <f ca="1"/>
        <v>#NAME?</v>
      </c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</row>
    <row r="426" spans="1:28" ht="12.75">
      <c r="A426" s="44" t="s">
        <v>274</v>
      </c>
      <c r="B426" s="29" t="s">
        <v>431</v>
      </c>
      <c r="C426" s="45">
        <v>29</v>
      </c>
      <c r="D426" s="45">
        <v>177</v>
      </c>
      <c r="E426" s="45">
        <v>52</v>
      </c>
      <c r="F426" s="9" t="str">
        <v>16.6 (Underweight)</v>
      </c>
      <c r="G426" s="9" t="str">
        <f t="shared" si="2"/>
        <v>Underweight</v>
      </c>
      <c r="H426" s="24">
        <f ca="1">IFERROR(__xludf.DUMMYFUNCTION("""COMPUTED_VALUE"""),16.6)</f>
        <v>16.600000000000001</v>
      </c>
      <c r="I426" s="24">
        <v>21</v>
      </c>
      <c r="J426" s="10">
        <v>65.790900000000008</v>
      </c>
      <c r="K426" s="46" t="s">
        <v>42</v>
      </c>
      <c r="L426" s="24">
        <v>1486.25</v>
      </c>
      <c r="M426" s="26">
        <v>1.72</v>
      </c>
      <c r="N426" s="44" t="s">
        <v>39</v>
      </c>
      <c r="O426" s="44" t="s">
        <v>30</v>
      </c>
      <c r="P426" s="27" t="e">
        <f t="shared" ca="1" si="3"/>
        <v>#NAME?</v>
      </c>
      <c r="Q426" s="28" t="e">
        <f ca="1"/>
        <v>#NAME?</v>
      </c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2.75">
      <c r="A427" s="60" t="s">
        <v>102</v>
      </c>
      <c r="B427" s="60" t="s">
        <v>431</v>
      </c>
      <c r="C427" s="61">
        <v>35</v>
      </c>
      <c r="D427" s="61">
        <v>182</v>
      </c>
      <c r="E427" s="61">
        <v>66</v>
      </c>
      <c r="F427" s="60" t="str">
        <v>19.9 (Normal)</v>
      </c>
      <c r="G427" s="60" t="str">
        <f t="shared" si="2"/>
        <v>Normal</v>
      </c>
      <c r="H427" s="61">
        <f ca="1">IFERROR(__xludf.DUMMYFUNCTION("""COMPUTED_VALUE"""),19.9)</f>
        <v>19.899999999999999</v>
      </c>
      <c r="I427" s="61">
        <v>21</v>
      </c>
      <c r="J427" s="62">
        <v>69.560400000000001</v>
      </c>
      <c r="K427" s="63" t="s">
        <v>18</v>
      </c>
      <c r="L427" s="61">
        <v>1627.5</v>
      </c>
      <c r="M427" s="64">
        <v>2.1800000000000002</v>
      </c>
      <c r="N427" s="60" t="s">
        <v>39</v>
      </c>
      <c r="O427" s="60" t="s">
        <v>60</v>
      </c>
      <c r="P427" s="61" t="e">
        <f t="shared" ca="1" si="3"/>
        <v>#NAME?</v>
      </c>
      <c r="Q427" s="61" t="e">
        <f ca="1"/>
        <v>#NAME?</v>
      </c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</row>
    <row r="428" spans="1:28" ht="12.75">
      <c r="A428" s="56" t="s">
        <v>275</v>
      </c>
      <c r="B428" s="56" t="s">
        <v>431</v>
      </c>
      <c r="C428" s="57">
        <v>50</v>
      </c>
      <c r="D428" s="57">
        <v>160</v>
      </c>
      <c r="E428" s="57">
        <v>62</v>
      </c>
      <c r="F428" s="56" t="str">
        <v>24.2 (Normal)</v>
      </c>
      <c r="G428" s="56" t="str">
        <f t="shared" si="2"/>
        <v>Normal</v>
      </c>
      <c r="H428" s="57">
        <f ca="1">IFERROR(__xludf.DUMMYFUNCTION("""COMPUTED_VALUE"""),24.2)</f>
        <v>24.2</v>
      </c>
      <c r="I428" s="57">
        <v>21</v>
      </c>
      <c r="J428" s="10">
        <v>53.760000000000012</v>
      </c>
      <c r="K428" s="58" t="s">
        <v>18</v>
      </c>
      <c r="L428" s="57">
        <v>1375</v>
      </c>
      <c r="M428" s="59">
        <v>2.0499999999999998</v>
      </c>
      <c r="N428" s="56" t="s">
        <v>34</v>
      </c>
      <c r="O428" s="56" t="s">
        <v>63</v>
      </c>
      <c r="P428" s="27" t="e">
        <f t="shared" ca="1" si="3"/>
        <v>#NAME?</v>
      </c>
      <c r="Q428" s="28" t="e">
        <f ca="1"/>
        <v>#NAME?</v>
      </c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</row>
    <row r="429" spans="1:28" ht="12.75">
      <c r="A429" s="35" t="s">
        <v>119</v>
      </c>
      <c r="B429" s="35" t="s">
        <v>431</v>
      </c>
      <c r="C429" s="36">
        <v>45</v>
      </c>
      <c r="D429" s="36">
        <v>174</v>
      </c>
      <c r="E429" s="36">
        <v>65</v>
      </c>
      <c r="F429" s="35" t="str">
        <v>21.5 (Normal)</v>
      </c>
      <c r="G429" s="35" t="str">
        <f t="shared" si="2"/>
        <v>Normal</v>
      </c>
      <c r="H429" s="36">
        <f ca="1">IFERROR(__xludf.DUMMYFUNCTION("""COMPUTED_VALUE"""),21.5)</f>
        <v>21.5</v>
      </c>
      <c r="I429" s="36">
        <v>21</v>
      </c>
      <c r="J429" s="10">
        <v>63.579599999999999</v>
      </c>
      <c r="K429" s="37" t="s">
        <v>4</v>
      </c>
      <c r="L429" s="36">
        <v>1517.5</v>
      </c>
      <c r="M429" s="38">
        <v>2.15</v>
      </c>
      <c r="N429" s="35" t="s">
        <v>39</v>
      </c>
      <c r="O429" s="35" t="s">
        <v>37</v>
      </c>
      <c r="P429" s="27" t="e">
        <f t="shared" ca="1" si="3"/>
        <v>#NAME?</v>
      </c>
      <c r="Q429" s="28" t="e">
        <f ca="1"/>
        <v>#NAME?</v>
      </c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</row>
    <row r="430" spans="1:28" ht="12.75">
      <c r="A430" s="52" t="s">
        <v>154</v>
      </c>
      <c r="B430" s="52" t="s">
        <v>431</v>
      </c>
      <c r="C430" s="53">
        <v>58</v>
      </c>
      <c r="D430" s="53">
        <v>160</v>
      </c>
      <c r="E430" s="53">
        <v>98</v>
      </c>
      <c r="F430" s="52" t="str">
        <v>38.3 (Obese)</v>
      </c>
      <c r="G430" s="52" t="str">
        <f t="shared" si="2"/>
        <v>Obese</v>
      </c>
      <c r="H430" s="53">
        <f ca="1">IFERROR(__xludf.DUMMYFUNCTION("""COMPUTED_VALUE"""),38.3)</f>
        <v>38.299999999999997</v>
      </c>
      <c r="I430" s="53">
        <v>21</v>
      </c>
      <c r="J430" s="10">
        <v>53.760000000000012</v>
      </c>
      <c r="K430" s="54" t="s">
        <v>18</v>
      </c>
      <c r="L430" s="53">
        <v>1695</v>
      </c>
      <c r="M430" s="55">
        <v>3.23</v>
      </c>
      <c r="N430" s="52" t="s">
        <v>26</v>
      </c>
      <c r="O430" s="52" t="s">
        <v>19</v>
      </c>
      <c r="P430" s="53" t="e">
        <f t="shared" ca="1" si="3"/>
        <v>#NAME?</v>
      </c>
      <c r="Q430" s="53" t="e">
        <f ca="1"/>
        <v>#NAME?</v>
      </c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</row>
    <row r="431" spans="1:28" ht="12.75">
      <c r="A431" s="60" t="s">
        <v>276</v>
      </c>
      <c r="B431" s="60" t="s">
        <v>431</v>
      </c>
      <c r="C431" s="61">
        <v>41</v>
      </c>
      <c r="D431" s="61">
        <v>157</v>
      </c>
      <c r="E431" s="61">
        <v>90</v>
      </c>
      <c r="F431" s="60" t="str">
        <v>36.5 (Obese)</v>
      </c>
      <c r="G431" s="60" t="str">
        <f t="shared" si="2"/>
        <v>Obese</v>
      </c>
      <c r="H431" s="61">
        <f ca="1">IFERROR(__xludf.DUMMYFUNCTION("""COMPUTED_VALUE"""),36.5)</f>
        <v>36.5</v>
      </c>
      <c r="I431" s="61">
        <v>21</v>
      </c>
      <c r="J431" s="62">
        <v>51.762900000000002</v>
      </c>
      <c r="K431" s="63" t="s">
        <v>18</v>
      </c>
      <c r="L431" s="61">
        <v>1681.25</v>
      </c>
      <c r="M431" s="64">
        <v>2.97</v>
      </c>
      <c r="N431" s="60" t="s">
        <v>39</v>
      </c>
      <c r="O431" s="60" t="s">
        <v>19</v>
      </c>
      <c r="P431" s="61" t="e">
        <f t="shared" ca="1" si="3"/>
        <v>#NAME?</v>
      </c>
      <c r="Q431" s="61" t="e">
        <f ca="1"/>
        <v>#NAME?</v>
      </c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</row>
    <row r="432" spans="1:28" ht="12.75">
      <c r="A432" s="56" t="s">
        <v>247</v>
      </c>
      <c r="B432" s="56" t="s">
        <v>431</v>
      </c>
      <c r="C432" s="57">
        <v>31</v>
      </c>
      <c r="D432" s="57">
        <v>159</v>
      </c>
      <c r="E432" s="57">
        <v>109</v>
      </c>
      <c r="F432" s="56" t="str">
        <v>43.1 (Obese)</v>
      </c>
      <c r="G432" s="56" t="str">
        <f t="shared" si="2"/>
        <v>Obese</v>
      </c>
      <c r="H432" s="57">
        <f ca="1">IFERROR(__xludf.DUMMYFUNCTION("""COMPUTED_VALUE"""),43.1)</f>
        <v>43.1</v>
      </c>
      <c r="I432" s="57">
        <v>21</v>
      </c>
      <c r="J432" s="10">
        <v>53.090100000000007</v>
      </c>
      <c r="K432" s="58" t="s">
        <v>28</v>
      </c>
      <c r="L432" s="57">
        <v>1933.75</v>
      </c>
      <c r="M432" s="59">
        <v>3.6</v>
      </c>
      <c r="N432" s="56" t="s">
        <v>34</v>
      </c>
      <c r="O432" s="56" t="s">
        <v>19</v>
      </c>
      <c r="P432" s="27" t="e">
        <f t="shared" ca="1" si="3"/>
        <v>#NAME?</v>
      </c>
      <c r="Q432" s="28" t="e">
        <f ca="1"/>
        <v>#NAME?</v>
      </c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</row>
    <row r="433" spans="1:28" ht="12.75">
      <c r="A433" s="47" t="s">
        <v>277</v>
      </c>
      <c r="B433" s="47" t="s">
        <v>431</v>
      </c>
      <c r="C433" s="48">
        <v>33</v>
      </c>
      <c r="D433" s="48">
        <v>159</v>
      </c>
      <c r="E433" s="48">
        <v>63</v>
      </c>
      <c r="F433" s="47" t="str">
        <v>24.9 (Overweight)</v>
      </c>
      <c r="G433" s="47" t="str">
        <f t="shared" si="2"/>
        <v>Overweight</v>
      </c>
      <c r="H433" s="48">
        <f ca="1">IFERROR(__xludf.DUMMYFUNCTION("""COMPUTED_VALUE"""),24.9)</f>
        <v>24.9</v>
      </c>
      <c r="I433" s="48">
        <v>21</v>
      </c>
      <c r="J433" s="49">
        <v>53.090100000000007</v>
      </c>
      <c r="K433" s="50" t="s">
        <v>42</v>
      </c>
      <c r="L433" s="48">
        <v>1463.75</v>
      </c>
      <c r="M433" s="51">
        <v>2.08</v>
      </c>
      <c r="N433" s="47" t="s">
        <v>16</v>
      </c>
      <c r="O433" s="47" t="s">
        <v>63</v>
      </c>
      <c r="P433" s="48" t="e">
        <f t="shared" ca="1" si="3"/>
        <v>#NAME?</v>
      </c>
      <c r="Q433" s="48" t="e">
        <f ca="1"/>
        <v>#NAME?</v>
      </c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</row>
    <row r="434" spans="1:28" ht="12.75">
      <c r="A434" s="52" t="s">
        <v>278</v>
      </c>
      <c r="B434" s="52" t="s">
        <v>431</v>
      </c>
      <c r="C434" s="53">
        <v>37</v>
      </c>
      <c r="D434" s="53">
        <v>178</v>
      </c>
      <c r="E434" s="53">
        <v>84</v>
      </c>
      <c r="F434" s="52" t="str">
        <v>26.5 (Overweight)</v>
      </c>
      <c r="G434" s="52" t="str">
        <f t="shared" si="2"/>
        <v>Overweight</v>
      </c>
      <c r="H434" s="53">
        <f ca="1">IFERROR(__xludf.DUMMYFUNCTION("""COMPUTED_VALUE"""),26.5)</f>
        <v>26.5</v>
      </c>
      <c r="I434" s="53">
        <v>21</v>
      </c>
      <c r="J434" s="10">
        <v>66.5364</v>
      </c>
      <c r="K434" s="54" t="s">
        <v>28</v>
      </c>
      <c r="L434" s="53">
        <v>1772.5</v>
      </c>
      <c r="M434" s="55">
        <v>2.77</v>
      </c>
      <c r="N434" s="52" t="s">
        <v>26</v>
      </c>
      <c r="O434" s="52" t="s">
        <v>30</v>
      </c>
      <c r="P434" s="53" t="e">
        <f t="shared" ca="1" si="3"/>
        <v>#NAME?</v>
      </c>
      <c r="Q434" s="53" t="e">
        <f ca="1"/>
        <v>#NAME?</v>
      </c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</row>
    <row r="435" spans="1:28" ht="12.75">
      <c r="A435" s="56" t="s">
        <v>91</v>
      </c>
      <c r="B435" s="56" t="s">
        <v>431</v>
      </c>
      <c r="C435" s="57">
        <v>28</v>
      </c>
      <c r="D435" s="57">
        <v>162</v>
      </c>
      <c r="E435" s="57">
        <v>86</v>
      </c>
      <c r="F435" s="56" t="str">
        <v>32.8 (Obese)</v>
      </c>
      <c r="G435" s="56" t="str">
        <f t="shared" si="2"/>
        <v>Obese</v>
      </c>
      <c r="H435" s="57">
        <f ca="1">IFERROR(__xludf.DUMMYFUNCTION("""COMPUTED_VALUE"""),32.8)</f>
        <v>32.799999999999997</v>
      </c>
      <c r="I435" s="57">
        <v>21</v>
      </c>
      <c r="J435" s="10">
        <v>55.112400000000008</v>
      </c>
      <c r="K435" s="58" t="s">
        <v>42</v>
      </c>
      <c r="L435" s="57">
        <v>1737.5</v>
      </c>
      <c r="M435" s="59">
        <v>2.84</v>
      </c>
      <c r="N435" s="56" t="s">
        <v>34</v>
      </c>
      <c r="O435" s="56" t="s">
        <v>30</v>
      </c>
      <c r="P435" s="27" t="e">
        <f t="shared" ca="1" si="3"/>
        <v>#NAME?</v>
      </c>
      <c r="Q435" s="28" t="e">
        <f ca="1"/>
        <v>#NAME?</v>
      </c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</row>
    <row r="436" spans="1:28" ht="12.75">
      <c r="A436" s="56" t="s">
        <v>180</v>
      </c>
      <c r="B436" s="56" t="s">
        <v>431</v>
      </c>
      <c r="C436" s="57">
        <v>47</v>
      </c>
      <c r="D436" s="57">
        <v>173</v>
      </c>
      <c r="E436" s="57">
        <v>86</v>
      </c>
      <c r="F436" s="56" t="str">
        <v>28.7 (Obese)</v>
      </c>
      <c r="G436" s="56" t="str">
        <f t="shared" si="2"/>
        <v>Obese</v>
      </c>
      <c r="H436" s="57">
        <f ca="1">IFERROR(__xludf.DUMMYFUNCTION("""COMPUTED_VALUE"""),28.7)</f>
        <v>28.7</v>
      </c>
      <c r="I436" s="57">
        <v>21</v>
      </c>
      <c r="J436" s="10">
        <v>62.850900000000003</v>
      </c>
      <c r="K436" s="58" t="s">
        <v>42</v>
      </c>
      <c r="L436" s="57">
        <v>1711.25</v>
      </c>
      <c r="M436" s="59">
        <v>2.84</v>
      </c>
      <c r="N436" s="56" t="s">
        <v>34</v>
      </c>
      <c r="O436" s="56" t="s">
        <v>30</v>
      </c>
      <c r="P436" s="27" t="e">
        <f t="shared" ca="1" si="3"/>
        <v>#NAME?</v>
      </c>
      <c r="Q436" s="28" t="e">
        <f ca="1"/>
        <v>#NAME?</v>
      </c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</row>
    <row r="437" spans="1:28" ht="12.75">
      <c r="A437" s="47" t="s">
        <v>170</v>
      </c>
      <c r="B437" s="47" t="s">
        <v>431</v>
      </c>
      <c r="C437" s="48">
        <v>50</v>
      </c>
      <c r="D437" s="48">
        <v>158</v>
      </c>
      <c r="E437" s="48">
        <v>73</v>
      </c>
      <c r="F437" s="47" t="str">
        <v>29.2 (Obese)</v>
      </c>
      <c r="G437" s="47" t="str">
        <f t="shared" si="2"/>
        <v>Obese</v>
      </c>
      <c r="H437" s="48">
        <f ca="1">IFERROR(__xludf.DUMMYFUNCTION("""COMPUTED_VALUE"""),29.2)</f>
        <v>29.2</v>
      </c>
      <c r="I437" s="48">
        <v>21</v>
      </c>
      <c r="J437" s="49">
        <v>52.424400000000006</v>
      </c>
      <c r="K437" s="50" t="s">
        <v>28</v>
      </c>
      <c r="L437" s="48">
        <v>1472.5</v>
      </c>
      <c r="M437" s="51">
        <v>2.41</v>
      </c>
      <c r="N437" s="47" t="s">
        <v>16</v>
      </c>
      <c r="O437" s="47" t="s">
        <v>30</v>
      </c>
      <c r="P437" s="48" t="e">
        <f t="shared" ca="1" si="3"/>
        <v>#NAME?</v>
      </c>
      <c r="Q437" s="48" t="e">
        <f ca="1"/>
        <v>#NAME?</v>
      </c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</row>
    <row r="438" spans="1:28" ht="12.75">
      <c r="A438" s="56" t="s">
        <v>115</v>
      </c>
      <c r="B438" s="56" t="s">
        <v>431</v>
      </c>
      <c r="C438" s="57">
        <v>56</v>
      </c>
      <c r="D438" s="57">
        <v>173</v>
      </c>
      <c r="E438" s="57">
        <v>66</v>
      </c>
      <c r="F438" s="56" t="str">
        <v>22.1 (Normal)</v>
      </c>
      <c r="G438" s="56" t="str">
        <f t="shared" si="2"/>
        <v>Normal</v>
      </c>
      <c r="H438" s="57">
        <f ca="1">IFERROR(__xludf.DUMMYFUNCTION("""COMPUTED_VALUE"""),22.1)</f>
        <v>22.1</v>
      </c>
      <c r="I438" s="57">
        <v>21</v>
      </c>
      <c r="J438" s="10">
        <v>62.850900000000003</v>
      </c>
      <c r="K438" s="58" t="s">
        <v>18</v>
      </c>
      <c r="L438" s="57">
        <v>1466.25</v>
      </c>
      <c r="M438" s="59">
        <v>2.1800000000000002</v>
      </c>
      <c r="N438" s="56" t="s">
        <v>34</v>
      </c>
      <c r="O438" s="56" t="s">
        <v>63</v>
      </c>
      <c r="P438" s="27" t="e">
        <f t="shared" ca="1" si="3"/>
        <v>#NAME?</v>
      </c>
      <c r="Q438" s="28" t="e">
        <f ca="1"/>
        <v>#NAME?</v>
      </c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</row>
    <row r="439" spans="1:28" ht="12.75">
      <c r="A439" s="47" t="s">
        <v>279</v>
      </c>
      <c r="B439" s="47" t="s">
        <v>431</v>
      </c>
      <c r="C439" s="48">
        <v>26</v>
      </c>
      <c r="D439" s="48">
        <v>186</v>
      </c>
      <c r="E439" s="48">
        <v>85</v>
      </c>
      <c r="F439" s="47" t="str">
        <v>24.6 (Normal)</v>
      </c>
      <c r="G439" s="47" t="str">
        <f t="shared" si="2"/>
        <v>Normal</v>
      </c>
      <c r="H439" s="48">
        <f ca="1">IFERROR(__xludf.DUMMYFUNCTION("""COMPUTED_VALUE"""),24.6)</f>
        <v>24.6</v>
      </c>
      <c r="I439" s="48">
        <v>21</v>
      </c>
      <c r="J439" s="49">
        <v>72.651600000000016</v>
      </c>
      <c r="K439" s="50" t="s">
        <v>18</v>
      </c>
      <c r="L439" s="48">
        <v>1887.5</v>
      </c>
      <c r="M439" s="51">
        <v>2.81</v>
      </c>
      <c r="N439" s="47" t="s">
        <v>16</v>
      </c>
      <c r="O439" s="47" t="s">
        <v>37</v>
      </c>
      <c r="P439" s="48" t="e">
        <f t="shared" ca="1" si="3"/>
        <v>#NAME?</v>
      </c>
      <c r="Q439" s="48" t="e">
        <f ca="1"/>
        <v>#NAME?</v>
      </c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</row>
    <row r="440" spans="1:28" ht="12.75">
      <c r="A440" s="35" t="s">
        <v>67</v>
      </c>
      <c r="B440" s="35" t="s">
        <v>431</v>
      </c>
      <c r="C440" s="36">
        <v>28</v>
      </c>
      <c r="D440" s="36">
        <v>171</v>
      </c>
      <c r="E440" s="36">
        <v>54</v>
      </c>
      <c r="F440" s="35" t="str">
        <v>18.5 (Underweight)</v>
      </c>
      <c r="G440" s="35" t="str">
        <f t="shared" si="2"/>
        <v>Underweight</v>
      </c>
      <c r="H440" s="36">
        <f ca="1">IFERROR(__xludf.DUMMYFUNCTION("""COMPUTED_VALUE"""),18.5)</f>
        <v>18.5</v>
      </c>
      <c r="I440" s="36">
        <v>21</v>
      </c>
      <c r="J440" s="10">
        <v>61.406099999999995</v>
      </c>
      <c r="K440" s="37" t="s">
        <v>18</v>
      </c>
      <c r="L440" s="36">
        <v>1473.75</v>
      </c>
      <c r="M440" s="38">
        <v>1.78</v>
      </c>
      <c r="N440" s="35" t="s">
        <v>39</v>
      </c>
      <c r="O440" s="35" t="s">
        <v>37</v>
      </c>
      <c r="P440" s="27" t="e">
        <f t="shared" ca="1" si="3"/>
        <v>#NAME?</v>
      </c>
      <c r="Q440" s="28" t="e">
        <f ca="1"/>
        <v>#NAME?</v>
      </c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</row>
    <row r="441" spans="1:28" ht="12.75">
      <c r="A441" s="52" t="s">
        <v>180</v>
      </c>
      <c r="B441" s="52" t="s">
        <v>431</v>
      </c>
      <c r="C441" s="53">
        <v>38</v>
      </c>
      <c r="D441" s="53">
        <v>181</v>
      </c>
      <c r="E441" s="53">
        <v>59</v>
      </c>
      <c r="F441" s="52" t="str">
        <v>18.0 (Underweight)</v>
      </c>
      <c r="G441" s="52" t="str">
        <f t="shared" si="2"/>
        <v>Underweight</v>
      </c>
      <c r="H441" s="53">
        <f ca="1">IFERROR(__xludf.DUMMYFUNCTION("""COMPUTED_VALUE"""),18)</f>
        <v>18</v>
      </c>
      <c r="I441" s="53">
        <v>21</v>
      </c>
      <c r="J441" s="10">
        <v>68.798100000000005</v>
      </c>
      <c r="K441" s="54" t="s">
        <v>4</v>
      </c>
      <c r="L441" s="53">
        <v>1536.25</v>
      </c>
      <c r="M441" s="55">
        <v>1.95</v>
      </c>
      <c r="N441" s="52" t="s">
        <v>26</v>
      </c>
      <c r="O441" s="52" t="s">
        <v>19</v>
      </c>
      <c r="P441" s="53" t="e">
        <f t="shared" ca="1" si="3"/>
        <v>#NAME?</v>
      </c>
      <c r="Q441" s="53" t="e">
        <f ca="1"/>
        <v>#NAME?</v>
      </c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</row>
    <row r="442" spans="1:28" ht="12.75">
      <c r="A442" s="35" t="s">
        <v>156</v>
      </c>
      <c r="B442" s="35" t="s">
        <v>431</v>
      </c>
      <c r="C442" s="36">
        <v>42</v>
      </c>
      <c r="D442" s="36">
        <v>163</v>
      </c>
      <c r="E442" s="36">
        <v>73</v>
      </c>
      <c r="F442" s="35" t="str">
        <v>27.5 (Overweight)</v>
      </c>
      <c r="G442" s="35" t="str">
        <f t="shared" si="2"/>
        <v>Overweight</v>
      </c>
      <c r="H442" s="36">
        <f ca="1">IFERROR(__xludf.DUMMYFUNCTION("""COMPUTED_VALUE"""),27.5)</f>
        <v>27.5</v>
      </c>
      <c r="I442" s="36">
        <v>21</v>
      </c>
      <c r="J442" s="10">
        <v>55.794899999999998</v>
      </c>
      <c r="K442" s="37" t="s">
        <v>4</v>
      </c>
      <c r="L442" s="36">
        <v>1543.75</v>
      </c>
      <c r="M442" s="38">
        <v>2.41</v>
      </c>
      <c r="N442" s="35" t="s">
        <v>39</v>
      </c>
      <c r="O442" s="35" t="s">
        <v>37</v>
      </c>
      <c r="P442" s="27" t="e">
        <f t="shared" ca="1" si="3"/>
        <v>#NAME?</v>
      </c>
      <c r="Q442" s="28" t="e">
        <f ca="1"/>
        <v>#NAME?</v>
      </c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</row>
    <row r="443" spans="1:28" ht="12.75">
      <c r="A443" s="52" t="s">
        <v>80</v>
      </c>
      <c r="B443" s="52" t="s">
        <v>431</v>
      </c>
      <c r="C443" s="53">
        <v>31</v>
      </c>
      <c r="D443" s="53">
        <v>177</v>
      </c>
      <c r="E443" s="53">
        <v>73</v>
      </c>
      <c r="F443" s="52" t="str">
        <v>23.3 (Normal)</v>
      </c>
      <c r="G443" s="52" t="str">
        <f t="shared" si="2"/>
        <v>Normal</v>
      </c>
      <c r="H443" s="53">
        <f ca="1">IFERROR(__xludf.DUMMYFUNCTION("""COMPUTED_VALUE"""),23.3)</f>
        <v>23.3</v>
      </c>
      <c r="I443" s="53">
        <v>21</v>
      </c>
      <c r="J443" s="10">
        <v>65.790900000000008</v>
      </c>
      <c r="K443" s="54" t="s">
        <v>18</v>
      </c>
      <c r="L443" s="53">
        <v>1686.25</v>
      </c>
      <c r="M443" s="55">
        <v>2.41</v>
      </c>
      <c r="N443" s="52" t="s">
        <v>26</v>
      </c>
      <c r="O443" s="52" t="s">
        <v>19</v>
      </c>
      <c r="P443" s="53" t="e">
        <f t="shared" ca="1" si="3"/>
        <v>#NAME?</v>
      </c>
      <c r="Q443" s="53" t="e">
        <f ca="1"/>
        <v>#NAME?</v>
      </c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</row>
    <row r="444" spans="1:28" ht="12.75">
      <c r="A444" s="56" t="s">
        <v>141</v>
      </c>
      <c r="B444" s="56" t="s">
        <v>431</v>
      </c>
      <c r="C444" s="57">
        <v>37</v>
      </c>
      <c r="D444" s="57">
        <v>172</v>
      </c>
      <c r="E444" s="57">
        <v>74</v>
      </c>
      <c r="F444" s="56" t="str">
        <v>25.0 (Overweight)</v>
      </c>
      <c r="G444" s="56" t="str">
        <f t="shared" si="2"/>
        <v>Overweight</v>
      </c>
      <c r="H444" s="57">
        <f ca="1">IFERROR(__xludf.DUMMYFUNCTION("""COMPUTED_VALUE"""),25)</f>
        <v>25</v>
      </c>
      <c r="I444" s="57">
        <v>21</v>
      </c>
      <c r="J444" s="10">
        <v>62.126399999999997</v>
      </c>
      <c r="K444" s="58" t="s">
        <v>28</v>
      </c>
      <c r="L444" s="57">
        <v>1635</v>
      </c>
      <c r="M444" s="59">
        <v>2.44</v>
      </c>
      <c r="N444" s="56" t="s">
        <v>34</v>
      </c>
      <c r="O444" s="56" t="s">
        <v>63</v>
      </c>
      <c r="P444" s="27" t="e">
        <f t="shared" ca="1" si="3"/>
        <v>#NAME?</v>
      </c>
      <c r="Q444" s="28" t="e">
        <f ca="1"/>
        <v>#NAME?</v>
      </c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</row>
    <row r="445" spans="1:28" ht="12.75">
      <c r="A445" s="47" t="s">
        <v>212</v>
      </c>
      <c r="B445" s="47" t="s">
        <v>431</v>
      </c>
      <c r="C445" s="48">
        <v>25</v>
      </c>
      <c r="D445" s="48">
        <v>181</v>
      </c>
      <c r="E445" s="48">
        <v>98</v>
      </c>
      <c r="F445" s="47" t="str">
        <v>29.9 (Obese)</v>
      </c>
      <c r="G445" s="47" t="str">
        <f t="shared" si="2"/>
        <v>Obese</v>
      </c>
      <c r="H445" s="48">
        <f ca="1">IFERROR(__xludf.DUMMYFUNCTION("""COMPUTED_VALUE"""),29.9)</f>
        <v>29.9</v>
      </c>
      <c r="I445" s="48">
        <v>21</v>
      </c>
      <c r="J445" s="49">
        <v>68.798100000000005</v>
      </c>
      <c r="K445" s="50" t="s">
        <v>42</v>
      </c>
      <c r="L445" s="48">
        <v>1991.25</v>
      </c>
      <c r="M445" s="51">
        <v>3.23</v>
      </c>
      <c r="N445" s="47" t="s">
        <v>16</v>
      </c>
      <c r="O445" s="47" t="s">
        <v>37</v>
      </c>
      <c r="P445" s="48" t="e">
        <f t="shared" ca="1" si="3"/>
        <v>#NAME?</v>
      </c>
      <c r="Q445" s="48" t="e">
        <f ca="1"/>
        <v>#NAME?</v>
      </c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</row>
    <row r="446" spans="1:28" ht="12.75">
      <c r="A446" s="56" t="s">
        <v>129</v>
      </c>
      <c r="B446" s="56" t="s">
        <v>431</v>
      </c>
      <c r="C446" s="57">
        <v>28</v>
      </c>
      <c r="D446" s="57">
        <v>172</v>
      </c>
      <c r="E446" s="57">
        <v>65</v>
      </c>
      <c r="F446" s="56" t="str">
        <v>22.0 (Normal)</v>
      </c>
      <c r="G446" s="56" t="str">
        <f t="shared" si="2"/>
        <v>Normal</v>
      </c>
      <c r="H446" s="57">
        <f ca="1">IFERROR(__xludf.DUMMYFUNCTION("""COMPUTED_VALUE"""),22)</f>
        <v>22</v>
      </c>
      <c r="I446" s="57">
        <v>21</v>
      </c>
      <c r="J446" s="10">
        <v>62.126399999999997</v>
      </c>
      <c r="K446" s="58" t="s">
        <v>4</v>
      </c>
      <c r="L446" s="57">
        <v>1590</v>
      </c>
      <c r="M446" s="59">
        <v>2.15</v>
      </c>
      <c r="N446" s="56" t="s">
        <v>34</v>
      </c>
      <c r="O446" s="56" t="s">
        <v>7</v>
      </c>
      <c r="P446" s="27" t="e">
        <f t="shared" ca="1" si="3"/>
        <v>#NAME?</v>
      </c>
      <c r="Q446" s="28" t="e">
        <f ca="1"/>
        <v>#NAME?</v>
      </c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</row>
    <row r="447" spans="1:28" ht="12.75">
      <c r="A447" s="47" t="s">
        <v>102</v>
      </c>
      <c r="B447" s="47" t="s">
        <v>431</v>
      </c>
      <c r="C447" s="48">
        <v>41</v>
      </c>
      <c r="D447" s="48">
        <v>163</v>
      </c>
      <c r="E447" s="48">
        <v>54</v>
      </c>
      <c r="F447" s="47" t="str">
        <v>20.3 (Normal)</v>
      </c>
      <c r="G447" s="47" t="str">
        <f t="shared" si="2"/>
        <v>Normal</v>
      </c>
      <c r="H447" s="48">
        <f ca="1">IFERROR(__xludf.DUMMYFUNCTION("""COMPUTED_VALUE"""),20.3)</f>
        <v>20.3</v>
      </c>
      <c r="I447" s="48">
        <v>21</v>
      </c>
      <c r="J447" s="49">
        <v>55.794899999999998</v>
      </c>
      <c r="K447" s="50" t="s">
        <v>28</v>
      </c>
      <c r="L447" s="48">
        <v>1358.75</v>
      </c>
      <c r="M447" s="51">
        <v>1.78</v>
      </c>
      <c r="N447" s="47" t="s">
        <v>16</v>
      </c>
      <c r="O447" s="47" t="s">
        <v>37</v>
      </c>
      <c r="P447" s="48" t="e">
        <f t="shared" ca="1" si="3"/>
        <v>#NAME?</v>
      </c>
      <c r="Q447" s="48" t="e">
        <f ca="1"/>
        <v>#NAME?</v>
      </c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</row>
    <row r="448" spans="1:28" ht="12.75">
      <c r="A448" s="47" t="s">
        <v>280</v>
      </c>
      <c r="B448" s="47" t="s">
        <v>431</v>
      </c>
      <c r="C448" s="48">
        <v>42</v>
      </c>
      <c r="D448" s="48">
        <v>159</v>
      </c>
      <c r="E448" s="48">
        <v>84</v>
      </c>
      <c r="F448" s="47" t="str">
        <v>33.2 (Obese)</v>
      </c>
      <c r="G448" s="47" t="str">
        <f t="shared" si="2"/>
        <v>Obese</v>
      </c>
      <c r="H448" s="48">
        <f ca="1">IFERROR(__xludf.DUMMYFUNCTION("""COMPUTED_VALUE"""),33.2)</f>
        <v>33.200000000000003</v>
      </c>
      <c r="I448" s="48">
        <v>21</v>
      </c>
      <c r="J448" s="49">
        <v>53.090100000000007</v>
      </c>
      <c r="K448" s="50" t="s">
        <v>42</v>
      </c>
      <c r="L448" s="48">
        <v>1628.75</v>
      </c>
      <c r="M448" s="51">
        <v>2.77</v>
      </c>
      <c r="N448" s="47" t="s">
        <v>16</v>
      </c>
      <c r="O448" s="47" t="s">
        <v>63</v>
      </c>
      <c r="P448" s="48" t="e">
        <f t="shared" ca="1" si="3"/>
        <v>#NAME?</v>
      </c>
      <c r="Q448" s="48" t="e">
        <f ca="1"/>
        <v>#NAME?</v>
      </c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</row>
    <row r="449" spans="1:28" ht="12.75">
      <c r="A449" s="35" t="s">
        <v>102</v>
      </c>
      <c r="B449" s="35" t="s">
        <v>431</v>
      </c>
      <c r="C449" s="36">
        <v>38</v>
      </c>
      <c r="D449" s="36">
        <v>181</v>
      </c>
      <c r="E449" s="36">
        <v>59</v>
      </c>
      <c r="F449" s="35" t="str">
        <v>18.0 (Underweight)</v>
      </c>
      <c r="G449" s="35" t="str">
        <f t="shared" si="2"/>
        <v>Underweight</v>
      </c>
      <c r="H449" s="36">
        <f ca="1">IFERROR(__xludf.DUMMYFUNCTION("""COMPUTED_VALUE"""),18)</f>
        <v>18</v>
      </c>
      <c r="I449" s="36">
        <v>21</v>
      </c>
      <c r="J449" s="10">
        <v>68.798100000000005</v>
      </c>
      <c r="K449" s="37" t="s">
        <v>4</v>
      </c>
      <c r="L449" s="36">
        <v>1536.25</v>
      </c>
      <c r="M449" s="38">
        <v>1.95</v>
      </c>
      <c r="N449" s="35" t="s">
        <v>39</v>
      </c>
      <c r="O449" s="35" t="s">
        <v>37</v>
      </c>
      <c r="P449" s="27" t="e">
        <f t="shared" ca="1" si="3"/>
        <v>#NAME?</v>
      </c>
      <c r="Q449" s="28" t="e">
        <f ca="1"/>
        <v>#NAME?</v>
      </c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</row>
    <row r="450" spans="1:28" ht="12.75">
      <c r="A450" s="60" t="s">
        <v>53</v>
      </c>
      <c r="B450" s="60" t="s">
        <v>431</v>
      </c>
      <c r="C450" s="61">
        <v>32</v>
      </c>
      <c r="D450" s="61">
        <v>182</v>
      </c>
      <c r="E450" s="61">
        <v>108</v>
      </c>
      <c r="F450" s="60" t="str">
        <v>32.6 (Obese)</v>
      </c>
      <c r="G450" s="60" t="str">
        <f t="shared" si="2"/>
        <v>Obese</v>
      </c>
      <c r="H450" s="61">
        <f ca="1">IFERROR(__xludf.DUMMYFUNCTION("""COMPUTED_VALUE"""),32.6)</f>
        <v>32.6</v>
      </c>
      <c r="I450" s="61">
        <v>21</v>
      </c>
      <c r="J450" s="62">
        <v>69.560400000000001</v>
      </c>
      <c r="K450" s="63" t="s">
        <v>28</v>
      </c>
      <c r="L450" s="61">
        <v>2062.5</v>
      </c>
      <c r="M450" s="64">
        <v>3.56</v>
      </c>
      <c r="N450" s="60" t="s">
        <v>39</v>
      </c>
      <c r="O450" s="60" t="s">
        <v>7</v>
      </c>
      <c r="P450" s="61" t="e">
        <f t="shared" ca="1" si="3"/>
        <v>#NAME?</v>
      </c>
      <c r="Q450" s="61" t="e">
        <f ca="1"/>
        <v>#NAME?</v>
      </c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</row>
    <row r="451" spans="1:28" ht="12.75">
      <c r="A451" s="56" t="s">
        <v>170</v>
      </c>
      <c r="B451" s="56" t="s">
        <v>431</v>
      </c>
      <c r="C451" s="57">
        <v>35</v>
      </c>
      <c r="D451" s="57">
        <v>172</v>
      </c>
      <c r="E451" s="57">
        <v>92</v>
      </c>
      <c r="F451" s="56" t="str">
        <v>31.1 (Obese)</v>
      </c>
      <c r="G451" s="56" t="str">
        <f t="shared" si="2"/>
        <v>Obese</v>
      </c>
      <c r="H451" s="57">
        <f ca="1">IFERROR(__xludf.DUMMYFUNCTION("""COMPUTED_VALUE"""),31.1)</f>
        <v>31.1</v>
      </c>
      <c r="I451" s="57">
        <v>21</v>
      </c>
      <c r="J451" s="10">
        <v>62.126399999999997</v>
      </c>
      <c r="K451" s="58" t="s">
        <v>4</v>
      </c>
      <c r="L451" s="57">
        <v>1825</v>
      </c>
      <c r="M451" s="59">
        <v>3.04</v>
      </c>
      <c r="N451" s="56" t="s">
        <v>34</v>
      </c>
      <c r="O451" s="56" t="s">
        <v>37</v>
      </c>
      <c r="P451" s="57" t="e">
        <f t="shared" ca="1" si="3"/>
        <v>#NAME?</v>
      </c>
      <c r="Q451" s="57" t="e">
        <f ca="1"/>
        <v>#NAME?</v>
      </c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</row>
    <row r="452" spans="1:28" ht="12.75">
      <c r="A452" s="52" t="s">
        <v>281</v>
      </c>
      <c r="B452" s="52" t="s">
        <v>431</v>
      </c>
      <c r="C452" s="53">
        <v>46</v>
      </c>
      <c r="D452" s="53">
        <v>182</v>
      </c>
      <c r="E452" s="53">
        <v>64</v>
      </c>
      <c r="F452" s="52" t="str">
        <v>19.3 (Normal)</v>
      </c>
      <c r="G452" s="52" t="str">
        <f t="shared" si="2"/>
        <v>Normal</v>
      </c>
      <c r="H452" s="53">
        <f ca="1">IFERROR(__xludf.DUMMYFUNCTION("""COMPUTED_VALUE"""),19.3)</f>
        <v>19.3</v>
      </c>
      <c r="I452" s="53">
        <v>21</v>
      </c>
      <c r="J452" s="10">
        <v>69.560400000000001</v>
      </c>
      <c r="K452" s="54" t="s">
        <v>4</v>
      </c>
      <c r="L452" s="53">
        <v>1552.5</v>
      </c>
      <c r="M452" s="55">
        <v>2.11</v>
      </c>
      <c r="N452" s="52" t="s">
        <v>26</v>
      </c>
      <c r="O452" s="52" t="s">
        <v>60</v>
      </c>
      <c r="P452" s="53" t="e">
        <f t="shared" ca="1" si="3"/>
        <v>#NAME?</v>
      </c>
      <c r="Q452" s="53" t="e">
        <f ca="1"/>
        <v>#NAME?</v>
      </c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</row>
    <row r="453" spans="1:28" ht="12.75">
      <c r="A453" s="56" t="s">
        <v>74</v>
      </c>
      <c r="B453" s="56" t="s">
        <v>431</v>
      </c>
      <c r="C453" s="57">
        <v>55</v>
      </c>
      <c r="D453" s="57">
        <v>175</v>
      </c>
      <c r="E453" s="57">
        <v>61</v>
      </c>
      <c r="F453" s="56" t="str">
        <v>19.9 (Normal)</v>
      </c>
      <c r="G453" s="56" t="str">
        <f t="shared" si="2"/>
        <v>Normal</v>
      </c>
      <c r="H453" s="57">
        <f ca="1">IFERROR(__xludf.DUMMYFUNCTION("""COMPUTED_VALUE"""),19.9)</f>
        <v>19.899999999999999</v>
      </c>
      <c r="I453" s="57">
        <v>21</v>
      </c>
      <c r="J453" s="10">
        <v>64.3125</v>
      </c>
      <c r="K453" s="58" t="s">
        <v>28</v>
      </c>
      <c r="L453" s="57">
        <v>1433.75</v>
      </c>
      <c r="M453" s="59">
        <v>2.0099999999999998</v>
      </c>
      <c r="N453" s="56" t="s">
        <v>34</v>
      </c>
      <c r="O453" s="56" t="s">
        <v>30</v>
      </c>
      <c r="P453" s="57" t="e">
        <f t="shared" ca="1" si="3"/>
        <v>#NAME?</v>
      </c>
      <c r="Q453" s="57" t="e">
        <f ca="1"/>
        <v>#NAME?</v>
      </c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</row>
    <row r="454" spans="1:28" ht="12.75">
      <c r="A454" s="13" t="s">
        <v>189</v>
      </c>
      <c r="B454" s="13" t="s">
        <v>431</v>
      </c>
      <c r="C454" s="28">
        <v>29</v>
      </c>
      <c r="D454" s="28">
        <v>186</v>
      </c>
      <c r="E454" s="28">
        <v>80</v>
      </c>
      <c r="F454" s="13" t="str">
        <v>23.1 (Normal)</v>
      </c>
      <c r="G454" s="13" t="str">
        <f t="shared" si="2"/>
        <v>Normal</v>
      </c>
      <c r="H454" s="28">
        <f ca="1">IFERROR(__xludf.DUMMYFUNCTION("""COMPUTED_VALUE"""),23.1)</f>
        <v>23.1</v>
      </c>
      <c r="I454" s="28">
        <v>21</v>
      </c>
      <c r="J454" s="10">
        <v>72.651600000000016</v>
      </c>
      <c r="K454" s="65" t="s">
        <v>4</v>
      </c>
      <c r="L454" s="28">
        <v>1822.5</v>
      </c>
      <c r="M454" s="66">
        <v>2.64</v>
      </c>
      <c r="N454" s="13" t="s">
        <v>39</v>
      </c>
      <c r="O454" s="13" t="s">
        <v>63</v>
      </c>
      <c r="P454" s="28" t="e">
        <f t="shared" ca="1" si="3"/>
        <v>#NAME?</v>
      </c>
      <c r="Q454" s="28" t="e">
        <f ca="1"/>
        <v>#NAME?</v>
      </c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12.75">
      <c r="A455" s="52" t="s">
        <v>282</v>
      </c>
      <c r="B455" s="52" t="s">
        <v>431</v>
      </c>
      <c r="C455" s="53">
        <v>27</v>
      </c>
      <c r="D455" s="53">
        <v>174</v>
      </c>
      <c r="E455" s="53">
        <v>82</v>
      </c>
      <c r="F455" s="52" t="str">
        <v>27.1 (Overweight)</v>
      </c>
      <c r="G455" s="52" t="str">
        <f t="shared" si="2"/>
        <v>Overweight</v>
      </c>
      <c r="H455" s="53">
        <f ca="1">IFERROR(__xludf.DUMMYFUNCTION("""COMPUTED_VALUE"""),27.1)</f>
        <v>27.1</v>
      </c>
      <c r="I455" s="53">
        <v>21</v>
      </c>
      <c r="J455" s="10">
        <v>63.579599999999999</v>
      </c>
      <c r="K455" s="54" t="s">
        <v>28</v>
      </c>
      <c r="L455" s="53">
        <v>1777.5</v>
      </c>
      <c r="M455" s="55">
        <v>2.71</v>
      </c>
      <c r="N455" s="52" t="s">
        <v>26</v>
      </c>
      <c r="O455" s="52" t="s">
        <v>60</v>
      </c>
      <c r="P455" s="53" t="e">
        <f t="shared" ca="1" si="3"/>
        <v>#NAME?</v>
      </c>
      <c r="Q455" s="53" t="e">
        <f ca="1"/>
        <v>#NAME?</v>
      </c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</row>
    <row r="456" spans="1:28" ht="12.75">
      <c r="A456" s="56" t="s">
        <v>283</v>
      </c>
      <c r="B456" s="56" t="s">
        <v>431</v>
      </c>
      <c r="C456" s="57">
        <v>34</v>
      </c>
      <c r="D456" s="57">
        <v>157</v>
      </c>
      <c r="E456" s="57">
        <v>57</v>
      </c>
      <c r="F456" s="56" t="str">
        <v>23.1 (Normal)</v>
      </c>
      <c r="G456" s="56" t="str">
        <f t="shared" si="2"/>
        <v>Normal</v>
      </c>
      <c r="H456" s="57">
        <f ca="1">IFERROR(__xludf.DUMMYFUNCTION("""COMPUTED_VALUE"""),23.1)</f>
        <v>23.1</v>
      </c>
      <c r="I456" s="57">
        <v>21</v>
      </c>
      <c r="J456" s="10">
        <v>51.762900000000002</v>
      </c>
      <c r="K456" s="58" t="s">
        <v>28</v>
      </c>
      <c r="L456" s="57">
        <v>1386.25</v>
      </c>
      <c r="M456" s="59">
        <v>1.88</v>
      </c>
      <c r="N456" s="56" t="s">
        <v>34</v>
      </c>
      <c r="O456" s="56" t="s">
        <v>7</v>
      </c>
      <c r="P456" s="57" t="e">
        <f t="shared" ca="1" si="3"/>
        <v>#NAME?</v>
      </c>
      <c r="Q456" s="57" t="e">
        <f ca="1"/>
        <v>#NAME?</v>
      </c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</row>
    <row r="457" spans="1:28" ht="12.75">
      <c r="A457" s="67" t="s">
        <v>284</v>
      </c>
      <c r="B457" s="67" t="s">
        <v>431</v>
      </c>
      <c r="C457" s="68">
        <v>37</v>
      </c>
      <c r="D457" s="68">
        <v>157</v>
      </c>
      <c r="E457" s="68">
        <v>91</v>
      </c>
      <c r="F457" s="67" t="str">
        <v>36.9 (Obese)</v>
      </c>
      <c r="G457" s="67" t="str">
        <f t="shared" si="2"/>
        <v>Obese</v>
      </c>
      <c r="H457" s="68">
        <f ca="1">IFERROR(__xludf.DUMMYFUNCTION("""COMPUTED_VALUE"""),36.9)</f>
        <v>36.9</v>
      </c>
      <c r="I457" s="68">
        <v>21</v>
      </c>
      <c r="J457" s="10">
        <v>51.762900000000002</v>
      </c>
      <c r="K457" s="69" t="s">
        <v>28</v>
      </c>
      <c r="L457" s="68">
        <v>1711.25</v>
      </c>
      <c r="M457" s="70">
        <v>3</v>
      </c>
      <c r="N457" s="67" t="s">
        <v>26</v>
      </c>
      <c r="O457" s="67" t="s">
        <v>63</v>
      </c>
      <c r="P457" s="68" t="e">
        <f t="shared" ca="1" si="3"/>
        <v>#NAME?</v>
      </c>
      <c r="Q457" s="68" t="e">
        <f ca="1"/>
        <v>#NAME?</v>
      </c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</row>
    <row r="458" spans="1:28" ht="12.75">
      <c r="A458" s="56" t="s">
        <v>67</v>
      </c>
      <c r="B458" s="56" t="s">
        <v>431</v>
      </c>
      <c r="C458" s="57">
        <v>27</v>
      </c>
      <c r="D458" s="57">
        <v>185</v>
      </c>
      <c r="E458" s="57">
        <v>59</v>
      </c>
      <c r="F458" s="56" t="str">
        <v>17.2 (Underweight)</v>
      </c>
      <c r="G458" s="56" t="str">
        <f t="shared" si="2"/>
        <v>Underweight</v>
      </c>
      <c r="H458" s="57">
        <f ca="1">IFERROR(__xludf.DUMMYFUNCTION("""COMPUTED_VALUE"""),17.2)</f>
        <v>17.2</v>
      </c>
      <c r="I458" s="57">
        <v>21</v>
      </c>
      <c r="J458" s="10">
        <v>71.872500000000002</v>
      </c>
      <c r="K458" s="58" t="s">
        <v>28</v>
      </c>
      <c r="L458" s="57">
        <v>1616.25</v>
      </c>
      <c r="M458" s="59">
        <v>1.95</v>
      </c>
      <c r="N458" s="56" t="s">
        <v>34</v>
      </c>
      <c r="O458" s="56" t="s">
        <v>30</v>
      </c>
      <c r="P458" s="57" t="e">
        <f t="shared" ca="1" si="3"/>
        <v>#NAME?</v>
      </c>
      <c r="Q458" s="57" t="e">
        <f ca="1"/>
        <v>#NAME?</v>
      </c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</row>
    <row r="459" spans="1:28" ht="12.75">
      <c r="A459" s="67" t="s">
        <v>154</v>
      </c>
      <c r="B459" s="67" t="s">
        <v>431</v>
      </c>
      <c r="C459" s="68">
        <v>51</v>
      </c>
      <c r="D459" s="68">
        <v>160</v>
      </c>
      <c r="E459" s="68">
        <v>71</v>
      </c>
      <c r="F459" s="67" t="str">
        <v>27.7 (Obese)</v>
      </c>
      <c r="G459" s="67" t="str">
        <f t="shared" si="2"/>
        <v>Obese</v>
      </c>
      <c r="H459" s="68">
        <f ca="1">IFERROR(__xludf.DUMMYFUNCTION("""COMPUTED_VALUE"""),27.7)</f>
        <v>27.7</v>
      </c>
      <c r="I459" s="68">
        <v>21</v>
      </c>
      <c r="J459" s="10">
        <v>53.760000000000012</v>
      </c>
      <c r="K459" s="69" t="s">
        <v>42</v>
      </c>
      <c r="L459" s="68">
        <v>1460</v>
      </c>
      <c r="M459" s="70">
        <v>2.34</v>
      </c>
      <c r="N459" s="67" t="s">
        <v>26</v>
      </c>
      <c r="O459" s="67" t="s">
        <v>19</v>
      </c>
      <c r="P459" s="68" t="e">
        <f t="shared" ca="1" si="3"/>
        <v>#NAME?</v>
      </c>
      <c r="Q459" s="68" t="e">
        <f ca="1"/>
        <v>#NAME?</v>
      </c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</row>
    <row r="460" spans="1:28" ht="12.75">
      <c r="A460" s="60" t="s">
        <v>249</v>
      </c>
      <c r="B460" s="60" t="s">
        <v>431</v>
      </c>
      <c r="C460" s="61">
        <v>55</v>
      </c>
      <c r="D460" s="61">
        <v>178</v>
      </c>
      <c r="E460" s="61">
        <v>105</v>
      </c>
      <c r="F460" s="60" t="str">
        <v>33.1 (Obese)</v>
      </c>
      <c r="G460" s="60" t="str">
        <f t="shared" si="2"/>
        <v>Obese</v>
      </c>
      <c r="H460" s="61">
        <f ca="1">IFERROR(__xludf.DUMMYFUNCTION("""COMPUTED_VALUE"""),33.1)</f>
        <v>33.1</v>
      </c>
      <c r="I460" s="61">
        <v>21</v>
      </c>
      <c r="J460" s="62">
        <v>66.5364</v>
      </c>
      <c r="K460" s="63" t="s">
        <v>28</v>
      </c>
      <c r="L460" s="61">
        <v>1892.5</v>
      </c>
      <c r="M460" s="64">
        <v>3.47</v>
      </c>
      <c r="N460" s="60" t="s">
        <v>39</v>
      </c>
      <c r="O460" s="60" t="s">
        <v>37</v>
      </c>
      <c r="P460" s="61" t="e">
        <f t="shared" ca="1" si="3"/>
        <v>#NAME?</v>
      </c>
      <c r="Q460" s="61" t="e">
        <f ca="1"/>
        <v>#NAME?</v>
      </c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</row>
    <row r="461" spans="1:28" ht="12.75">
      <c r="A461" s="47" t="s">
        <v>285</v>
      </c>
      <c r="B461" s="47" t="s">
        <v>431</v>
      </c>
      <c r="C461" s="48">
        <v>57</v>
      </c>
      <c r="D461" s="48">
        <v>162</v>
      </c>
      <c r="E461" s="48">
        <v>83</v>
      </c>
      <c r="F461" s="47" t="str">
        <v>31.6 (Obese)</v>
      </c>
      <c r="G461" s="47" t="str">
        <f t="shared" si="2"/>
        <v>Obese</v>
      </c>
      <c r="H461" s="48">
        <f ca="1">IFERROR(__xludf.DUMMYFUNCTION("""COMPUTED_VALUE"""),31.6)</f>
        <v>31.6</v>
      </c>
      <c r="I461" s="48">
        <v>21</v>
      </c>
      <c r="J461" s="49">
        <v>55.112400000000008</v>
      </c>
      <c r="K461" s="50" t="s">
        <v>18</v>
      </c>
      <c r="L461" s="48">
        <v>1562.5</v>
      </c>
      <c r="M461" s="51">
        <v>2.74</v>
      </c>
      <c r="N461" s="47" t="s">
        <v>16</v>
      </c>
      <c r="O461" s="47" t="s">
        <v>60</v>
      </c>
      <c r="P461" s="48" t="e">
        <f t="shared" ca="1" si="3"/>
        <v>#NAME?</v>
      </c>
      <c r="Q461" s="48" t="e">
        <f ca="1"/>
        <v>#NAME?</v>
      </c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</row>
    <row r="462" spans="1:28" ht="12.75">
      <c r="A462" s="52" t="s">
        <v>134</v>
      </c>
      <c r="B462" s="52" t="s">
        <v>431</v>
      </c>
      <c r="C462" s="53">
        <v>32</v>
      </c>
      <c r="D462" s="53">
        <v>168</v>
      </c>
      <c r="E462" s="53">
        <v>78</v>
      </c>
      <c r="F462" s="52" t="str">
        <v>27.6 (Obese)</v>
      </c>
      <c r="G462" s="52" t="str">
        <f t="shared" si="2"/>
        <v>Obese</v>
      </c>
      <c r="H462" s="53">
        <f ca="1">IFERROR(__xludf.DUMMYFUNCTION("""COMPUTED_VALUE"""),27.6)</f>
        <v>27.6</v>
      </c>
      <c r="I462" s="53">
        <v>21</v>
      </c>
      <c r="J462" s="10">
        <v>59.270399999999988</v>
      </c>
      <c r="K462" s="54" t="s">
        <v>4</v>
      </c>
      <c r="L462" s="53">
        <v>1675</v>
      </c>
      <c r="M462" s="55">
        <v>2.57</v>
      </c>
      <c r="N462" s="52" t="s">
        <v>26</v>
      </c>
      <c r="O462" s="52" t="s">
        <v>19</v>
      </c>
      <c r="P462" s="53" t="e">
        <f t="shared" ca="1" si="3"/>
        <v>#NAME?</v>
      </c>
      <c r="Q462" s="53" t="e">
        <f ca="1"/>
        <v>#NAME?</v>
      </c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</row>
    <row r="463" spans="1:28" ht="12.75">
      <c r="A463" s="56" t="s">
        <v>286</v>
      </c>
      <c r="B463" s="56" t="s">
        <v>431</v>
      </c>
      <c r="C463" s="57">
        <v>38</v>
      </c>
      <c r="D463" s="57">
        <v>160</v>
      </c>
      <c r="E463" s="57">
        <v>85</v>
      </c>
      <c r="F463" s="56" t="str">
        <v>33.2 (Obese)</v>
      </c>
      <c r="G463" s="56" t="str">
        <f t="shared" si="2"/>
        <v>Obese</v>
      </c>
      <c r="H463" s="57">
        <f ca="1">IFERROR(__xludf.DUMMYFUNCTION("""COMPUTED_VALUE"""),33.2)</f>
        <v>33.200000000000003</v>
      </c>
      <c r="I463" s="57">
        <v>21</v>
      </c>
      <c r="J463" s="10">
        <v>53.760000000000012</v>
      </c>
      <c r="K463" s="58" t="s">
        <v>18</v>
      </c>
      <c r="L463" s="57">
        <v>1665</v>
      </c>
      <c r="M463" s="59">
        <v>2.81</v>
      </c>
      <c r="N463" s="56" t="s">
        <v>34</v>
      </c>
      <c r="O463" s="56" t="s">
        <v>60</v>
      </c>
      <c r="P463" s="57" t="e">
        <f t="shared" ca="1" si="3"/>
        <v>#NAME?</v>
      </c>
      <c r="Q463" s="57" t="e">
        <f ca="1"/>
        <v>#NAME?</v>
      </c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</row>
    <row r="464" spans="1:28" ht="12.75">
      <c r="A464" s="56" t="s">
        <v>287</v>
      </c>
      <c r="B464" s="56" t="s">
        <v>431</v>
      </c>
      <c r="C464" s="57">
        <v>34</v>
      </c>
      <c r="D464" s="57">
        <v>159</v>
      </c>
      <c r="E464" s="57">
        <v>50</v>
      </c>
      <c r="F464" s="56" t="str">
        <v>19.8 (Normal)</v>
      </c>
      <c r="G464" s="56" t="str">
        <f t="shared" si="2"/>
        <v>Normal</v>
      </c>
      <c r="H464" s="57">
        <f ca="1">IFERROR(__xludf.DUMMYFUNCTION("""COMPUTED_VALUE"""),19.8)</f>
        <v>19.8</v>
      </c>
      <c r="I464" s="57">
        <v>21</v>
      </c>
      <c r="J464" s="10">
        <v>53.090100000000007</v>
      </c>
      <c r="K464" s="58" t="s">
        <v>28</v>
      </c>
      <c r="L464" s="57">
        <v>1328.75</v>
      </c>
      <c r="M464" s="59">
        <v>1.65</v>
      </c>
      <c r="N464" s="56" t="s">
        <v>34</v>
      </c>
      <c r="O464" s="56" t="s">
        <v>19</v>
      </c>
      <c r="P464" s="57" t="e">
        <f t="shared" ca="1" si="3"/>
        <v>#NAME?</v>
      </c>
      <c r="Q464" s="57" t="e">
        <f ca="1"/>
        <v>#NAME?</v>
      </c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</row>
    <row r="465" spans="1:28" ht="12.75">
      <c r="A465" s="60" t="s">
        <v>285</v>
      </c>
      <c r="B465" s="60" t="s">
        <v>431</v>
      </c>
      <c r="C465" s="61">
        <v>28</v>
      </c>
      <c r="D465" s="61">
        <v>182</v>
      </c>
      <c r="E465" s="61">
        <v>82</v>
      </c>
      <c r="F465" s="60" t="str">
        <v>24.8 (Normal)</v>
      </c>
      <c r="G465" s="60" t="str">
        <f t="shared" si="2"/>
        <v>Normal</v>
      </c>
      <c r="H465" s="61">
        <f ca="1">IFERROR(__xludf.DUMMYFUNCTION("""COMPUTED_VALUE"""),24.8)</f>
        <v>24.8</v>
      </c>
      <c r="I465" s="61">
        <v>21</v>
      </c>
      <c r="J465" s="62">
        <v>69.560400000000001</v>
      </c>
      <c r="K465" s="63" t="s">
        <v>28</v>
      </c>
      <c r="L465" s="61">
        <v>1822.5</v>
      </c>
      <c r="M465" s="64">
        <v>2.71</v>
      </c>
      <c r="N465" s="60" t="s">
        <v>39</v>
      </c>
      <c r="O465" s="60" t="s">
        <v>7</v>
      </c>
      <c r="P465" s="61" t="e">
        <f t="shared" ca="1" si="3"/>
        <v>#NAME?</v>
      </c>
      <c r="Q465" s="61" t="e">
        <f ca="1"/>
        <v>#NAME?</v>
      </c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</row>
    <row r="466" spans="1:28" ht="12.75">
      <c r="A466" s="47" t="s">
        <v>106</v>
      </c>
      <c r="B466" s="47" t="s">
        <v>431</v>
      </c>
      <c r="C466" s="48">
        <v>45</v>
      </c>
      <c r="D466" s="48">
        <v>165</v>
      </c>
      <c r="E466" s="48">
        <v>66</v>
      </c>
      <c r="F466" s="47" t="str">
        <v>24.2 (Normal)</v>
      </c>
      <c r="G466" s="47" t="str">
        <f t="shared" si="2"/>
        <v>Normal</v>
      </c>
      <c r="H466" s="48">
        <f ca="1">IFERROR(__xludf.DUMMYFUNCTION("""COMPUTED_VALUE"""),24.2)</f>
        <v>24.2</v>
      </c>
      <c r="I466" s="48">
        <v>21</v>
      </c>
      <c r="J466" s="49">
        <v>57.172499999999992</v>
      </c>
      <c r="K466" s="50" t="s">
        <v>18</v>
      </c>
      <c r="L466" s="48">
        <v>1471.25</v>
      </c>
      <c r="M466" s="51">
        <v>2.1800000000000002</v>
      </c>
      <c r="N466" s="47" t="s">
        <v>16</v>
      </c>
      <c r="O466" s="47" t="s">
        <v>30</v>
      </c>
      <c r="P466" s="48" t="e">
        <f t="shared" ca="1" si="3"/>
        <v>#NAME?</v>
      </c>
      <c r="Q466" s="48" t="e">
        <f ca="1"/>
        <v>#NAME?</v>
      </c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</row>
    <row r="467" spans="1:28" ht="12.75">
      <c r="A467" s="60" t="s">
        <v>51</v>
      </c>
      <c r="B467" s="60" t="s">
        <v>431</v>
      </c>
      <c r="C467" s="61">
        <v>25</v>
      </c>
      <c r="D467" s="61">
        <v>170</v>
      </c>
      <c r="E467" s="61">
        <v>104</v>
      </c>
      <c r="F467" s="60" t="str">
        <v>36.0 (Obese)</v>
      </c>
      <c r="G467" s="60" t="str">
        <f t="shared" si="2"/>
        <v>Obese</v>
      </c>
      <c r="H467" s="61">
        <f ca="1">IFERROR(__xludf.DUMMYFUNCTION("""COMPUTED_VALUE"""),36)</f>
        <v>36</v>
      </c>
      <c r="I467" s="61">
        <v>21</v>
      </c>
      <c r="J467" s="62">
        <v>60.689999999999991</v>
      </c>
      <c r="K467" s="63" t="s">
        <v>18</v>
      </c>
      <c r="L467" s="61">
        <v>1982.5</v>
      </c>
      <c r="M467" s="64">
        <v>3.43</v>
      </c>
      <c r="N467" s="60" t="s">
        <v>39</v>
      </c>
      <c r="O467" s="60" t="s">
        <v>60</v>
      </c>
      <c r="P467" s="61" t="e">
        <f t="shared" ca="1" si="3"/>
        <v>#NAME?</v>
      </c>
      <c r="Q467" s="61" t="e">
        <f ca="1"/>
        <v>#NAME?</v>
      </c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</row>
    <row r="468" spans="1:28" ht="12.75">
      <c r="A468" s="47" t="s">
        <v>288</v>
      </c>
      <c r="B468" s="47" t="s">
        <v>431</v>
      </c>
      <c r="C468" s="48">
        <v>56</v>
      </c>
      <c r="D468" s="48">
        <v>185</v>
      </c>
      <c r="E468" s="48">
        <v>64</v>
      </c>
      <c r="F468" s="47" t="str">
        <v>18.7 (Normal)</v>
      </c>
      <c r="G468" s="47" t="str">
        <f t="shared" si="2"/>
        <v>Normal</v>
      </c>
      <c r="H468" s="48">
        <f ca="1">IFERROR(__xludf.DUMMYFUNCTION("""COMPUTED_VALUE"""),18.7)</f>
        <v>18.7</v>
      </c>
      <c r="I468" s="48">
        <v>21</v>
      </c>
      <c r="J468" s="49">
        <v>71.872500000000002</v>
      </c>
      <c r="K468" s="50" t="s">
        <v>4</v>
      </c>
      <c r="L468" s="48">
        <v>1521.25</v>
      </c>
      <c r="M468" s="51">
        <v>2.11</v>
      </c>
      <c r="N468" s="47" t="s">
        <v>16</v>
      </c>
      <c r="O468" s="47" t="s">
        <v>7</v>
      </c>
      <c r="P468" s="48" t="e">
        <f t="shared" ca="1" si="3"/>
        <v>#NAME?</v>
      </c>
      <c r="Q468" s="48" t="e">
        <f ca="1"/>
        <v>#NAME?</v>
      </c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</row>
    <row r="469" spans="1:28" ht="12.75">
      <c r="A469" s="56" t="s">
        <v>205</v>
      </c>
      <c r="B469" s="56" t="s">
        <v>431</v>
      </c>
      <c r="C469" s="57">
        <v>41</v>
      </c>
      <c r="D469" s="57">
        <v>171</v>
      </c>
      <c r="E469" s="57">
        <v>72</v>
      </c>
      <c r="F469" s="56" t="str">
        <v>24.6 (Normal)</v>
      </c>
      <c r="G469" s="56" t="str">
        <f t="shared" si="2"/>
        <v>Normal</v>
      </c>
      <c r="H469" s="57">
        <f ca="1">IFERROR(__xludf.DUMMYFUNCTION("""COMPUTED_VALUE"""),24.6)</f>
        <v>24.6</v>
      </c>
      <c r="I469" s="57">
        <v>21</v>
      </c>
      <c r="J469" s="10">
        <v>61.406099999999995</v>
      </c>
      <c r="K469" s="58" t="s">
        <v>28</v>
      </c>
      <c r="L469" s="57">
        <v>1588.75</v>
      </c>
      <c r="M469" s="59">
        <v>2.38</v>
      </c>
      <c r="N469" s="56" t="s">
        <v>34</v>
      </c>
      <c r="O469" s="56" t="s">
        <v>7</v>
      </c>
      <c r="P469" s="57" t="e">
        <f t="shared" ca="1" si="3"/>
        <v>#NAME?</v>
      </c>
      <c r="Q469" s="57" t="e">
        <f ca="1"/>
        <v>#NAME?</v>
      </c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</row>
    <row r="470" spans="1:28" ht="12.75">
      <c r="A470" s="47" t="s">
        <v>127</v>
      </c>
      <c r="B470" s="47" t="s">
        <v>431</v>
      </c>
      <c r="C470" s="48">
        <v>32</v>
      </c>
      <c r="D470" s="48">
        <v>156</v>
      </c>
      <c r="E470" s="48">
        <v>102</v>
      </c>
      <c r="F470" s="47" t="str">
        <v>41.9 (Obese)</v>
      </c>
      <c r="G470" s="47" t="str">
        <f t="shared" si="2"/>
        <v>Obese</v>
      </c>
      <c r="H470" s="48">
        <f ca="1">IFERROR(__xludf.DUMMYFUNCTION("""COMPUTED_VALUE"""),41.9)</f>
        <v>41.9</v>
      </c>
      <c r="I470" s="48">
        <v>21</v>
      </c>
      <c r="J470" s="49">
        <v>51.105600000000003</v>
      </c>
      <c r="K470" s="50" t="s">
        <v>4</v>
      </c>
      <c r="L470" s="48">
        <v>1840</v>
      </c>
      <c r="M470" s="51">
        <v>3.37</v>
      </c>
      <c r="N470" s="47" t="s">
        <v>16</v>
      </c>
      <c r="O470" s="47" t="s">
        <v>60</v>
      </c>
      <c r="P470" s="48" t="e">
        <f t="shared" ca="1" si="3"/>
        <v>#NAME?</v>
      </c>
      <c r="Q470" s="48" t="e">
        <f ca="1"/>
        <v>#NAME?</v>
      </c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</row>
    <row r="471" spans="1:28" ht="12.75">
      <c r="A471" s="52" t="s">
        <v>70</v>
      </c>
      <c r="B471" s="52" t="s">
        <v>431</v>
      </c>
      <c r="C471" s="53">
        <v>21</v>
      </c>
      <c r="D471" s="53">
        <v>178</v>
      </c>
      <c r="E471" s="53">
        <v>74</v>
      </c>
      <c r="F471" s="52" t="str">
        <v>23.4 (Normal)</v>
      </c>
      <c r="G471" s="52" t="str">
        <f t="shared" si="2"/>
        <v>Normal</v>
      </c>
      <c r="H471" s="53">
        <f ca="1">IFERROR(__xludf.DUMMYFUNCTION("""COMPUTED_VALUE"""),23.4)</f>
        <v>23.4</v>
      </c>
      <c r="I471" s="53">
        <v>21</v>
      </c>
      <c r="J471" s="10">
        <v>66.5364</v>
      </c>
      <c r="K471" s="54" t="s">
        <v>42</v>
      </c>
      <c r="L471" s="53">
        <v>1752.5</v>
      </c>
      <c r="M471" s="55">
        <v>2.44</v>
      </c>
      <c r="N471" s="52" t="s">
        <v>26</v>
      </c>
      <c r="O471" s="52" t="s">
        <v>30</v>
      </c>
      <c r="P471" s="53" t="e">
        <f t="shared" ca="1" si="3"/>
        <v>#NAME?</v>
      </c>
      <c r="Q471" s="53" t="e">
        <f ca="1"/>
        <v>#NAME?</v>
      </c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</row>
    <row r="472" spans="1:28" ht="12.75">
      <c r="A472" s="56" t="s">
        <v>51</v>
      </c>
      <c r="B472" s="56" t="s">
        <v>431</v>
      </c>
      <c r="C472" s="57">
        <v>21</v>
      </c>
      <c r="D472" s="57">
        <v>173</v>
      </c>
      <c r="E472" s="57">
        <v>77</v>
      </c>
      <c r="F472" s="56" t="str">
        <v>25.7 (Overweight)</v>
      </c>
      <c r="G472" s="56" t="str">
        <f t="shared" si="2"/>
        <v>Overweight</v>
      </c>
      <c r="H472" s="57">
        <f ca="1">IFERROR(__xludf.DUMMYFUNCTION("""COMPUTED_VALUE"""),25.7)</f>
        <v>25.7</v>
      </c>
      <c r="I472" s="57">
        <v>21</v>
      </c>
      <c r="J472" s="10">
        <v>62.850900000000003</v>
      </c>
      <c r="K472" s="58" t="s">
        <v>28</v>
      </c>
      <c r="L472" s="57">
        <v>1751.25</v>
      </c>
      <c r="M472" s="59">
        <v>2.54</v>
      </c>
      <c r="N472" s="56" t="s">
        <v>34</v>
      </c>
      <c r="O472" s="56" t="s">
        <v>30</v>
      </c>
      <c r="P472" s="57" t="e">
        <f t="shared" ca="1" si="3"/>
        <v>#NAME?</v>
      </c>
      <c r="Q472" s="57" t="e">
        <f ca="1"/>
        <v>#NAME?</v>
      </c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</row>
    <row r="473" spans="1:28" ht="12.75">
      <c r="A473" s="52" t="s">
        <v>79</v>
      </c>
      <c r="B473" s="52" t="s">
        <v>431</v>
      </c>
      <c r="C473" s="53">
        <v>28</v>
      </c>
      <c r="D473" s="53">
        <v>175</v>
      </c>
      <c r="E473" s="53">
        <v>107</v>
      </c>
      <c r="F473" s="52" t="str">
        <v>34.9 (Obese)</v>
      </c>
      <c r="G473" s="52" t="str">
        <f t="shared" si="2"/>
        <v>Obese</v>
      </c>
      <c r="H473" s="53">
        <f ca="1">IFERROR(__xludf.DUMMYFUNCTION("""COMPUTED_VALUE"""),34.9)</f>
        <v>34.9</v>
      </c>
      <c r="I473" s="53">
        <v>21</v>
      </c>
      <c r="J473" s="10">
        <v>64.3125</v>
      </c>
      <c r="K473" s="54" t="s">
        <v>28</v>
      </c>
      <c r="L473" s="53">
        <v>2028.75</v>
      </c>
      <c r="M473" s="55">
        <v>3.53</v>
      </c>
      <c r="N473" s="52" t="s">
        <v>26</v>
      </c>
      <c r="O473" s="52" t="s">
        <v>7</v>
      </c>
      <c r="P473" s="53" t="e">
        <f t="shared" ca="1" si="3"/>
        <v>#NAME?</v>
      </c>
      <c r="Q473" s="53" t="e">
        <f ca="1"/>
        <v>#NAME?</v>
      </c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</row>
    <row r="474" spans="1:28" ht="12.75">
      <c r="A474" s="52" t="s">
        <v>163</v>
      </c>
      <c r="B474" s="52" t="s">
        <v>431</v>
      </c>
      <c r="C474" s="53">
        <v>53</v>
      </c>
      <c r="D474" s="53">
        <v>176</v>
      </c>
      <c r="E474" s="53">
        <v>109</v>
      </c>
      <c r="F474" s="52" t="str">
        <v>35.2 (Obese)</v>
      </c>
      <c r="G474" s="52" t="str">
        <f t="shared" si="2"/>
        <v>Obese</v>
      </c>
      <c r="H474" s="53">
        <f ca="1">IFERROR(__xludf.DUMMYFUNCTION("""COMPUTED_VALUE"""),35.2)</f>
        <v>35.200000000000003</v>
      </c>
      <c r="I474" s="53">
        <v>21</v>
      </c>
      <c r="J474" s="10">
        <v>65.049599999999998</v>
      </c>
      <c r="K474" s="54" t="s">
        <v>4</v>
      </c>
      <c r="L474" s="53">
        <v>1930</v>
      </c>
      <c r="M474" s="55">
        <v>3.6</v>
      </c>
      <c r="N474" s="52" t="s">
        <v>26</v>
      </c>
      <c r="O474" s="52" t="s">
        <v>60</v>
      </c>
      <c r="P474" s="53" t="e">
        <f t="shared" ca="1" si="3"/>
        <v>#NAME?</v>
      </c>
      <c r="Q474" s="53" t="e">
        <f ca="1"/>
        <v>#NAME?</v>
      </c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</row>
    <row r="475" spans="1:28" ht="16.5" customHeight="1">
      <c r="A475" s="47" t="s">
        <v>289</v>
      </c>
      <c r="B475" s="47" t="s">
        <v>431</v>
      </c>
      <c r="C475" s="48">
        <v>22</v>
      </c>
      <c r="D475" s="48">
        <v>185</v>
      </c>
      <c r="E475" s="48">
        <v>103</v>
      </c>
      <c r="F475" s="47" t="str">
        <v>30.1 (Obese)</v>
      </c>
      <c r="G475" s="47" t="str">
        <f t="shared" si="2"/>
        <v>Obese</v>
      </c>
      <c r="H475" s="48">
        <f ca="1">IFERROR(__xludf.DUMMYFUNCTION("""COMPUTED_VALUE"""),30.1)</f>
        <v>30.1</v>
      </c>
      <c r="I475" s="48">
        <v>21</v>
      </c>
      <c r="J475" s="49">
        <v>71.872500000000002</v>
      </c>
      <c r="K475" s="50" t="s">
        <v>18</v>
      </c>
      <c r="L475" s="48">
        <v>2081.25</v>
      </c>
      <c r="M475" s="51">
        <v>3.4</v>
      </c>
      <c r="N475" s="47" t="s">
        <v>16</v>
      </c>
      <c r="O475" s="47" t="s">
        <v>37</v>
      </c>
      <c r="P475" s="48" t="e">
        <f t="shared" ca="1" si="3"/>
        <v>#NAME?</v>
      </c>
      <c r="Q475" s="48" t="e">
        <f ca="1"/>
        <v>#NAME?</v>
      </c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</row>
    <row r="476" spans="1:28" ht="12.75">
      <c r="A476" s="52" t="s">
        <v>94</v>
      </c>
      <c r="B476" s="52" t="s">
        <v>431</v>
      </c>
      <c r="C476" s="53">
        <v>52</v>
      </c>
      <c r="D476" s="53">
        <v>170</v>
      </c>
      <c r="E476" s="53">
        <v>84</v>
      </c>
      <c r="F476" s="52" t="str">
        <v>29.1 (Obese)</v>
      </c>
      <c r="G476" s="52" t="str">
        <f t="shared" si="2"/>
        <v>Obese</v>
      </c>
      <c r="H476" s="53">
        <f ca="1">IFERROR(__xludf.DUMMYFUNCTION("""COMPUTED_VALUE"""),29.1)</f>
        <v>29.1</v>
      </c>
      <c r="I476" s="53">
        <v>21</v>
      </c>
      <c r="J476" s="10">
        <v>60.689999999999991</v>
      </c>
      <c r="K476" s="54" t="s">
        <v>4</v>
      </c>
      <c r="L476" s="53">
        <v>1647.5</v>
      </c>
      <c r="M476" s="55">
        <v>2.77</v>
      </c>
      <c r="N476" s="52" t="s">
        <v>26</v>
      </c>
      <c r="O476" s="52" t="s">
        <v>60</v>
      </c>
      <c r="P476" s="53" t="e">
        <f t="shared" ca="1" si="3"/>
        <v>#NAME?</v>
      </c>
      <c r="Q476" s="53" t="e">
        <f ca="1"/>
        <v>#NAME?</v>
      </c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</row>
    <row r="477" spans="1:28" ht="12.75">
      <c r="A477" s="47" t="s">
        <v>252</v>
      </c>
      <c r="B477" s="47" t="s">
        <v>431</v>
      </c>
      <c r="C477" s="48">
        <v>33</v>
      </c>
      <c r="D477" s="48">
        <v>187</v>
      </c>
      <c r="E477" s="48">
        <v>86</v>
      </c>
      <c r="F477" s="47" t="str">
        <v>24.6 (Normal)</v>
      </c>
      <c r="G477" s="47" t="str">
        <f t="shared" si="2"/>
        <v>Normal</v>
      </c>
      <c r="H477" s="48">
        <f ca="1">IFERROR(__xludf.DUMMYFUNCTION("""COMPUTED_VALUE"""),24.6)</f>
        <v>24.6</v>
      </c>
      <c r="I477" s="48">
        <v>21</v>
      </c>
      <c r="J477" s="49">
        <v>73.434900000000013</v>
      </c>
      <c r="K477" s="50" t="s">
        <v>42</v>
      </c>
      <c r="L477" s="48">
        <v>1868.75</v>
      </c>
      <c r="M477" s="51">
        <v>2.84</v>
      </c>
      <c r="N477" s="47" t="s">
        <v>16</v>
      </c>
      <c r="O477" s="47" t="s">
        <v>19</v>
      </c>
      <c r="P477" s="48" t="e">
        <f t="shared" ca="1" si="3"/>
        <v>#NAME?</v>
      </c>
      <c r="Q477" s="48" t="e">
        <f ca="1"/>
        <v>#NAME?</v>
      </c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</row>
    <row r="478" spans="1:28" ht="12.75">
      <c r="A478" s="56" t="s">
        <v>290</v>
      </c>
      <c r="B478" s="56" t="s">
        <v>431</v>
      </c>
      <c r="C478" s="57">
        <v>33</v>
      </c>
      <c r="D478" s="57">
        <v>178</v>
      </c>
      <c r="E478" s="57">
        <v>62</v>
      </c>
      <c r="F478" s="56" t="str">
        <v>19.6 (Normal)</v>
      </c>
      <c r="G478" s="56" t="str">
        <f t="shared" si="2"/>
        <v>Normal</v>
      </c>
      <c r="H478" s="57">
        <f ca="1">IFERROR(__xludf.DUMMYFUNCTION("""COMPUTED_VALUE"""),19.6)</f>
        <v>19.600000000000001</v>
      </c>
      <c r="I478" s="57">
        <v>21</v>
      </c>
      <c r="J478" s="10">
        <v>66.5364</v>
      </c>
      <c r="K478" s="58" t="s">
        <v>18</v>
      </c>
      <c r="L478" s="57">
        <v>1572.5</v>
      </c>
      <c r="M478" s="59">
        <v>2.0499999999999998</v>
      </c>
      <c r="N478" s="56" t="s">
        <v>34</v>
      </c>
      <c r="O478" s="56" t="s">
        <v>37</v>
      </c>
      <c r="P478" s="57" t="e">
        <f t="shared" ca="1" si="3"/>
        <v>#NAME?</v>
      </c>
      <c r="Q478" s="57" t="e">
        <f ca="1"/>
        <v>#NAME?</v>
      </c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</row>
    <row r="479" spans="1:28" ht="12.75">
      <c r="A479" s="52" t="s">
        <v>119</v>
      </c>
      <c r="B479" s="52" t="s">
        <v>431</v>
      </c>
      <c r="C479" s="53">
        <v>30</v>
      </c>
      <c r="D479" s="53">
        <v>181</v>
      </c>
      <c r="E479" s="53">
        <v>58</v>
      </c>
      <c r="F479" s="52" t="str">
        <v>17.7 (Underweight)</v>
      </c>
      <c r="G479" s="52" t="str">
        <f t="shared" si="2"/>
        <v>Underweight</v>
      </c>
      <c r="H479" s="53">
        <f ca="1">IFERROR(__xludf.DUMMYFUNCTION("""COMPUTED_VALUE"""),17.7)</f>
        <v>17.7</v>
      </c>
      <c r="I479" s="53">
        <v>21</v>
      </c>
      <c r="J479" s="10">
        <v>68.798100000000005</v>
      </c>
      <c r="K479" s="54" t="s">
        <v>28</v>
      </c>
      <c r="L479" s="53">
        <v>1566.25</v>
      </c>
      <c r="M479" s="55">
        <v>1.91</v>
      </c>
      <c r="N479" s="52" t="s">
        <v>26</v>
      </c>
      <c r="O479" s="52" t="s">
        <v>19</v>
      </c>
      <c r="P479" s="53" t="e">
        <f t="shared" ca="1" si="3"/>
        <v>#NAME?</v>
      </c>
      <c r="Q479" s="53" t="e">
        <f ca="1"/>
        <v>#NAME?</v>
      </c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</row>
    <row r="480" spans="1:28" ht="12.75">
      <c r="A480" s="56" t="s">
        <v>291</v>
      </c>
      <c r="B480" s="56" t="s">
        <v>431</v>
      </c>
      <c r="C480" s="57">
        <v>22</v>
      </c>
      <c r="D480" s="57">
        <v>157</v>
      </c>
      <c r="E480" s="57">
        <v>85</v>
      </c>
      <c r="F480" s="56" t="str">
        <v>34.5 (Obese)</v>
      </c>
      <c r="G480" s="56" t="str">
        <f t="shared" si="2"/>
        <v>Obese</v>
      </c>
      <c r="H480" s="57">
        <f ca="1">IFERROR(__xludf.DUMMYFUNCTION("""COMPUTED_VALUE"""),34.5)</f>
        <v>34.5</v>
      </c>
      <c r="I480" s="57">
        <v>21</v>
      </c>
      <c r="J480" s="10">
        <v>51.762900000000002</v>
      </c>
      <c r="K480" s="58" t="s">
        <v>42</v>
      </c>
      <c r="L480" s="57">
        <v>1726.25</v>
      </c>
      <c r="M480" s="59">
        <v>2.81</v>
      </c>
      <c r="N480" s="56" t="s">
        <v>34</v>
      </c>
      <c r="O480" s="56" t="s">
        <v>30</v>
      </c>
      <c r="P480" s="57" t="e">
        <f t="shared" ca="1" si="3"/>
        <v>#NAME?</v>
      </c>
      <c r="Q480" s="57" t="e">
        <f ca="1"/>
        <v>#NAME?</v>
      </c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</row>
    <row r="481" spans="1:28" ht="12.75">
      <c r="A481" s="56" t="s">
        <v>292</v>
      </c>
      <c r="B481" s="56" t="s">
        <v>431</v>
      </c>
      <c r="C481" s="57">
        <v>57</v>
      </c>
      <c r="D481" s="57">
        <v>180</v>
      </c>
      <c r="E481" s="57">
        <v>78</v>
      </c>
      <c r="F481" s="56" t="str">
        <v>24.1 (Normal)</v>
      </c>
      <c r="G481" s="56" t="str">
        <f t="shared" si="2"/>
        <v>Normal</v>
      </c>
      <c r="H481" s="57">
        <f ca="1">IFERROR(__xludf.DUMMYFUNCTION("""COMPUTED_VALUE"""),24.1)</f>
        <v>24.1</v>
      </c>
      <c r="I481" s="57">
        <v>21</v>
      </c>
      <c r="J481" s="10">
        <v>68.040000000000006</v>
      </c>
      <c r="K481" s="58" t="s">
        <v>42</v>
      </c>
      <c r="L481" s="57">
        <v>1625</v>
      </c>
      <c r="M481" s="59">
        <v>2.57</v>
      </c>
      <c r="N481" s="56" t="s">
        <v>34</v>
      </c>
      <c r="O481" s="56" t="s">
        <v>30</v>
      </c>
      <c r="P481" s="57" t="e">
        <f t="shared" ca="1" si="3"/>
        <v>#NAME?</v>
      </c>
      <c r="Q481" s="57" t="e">
        <f ca="1"/>
        <v>#NAME?</v>
      </c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</row>
    <row r="482" spans="1:28" ht="12.75">
      <c r="A482" s="56" t="s">
        <v>164</v>
      </c>
      <c r="B482" s="56" t="s">
        <v>431</v>
      </c>
      <c r="C482" s="57">
        <v>49</v>
      </c>
      <c r="D482" s="57">
        <v>157</v>
      </c>
      <c r="E482" s="57">
        <v>99</v>
      </c>
      <c r="F482" s="56" t="str">
        <v>40.2 (Obese)</v>
      </c>
      <c r="G482" s="56" t="str">
        <f t="shared" si="2"/>
        <v>Obese</v>
      </c>
      <c r="H482" s="57">
        <f ca="1">IFERROR(__xludf.DUMMYFUNCTION("""COMPUTED_VALUE"""),40.2)</f>
        <v>40.200000000000003</v>
      </c>
      <c r="I482" s="57">
        <v>21</v>
      </c>
      <c r="J482" s="10">
        <v>51.762900000000002</v>
      </c>
      <c r="K482" s="58" t="s">
        <v>18</v>
      </c>
      <c r="L482" s="57">
        <v>1731.25</v>
      </c>
      <c r="M482" s="59">
        <v>3.27</v>
      </c>
      <c r="N482" s="56" t="s">
        <v>34</v>
      </c>
      <c r="O482" s="56" t="s">
        <v>19</v>
      </c>
      <c r="P482" s="57" t="e">
        <f t="shared" ca="1" si="3"/>
        <v>#NAME?</v>
      </c>
      <c r="Q482" s="57" t="e">
        <f ca="1"/>
        <v>#NAME?</v>
      </c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</row>
    <row r="483" spans="1:28" ht="12.75">
      <c r="A483" s="47" t="s">
        <v>293</v>
      </c>
      <c r="B483" s="47" t="s">
        <v>431</v>
      </c>
      <c r="C483" s="48">
        <v>41</v>
      </c>
      <c r="D483" s="48">
        <v>161</v>
      </c>
      <c r="E483" s="48">
        <v>98</v>
      </c>
      <c r="F483" s="47" t="str">
        <v>37.8 (Obese)</v>
      </c>
      <c r="G483" s="47" t="str">
        <f t="shared" si="2"/>
        <v>Obese</v>
      </c>
      <c r="H483" s="48">
        <f ca="1">IFERROR(__xludf.DUMMYFUNCTION("""COMPUTED_VALUE"""),37.8)</f>
        <v>37.799999999999997</v>
      </c>
      <c r="I483" s="48">
        <v>21</v>
      </c>
      <c r="J483" s="49">
        <v>54.434100000000008</v>
      </c>
      <c r="K483" s="50" t="s">
        <v>42</v>
      </c>
      <c r="L483" s="48">
        <v>1786.25</v>
      </c>
      <c r="M483" s="51">
        <v>3.23</v>
      </c>
      <c r="N483" s="47" t="s">
        <v>16</v>
      </c>
      <c r="O483" s="47" t="s">
        <v>60</v>
      </c>
      <c r="P483" s="48" t="e">
        <f t="shared" ca="1" si="3"/>
        <v>#NAME?</v>
      </c>
      <c r="Q483" s="48" t="e">
        <f ca="1"/>
        <v>#NAME?</v>
      </c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</row>
    <row r="484" spans="1:28" ht="12.75">
      <c r="A484" s="52" t="s">
        <v>220</v>
      </c>
      <c r="B484" s="52" t="s">
        <v>431</v>
      </c>
      <c r="C484" s="53">
        <v>43</v>
      </c>
      <c r="D484" s="53">
        <v>178</v>
      </c>
      <c r="E484" s="53">
        <v>80</v>
      </c>
      <c r="F484" s="52" t="str">
        <v>25.2 (Overweight)</v>
      </c>
      <c r="G484" s="52" t="str">
        <f t="shared" si="2"/>
        <v>Overweight</v>
      </c>
      <c r="H484" s="53">
        <f ca="1">IFERROR(__xludf.DUMMYFUNCTION("""COMPUTED_VALUE"""),25.2)</f>
        <v>25.2</v>
      </c>
      <c r="I484" s="53">
        <v>21</v>
      </c>
      <c r="J484" s="10">
        <v>66.5364</v>
      </c>
      <c r="K484" s="54" t="s">
        <v>18</v>
      </c>
      <c r="L484" s="53">
        <v>1702.5</v>
      </c>
      <c r="M484" s="55">
        <v>2.64</v>
      </c>
      <c r="N484" s="52" t="s">
        <v>26</v>
      </c>
      <c r="O484" s="52" t="s">
        <v>30</v>
      </c>
      <c r="P484" s="53" t="e">
        <f t="shared" ca="1" si="3"/>
        <v>#NAME?</v>
      </c>
      <c r="Q484" s="53" t="e">
        <f ca="1"/>
        <v>#NAME?</v>
      </c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</row>
    <row r="485" spans="1:28" ht="12.75">
      <c r="A485" s="56" t="s">
        <v>294</v>
      </c>
      <c r="B485" s="56" t="s">
        <v>431</v>
      </c>
      <c r="C485" s="57">
        <v>50</v>
      </c>
      <c r="D485" s="57">
        <v>157</v>
      </c>
      <c r="E485" s="57">
        <v>78</v>
      </c>
      <c r="F485" s="56" t="str">
        <v>31.6 (Obese)</v>
      </c>
      <c r="G485" s="56" t="str">
        <f t="shared" si="2"/>
        <v>Obese</v>
      </c>
      <c r="H485" s="57">
        <f ca="1">IFERROR(__xludf.DUMMYFUNCTION("""COMPUTED_VALUE"""),31.6)</f>
        <v>31.6</v>
      </c>
      <c r="I485" s="57">
        <v>21</v>
      </c>
      <c r="J485" s="10">
        <v>51.762900000000002</v>
      </c>
      <c r="K485" s="58" t="s">
        <v>42</v>
      </c>
      <c r="L485" s="57">
        <v>1516.25</v>
      </c>
      <c r="M485" s="59">
        <v>2.57</v>
      </c>
      <c r="N485" s="56" t="s">
        <v>34</v>
      </c>
      <c r="O485" s="56" t="s">
        <v>19</v>
      </c>
      <c r="P485" s="57" t="e">
        <f t="shared" ca="1" si="3"/>
        <v>#NAME?</v>
      </c>
      <c r="Q485" s="57" t="e">
        <f ca="1"/>
        <v>#NAME?</v>
      </c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</row>
    <row r="486" spans="1:28" ht="12.75">
      <c r="A486" s="60" t="s">
        <v>295</v>
      </c>
      <c r="B486" s="60" t="s">
        <v>431</v>
      </c>
      <c r="C486" s="61">
        <v>31</v>
      </c>
      <c r="D486" s="61">
        <v>176</v>
      </c>
      <c r="E486" s="61">
        <v>106</v>
      </c>
      <c r="F486" s="60" t="str">
        <v>34.2 (Obese)</v>
      </c>
      <c r="G486" s="60" t="str">
        <f t="shared" si="2"/>
        <v>Obese</v>
      </c>
      <c r="H486" s="61">
        <f ca="1">IFERROR(__xludf.DUMMYFUNCTION("""COMPUTED_VALUE"""),34.2)</f>
        <v>34.200000000000003</v>
      </c>
      <c r="I486" s="61">
        <v>21</v>
      </c>
      <c r="J486" s="62">
        <v>65.049599999999998</v>
      </c>
      <c r="K486" s="63" t="s">
        <v>42</v>
      </c>
      <c r="L486" s="61">
        <v>2010</v>
      </c>
      <c r="M486" s="64">
        <v>3.5</v>
      </c>
      <c r="N486" s="60" t="s">
        <v>39</v>
      </c>
      <c r="O486" s="60" t="s">
        <v>60</v>
      </c>
      <c r="P486" s="61" t="e">
        <f t="shared" ca="1" si="3"/>
        <v>#NAME?</v>
      </c>
      <c r="Q486" s="61" t="e">
        <f ca="1"/>
        <v>#NAME?</v>
      </c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</row>
    <row r="487" spans="1:28" ht="12.75">
      <c r="A487" s="56" t="s">
        <v>296</v>
      </c>
      <c r="B487" s="56" t="s">
        <v>431</v>
      </c>
      <c r="C487" s="57">
        <v>20</v>
      </c>
      <c r="D487" s="57">
        <v>188</v>
      </c>
      <c r="E487" s="57">
        <v>59</v>
      </c>
      <c r="F487" s="56" t="str">
        <v>16.7 (Underweight)</v>
      </c>
      <c r="G487" s="56" t="str">
        <f t="shared" si="2"/>
        <v>Underweight</v>
      </c>
      <c r="H487" s="57">
        <f ca="1">IFERROR(__xludf.DUMMYFUNCTION("""COMPUTED_VALUE"""),16.7)</f>
        <v>16.7</v>
      </c>
      <c r="I487" s="57">
        <v>21</v>
      </c>
      <c r="J487" s="10">
        <v>74.222399999999993</v>
      </c>
      <c r="K487" s="58" t="s">
        <v>4</v>
      </c>
      <c r="L487" s="57">
        <v>1670</v>
      </c>
      <c r="M487" s="59">
        <v>1.95</v>
      </c>
      <c r="N487" s="56" t="s">
        <v>34</v>
      </c>
      <c r="O487" s="56" t="s">
        <v>7</v>
      </c>
      <c r="P487" s="57" t="e">
        <f t="shared" ca="1" si="3"/>
        <v>#NAME?</v>
      </c>
      <c r="Q487" s="57" t="e">
        <f ca="1"/>
        <v>#NAME?</v>
      </c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</row>
    <row r="488" spans="1:28" ht="12.75">
      <c r="A488" s="56" t="s">
        <v>297</v>
      </c>
      <c r="B488" s="56" t="s">
        <v>431</v>
      </c>
      <c r="C488" s="57">
        <v>27</v>
      </c>
      <c r="D488" s="57">
        <v>166</v>
      </c>
      <c r="E488" s="57">
        <v>59</v>
      </c>
      <c r="F488" s="56" t="str">
        <v>21.4 (Normal)</v>
      </c>
      <c r="G488" s="56" t="str">
        <f t="shared" si="2"/>
        <v>Normal</v>
      </c>
      <c r="H488" s="57">
        <f ca="1">IFERROR(__xludf.DUMMYFUNCTION("""COMPUTED_VALUE"""),21.4)</f>
        <v>21.4</v>
      </c>
      <c r="I488" s="57">
        <v>21</v>
      </c>
      <c r="J488" s="10">
        <v>57.867599999999996</v>
      </c>
      <c r="K488" s="58" t="s">
        <v>42</v>
      </c>
      <c r="L488" s="57">
        <v>1497.5</v>
      </c>
      <c r="M488" s="59">
        <v>1.95</v>
      </c>
      <c r="N488" s="56" t="s">
        <v>34</v>
      </c>
      <c r="O488" s="56" t="s">
        <v>37</v>
      </c>
      <c r="P488" s="57" t="e">
        <f t="shared" ca="1" si="3"/>
        <v>#NAME?</v>
      </c>
      <c r="Q488" s="57" t="e">
        <f ca="1"/>
        <v>#NAME?</v>
      </c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</row>
    <row r="489" spans="1:28" ht="12.75">
      <c r="A489" s="60" t="s">
        <v>298</v>
      </c>
      <c r="B489" s="60" t="s">
        <v>431</v>
      </c>
      <c r="C489" s="61">
        <v>52</v>
      </c>
      <c r="D489" s="61">
        <v>167</v>
      </c>
      <c r="E489" s="61">
        <v>89</v>
      </c>
      <c r="F489" s="60" t="str">
        <v>31.9 (Obese)</v>
      </c>
      <c r="G489" s="60" t="str">
        <f t="shared" si="2"/>
        <v>Obese</v>
      </c>
      <c r="H489" s="61">
        <f ca="1">IFERROR(__xludf.DUMMYFUNCTION("""COMPUTED_VALUE"""),31.9)</f>
        <v>31.9</v>
      </c>
      <c r="I489" s="61">
        <v>21</v>
      </c>
      <c r="J489" s="62">
        <v>58.566899999999997</v>
      </c>
      <c r="K489" s="63" t="s">
        <v>4</v>
      </c>
      <c r="L489" s="61">
        <v>1678.75</v>
      </c>
      <c r="M489" s="64">
        <v>2.94</v>
      </c>
      <c r="N489" s="60" t="s">
        <v>39</v>
      </c>
      <c r="O489" s="60" t="s">
        <v>30</v>
      </c>
      <c r="P489" s="61" t="e">
        <f t="shared" ca="1" si="3"/>
        <v>#NAME?</v>
      </c>
      <c r="Q489" s="61" t="e">
        <f ca="1"/>
        <v>#NAME?</v>
      </c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</row>
    <row r="490" spans="1:28" ht="12.75">
      <c r="A490" s="47" t="s">
        <v>299</v>
      </c>
      <c r="B490" s="47" t="s">
        <v>431</v>
      </c>
      <c r="C490" s="48">
        <v>29</v>
      </c>
      <c r="D490" s="48">
        <v>158</v>
      </c>
      <c r="E490" s="48">
        <v>100</v>
      </c>
      <c r="F490" s="47" t="str">
        <v>40.1 (Obese)</v>
      </c>
      <c r="G490" s="47" t="str">
        <f t="shared" si="2"/>
        <v>Obese</v>
      </c>
      <c r="H490" s="48">
        <f ca="1">IFERROR(__xludf.DUMMYFUNCTION("""COMPUTED_VALUE"""),40.1)</f>
        <v>40.1</v>
      </c>
      <c r="I490" s="48">
        <v>21</v>
      </c>
      <c r="J490" s="49">
        <v>52.424400000000006</v>
      </c>
      <c r="K490" s="50" t="s">
        <v>18</v>
      </c>
      <c r="L490" s="48">
        <v>1847.5</v>
      </c>
      <c r="M490" s="51">
        <v>3.3</v>
      </c>
      <c r="N490" s="47" t="s">
        <v>16</v>
      </c>
      <c r="O490" s="47" t="s">
        <v>7</v>
      </c>
      <c r="P490" s="48" t="e">
        <f t="shared" ca="1" si="3"/>
        <v>#NAME?</v>
      </c>
      <c r="Q490" s="48" t="e">
        <f ca="1"/>
        <v>#NAME?</v>
      </c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</row>
    <row r="491" spans="1:28" ht="12.75">
      <c r="A491" s="56" t="s">
        <v>84</v>
      </c>
      <c r="B491" s="56" t="s">
        <v>431</v>
      </c>
      <c r="C491" s="57">
        <v>43</v>
      </c>
      <c r="D491" s="57">
        <v>162</v>
      </c>
      <c r="E491" s="57">
        <v>60</v>
      </c>
      <c r="F491" s="56" t="str">
        <v>22.9 (Normal)</v>
      </c>
      <c r="G491" s="56" t="str">
        <f t="shared" si="2"/>
        <v>Normal</v>
      </c>
      <c r="H491" s="57">
        <f ca="1">IFERROR(__xludf.DUMMYFUNCTION("""COMPUTED_VALUE"""),22.9)</f>
        <v>22.9</v>
      </c>
      <c r="I491" s="57">
        <v>21</v>
      </c>
      <c r="J491" s="10">
        <v>55.112400000000008</v>
      </c>
      <c r="K491" s="58" t="s">
        <v>18</v>
      </c>
      <c r="L491" s="57">
        <v>1402.5</v>
      </c>
      <c r="M491" s="59">
        <v>1.98</v>
      </c>
      <c r="N491" s="56" t="s">
        <v>34</v>
      </c>
      <c r="O491" s="56" t="s">
        <v>37</v>
      </c>
      <c r="P491" s="57" t="e">
        <f t="shared" ca="1" si="3"/>
        <v>#NAME?</v>
      </c>
      <c r="Q491" s="57" t="e">
        <f ca="1"/>
        <v>#NAME?</v>
      </c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</row>
    <row r="492" spans="1:28" ht="12.75">
      <c r="A492" s="44" t="s">
        <v>110</v>
      </c>
      <c r="B492" s="29" t="s">
        <v>431</v>
      </c>
      <c r="C492" s="45">
        <v>48</v>
      </c>
      <c r="D492" s="45">
        <v>155</v>
      </c>
      <c r="E492" s="45">
        <v>62</v>
      </c>
      <c r="F492" s="9" t="str">
        <v>25.8 (Overweight)</v>
      </c>
      <c r="G492" s="9" t="str">
        <f t="shared" si="2"/>
        <v>Overweight</v>
      </c>
      <c r="H492" s="24">
        <f ca="1">IFERROR(__xludf.DUMMYFUNCTION("""COMPUTED_VALUE"""),25.8)</f>
        <v>25.8</v>
      </c>
      <c r="I492" s="24">
        <v>21</v>
      </c>
      <c r="J492" s="10">
        <v>50.452500000000008</v>
      </c>
      <c r="K492" s="46" t="s">
        <v>18</v>
      </c>
      <c r="L492" s="24">
        <v>1353.75</v>
      </c>
      <c r="M492" s="26">
        <v>2.0499999999999998</v>
      </c>
      <c r="N492" s="44" t="s">
        <v>16</v>
      </c>
      <c r="O492" s="44" t="s">
        <v>19</v>
      </c>
      <c r="P492" s="27" t="e">
        <f t="shared" ca="1" si="3"/>
        <v>#NAME?</v>
      </c>
      <c r="Q492" s="28" t="e">
        <f ca="1"/>
        <v>#NAME?</v>
      </c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2.75">
      <c r="A493" s="60" t="s">
        <v>92</v>
      </c>
      <c r="B493" s="60" t="s">
        <v>431</v>
      </c>
      <c r="C493" s="61">
        <v>23</v>
      </c>
      <c r="D493" s="61">
        <v>183</v>
      </c>
      <c r="E493" s="61">
        <v>54</v>
      </c>
      <c r="F493" s="60" t="str">
        <v>16.1 (Underweight)</v>
      </c>
      <c r="G493" s="60" t="str">
        <f t="shared" si="2"/>
        <v>Underweight</v>
      </c>
      <c r="H493" s="61">
        <f ca="1">IFERROR(__xludf.DUMMYFUNCTION("""COMPUTED_VALUE"""),16.1)</f>
        <v>16.100000000000001</v>
      </c>
      <c r="I493" s="61">
        <v>21</v>
      </c>
      <c r="J493" s="62">
        <v>70.326900000000009</v>
      </c>
      <c r="K493" s="63" t="s">
        <v>18</v>
      </c>
      <c r="L493" s="61">
        <v>1573.75</v>
      </c>
      <c r="M493" s="64">
        <v>1.78</v>
      </c>
      <c r="N493" s="60" t="s">
        <v>39</v>
      </c>
      <c r="O493" s="60" t="s">
        <v>30</v>
      </c>
      <c r="P493" s="61" t="e">
        <f t="shared" ca="1" si="3"/>
        <v>#NAME?</v>
      </c>
      <c r="Q493" s="61" t="e">
        <f ca="1"/>
        <v>#NAME?</v>
      </c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</row>
    <row r="494" spans="1:28" ht="12.75">
      <c r="A494" s="47" t="s">
        <v>106</v>
      </c>
      <c r="B494" s="47" t="s">
        <v>431</v>
      </c>
      <c r="C494" s="48">
        <v>20</v>
      </c>
      <c r="D494" s="48">
        <v>181</v>
      </c>
      <c r="E494" s="48">
        <v>77</v>
      </c>
      <c r="F494" s="47" t="str">
        <v>23.5 (Normal)</v>
      </c>
      <c r="G494" s="47" t="str">
        <f t="shared" si="2"/>
        <v>Normal</v>
      </c>
      <c r="H494" s="48">
        <f ca="1">IFERROR(__xludf.DUMMYFUNCTION("""COMPUTED_VALUE"""),23.5)</f>
        <v>23.5</v>
      </c>
      <c r="I494" s="48">
        <v>21</v>
      </c>
      <c r="J494" s="49">
        <v>68.798100000000005</v>
      </c>
      <c r="K494" s="50" t="s">
        <v>42</v>
      </c>
      <c r="L494" s="48">
        <v>1806.25</v>
      </c>
      <c r="M494" s="51">
        <v>2.54</v>
      </c>
      <c r="N494" s="47" t="s">
        <v>16</v>
      </c>
      <c r="O494" s="47" t="s">
        <v>19</v>
      </c>
      <c r="P494" s="48" t="e">
        <f t="shared" ca="1" si="3"/>
        <v>#NAME?</v>
      </c>
      <c r="Q494" s="48" t="e">
        <f ca="1"/>
        <v>#NAME?</v>
      </c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</row>
    <row r="495" spans="1:28" ht="12.75">
      <c r="A495" s="47" t="s">
        <v>83</v>
      </c>
      <c r="B495" s="47" t="s">
        <v>431</v>
      </c>
      <c r="C495" s="48">
        <v>48</v>
      </c>
      <c r="D495" s="48">
        <v>157</v>
      </c>
      <c r="E495" s="48">
        <v>109</v>
      </c>
      <c r="F495" s="47" t="str">
        <v>44.2 (Obese)</v>
      </c>
      <c r="G495" s="47" t="str">
        <f t="shared" si="2"/>
        <v>Obese</v>
      </c>
      <c r="H495" s="48">
        <f ca="1">IFERROR(__xludf.DUMMYFUNCTION("""COMPUTED_VALUE"""),44.2)</f>
        <v>44.2</v>
      </c>
      <c r="I495" s="48">
        <v>21</v>
      </c>
      <c r="J495" s="49">
        <v>51.762900000000002</v>
      </c>
      <c r="K495" s="50" t="s">
        <v>4</v>
      </c>
      <c r="L495" s="48">
        <v>1836.25</v>
      </c>
      <c r="M495" s="51">
        <v>3.6</v>
      </c>
      <c r="N495" s="47" t="s">
        <v>16</v>
      </c>
      <c r="O495" s="47" t="s">
        <v>19</v>
      </c>
      <c r="P495" s="48" t="e">
        <f t="shared" ca="1" si="3"/>
        <v>#NAME?</v>
      </c>
      <c r="Q495" s="48" t="e">
        <f ca="1"/>
        <v>#NAME?</v>
      </c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</row>
    <row r="496" spans="1:28" ht="12.75">
      <c r="A496" s="67" t="s">
        <v>176</v>
      </c>
      <c r="B496" s="67" t="s">
        <v>431</v>
      </c>
      <c r="C496" s="68">
        <v>28</v>
      </c>
      <c r="D496" s="68">
        <v>164</v>
      </c>
      <c r="E496" s="68">
        <v>67</v>
      </c>
      <c r="F496" s="67" t="str">
        <v>24.9 (Overweight)</v>
      </c>
      <c r="G496" s="67" t="str">
        <f t="shared" si="2"/>
        <v>Overweight</v>
      </c>
      <c r="H496" s="68">
        <f ca="1">IFERROR(__xludf.DUMMYFUNCTION("""COMPUTED_VALUE"""),24.9)</f>
        <v>24.9</v>
      </c>
      <c r="I496" s="68">
        <v>21</v>
      </c>
      <c r="J496" s="10">
        <v>56.481599999999993</v>
      </c>
      <c r="K496" s="69" t="s">
        <v>4</v>
      </c>
      <c r="L496" s="68">
        <v>1560</v>
      </c>
      <c r="M496" s="70">
        <v>2.21</v>
      </c>
      <c r="N496" s="67" t="s">
        <v>26</v>
      </c>
      <c r="O496" s="67" t="s">
        <v>60</v>
      </c>
      <c r="P496" s="68" t="e">
        <f t="shared" ca="1" si="3"/>
        <v>#NAME?</v>
      </c>
      <c r="Q496" s="68" t="e">
        <f ca="1"/>
        <v>#NAME?</v>
      </c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</row>
    <row r="497" spans="1:28" ht="12.75">
      <c r="A497" s="47" t="s">
        <v>300</v>
      </c>
      <c r="B497" s="47" t="s">
        <v>431</v>
      </c>
      <c r="C497" s="48">
        <v>55</v>
      </c>
      <c r="D497" s="48">
        <v>170</v>
      </c>
      <c r="E497" s="48">
        <v>69</v>
      </c>
      <c r="F497" s="47" t="str">
        <v>23.9 (Normal)</v>
      </c>
      <c r="G497" s="47" t="str">
        <f t="shared" si="2"/>
        <v>Normal</v>
      </c>
      <c r="H497" s="48">
        <f ca="1">IFERROR(__xludf.DUMMYFUNCTION("""COMPUTED_VALUE"""),23.9)</f>
        <v>23.9</v>
      </c>
      <c r="I497" s="48">
        <v>21</v>
      </c>
      <c r="J497" s="49">
        <v>60.689999999999991</v>
      </c>
      <c r="K497" s="50" t="s">
        <v>18</v>
      </c>
      <c r="L497" s="48">
        <v>1482.5</v>
      </c>
      <c r="M497" s="51">
        <v>2.2799999999999998</v>
      </c>
      <c r="N497" s="47" t="s">
        <v>16</v>
      </c>
      <c r="O497" s="47" t="s">
        <v>19</v>
      </c>
      <c r="P497" s="48" t="e">
        <f t="shared" ca="1" si="3"/>
        <v>#NAME?</v>
      </c>
      <c r="Q497" s="48" t="e">
        <f ca="1"/>
        <v>#NAME?</v>
      </c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</row>
    <row r="498" spans="1:28" ht="12.75">
      <c r="A498" s="60" t="s">
        <v>108</v>
      </c>
      <c r="B498" s="60" t="s">
        <v>431</v>
      </c>
      <c r="C498" s="61">
        <v>21</v>
      </c>
      <c r="D498" s="61">
        <v>183</v>
      </c>
      <c r="E498" s="61">
        <v>104</v>
      </c>
      <c r="F498" s="60" t="str">
        <v>31.1 (Obese)</v>
      </c>
      <c r="G498" s="60" t="str">
        <f t="shared" si="2"/>
        <v>Obese</v>
      </c>
      <c r="H498" s="61">
        <f ca="1">IFERROR(__xludf.DUMMYFUNCTION("""COMPUTED_VALUE"""),31.1)</f>
        <v>31.1</v>
      </c>
      <c r="I498" s="61">
        <v>21</v>
      </c>
      <c r="J498" s="10">
        <v>70.326900000000009</v>
      </c>
      <c r="K498" s="63" t="s">
        <v>18</v>
      </c>
      <c r="L498" s="61">
        <v>2083.75</v>
      </c>
      <c r="M498" s="64">
        <v>3.43</v>
      </c>
      <c r="N498" s="60" t="s">
        <v>39</v>
      </c>
      <c r="O498" s="60" t="s">
        <v>37</v>
      </c>
      <c r="P498" s="27" t="e">
        <f t="shared" ca="1" si="3"/>
        <v>#NAME?</v>
      </c>
      <c r="Q498" s="28" t="e">
        <f ca="1"/>
        <v>#NAME?</v>
      </c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</row>
    <row r="499" spans="1:28" ht="12.75">
      <c r="A499" s="47" t="s">
        <v>301</v>
      </c>
      <c r="B499" s="47" t="s">
        <v>431</v>
      </c>
      <c r="C499" s="48">
        <v>29</v>
      </c>
      <c r="D499" s="48">
        <v>166</v>
      </c>
      <c r="E499" s="48">
        <v>60</v>
      </c>
      <c r="F499" s="47" t="str">
        <v>21.8 (Normal)</v>
      </c>
      <c r="G499" s="47" t="str">
        <f t="shared" si="2"/>
        <v>Normal</v>
      </c>
      <c r="H499" s="48">
        <f ca="1">IFERROR(__xludf.DUMMYFUNCTION("""COMPUTED_VALUE"""),21.8)</f>
        <v>21.8</v>
      </c>
      <c r="I499" s="48">
        <v>21</v>
      </c>
      <c r="J499" s="49">
        <v>57.867599999999996</v>
      </c>
      <c r="K499" s="50" t="s">
        <v>28</v>
      </c>
      <c r="L499" s="48">
        <v>1497.5</v>
      </c>
      <c r="M499" s="51">
        <v>1.98</v>
      </c>
      <c r="N499" s="47" t="s">
        <v>16</v>
      </c>
      <c r="O499" s="47" t="s">
        <v>60</v>
      </c>
      <c r="P499" s="48" t="e">
        <f t="shared" ca="1" si="3"/>
        <v>#NAME?</v>
      </c>
      <c r="Q499" s="48" t="e">
        <f ca="1"/>
        <v>#NAME?</v>
      </c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</row>
    <row r="500" spans="1:28" ht="12.75">
      <c r="A500" s="67" t="s">
        <v>276</v>
      </c>
      <c r="B500" s="67" t="s">
        <v>431</v>
      </c>
      <c r="C500" s="68">
        <v>43</v>
      </c>
      <c r="D500" s="68">
        <v>156</v>
      </c>
      <c r="E500" s="68">
        <v>55</v>
      </c>
      <c r="F500" s="67" t="str">
        <v>22.6 (Normal)</v>
      </c>
      <c r="G500" s="67" t="str">
        <f t="shared" si="2"/>
        <v>Normal</v>
      </c>
      <c r="H500" s="68">
        <f ca="1">IFERROR(__xludf.DUMMYFUNCTION("""COMPUTED_VALUE"""),22.6)</f>
        <v>22.6</v>
      </c>
      <c r="I500" s="68">
        <v>21</v>
      </c>
      <c r="J500" s="10">
        <v>51.105600000000003</v>
      </c>
      <c r="K500" s="69" t="s">
        <v>4</v>
      </c>
      <c r="L500" s="68">
        <v>1315</v>
      </c>
      <c r="M500" s="70">
        <v>1.82</v>
      </c>
      <c r="N500" s="67" t="s">
        <v>26</v>
      </c>
      <c r="O500" s="67" t="s">
        <v>60</v>
      </c>
      <c r="P500" s="68" t="e">
        <f t="shared" ca="1" si="3"/>
        <v>#NAME?</v>
      </c>
      <c r="Q500" s="68" t="e">
        <f ca="1"/>
        <v>#NAME?</v>
      </c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</row>
    <row r="501" spans="1:28" ht="12.75">
      <c r="A501" s="47" t="s">
        <v>146</v>
      </c>
      <c r="B501" s="47" t="s">
        <v>431</v>
      </c>
      <c r="C501" s="48">
        <v>56</v>
      </c>
      <c r="D501" s="48">
        <v>170</v>
      </c>
      <c r="E501" s="48">
        <v>79</v>
      </c>
      <c r="F501" s="47" t="str">
        <v>27.3 (Overweight)</v>
      </c>
      <c r="G501" s="47" t="str">
        <f t="shared" si="2"/>
        <v>Overweight</v>
      </c>
      <c r="H501" s="48">
        <f ca="1">IFERROR(__xludf.DUMMYFUNCTION("""COMPUTED_VALUE"""),27.3)</f>
        <v>27.3</v>
      </c>
      <c r="I501" s="48">
        <v>21</v>
      </c>
      <c r="J501" s="49">
        <v>60.689999999999991</v>
      </c>
      <c r="K501" s="50" t="s">
        <v>4</v>
      </c>
      <c r="L501" s="48">
        <v>1577.5</v>
      </c>
      <c r="M501" s="51">
        <v>2.61</v>
      </c>
      <c r="N501" s="47" t="s">
        <v>16</v>
      </c>
      <c r="O501" s="47" t="s">
        <v>19</v>
      </c>
      <c r="P501" s="48" t="e">
        <f t="shared" ca="1" si="3"/>
        <v>#NAME?</v>
      </c>
      <c r="Q501" s="48" t="e">
        <f ca="1"/>
        <v>#NAME?</v>
      </c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</row>
    <row r="502" spans="1:28" ht="12.75">
      <c r="A502" s="60" t="s">
        <v>187</v>
      </c>
      <c r="B502" s="60" t="s">
        <v>431</v>
      </c>
      <c r="C502" s="61">
        <v>52</v>
      </c>
      <c r="D502" s="61">
        <v>185</v>
      </c>
      <c r="E502" s="61">
        <v>106</v>
      </c>
      <c r="F502" s="60" t="str">
        <v>31.0 (Obese)</v>
      </c>
      <c r="G502" s="60" t="str">
        <f t="shared" si="2"/>
        <v>Obese</v>
      </c>
      <c r="H502" s="61">
        <f ca="1">IFERROR(__xludf.DUMMYFUNCTION("""COMPUTED_VALUE"""),31)</f>
        <v>31</v>
      </c>
      <c r="I502" s="61">
        <v>21</v>
      </c>
      <c r="J502" s="10">
        <v>71.872500000000002</v>
      </c>
      <c r="K502" s="63" t="s">
        <v>4</v>
      </c>
      <c r="L502" s="61">
        <v>1961.25</v>
      </c>
      <c r="M502" s="64">
        <v>3.5</v>
      </c>
      <c r="N502" s="60" t="s">
        <v>39</v>
      </c>
      <c r="O502" s="60" t="s">
        <v>37</v>
      </c>
      <c r="P502" s="27" t="e">
        <f t="shared" ca="1" si="3"/>
        <v>#NAME?</v>
      </c>
      <c r="Q502" s="28" t="e">
        <f ca="1"/>
        <v>#NAME?</v>
      </c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</row>
    <row r="503" spans="1:28" ht="12.75">
      <c r="A503" s="56" t="s">
        <v>99</v>
      </c>
      <c r="B503" s="56" t="s">
        <v>431</v>
      </c>
      <c r="C503" s="57">
        <v>42</v>
      </c>
      <c r="D503" s="57">
        <v>187</v>
      </c>
      <c r="E503" s="57">
        <v>86</v>
      </c>
      <c r="F503" s="56" t="str">
        <v>24.6 (Normal)</v>
      </c>
      <c r="G503" s="56" t="str">
        <f t="shared" si="2"/>
        <v>Normal</v>
      </c>
      <c r="H503" s="57">
        <f ca="1">IFERROR(__xludf.DUMMYFUNCTION("""COMPUTED_VALUE"""),24.6)</f>
        <v>24.6</v>
      </c>
      <c r="I503" s="57">
        <v>21</v>
      </c>
      <c r="J503" s="10">
        <v>73.434900000000013</v>
      </c>
      <c r="K503" s="58" t="s">
        <v>28</v>
      </c>
      <c r="L503" s="57">
        <v>1823.75</v>
      </c>
      <c r="M503" s="59">
        <v>2.84</v>
      </c>
      <c r="N503" s="56" t="s">
        <v>34</v>
      </c>
      <c r="O503" s="56" t="s">
        <v>37</v>
      </c>
      <c r="P503" s="57" t="e">
        <f t="shared" ca="1" si="3"/>
        <v>#NAME?</v>
      </c>
      <c r="Q503" s="57" t="e">
        <f ca="1"/>
        <v>#NAME?</v>
      </c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</row>
    <row r="504" spans="1:28" ht="12.75">
      <c r="A504" s="47" t="s">
        <v>111</v>
      </c>
      <c r="B504" s="47" t="s">
        <v>431</v>
      </c>
      <c r="C504" s="48">
        <v>40</v>
      </c>
      <c r="D504" s="48">
        <v>185</v>
      </c>
      <c r="E504" s="48">
        <v>73</v>
      </c>
      <c r="F504" s="47" t="str">
        <v>21.3 (Normal)</v>
      </c>
      <c r="G504" s="47" t="str">
        <f t="shared" si="2"/>
        <v>Normal</v>
      </c>
      <c r="H504" s="48">
        <f ca="1">IFERROR(__xludf.DUMMYFUNCTION("""COMPUTED_VALUE"""),21.3)</f>
        <v>21.3</v>
      </c>
      <c r="I504" s="48">
        <v>21</v>
      </c>
      <c r="J504" s="49">
        <v>71.872500000000002</v>
      </c>
      <c r="K504" s="50" t="s">
        <v>4</v>
      </c>
      <c r="L504" s="48">
        <v>1691.25</v>
      </c>
      <c r="M504" s="51">
        <v>2.41</v>
      </c>
      <c r="N504" s="47" t="s">
        <v>16</v>
      </c>
      <c r="O504" s="47" t="s">
        <v>7</v>
      </c>
      <c r="P504" s="48" t="e">
        <f t="shared" ca="1" si="3"/>
        <v>#NAME?</v>
      </c>
      <c r="Q504" s="48" t="e">
        <f ca="1"/>
        <v>#NAME?</v>
      </c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</row>
    <row r="505" spans="1:28" ht="12.75">
      <c r="A505" s="60" t="s">
        <v>85</v>
      </c>
      <c r="B505" s="60" t="s">
        <v>431</v>
      </c>
      <c r="C505" s="61">
        <v>48</v>
      </c>
      <c r="D505" s="61">
        <v>176</v>
      </c>
      <c r="E505" s="61">
        <v>67</v>
      </c>
      <c r="F505" s="60" t="str">
        <v>21.6 (Normal)</v>
      </c>
      <c r="G505" s="60" t="str">
        <f t="shared" si="2"/>
        <v>Normal</v>
      </c>
      <c r="H505" s="61">
        <f ca="1">IFERROR(__xludf.DUMMYFUNCTION("""COMPUTED_VALUE"""),21.6)</f>
        <v>21.6</v>
      </c>
      <c r="I505" s="61">
        <v>21</v>
      </c>
      <c r="J505" s="62">
        <v>65.049599999999998</v>
      </c>
      <c r="K505" s="63" t="s">
        <v>28</v>
      </c>
      <c r="L505" s="61">
        <v>1535</v>
      </c>
      <c r="M505" s="64">
        <v>2.21</v>
      </c>
      <c r="N505" s="60" t="s">
        <v>39</v>
      </c>
      <c r="O505" s="60" t="s">
        <v>63</v>
      </c>
      <c r="P505" s="61" t="e">
        <f t="shared" ca="1" si="3"/>
        <v>#NAME?</v>
      </c>
      <c r="Q505" s="61" t="e">
        <f ca="1"/>
        <v>#NAME?</v>
      </c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</row>
    <row r="506" spans="1:28" ht="12.75">
      <c r="A506" s="60" t="s">
        <v>159</v>
      </c>
      <c r="B506" s="60" t="s">
        <v>431</v>
      </c>
      <c r="C506" s="61">
        <v>52</v>
      </c>
      <c r="D506" s="61">
        <v>179</v>
      </c>
      <c r="E506" s="61">
        <v>86</v>
      </c>
      <c r="F506" s="60" t="str">
        <v>26.8 (Overweight)</v>
      </c>
      <c r="G506" s="60" t="str">
        <f t="shared" si="2"/>
        <v>Overweight</v>
      </c>
      <c r="H506" s="61">
        <f ca="1">IFERROR(__xludf.DUMMYFUNCTION("""COMPUTED_VALUE"""),26.8)</f>
        <v>26.8</v>
      </c>
      <c r="I506" s="61">
        <v>21</v>
      </c>
      <c r="J506" s="62">
        <v>67.286100000000005</v>
      </c>
      <c r="K506" s="63" t="s">
        <v>42</v>
      </c>
      <c r="L506" s="61">
        <v>1723.75</v>
      </c>
      <c r="M506" s="64">
        <v>2.84</v>
      </c>
      <c r="N506" s="60" t="s">
        <v>39</v>
      </c>
      <c r="O506" s="60" t="s">
        <v>30</v>
      </c>
      <c r="P506" s="61" t="e">
        <f t="shared" ca="1" si="3"/>
        <v>#NAME?</v>
      </c>
      <c r="Q506" s="61" t="e">
        <f ca="1"/>
        <v>#NAME?</v>
      </c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</row>
    <row r="507" spans="1:28" ht="12.75">
      <c r="A507" s="47" t="s">
        <v>122</v>
      </c>
      <c r="B507" s="47" t="s">
        <v>431</v>
      </c>
      <c r="C507" s="48">
        <v>54</v>
      </c>
      <c r="D507" s="48">
        <v>167</v>
      </c>
      <c r="E507" s="48">
        <v>84</v>
      </c>
      <c r="F507" s="47" t="str">
        <v>30.1 (Obese)</v>
      </c>
      <c r="G507" s="47" t="str">
        <f t="shared" si="2"/>
        <v>Obese</v>
      </c>
      <c r="H507" s="48">
        <f ca="1">IFERROR(__xludf.DUMMYFUNCTION("""COMPUTED_VALUE"""),30.1)</f>
        <v>30.1</v>
      </c>
      <c r="I507" s="48">
        <v>21</v>
      </c>
      <c r="J507" s="49">
        <v>58.566899999999997</v>
      </c>
      <c r="K507" s="50" t="s">
        <v>42</v>
      </c>
      <c r="L507" s="48">
        <v>1618.75</v>
      </c>
      <c r="M507" s="51">
        <v>2.77</v>
      </c>
      <c r="N507" s="47" t="s">
        <v>16</v>
      </c>
      <c r="O507" s="47" t="s">
        <v>19</v>
      </c>
      <c r="P507" s="48" t="e">
        <f t="shared" ca="1" si="3"/>
        <v>#NAME?</v>
      </c>
      <c r="Q507" s="48" t="e">
        <f ca="1"/>
        <v>#NAME?</v>
      </c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</row>
    <row r="508" spans="1:28" ht="12.75">
      <c r="A508" s="56" t="s">
        <v>180</v>
      </c>
      <c r="B508" s="56" t="s">
        <v>431</v>
      </c>
      <c r="C508" s="57">
        <v>33</v>
      </c>
      <c r="D508" s="57">
        <v>176</v>
      </c>
      <c r="E508" s="57">
        <v>99</v>
      </c>
      <c r="F508" s="56" t="str">
        <v>32.0 (Obese)</v>
      </c>
      <c r="G508" s="56" t="str">
        <f t="shared" si="2"/>
        <v>Obese</v>
      </c>
      <c r="H508" s="57">
        <f ca="1">IFERROR(__xludf.DUMMYFUNCTION("""COMPUTED_VALUE"""),32)</f>
        <v>32</v>
      </c>
      <c r="I508" s="57">
        <v>21</v>
      </c>
      <c r="J508" s="10">
        <v>65.049599999999998</v>
      </c>
      <c r="K508" s="58" t="s">
        <v>42</v>
      </c>
      <c r="L508" s="57">
        <v>1930</v>
      </c>
      <c r="M508" s="59">
        <v>3.27</v>
      </c>
      <c r="N508" s="56" t="s">
        <v>34</v>
      </c>
      <c r="O508" s="56" t="s">
        <v>60</v>
      </c>
      <c r="P508" s="57" t="e">
        <f t="shared" ca="1" si="3"/>
        <v>#NAME?</v>
      </c>
      <c r="Q508" s="57" t="e">
        <f ca="1"/>
        <v>#NAME?</v>
      </c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</row>
    <row r="509" spans="1:28" ht="12.75">
      <c r="A509" s="56" t="s">
        <v>105</v>
      </c>
      <c r="B509" s="56" t="s">
        <v>431</v>
      </c>
      <c r="C509" s="57">
        <v>23</v>
      </c>
      <c r="D509" s="57">
        <v>163</v>
      </c>
      <c r="E509" s="57">
        <v>79</v>
      </c>
      <c r="F509" s="56" t="str">
        <v>29.7 (Obese)</v>
      </c>
      <c r="G509" s="56" t="str">
        <f t="shared" si="2"/>
        <v>Obese</v>
      </c>
      <c r="H509" s="57">
        <f ca="1">IFERROR(__xludf.DUMMYFUNCTION("""COMPUTED_VALUE"""),29.7)</f>
        <v>29.7</v>
      </c>
      <c r="I509" s="57">
        <v>21</v>
      </c>
      <c r="J509" s="10">
        <v>55.794899999999998</v>
      </c>
      <c r="K509" s="58" t="s">
        <v>28</v>
      </c>
      <c r="L509" s="57">
        <v>1698.75</v>
      </c>
      <c r="M509" s="59">
        <v>2.61</v>
      </c>
      <c r="N509" s="56" t="s">
        <v>34</v>
      </c>
      <c r="O509" s="56" t="s">
        <v>63</v>
      </c>
      <c r="P509" s="57" t="e">
        <f t="shared" ca="1" si="3"/>
        <v>#NAME?</v>
      </c>
      <c r="Q509" s="57" t="e">
        <f ca="1"/>
        <v>#NAME?</v>
      </c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</row>
    <row r="510" spans="1:28" ht="12.75">
      <c r="A510" s="60" t="s">
        <v>302</v>
      </c>
      <c r="B510" s="60" t="s">
        <v>431</v>
      </c>
      <c r="C510" s="61">
        <v>29</v>
      </c>
      <c r="D510" s="61">
        <v>165</v>
      </c>
      <c r="E510" s="61">
        <v>54</v>
      </c>
      <c r="F510" s="60" t="str">
        <v>19.8 (Normal)</v>
      </c>
      <c r="G510" s="60" t="str">
        <f t="shared" si="2"/>
        <v>Normal</v>
      </c>
      <c r="H510" s="61">
        <f ca="1">IFERROR(__xludf.DUMMYFUNCTION("""COMPUTED_VALUE"""),19.8)</f>
        <v>19.8</v>
      </c>
      <c r="I510" s="61">
        <v>21</v>
      </c>
      <c r="J510" s="62">
        <v>57.172499999999992</v>
      </c>
      <c r="K510" s="63" t="s">
        <v>18</v>
      </c>
      <c r="L510" s="61">
        <v>1431.25</v>
      </c>
      <c r="M510" s="64">
        <v>1.78</v>
      </c>
      <c r="N510" s="60" t="s">
        <v>39</v>
      </c>
      <c r="O510" s="60" t="s">
        <v>37</v>
      </c>
      <c r="P510" s="61" t="e">
        <f t="shared" ca="1" si="3"/>
        <v>#NAME?</v>
      </c>
      <c r="Q510" s="61" t="e">
        <f ca="1"/>
        <v>#NAME?</v>
      </c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</row>
    <row r="511" spans="1:28" ht="12.75">
      <c r="A511" s="60" t="s">
        <v>85</v>
      </c>
      <c r="B511" s="60" t="s">
        <v>431</v>
      </c>
      <c r="C511" s="61">
        <v>26</v>
      </c>
      <c r="D511" s="61">
        <v>170</v>
      </c>
      <c r="E511" s="61">
        <v>103</v>
      </c>
      <c r="F511" s="60" t="str">
        <v>35.6 (Obese)</v>
      </c>
      <c r="G511" s="60" t="str">
        <f t="shared" si="2"/>
        <v>Obese</v>
      </c>
      <c r="H511" s="61">
        <f ca="1">IFERROR(__xludf.DUMMYFUNCTION("""COMPUTED_VALUE"""),35.6)</f>
        <v>35.6</v>
      </c>
      <c r="I511" s="61">
        <v>21</v>
      </c>
      <c r="J511" s="62">
        <v>60.689999999999991</v>
      </c>
      <c r="K511" s="63" t="s">
        <v>4</v>
      </c>
      <c r="L511" s="61">
        <v>1967.5</v>
      </c>
      <c r="M511" s="64">
        <v>3.4</v>
      </c>
      <c r="N511" s="60" t="s">
        <v>39</v>
      </c>
      <c r="O511" s="60" t="s">
        <v>63</v>
      </c>
      <c r="P511" s="61" t="e">
        <f t="shared" ca="1" si="3"/>
        <v>#NAME?</v>
      </c>
      <c r="Q511" s="61" t="e">
        <f ca="1"/>
        <v>#NAME?</v>
      </c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</row>
    <row r="512" spans="1:28" ht="12.75">
      <c r="A512" s="47" t="s">
        <v>249</v>
      </c>
      <c r="B512" s="47" t="s">
        <v>431</v>
      </c>
      <c r="C512" s="48">
        <v>29</v>
      </c>
      <c r="D512" s="48">
        <v>176</v>
      </c>
      <c r="E512" s="48">
        <v>79</v>
      </c>
      <c r="F512" s="47" t="str">
        <v>25.5 (Overweight)</v>
      </c>
      <c r="G512" s="47" t="str">
        <f t="shared" si="2"/>
        <v>Overweight</v>
      </c>
      <c r="H512" s="48">
        <f ca="1">IFERROR(__xludf.DUMMYFUNCTION("""COMPUTED_VALUE"""),25.5)</f>
        <v>25.5</v>
      </c>
      <c r="I512" s="48">
        <v>21</v>
      </c>
      <c r="J512" s="49">
        <v>65.049599999999998</v>
      </c>
      <c r="K512" s="50" t="s">
        <v>28</v>
      </c>
      <c r="L512" s="48">
        <v>1750</v>
      </c>
      <c r="M512" s="51">
        <v>2.61</v>
      </c>
      <c r="N512" s="47" t="s">
        <v>16</v>
      </c>
      <c r="O512" s="47" t="s">
        <v>19</v>
      </c>
      <c r="P512" s="48" t="e">
        <f t="shared" ca="1" si="3"/>
        <v>#NAME?</v>
      </c>
      <c r="Q512" s="48" t="e">
        <f ca="1"/>
        <v>#NAME?</v>
      </c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</row>
    <row r="513" spans="1:28" ht="12.75">
      <c r="A513" s="67" t="s">
        <v>163</v>
      </c>
      <c r="B513" s="67" t="s">
        <v>431</v>
      </c>
      <c r="C513" s="68">
        <v>43</v>
      </c>
      <c r="D513" s="68">
        <v>187</v>
      </c>
      <c r="E513" s="68">
        <v>74</v>
      </c>
      <c r="F513" s="67" t="str">
        <v>21.2 (Normal)</v>
      </c>
      <c r="G513" s="67" t="str">
        <f t="shared" ref="G513:G767" si="4">MID(F513, FIND("(", F513) + 1, FIND(")", F513) - FIND("(", F513) - 1)</f>
        <v>Normal</v>
      </c>
      <c r="H513" s="68">
        <f ca="1">IFERROR(__xludf.DUMMYFUNCTION("""COMPUTED_VALUE"""),21.2)</f>
        <v>21.2</v>
      </c>
      <c r="I513" s="68">
        <v>21</v>
      </c>
      <c r="J513" s="10">
        <v>73.434900000000013</v>
      </c>
      <c r="K513" s="69" t="s">
        <v>4</v>
      </c>
      <c r="L513" s="68">
        <v>1698.75</v>
      </c>
      <c r="M513" s="70">
        <v>2.44</v>
      </c>
      <c r="N513" s="67" t="s">
        <v>26</v>
      </c>
      <c r="O513" s="67" t="s">
        <v>63</v>
      </c>
      <c r="P513" s="68" t="e">
        <f t="shared" ref="P513:P767" ca="1" si="5">LET(
    activity, K512:K610,
    bmr, L512:L610,
    multiplier,
        IF(activity="Sedentary (little or no exercise)", 1.2,
        IF(activity="Lightly active (light exercise/sports 1-3 days/week)", 1.375,
        IF(activity="Moderately active (moderate exercise/sports 3-5 days/week)", 1.55,
        IF(activity="Very active (hard exercise/sports 6-7 days a week)", 1.725,
        IF(activity="Super active (very hard exercise/physical job)", 1.9, NA()))))),
    bmr * multiplier
)</f>
        <v>#NAME?</v>
      </c>
      <c r="Q513" s="68" t="e">
        <f ca="1"/>
        <v>#NAME?</v>
      </c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</row>
    <row r="514" spans="1:28" ht="12.75">
      <c r="A514" s="60" t="s">
        <v>120</v>
      </c>
      <c r="B514" s="60" t="s">
        <v>431</v>
      </c>
      <c r="C514" s="61">
        <v>55</v>
      </c>
      <c r="D514" s="61">
        <v>178</v>
      </c>
      <c r="E514" s="61">
        <v>62</v>
      </c>
      <c r="F514" s="60" t="str">
        <v>19.6 (Normal)</v>
      </c>
      <c r="G514" s="60" t="str">
        <f t="shared" si="4"/>
        <v>Normal</v>
      </c>
      <c r="H514" s="61">
        <f ca="1">IFERROR(__xludf.DUMMYFUNCTION("""COMPUTED_VALUE"""),19.6)</f>
        <v>19.600000000000001</v>
      </c>
      <c r="I514" s="61">
        <v>21</v>
      </c>
      <c r="J514" s="62">
        <v>66.5364</v>
      </c>
      <c r="K514" s="63" t="s">
        <v>4</v>
      </c>
      <c r="L514" s="61">
        <v>1462.5</v>
      </c>
      <c r="M514" s="64">
        <v>2.0499999999999998</v>
      </c>
      <c r="N514" s="60" t="s">
        <v>39</v>
      </c>
      <c r="O514" s="60" t="s">
        <v>30</v>
      </c>
      <c r="P514" s="61" t="e">
        <f t="shared" ca="1" si="5"/>
        <v>#NAME?</v>
      </c>
      <c r="Q514" s="61" t="e">
        <f ca="1"/>
        <v>#NAME?</v>
      </c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</row>
    <row r="515" spans="1:28" ht="12.75">
      <c r="A515" s="71" t="s">
        <v>233</v>
      </c>
      <c r="B515" s="71" t="s">
        <v>431</v>
      </c>
      <c r="C515" s="72">
        <v>48</v>
      </c>
      <c r="D515" s="72">
        <v>189</v>
      </c>
      <c r="E515" s="72">
        <v>62</v>
      </c>
      <c r="F515" s="71" t="str">
        <v>17.4 (Underweight)</v>
      </c>
      <c r="G515" s="71" t="str">
        <f t="shared" si="4"/>
        <v>Underweight</v>
      </c>
      <c r="H515" s="72">
        <f ca="1">IFERROR(__xludf.DUMMYFUNCTION("""COMPUTED_VALUE"""),17.4)</f>
        <v>17.399999999999999</v>
      </c>
      <c r="I515" s="72">
        <v>21</v>
      </c>
      <c r="J515" s="10">
        <v>75.014099999999999</v>
      </c>
      <c r="K515" s="73" t="s">
        <v>4</v>
      </c>
      <c r="L515" s="72">
        <v>1566.25</v>
      </c>
      <c r="M515" s="74">
        <v>2.0499999999999998</v>
      </c>
      <c r="N515" s="71" t="s">
        <v>34</v>
      </c>
      <c r="O515" s="71" t="s">
        <v>30</v>
      </c>
      <c r="P515" s="72" t="e">
        <f t="shared" ca="1" si="5"/>
        <v>#NAME?</v>
      </c>
      <c r="Q515" s="72" t="e">
        <f ca="1"/>
        <v>#NAME?</v>
      </c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</row>
    <row r="516" spans="1:28" ht="12.75">
      <c r="A516" s="75" t="s">
        <v>57</v>
      </c>
      <c r="B516" s="75" t="s">
        <v>431</v>
      </c>
      <c r="C516" s="76">
        <v>33</v>
      </c>
      <c r="D516" s="76">
        <v>156</v>
      </c>
      <c r="E516" s="76">
        <v>79</v>
      </c>
      <c r="F516" s="75" t="str">
        <v>32.5 (Obese)</v>
      </c>
      <c r="G516" s="75" t="str">
        <f t="shared" si="4"/>
        <v>Obese</v>
      </c>
      <c r="H516" s="76">
        <f ca="1">IFERROR(__xludf.DUMMYFUNCTION("""COMPUTED_VALUE"""),32.5)</f>
        <v>32.5</v>
      </c>
      <c r="I516" s="76">
        <v>21</v>
      </c>
      <c r="J516" s="77">
        <v>51.105600000000003</v>
      </c>
      <c r="K516" s="78" t="s">
        <v>4</v>
      </c>
      <c r="L516" s="76">
        <v>1605</v>
      </c>
      <c r="M516" s="79">
        <v>2.61</v>
      </c>
      <c r="N516" s="75" t="s">
        <v>16</v>
      </c>
      <c r="O516" s="75" t="s">
        <v>37</v>
      </c>
      <c r="P516" s="76" t="e">
        <f t="shared" ca="1" si="5"/>
        <v>#NAME?</v>
      </c>
      <c r="Q516" s="76" t="e">
        <f ca="1"/>
        <v>#NAME?</v>
      </c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</row>
    <row r="517" spans="1:28" ht="12.75">
      <c r="A517" s="60" t="s">
        <v>136</v>
      </c>
      <c r="B517" s="60" t="s">
        <v>431</v>
      </c>
      <c r="C517" s="61">
        <v>39</v>
      </c>
      <c r="D517" s="61">
        <v>173</v>
      </c>
      <c r="E517" s="61">
        <v>87</v>
      </c>
      <c r="F517" s="60" t="str">
        <v>29.1 (Obese)</v>
      </c>
      <c r="G517" s="60" t="str">
        <f t="shared" si="4"/>
        <v>Obese</v>
      </c>
      <c r="H517" s="61">
        <f ca="1">IFERROR(__xludf.DUMMYFUNCTION("""COMPUTED_VALUE"""),29.1)</f>
        <v>29.1</v>
      </c>
      <c r="I517" s="61">
        <v>21</v>
      </c>
      <c r="J517" s="62">
        <v>62.850900000000003</v>
      </c>
      <c r="K517" s="63" t="s">
        <v>28</v>
      </c>
      <c r="L517" s="61">
        <v>1761.25</v>
      </c>
      <c r="M517" s="64">
        <v>2.87</v>
      </c>
      <c r="N517" s="60" t="s">
        <v>39</v>
      </c>
      <c r="O517" s="60" t="s">
        <v>19</v>
      </c>
      <c r="P517" s="61" t="e">
        <f t="shared" ca="1" si="5"/>
        <v>#NAME?</v>
      </c>
      <c r="Q517" s="61" t="e">
        <f ca="1"/>
        <v>#NAME?</v>
      </c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</row>
    <row r="518" spans="1:28" ht="12.75">
      <c r="A518" s="71" t="s">
        <v>41</v>
      </c>
      <c r="B518" s="71" t="s">
        <v>431</v>
      </c>
      <c r="C518" s="72">
        <v>26</v>
      </c>
      <c r="D518" s="72">
        <v>159</v>
      </c>
      <c r="E518" s="72">
        <v>105</v>
      </c>
      <c r="F518" s="71" t="str">
        <v>41.5 (Obese)</v>
      </c>
      <c r="G518" s="71" t="str">
        <f t="shared" si="4"/>
        <v>Obese</v>
      </c>
      <c r="H518" s="72">
        <f ca="1">IFERROR(__xludf.DUMMYFUNCTION("""COMPUTED_VALUE"""),41.5)</f>
        <v>41.5</v>
      </c>
      <c r="I518" s="72">
        <v>21</v>
      </c>
      <c r="J518" s="10">
        <v>53.090100000000007</v>
      </c>
      <c r="K518" s="73" t="s">
        <v>18</v>
      </c>
      <c r="L518" s="72">
        <v>1918.75</v>
      </c>
      <c r="M518" s="74">
        <v>3.47</v>
      </c>
      <c r="N518" s="71" t="s">
        <v>34</v>
      </c>
      <c r="O518" s="71" t="s">
        <v>7</v>
      </c>
      <c r="P518" s="72" t="e">
        <f t="shared" ca="1" si="5"/>
        <v>#NAME?</v>
      </c>
      <c r="Q518" s="72" t="e">
        <f ca="1"/>
        <v>#NAME?</v>
      </c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</row>
    <row r="519" spans="1:28" ht="12.75">
      <c r="A519" s="60" t="s">
        <v>105</v>
      </c>
      <c r="B519" s="60" t="s">
        <v>431</v>
      </c>
      <c r="C519" s="61">
        <v>48</v>
      </c>
      <c r="D519" s="61">
        <v>180</v>
      </c>
      <c r="E519" s="61">
        <v>84</v>
      </c>
      <c r="F519" s="60" t="str">
        <v>25.9 (Overweight)</v>
      </c>
      <c r="G519" s="60" t="str">
        <f t="shared" si="4"/>
        <v>Overweight</v>
      </c>
      <c r="H519" s="61">
        <f ca="1">IFERROR(__xludf.DUMMYFUNCTION("""COMPUTED_VALUE"""),25.9)</f>
        <v>25.9</v>
      </c>
      <c r="I519" s="61">
        <v>21</v>
      </c>
      <c r="J519" s="62">
        <v>68.040000000000006</v>
      </c>
      <c r="K519" s="63" t="s">
        <v>28</v>
      </c>
      <c r="L519" s="61">
        <v>1730</v>
      </c>
      <c r="M519" s="64">
        <v>2.77</v>
      </c>
      <c r="N519" s="60" t="s">
        <v>39</v>
      </c>
      <c r="O519" s="60" t="s">
        <v>19</v>
      </c>
      <c r="P519" s="61" t="e">
        <f t="shared" ca="1" si="5"/>
        <v>#NAME?</v>
      </c>
      <c r="Q519" s="61" t="e">
        <f ca="1"/>
        <v>#NAME?</v>
      </c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</row>
    <row r="520" spans="1:28" ht="12.75">
      <c r="A520" s="60" t="s">
        <v>59</v>
      </c>
      <c r="B520" s="60" t="s">
        <v>431</v>
      </c>
      <c r="C520" s="61">
        <v>59</v>
      </c>
      <c r="D520" s="61">
        <v>175</v>
      </c>
      <c r="E520" s="61">
        <v>103</v>
      </c>
      <c r="F520" s="60" t="str">
        <v>33.6 (Obese)</v>
      </c>
      <c r="G520" s="60" t="str">
        <f t="shared" si="4"/>
        <v>Obese</v>
      </c>
      <c r="H520" s="61">
        <f ca="1">IFERROR(__xludf.DUMMYFUNCTION("""COMPUTED_VALUE"""),33.6)</f>
        <v>33.6</v>
      </c>
      <c r="I520" s="61">
        <v>21</v>
      </c>
      <c r="J520" s="62">
        <v>64.3125</v>
      </c>
      <c r="K520" s="63" t="s">
        <v>4</v>
      </c>
      <c r="L520" s="61">
        <v>1833.75</v>
      </c>
      <c r="M520" s="64">
        <v>3.4</v>
      </c>
      <c r="N520" s="60" t="s">
        <v>39</v>
      </c>
      <c r="O520" s="60" t="s">
        <v>63</v>
      </c>
      <c r="P520" s="61" t="e">
        <f t="shared" ca="1" si="5"/>
        <v>#NAME?</v>
      </c>
      <c r="Q520" s="61" t="e">
        <f ca="1"/>
        <v>#NAME?</v>
      </c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</row>
    <row r="521" spans="1:28" ht="12.75">
      <c r="A521" s="75" t="s">
        <v>57</v>
      </c>
      <c r="B521" s="75" t="s">
        <v>431</v>
      </c>
      <c r="C521" s="76">
        <v>40</v>
      </c>
      <c r="D521" s="76">
        <v>184</v>
      </c>
      <c r="E521" s="76">
        <v>99</v>
      </c>
      <c r="F521" s="75" t="str">
        <v>29.2 (Obese)</v>
      </c>
      <c r="G521" s="75" t="str">
        <f t="shared" si="4"/>
        <v>Obese</v>
      </c>
      <c r="H521" s="76">
        <f ca="1">IFERROR(__xludf.DUMMYFUNCTION("""COMPUTED_VALUE"""),29.2)</f>
        <v>29.2</v>
      </c>
      <c r="I521" s="76">
        <v>21</v>
      </c>
      <c r="J521" s="77">
        <v>71.0976</v>
      </c>
      <c r="K521" s="78" t="s">
        <v>28</v>
      </c>
      <c r="L521" s="76">
        <v>1945</v>
      </c>
      <c r="M521" s="79">
        <v>3.27</v>
      </c>
      <c r="N521" s="75" t="s">
        <v>16</v>
      </c>
      <c r="O521" s="75" t="s">
        <v>63</v>
      </c>
      <c r="P521" s="76" t="e">
        <f t="shared" ca="1" si="5"/>
        <v>#NAME?</v>
      </c>
      <c r="Q521" s="76" t="e">
        <f ca="1"/>
        <v>#NAME?</v>
      </c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</row>
    <row r="522" spans="1:28" ht="12.75">
      <c r="A522" s="67" t="s">
        <v>303</v>
      </c>
      <c r="B522" s="67" t="s">
        <v>431</v>
      </c>
      <c r="C522" s="68">
        <v>49</v>
      </c>
      <c r="D522" s="68">
        <v>187</v>
      </c>
      <c r="E522" s="68">
        <v>70</v>
      </c>
      <c r="F522" s="67" t="str">
        <v>20.0 (Normal)</v>
      </c>
      <c r="G522" s="67" t="str">
        <f t="shared" si="4"/>
        <v>Normal</v>
      </c>
      <c r="H522" s="68">
        <f ca="1">IFERROR(__xludf.DUMMYFUNCTION("""COMPUTED_VALUE"""),20)</f>
        <v>20</v>
      </c>
      <c r="I522" s="68">
        <v>21</v>
      </c>
      <c r="J522" s="10">
        <v>73.434900000000013</v>
      </c>
      <c r="K522" s="69" t="s">
        <v>4</v>
      </c>
      <c r="L522" s="68">
        <v>1628.75</v>
      </c>
      <c r="M522" s="70">
        <v>2.31</v>
      </c>
      <c r="N522" s="67" t="s">
        <v>26</v>
      </c>
      <c r="O522" s="67" t="s">
        <v>63</v>
      </c>
      <c r="P522" s="68" t="e">
        <f t="shared" ca="1" si="5"/>
        <v>#NAME?</v>
      </c>
      <c r="Q522" s="68" t="e">
        <f ca="1"/>
        <v>#NAME?</v>
      </c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</row>
    <row r="523" spans="1:28" ht="12.75">
      <c r="A523" s="71" t="s">
        <v>43</v>
      </c>
      <c r="B523" s="71" t="s">
        <v>431</v>
      </c>
      <c r="C523" s="72">
        <v>34</v>
      </c>
      <c r="D523" s="72">
        <v>187</v>
      </c>
      <c r="E523" s="72">
        <v>57</v>
      </c>
      <c r="F523" s="71" t="str">
        <v>16.3 (Underweight)</v>
      </c>
      <c r="G523" s="71" t="str">
        <f t="shared" si="4"/>
        <v>Underweight</v>
      </c>
      <c r="H523" s="72">
        <f ca="1">IFERROR(__xludf.DUMMYFUNCTION("""COMPUTED_VALUE"""),16.3)</f>
        <v>16.3</v>
      </c>
      <c r="I523" s="72">
        <v>21</v>
      </c>
      <c r="J523" s="10">
        <v>73.434900000000013</v>
      </c>
      <c r="K523" s="73" t="s">
        <v>4</v>
      </c>
      <c r="L523" s="72">
        <v>1573.75</v>
      </c>
      <c r="M523" s="74">
        <v>1.88</v>
      </c>
      <c r="N523" s="71" t="s">
        <v>34</v>
      </c>
      <c r="O523" s="71" t="s">
        <v>30</v>
      </c>
      <c r="P523" s="72" t="e">
        <f t="shared" ca="1" si="5"/>
        <v>#NAME?</v>
      </c>
      <c r="Q523" s="72" t="e">
        <f ca="1"/>
        <v>#NAME?</v>
      </c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</row>
    <row r="524" spans="1:28" ht="12.75">
      <c r="A524" s="71" t="s">
        <v>95</v>
      </c>
      <c r="B524" s="71" t="s">
        <v>431</v>
      </c>
      <c r="C524" s="72">
        <v>43</v>
      </c>
      <c r="D524" s="72">
        <v>176</v>
      </c>
      <c r="E524" s="72">
        <v>102</v>
      </c>
      <c r="F524" s="71" t="str">
        <v>32.9 (Obese)</v>
      </c>
      <c r="G524" s="71" t="str">
        <f t="shared" si="4"/>
        <v>Obese</v>
      </c>
      <c r="H524" s="72">
        <f ca="1">IFERROR(__xludf.DUMMYFUNCTION("""COMPUTED_VALUE"""),32.9)</f>
        <v>32.9</v>
      </c>
      <c r="I524" s="72">
        <v>21</v>
      </c>
      <c r="J524" s="10">
        <v>65.049599999999998</v>
      </c>
      <c r="K524" s="73" t="s">
        <v>28</v>
      </c>
      <c r="L524" s="72">
        <v>1910</v>
      </c>
      <c r="M524" s="74">
        <v>3.37</v>
      </c>
      <c r="N524" s="71" t="s">
        <v>34</v>
      </c>
      <c r="O524" s="71" t="s">
        <v>60</v>
      </c>
      <c r="P524" s="72" t="e">
        <f t="shared" ca="1" si="5"/>
        <v>#NAME?</v>
      </c>
      <c r="Q524" s="72" t="e">
        <f ca="1"/>
        <v>#NAME?</v>
      </c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</row>
    <row r="525" spans="1:28" ht="12.75">
      <c r="A525" s="71" t="s">
        <v>304</v>
      </c>
      <c r="B525" s="71" t="s">
        <v>431</v>
      </c>
      <c r="C525" s="72">
        <v>49</v>
      </c>
      <c r="D525" s="72">
        <v>176</v>
      </c>
      <c r="E525" s="72">
        <v>75</v>
      </c>
      <c r="F525" s="71" t="str">
        <v>24.2 (Normal)</v>
      </c>
      <c r="G525" s="71" t="str">
        <f t="shared" si="4"/>
        <v>Normal</v>
      </c>
      <c r="H525" s="72">
        <f ca="1">IFERROR(__xludf.DUMMYFUNCTION("""COMPUTED_VALUE"""),24.2)</f>
        <v>24.2</v>
      </c>
      <c r="I525" s="72">
        <v>21</v>
      </c>
      <c r="J525" s="10">
        <v>65.049599999999998</v>
      </c>
      <c r="K525" s="73" t="s">
        <v>18</v>
      </c>
      <c r="L525" s="72">
        <v>1610</v>
      </c>
      <c r="M525" s="74">
        <v>2.48</v>
      </c>
      <c r="N525" s="71" t="s">
        <v>34</v>
      </c>
      <c r="O525" s="71" t="s">
        <v>19</v>
      </c>
      <c r="P525" s="72" t="e">
        <f t="shared" ca="1" si="5"/>
        <v>#NAME?</v>
      </c>
      <c r="Q525" s="72" t="e">
        <f ca="1"/>
        <v>#NAME?</v>
      </c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</row>
    <row r="526" spans="1:28" ht="12.75">
      <c r="A526" s="71" t="s">
        <v>305</v>
      </c>
      <c r="B526" s="71" t="s">
        <v>431</v>
      </c>
      <c r="C526" s="72">
        <v>51</v>
      </c>
      <c r="D526" s="72">
        <v>156</v>
      </c>
      <c r="E526" s="72">
        <v>99</v>
      </c>
      <c r="F526" s="71" t="str">
        <v>40.7 (Obese)</v>
      </c>
      <c r="G526" s="71" t="str">
        <f t="shared" si="4"/>
        <v>Obese</v>
      </c>
      <c r="H526" s="72">
        <f ca="1">IFERROR(__xludf.DUMMYFUNCTION("""COMPUTED_VALUE"""),40.7)</f>
        <v>40.700000000000003</v>
      </c>
      <c r="I526" s="72">
        <v>21</v>
      </c>
      <c r="J526" s="10">
        <v>51.105600000000003</v>
      </c>
      <c r="K526" s="73" t="s">
        <v>4</v>
      </c>
      <c r="L526" s="72">
        <v>1715</v>
      </c>
      <c r="M526" s="74">
        <v>3.27</v>
      </c>
      <c r="N526" s="71" t="s">
        <v>34</v>
      </c>
      <c r="O526" s="71" t="s">
        <v>30</v>
      </c>
      <c r="P526" s="72" t="e">
        <f t="shared" ca="1" si="5"/>
        <v>#NAME?</v>
      </c>
      <c r="Q526" s="72" t="e">
        <f ca="1"/>
        <v>#NAME?</v>
      </c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</row>
    <row r="527" spans="1:28" ht="12.75">
      <c r="A527" s="75" t="s">
        <v>90</v>
      </c>
      <c r="B527" s="75" t="s">
        <v>431</v>
      </c>
      <c r="C527" s="76">
        <v>35</v>
      </c>
      <c r="D527" s="76">
        <v>162</v>
      </c>
      <c r="E527" s="76">
        <v>69</v>
      </c>
      <c r="F527" s="75" t="str">
        <v>26.3 (Overweight)</v>
      </c>
      <c r="G527" s="75" t="str">
        <f t="shared" si="4"/>
        <v>Overweight</v>
      </c>
      <c r="H527" s="76">
        <f ca="1">IFERROR(__xludf.DUMMYFUNCTION("""COMPUTED_VALUE"""),26.3)</f>
        <v>26.3</v>
      </c>
      <c r="I527" s="76">
        <v>21</v>
      </c>
      <c r="J527" s="77">
        <v>55.112400000000008</v>
      </c>
      <c r="K527" s="78" t="s">
        <v>42</v>
      </c>
      <c r="L527" s="76">
        <v>1532.5</v>
      </c>
      <c r="M527" s="79">
        <v>2.2799999999999998</v>
      </c>
      <c r="N527" s="75" t="s">
        <v>16</v>
      </c>
      <c r="O527" s="75" t="s">
        <v>19</v>
      </c>
      <c r="P527" s="76" t="e">
        <f t="shared" ca="1" si="5"/>
        <v>#NAME?</v>
      </c>
      <c r="Q527" s="76" t="e">
        <f ca="1"/>
        <v>#NAME?</v>
      </c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</row>
    <row r="528" spans="1:28" ht="12.75">
      <c r="A528" s="75" t="s">
        <v>119</v>
      </c>
      <c r="B528" s="75" t="s">
        <v>431</v>
      </c>
      <c r="C528" s="76">
        <v>22</v>
      </c>
      <c r="D528" s="76">
        <v>173</v>
      </c>
      <c r="E528" s="76">
        <v>94</v>
      </c>
      <c r="F528" s="75" t="str">
        <v>31.4 (Obese)</v>
      </c>
      <c r="G528" s="75" t="str">
        <f t="shared" si="4"/>
        <v>Obese</v>
      </c>
      <c r="H528" s="76">
        <f ca="1">IFERROR(__xludf.DUMMYFUNCTION("""COMPUTED_VALUE"""),31.4)</f>
        <v>31.4</v>
      </c>
      <c r="I528" s="76">
        <v>21</v>
      </c>
      <c r="J528" s="77">
        <v>62.850900000000003</v>
      </c>
      <c r="K528" s="78" t="s">
        <v>4</v>
      </c>
      <c r="L528" s="76">
        <v>1916.25</v>
      </c>
      <c r="M528" s="79">
        <v>3.1</v>
      </c>
      <c r="N528" s="75" t="s">
        <v>16</v>
      </c>
      <c r="O528" s="75" t="s">
        <v>19</v>
      </c>
      <c r="P528" s="76" t="e">
        <f t="shared" ca="1" si="5"/>
        <v>#NAME?</v>
      </c>
      <c r="Q528" s="76" t="e">
        <f ca="1"/>
        <v>#NAME?</v>
      </c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</row>
    <row r="529" spans="1:28" ht="12.75">
      <c r="A529" s="75" t="s">
        <v>306</v>
      </c>
      <c r="B529" s="75" t="s">
        <v>431</v>
      </c>
      <c r="C529" s="76">
        <v>43</v>
      </c>
      <c r="D529" s="76">
        <v>159</v>
      </c>
      <c r="E529" s="76">
        <v>65</v>
      </c>
      <c r="F529" s="75" t="str">
        <v>25.7 (Overweight)</v>
      </c>
      <c r="G529" s="75" t="str">
        <f t="shared" si="4"/>
        <v>Overweight</v>
      </c>
      <c r="H529" s="76">
        <f ca="1">IFERROR(__xludf.DUMMYFUNCTION("""COMPUTED_VALUE"""),25.7)</f>
        <v>25.7</v>
      </c>
      <c r="I529" s="76">
        <v>21</v>
      </c>
      <c r="J529" s="77">
        <v>53.090100000000007</v>
      </c>
      <c r="K529" s="78" t="s">
        <v>4</v>
      </c>
      <c r="L529" s="76">
        <v>1433.75</v>
      </c>
      <c r="M529" s="79">
        <v>2.15</v>
      </c>
      <c r="N529" s="75" t="s">
        <v>16</v>
      </c>
      <c r="O529" s="75" t="s">
        <v>37</v>
      </c>
      <c r="P529" s="76" t="e">
        <f t="shared" ca="1" si="5"/>
        <v>#NAME?</v>
      </c>
      <c r="Q529" s="76" t="e">
        <f ca="1"/>
        <v>#NAME?</v>
      </c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</row>
    <row r="530" spans="1:28" ht="12.75">
      <c r="A530" s="60" t="s">
        <v>180</v>
      </c>
      <c r="B530" s="60" t="s">
        <v>431</v>
      </c>
      <c r="C530" s="61">
        <v>45</v>
      </c>
      <c r="D530" s="61">
        <v>189</v>
      </c>
      <c r="E530" s="61">
        <v>104</v>
      </c>
      <c r="F530" s="60" t="str">
        <v>29.1 (Obese)</v>
      </c>
      <c r="G530" s="60" t="str">
        <f t="shared" si="4"/>
        <v>Obese</v>
      </c>
      <c r="H530" s="61">
        <f ca="1">IFERROR(__xludf.DUMMYFUNCTION("""COMPUTED_VALUE"""),29.1)</f>
        <v>29.1</v>
      </c>
      <c r="I530" s="61">
        <v>21</v>
      </c>
      <c r="J530" s="62">
        <v>75.014099999999999</v>
      </c>
      <c r="K530" s="63" t="s">
        <v>28</v>
      </c>
      <c r="L530" s="61">
        <v>2001.25</v>
      </c>
      <c r="M530" s="64">
        <v>3.43</v>
      </c>
      <c r="N530" s="60" t="s">
        <v>39</v>
      </c>
      <c r="O530" s="60" t="s">
        <v>63</v>
      </c>
      <c r="P530" s="61" t="e">
        <f t="shared" ca="1" si="5"/>
        <v>#NAME?</v>
      </c>
      <c r="Q530" s="61" t="e">
        <f ca="1"/>
        <v>#NAME?</v>
      </c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ht="12.75">
      <c r="A531" s="75" t="s">
        <v>307</v>
      </c>
      <c r="B531" s="75" t="s">
        <v>431</v>
      </c>
      <c r="C531" s="76">
        <v>45</v>
      </c>
      <c r="D531" s="76">
        <v>186</v>
      </c>
      <c r="E531" s="76">
        <v>50</v>
      </c>
      <c r="F531" s="75" t="str">
        <v>14.5 (Underweight)</v>
      </c>
      <c r="G531" s="75" t="str">
        <f t="shared" si="4"/>
        <v>Underweight</v>
      </c>
      <c r="H531" s="76">
        <f ca="1">IFERROR(__xludf.DUMMYFUNCTION("""COMPUTED_VALUE"""),14.5)</f>
        <v>14.5</v>
      </c>
      <c r="I531" s="76">
        <v>21</v>
      </c>
      <c r="J531" s="77">
        <v>72.651600000000016</v>
      </c>
      <c r="K531" s="78" t="s">
        <v>18</v>
      </c>
      <c r="L531" s="76">
        <v>1442.5</v>
      </c>
      <c r="M531" s="79">
        <v>1.65</v>
      </c>
      <c r="N531" s="75" t="s">
        <v>16</v>
      </c>
      <c r="O531" s="75" t="s">
        <v>63</v>
      </c>
      <c r="P531" s="76" t="e">
        <f t="shared" ca="1" si="5"/>
        <v>#NAME?</v>
      </c>
      <c r="Q531" s="76" t="e">
        <f ca="1"/>
        <v>#NAME?</v>
      </c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</row>
    <row r="532" spans="1:28" ht="12.75">
      <c r="A532" s="75" t="s">
        <v>48</v>
      </c>
      <c r="B532" s="75" t="s">
        <v>431</v>
      </c>
      <c r="C532" s="76">
        <v>54</v>
      </c>
      <c r="D532" s="76">
        <v>159</v>
      </c>
      <c r="E532" s="76">
        <v>86</v>
      </c>
      <c r="F532" s="75" t="str">
        <v>34.0 (Obese)</v>
      </c>
      <c r="G532" s="75" t="str">
        <f t="shared" si="4"/>
        <v>Obese</v>
      </c>
      <c r="H532" s="76">
        <f ca="1">IFERROR(__xludf.DUMMYFUNCTION("""COMPUTED_VALUE"""),34)</f>
        <v>34</v>
      </c>
      <c r="I532" s="76">
        <v>21</v>
      </c>
      <c r="J532" s="77">
        <v>53.090100000000007</v>
      </c>
      <c r="K532" s="78" t="s">
        <v>18</v>
      </c>
      <c r="L532" s="76">
        <v>1588.75</v>
      </c>
      <c r="M532" s="79">
        <v>2.84</v>
      </c>
      <c r="N532" s="75" t="s">
        <v>16</v>
      </c>
      <c r="O532" s="75" t="s">
        <v>19</v>
      </c>
      <c r="P532" s="76" t="e">
        <f t="shared" ca="1" si="5"/>
        <v>#NAME?</v>
      </c>
      <c r="Q532" s="76" t="e">
        <f ca="1"/>
        <v>#NAME?</v>
      </c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</row>
    <row r="533" spans="1:28" ht="12.75">
      <c r="A533" s="71" t="s">
        <v>308</v>
      </c>
      <c r="B533" s="71" t="s">
        <v>431</v>
      </c>
      <c r="C533" s="72">
        <v>55</v>
      </c>
      <c r="D533" s="72">
        <v>168</v>
      </c>
      <c r="E533" s="72">
        <v>54</v>
      </c>
      <c r="F533" s="71" t="str">
        <v>19.1 (Normal)</v>
      </c>
      <c r="G533" s="71" t="str">
        <f t="shared" si="4"/>
        <v>Normal</v>
      </c>
      <c r="H533" s="72">
        <f ca="1">IFERROR(__xludf.DUMMYFUNCTION("""COMPUTED_VALUE"""),19.1)</f>
        <v>19.100000000000001</v>
      </c>
      <c r="I533" s="72">
        <v>21</v>
      </c>
      <c r="J533" s="10">
        <v>59.270399999999988</v>
      </c>
      <c r="K533" s="73" t="s">
        <v>42</v>
      </c>
      <c r="L533" s="72">
        <v>1320</v>
      </c>
      <c r="M533" s="74">
        <v>1.78</v>
      </c>
      <c r="N533" s="71" t="s">
        <v>34</v>
      </c>
      <c r="O533" s="71" t="s">
        <v>19</v>
      </c>
      <c r="P533" s="72" t="e">
        <f t="shared" ca="1" si="5"/>
        <v>#NAME?</v>
      </c>
      <c r="Q533" s="72" t="e">
        <f ca="1"/>
        <v>#NAME?</v>
      </c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</row>
    <row r="534" spans="1:28" ht="12.75">
      <c r="A534" s="71" t="s">
        <v>309</v>
      </c>
      <c r="B534" s="71" t="s">
        <v>431</v>
      </c>
      <c r="C534" s="72">
        <v>32</v>
      </c>
      <c r="D534" s="72">
        <v>184</v>
      </c>
      <c r="E534" s="72">
        <v>108</v>
      </c>
      <c r="F534" s="71" t="str">
        <v>31.9 (Obese)</v>
      </c>
      <c r="G534" s="71" t="str">
        <f t="shared" si="4"/>
        <v>Obese</v>
      </c>
      <c r="H534" s="72">
        <f ca="1">IFERROR(__xludf.DUMMYFUNCTION("""COMPUTED_VALUE"""),31.9)</f>
        <v>31.9</v>
      </c>
      <c r="I534" s="72">
        <v>21</v>
      </c>
      <c r="J534" s="10">
        <v>71.0976</v>
      </c>
      <c r="K534" s="73" t="s">
        <v>42</v>
      </c>
      <c r="L534" s="72">
        <v>2075</v>
      </c>
      <c r="M534" s="74">
        <v>3.56</v>
      </c>
      <c r="N534" s="71" t="s">
        <v>34</v>
      </c>
      <c r="O534" s="71" t="s">
        <v>60</v>
      </c>
      <c r="P534" s="72" t="e">
        <f t="shared" ca="1" si="5"/>
        <v>#NAME?</v>
      </c>
      <c r="Q534" s="72" t="e">
        <f ca="1"/>
        <v>#NAME?</v>
      </c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</row>
    <row r="535" spans="1:28" ht="12.75">
      <c r="A535" s="67" t="s">
        <v>51</v>
      </c>
      <c r="B535" s="67" t="s">
        <v>431</v>
      </c>
      <c r="C535" s="68">
        <v>37</v>
      </c>
      <c r="D535" s="68">
        <v>174</v>
      </c>
      <c r="E535" s="68">
        <v>59</v>
      </c>
      <c r="F535" s="67" t="str">
        <v>19.5 (Normal)</v>
      </c>
      <c r="G535" s="67" t="str">
        <f t="shared" si="4"/>
        <v>Normal</v>
      </c>
      <c r="H535" s="68">
        <f ca="1">IFERROR(__xludf.DUMMYFUNCTION("""COMPUTED_VALUE"""),19.5)</f>
        <v>19.5</v>
      </c>
      <c r="I535" s="68">
        <v>21</v>
      </c>
      <c r="J535" s="10">
        <v>63.579599999999999</v>
      </c>
      <c r="K535" s="69" t="s">
        <v>42</v>
      </c>
      <c r="L535" s="68">
        <v>1497.5</v>
      </c>
      <c r="M535" s="70">
        <v>1.95</v>
      </c>
      <c r="N535" s="67" t="s">
        <v>26</v>
      </c>
      <c r="O535" s="67" t="s">
        <v>37</v>
      </c>
      <c r="P535" s="68" t="e">
        <f t="shared" ca="1" si="5"/>
        <v>#NAME?</v>
      </c>
      <c r="Q535" s="68" t="e">
        <f ca="1"/>
        <v>#NAME?</v>
      </c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</row>
    <row r="536" spans="1:28" ht="12.75">
      <c r="A536" s="71" t="s">
        <v>310</v>
      </c>
      <c r="B536" s="71" t="s">
        <v>431</v>
      </c>
      <c r="C536" s="72">
        <v>56</v>
      </c>
      <c r="D536" s="72">
        <v>179</v>
      </c>
      <c r="E536" s="72">
        <v>75</v>
      </c>
      <c r="F536" s="71" t="str">
        <v>23.4 (Normal)</v>
      </c>
      <c r="G536" s="71" t="str">
        <f t="shared" si="4"/>
        <v>Normal</v>
      </c>
      <c r="H536" s="72">
        <f ca="1">IFERROR(__xludf.DUMMYFUNCTION("""COMPUTED_VALUE"""),23.4)</f>
        <v>23.4</v>
      </c>
      <c r="I536" s="72">
        <v>21</v>
      </c>
      <c r="J536" s="10">
        <v>67.286100000000005</v>
      </c>
      <c r="K536" s="73" t="s">
        <v>4</v>
      </c>
      <c r="L536" s="72">
        <v>1593.75</v>
      </c>
      <c r="M536" s="74">
        <v>2.48</v>
      </c>
      <c r="N536" s="71" t="s">
        <v>34</v>
      </c>
      <c r="O536" s="71" t="s">
        <v>63</v>
      </c>
      <c r="P536" s="72" t="e">
        <f t="shared" ca="1" si="5"/>
        <v>#NAME?</v>
      </c>
      <c r="Q536" s="72" t="e">
        <f ca="1"/>
        <v>#NAME?</v>
      </c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</row>
    <row r="537" spans="1:28" ht="12.75">
      <c r="A537" s="75" t="s">
        <v>311</v>
      </c>
      <c r="B537" s="75" t="s">
        <v>431</v>
      </c>
      <c r="C537" s="76">
        <v>25</v>
      </c>
      <c r="D537" s="76">
        <v>166</v>
      </c>
      <c r="E537" s="76">
        <v>90</v>
      </c>
      <c r="F537" s="75" t="str">
        <v>32.7 (Obese)</v>
      </c>
      <c r="G537" s="75" t="str">
        <f t="shared" si="4"/>
        <v>Obese</v>
      </c>
      <c r="H537" s="76">
        <f ca="1">IFERROR(__xludf.DUMMYFUNCTION("""COMPUTED_VALUE"""),32.7)</f>
        <v>32.700000000000003</v>
      </c>
      <c r="I537" s="76">
        <v>21</v>
      </c>
      <c r="J537" s="77">
        <v>57.867599999999996</v>
      </c>
      <c r="K537" s="78" t="s">
        <v>18</v>
      </c>
      <c r="L537" s="76">
        <v>1817.5</v>
      </c>
      <c r="M537" s="79">
        <v>2.97</v>
      </c>
      <c r="N537" s="75" t="s">
        <v>16</v>
      </c>
      <c r="O537" s="75" t="s">
        <v>7</v>
      </c>
      <c r="P537" s="76" t="e">
        <f t="shared" ca="1" si="5"/>
        <v>#NAME?</v>
      </c>
      <c r="Q537" s="76" t="e">
        <f ca="1"/>
        <v>#NAME?</v>
      </c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</row>
    <row r="538" spans="1:28" ht="12.75">
      <c r="A538" s="60" t="s">
        <v>116</v>
      </c>
      <c r="B538" s="60" t="s">
        <v>431</v>
      </c>
      <c r="C538" s="61">
        <v>40</v>
      </c>
      <c r="D538" s="61">
        <v>171</v>
      </c>
      <c r="E538" s="61">
        <v>77</v>
      </c>
      <c r="F538" s="60" t="str">
        <v>26.3 (Overweight)</v>
      </c>
      <c r="G538" s="60" t="str">
        <f t="shared" si="4"/>
        <v>Overweight</v>
      </c>
      <c r="H538" s="61">
        <f ca="1">IFERROR(__xludf.DUMMYFUNCTION("""COMPUTED_VALUE"""),26.3)</f>
        <v>26.3</v>
      </c>
      <c r="I538" s="61">
        <v>21</v>
      </c>
      <c r="J538" s="62">
        <v>61.406099999999995</v>
      </c>
      <c r="K538" s="63" t="s">
        <v>28</v>
      </c>
      <c r="L538" s="61">
        <v>1643.75</v>
      </c>
      <c r="M538" s="64">
        <v>2.54</v>
      </c>
      <c r="N538" s="60" t="s">
        <v>39</v>
      </c>
      <c r="O538" s="60" t="s">
        <v>60</v>
      </c>
      <c r="P538" s="61" t="e">
        <f t="shared" ca="1" si="5"/>
        <v>#NAME?</v>
      </c>
      <c r="Q538" s="61" t="e">
        <f ca="1"/>
        <v>#NAME?</v>
      </c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</row>
    <row r="539" spans="1:28" ht="12.75">
      <c r="A539" s="60" t="s">
        <v>280</v>
      </c>
      <c r="B539" s="60" t="s">
        <v>431</v>
      </c>
      <c r="C539" s="61">
        <v>56</v>
      </c>
      <c r="D539" s="61">
        <v>183</v>
      </c>
      <c r="E539" s="61">
        <v>63</v>
      </c>
      <c r="F539" s="60" t="str">
        <v>18.8 (Normal)</v>
      </c>
      <c r="G539" s="60" t="str">
        <f t="shared" si="4"/>
        <v>Normal</v>
      </c>
      <c r="H539" s="61">
        <f ca="1">IFERROR(__xludf.DUMMYFUNCTION("""COMPUTED_VALUE"""),18.8)</f>
        <v>18.8</v>
      </c>
      <c r="I539" s="61">
        <v>21</v>
      </c>
      <c r="J539" s="62">
        <v>70.326900000000009</v>
      </c>
      <c r="K539" s="63" t="s">
        <v>18</v>
      </c>
      <c r="L539" s="61">
        <v>1498.75</v>
      </c>
      <c r="M539" s="64">
        <v>2.08</v>
      </c>
      <c r="N539" s="60" t="s">
        <v>39</v>
      </c>
      <c r="O539" s="60" t="s">
        <v>19</v>
      </c>
      <c r="P539" s="61" t="e">
        <f t="shared" ca="1" si="5"/>
        <v>#NAME?</v>
      </c>
      <c r="Q539" s="61" t="e">
        <f ca="1"/>
        <v>#NAME?</v>
      </c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</row>
    <row r="540" spans="1:28" ht="12.75">
      <c r="A540" s="60" t="s">
        <v>116</v>
      </c>
      <c r="B540" s="60" t="s">
        <v>431</v>
      </c>
      <c r="C540" s="61">
        <v>51</v>
      </c>
      <c r="D540" s="61">
        <v>163</v>
      </c>
      <c r="E540" s="61">
        <v>108</v>
      </c>
      <c r="F540" s="60" t="str">
        <v>40.6 (Obese)</v>
      </c>
      <c r="G540" s="60" t="str">
        <f t="shared" si="4"/>
        <v>Obese</v>
      </c>
      <c r="H540" s="61">
        <f ca="1">IFERROR(__xludf.DUMMYFUNCTION("""COMPUTED_VALUE"""),40.6)</f>
        <v>40.6</v>
      </c>
      <c r="I540" s="61">
        <v>21</v>
      </c>
      <c r="J540" s="62">
        <v>55.794899999999998</v>
      </c>
      <c r="K540" s="63" t="s">
        <v>18</v>
      </c>
      <c r="L540" s="61">
        <v>1848.75</v>
      </c>
      <c r="M540" s="64">
        <v>3.56</v>
      </c>
      <c r="N540" s="60" t="s">
        <v>39</v>
      </c>
      <c r="O540" s="60" t="s">
        <v>7</v>
      </c>
      <c r="P540" s="61" t="e">
        <f t="shared" ca="1" si="5"/>
        <v>#NAME?</v>
      </c>
      <c r="Q540" s="61" t="e">
        <f ca="1"/>
        <v>#NAME?</v>
      </c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</row>
    <row r="541" spans="1:28" ht="12.75">
      <c r="A541" s="60" t="s">
        <v>56</v>
      </c>
      <c r="B541" s="60" t="s">
        <v>431</v>
      </c>
      <c r="C541" s="61">
        <v>28</v>
      </c>
      <c r="D541" s="61">
        <v>165</v>
      </c>
      <c r="E541" s="61">
        <v>87</v>
      </c>
      <c r="F541" s="60" t="str">
        <v>32.0 (Obese)</v>
      </c>
      <c r="G541" s="60" t="str">
        <f t="shared" si="4"/>
        <v>Obese</v>
      </c>
      <c r="H541" s="61">
        <f ca="1">IFERROR(__xludf.DUMMYFUNCTION("""COMPUTED_VALUE"""),32)</f>
        <v>32</v>
      </c>
      <c r="I541" s="61">
        <v>21</v>
      </c>
      <c r="J541" s="10">
        <v>57.172499999999992</v>
      </c>
      <c r="K541" s="63" t="s">
        <v>18</v>
      </c>
      <c r="L541" s="61">
        <v>1766.25</v>
      </c>
      <c r="M541" s="64">
        <v>2.87</v>
      </c>
      <c r="N541" s="60" t="s">
        <v>39</v>
      </c>
      <c r="O541" s="60" t="s">
        <v>37</v>
      </c>
      <c r="P541" s="27" t="e">
        <f t="shared" ca="1" si="5"/>
        <v>#NAME?</v>
      </c>
      <c r="Q541" s="28" t="e">
        <f ca="1"/>
        <v>#NAME?</v>
      </c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</row>
    <row r="542" spans="1:28" ht="12.75">
      <c r="A542" s="56" t="s">
        <v>279</v>
      </c>
      <c r="B542" s="56" t="s">
        <v>431</v>
      </c>
      <c r="C542" s="57">
        <v>48</v>
      </c>
      <c r="D542" s="57">
        <v>157</v>
      </c>
      <c r="E542" s="57">
        <v>64</v>
      </c>
      <c r="F542" s="56" t="str">
        <v>26.0 (Overweight)</v>
      </c>
      <c r="G542" s="56" t="str">
        <f t="shared" si="4"/>
        <v>Overweight</v>
      </c>
      <c r="H542" s="57">
        <f ca="1">IFERROR(__xludf.DUMMYFUNCTION("""COMPUTED_VALUE"""),26)</f>
        <v>26</v>
      </c>
      <c r="I542" s="57">
        <v>21</v>
      </c>
      <c r="J542" s="10">
        <v>51.762900000000002</v>
      </c>
      <c r="K542" s="58" t="s">
        <v>4</v>
      </c>
      <c r="L542" s="57">
        <v>1386.25</v>
      </c>
      <c r="M542" s="59">
        <v>2.11</v>
      </c>
      <c r="N542" s="56" t="s">
        <v>34</v>
      </c>
      <c r="O542" s="56" t="s">
        <v>7</v>
      </c>
      <c r="P542" s="57" t="e">
        <f t="shared" ca="1" si="5"/>
        <v>#NAME?</v>
      </c>
      <c r="Q542" s="57" t="e">
        <f ca="1"/>
        <v>#NAME?</v>
      </c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</row>
    <row r="543" spans="1:28" ht="12.75">
      <c r="A543" s="75" t="s">
        <v>43</v>
      </c>
      <c r="B543" s="75" t="s">
        <v>431</v>
      </c>
      <c r="C543" s="76">
        <v>51</v>
      </c>
      <c r="D543" s="76">
        <v>161</v>
      </c>
      <c r="E543" s="76">
        <v>98</v>
      </c>
      <c r="F543" s="75" t="str">
        <v>37.8 (Obese)</v>
      </c>
      <c r="G543" s="75" t="str">
        <f t="shared" si="4"/>
        <v>Obese</v>
      </c>
      <c r="H543" s="76">
        <f ca="1">IFERROR(__xludf.DUMMYFUNCTION("""COMPUTED_VALUE"""),37.8)</f>
        <v>37.799999999999997</v>
      </c>
      <c r="I543" s="76">
        <v>21</v>
      </c>
      <c r="J543" s="77">
        <v>54.434100000000008</v>
      </c>
      <c r="K543" s="78" t="s">
        <v>42</v>
      </c>
      <c r="L543" s="76">
        <v>1736.25</v>
      </c>
      <c r="M543" s="79">
        <v>3.23</v>
      </c>
      <c r="N543" s="75" t="s">
        <v>16</v>
      </c>
      <c r="O543" s="75" t="s">
        <v>7</v>
      </c>
      <c r="P543" s="76" t="e">
        <f t="shared" ca="1" si="5"/>
        <v>#NAME?</v>
      </c>
      <c r="Q543" s="76" t="e">
        <f ca="1"/>
        <v>#NAME?</v>
      </c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</row>
    <row r="544" spans="1:28" ht="12.75">
      <c r="A544" s="75" t="s">
        <v>35</v>
      </c>
      <c r="B544" s="75" t="s">
        <v>431</v>
      </c>
      <c r="C544" s="76">
        <v>44</v>
      </c>
      <c r="D544" s="76">
        <v>179</v>
      </c>
      <c r="E544" s="76">
        <v>61</v>
      </c>
      <c r="F544" s="75" t="str">
        <v>19.0 (Normal)</v>
      </c>
      <c r="G544" s="75" t="str">
        <f t="shared" si="4"/>
        <v>Normal</v>
      </c>
      <c r="H544" s="76">
        <f ca="1">IFERROR(__xludf.DUMMYFUNCTION("""COMPUTED_VALUE"""),19)</f>
        <v>19</v>
      </c>
      <c r="I544" s="76">
        <v>21</v>
      </c>
      <c r="J544" s="77">
        <v>67.286100000000005</v>
      </c>
      <c r="K544" s="78" t="s">
        <v>28</v>
      </c>
      <c r="L544" s="76">
        <v>1513.75</v>
      </c>
      <c r="M544" s="79">
        <v>2.0099999999999998</v>
      </c>
      <c r="N544" s="75" t="s">
        <v>16</v>
      </c>
      <c r="O544" s="75" t="s">
        <v>60</v>
      </c>
      <c r="P544" s="76" t="e">
        <f t="shared" ca="1" si="5"/>
        <v>#NAME?</v>
      </c>
      <c r="Q544" s="76" t="e">
        <f ca="1"/>
        <v>#NAME?</v>
      </c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</row>
    <row r="545" spans="1:28" ht="12.75">
      <c r="A545" s="67" t="s">
        <v>212</v>
      </c>
      <c r="B545" s="67" t="s">
        <v>431</v>
      </c>
      <c r="C545" s="68">
        <v>46</v>
      </c>
      <c r="D545" s="68">
        <v>167</v>
      </c>
      <c r="E545" s="68">
        <v>96</v>
      </c>
      <c r="F545" s="67" t="str">
        <v>34.4 (Obese)</v>
      </c>
      <c r="G545" s="67" t="str">
        <f t="shared" si="4"/>
        <v>Obese</v>
      </c>
      <c r="H545" s="68">
        <f ca="1">IFERROR(__xludf.DUMMYFUNCTION("""COMPUTED_VALUE"""),34.4)</f>
        <v>34.4</v>
      </c>
      <c r="I545" s="68">
        <v>21</v>
      </c>
      <c r="J545" s="10">
        <v>58.566899999999997</v>
      </c>
      <c r="K545" s="69" t="s">
        <v>28</v>
      </c>
      <c r="L545" s="68">
        <v>1778.75</v>
      </c>
      <c r="M545" s="70">
        <v>3.17</v>
      </c>
      <c r="N545" s="67" t="s">
        <v>26</v>
      </c>
      <c r="O545" s="67" t="s">
        <v>19</v>
      </c>
      <c r="P545" s="68" t="e">
        <f t="shared" ca="1" si="5"/>
        <v>#NAME?</v>
      </c>
      <c r="Q545" s="68" t="e">
        <f ca="1"/>
        <v>#NAME?</v>
      </c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</row>
    <row r="546" spans="1:28" ht="12.75">
      <c r="A546" s="67" t="s">
        <v>312</v>
      </c>
      <c r="B546" s="67" t="s">
        <v>431</v>
      </c>
      <c r="C546" s="68">
        <v>20</v>
      </c>
      <c r="D546" s="68">
        <v>178</v>
      </c>
      <c r="E546" s="68">
        <v>94</v>
      </c>
      <c r="F546" s="67" t="str">
        <v>29.7 (Obese)</v>
      </c>
      <c r="G546" s="67" t="str">
        <f t="shared" si="4"/>
        <v>Obese</v>
      </c>
      <c r="H546" s="68">
        <f ca="1">IFERROR(__xludf.DUMMYFUNCTION("""COMPUTED_VALUE"""),29.7)</f>
        <v>29.7</v>
      </c>
      <c r="I546" s="68">
        <v>21</v>
      </c>
      <c r="J546" s="10">
        <v>66.5364</v>
      </c>
      <c r="K546" s="69" t="s">
        <v>28</v>
      </c>
      <c r="L546" s="68">
        <v>1957.5</v>
      </c>
      <c r="M546" s="70">
        <v>3.1</v>
      </c>
      <c r="N546" s="67" t="s">
        <v>26</v>
      </c>
      <c r="O546" s="67" t="s">
        <v>63</v>
      </c>
      <c r="P546" s="68" t="e">
        <f t="shared" ca="1" si="5"/>
        <v>#NAME?</v>
      </c>
      <c r="Q546" s="68" t="e">
        <f ca="1"/>
        <v>#NAME?</v>
      </c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</row>
    <row r="547" spans="1:28" ht="12.75">
      <c r="A547" s="71" t="s">
        <v>204</v>
      </c>
      <c r="B547" s="71" t="s">
        <v>431</v>
      </c>
      <c r="C547" s="72">
        <v>44</v>
      </c>
      <c r="D547" s="72">
        <v>175</v>
      </c>
      <c r="E547" s="72">
        <v>77</v>
      </c>
      <c r="F547" s="71" t="str">
        <v>25.1 (Overweight)</v>
      </c>
      <c r="G547" s="71" t="str">
        <f t="shared" si="4"/>
        <v>Overweight</v>
      </c>
      <c r="H547" s="72">
        <f ca="1">IFERROR(__xludf.DUMMYFUNCTION("""COMPUTED_VALUE"""),25.1)</f>
        <v>25.1</v>
      </c>
      <c r="I547" s="72">
        <v>21</v>
      </c>
      <c r="J547" s="10">
        <v>64.3125</v>
      </c>
      <c r="K547" s="73" t="s">
        <v>4</v>
      </c>
      <c r="L547" s="72">
        <v>1648.75</v>
      </c>
      <c r="M547" s="74">
        <v>2.54</v>
      </c>
      <c r="N547" s="71" t="s">
        <v>34</v>
      </c>
      <c r="O547" s="71" t="s">
        <v>37</v>
      </c>
      <c r="P547" s="72" t="e">
        <f t="shared" ca="1" si="5"/>
        <v>#NAME?</v>
      </c>
      <c r="Q547" s="72" t="e">
        <f ca="1"/>
        <v>#NAME?</v>
      </c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</row>
    <row r="548" spans="1:28" ht="12.75">
      <c r="A548" s="60" t="s">
        <v>133</v>
      </c>
      <c r="B548" s="60" t="s">
        <v>431</v>
      </c>
      <c r="C548" s="61">
        <v>55</v>
      </c>
      <c r="D548" s="61">
        <v>165</v>
      </c>
      <c r="E548" s="61">
        <v>103</v>
      </c>
      <c r="F548" s="60" t="str">
        <v>37.8 (Obese)</v>
      </c>
      <c r="G548" s="60" t="str">
        <f t="shared" si="4"/>
        <v>Obese</v>
      </c>
      <c r="H548" s="61">
        <f ca="1">IFERROR(__xludf.DUMMYFUNCTION("""COMPUTED_VALUE"""),37.8)</f>
        <v>37.799999999999997</v>
      </c>
      <c r="I548" s="61">
        <v>21</v>
      </c>
      <c r="J548" s="62">
        <v>57.172499999999992</v>
      </c>
      <c r="K548" s="63" t="s">
        <v>28</v>
      </c>
      <c r="L548" s="61">
        <v>1791.25</v>
      </c>
      <c r="M548" s="64">
        <v>3.4</v>
      </c>
      <c r="N548" s="60" t="s">
        <v>39</v>
      </c>
      <c r="O548" s="60" t="s">
        <v>63</v>
      </c>
      <c r="P548" s="61" t="e">
        <f t="shared" ca="1" si="5"/>
        <v>#NAME?</v>
      </c>
      <c r="Q548" s="61" t="e">
        <f ca="1"/>
        <v>#NAME?</v>
      </c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</row>
    <row r="549" spans="1:28" ht="12.75">
      <c r="A549" s="75" t="s">
        <v>313</v>
      </c>
      <c r="B549" s="75" t="s">
        <v>431</v>
      </c>
      <c r="C549" s="76">
        <v>41</v>
      </c>
      <c r="D549" s="76">
        <v>163</v>
      </c>
      <c r="E549" s="76">
        <v>71</v>
      </c>
      <c r="F549" s="75" t="str">
        <v>26.7 (Overweight)</v>
      </c>
      <c r="G549" s="75" t="str">
        <f t="shared" si="4"/>
        <v>Overweight</v>
      </c>
      <c r="H549" s="76">
        <f ca="1">IFERROR(__xludf.DUMMYFUNCTION("""COMPUTED_VALUE"""),26.7)</f>
        <v>26.7</v>
      </c>
      <c r="I549" s="76">
        <v>21</v>
      </c>
      <c r="J549" s="77">
        <v>55.794899999999998</v>
      </c>
      <c r="K549" s="78" t="s">
        <v>4</v>
      </c>
      <c r="L549" s="76">
        <v>1528.75</v>
      </c>
      <c r="M549" s="79">
        <v>2.34</v>
      </c>
      <c r="N549" s="75" t="s">
        <v>16</v>
      </c>
      <c r="O549" s="75" t="s">
        <v>19</v>
      </c>
      <c r="P549" s="76" t="e">
        <f t="shared" ca="1" si="5"/>
        <v>#NAME?</v>
      </c>
      <c r="Q549" s="76" t="e">
        <f ca="1"/>
        <v>#NAME?</v>
      </c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</row>
    <row r="550" spans="1:28" ht="12.75">
      <c r="A550" s="75" t="s">
        <v>252</v>
      </c>
      <c r="B550" s="75" t="s">
        <v>431</v>
      </c>
      <c r="C550" s="76">
        <v>30</v>
      </c>
      <c r="D550" s="76">
        <v>159</v>
      </c>
      <c r="E550" s="76">
        <v>53</v>
      </c>
      <c r="F550" s="75" t="str">
        <v>21.0 (Normal)</v>
      </c>
      <c r="G550" s="75" t="str">
        <f t="shared" si="4"/>
        <v>Normal</v>
      </c>
      <c r="H550" s="76">
        <f ca="1">IFERROR(__xludf.DUMMYFUNCTION("""COMPUTED_VALUE"""),21)</f>
        <v>21</v>
      </c>
      <c r="I550" s="76">
        <v>21</v>
      </c>
      <c r="J550" s="77">
        <v>53.090100000000007</v>
      </c>
      <c r="K550" s="78" t="s">
        <v>18</v>
      </c>
      <c r="L550" s="76">
        <v>1378.75</v>
      </c>
      <c r="M550" s="79">
        <v>1.75</v>
      </c>
      <c r="N550" s="75" t="s">
        <v>16</v>
      </c>
      <c r="O550" s="75" t="s">
        <v>19</v>
      </c>
      <c r="P550" s="76" t="e">
        <f t="shared" ca="1" si="5"/>
        <v>#NAME?</v>
      </c>
      <c r="Q550" s="76" t="e">
        <f ca="1"/>
        <v>#NAME?</v>
      </c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</row>
    <row r="551" spans="1:28" ht="12.75">
      <c r="A551" s="67" t="s">
        <v>314</v>
      </c>
      <c r="B551" s="67" t="s">
        <v>431</v>
      </c>
      <c r="C551" s="68">
        <v>39</v>
      </c>
      <c r="D551" s="68">
        <v>167</v>
      </c>
      <c r="E551" s="68">
        <v>95</v>
      </c>
      <c r="F551" s="67" t="str">
        <v>34.1 (Obese)</v>
      </c>
      <c r="G551" s="67" t="str">
        <f t="shared" si="4"/>
        <v>Obese</v>
      </c>
      <c r="H551" s="68">
        <f ca="1">IFERROR(__xludf.DUMMYFUNCTION("""COMPUTED_VALUE"""),34.1)</f>
        <v>34.1</v>
      </c>
      <c r="I551" s="68">
        <v>21</v>
      </c>
      <c r="J551" s="10">
        <v>58.566899999999997</v>
      </c>
      <c r="K551" s="69" t="s">
        <v>28</v>
      </c>
      <c r="L551" s="68">
        <v>1803.75</v>
      </c>
      <c r="M551" s="70">
        <v>3.14</v>
      </c>
      <c r="N551" s="67" t="s">
        <v>26</v>
      </c>
      <c r="O551" s="67" t="s">
        <v>7</v>
      </c>
      <c r="P551" s="68" t="e">
        <f t="shared" ca="1" si="5"/>
        <v>#NAME?</v>
      </c>
      <c r="Q551" s="68" t="e">
        <f ca="1"/>
        <v>#NAME?</v>
      </c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</row>
    <row r="552" spans="1:28" ht="12.75">
      <c r="A552" s="56" t="s">
        <v>79</v>
      </c>
      <c r="B552" s="56" t="s">
        <v>431</v>
      </c>
      <c r="C552" s="57">
        <v>40</v>
      </c>
      <c r="D552" s="57">
        <v>172</v>
      </c>
      <c r="E552" s="57">
        <v>70</v>
      </c>
      <c r="F552" s="56" t="str">
        <v>23.7 (Normal)</v>
      </c>
      <c r="G552" s="56" t="str">
        <f t="shared" si="4"/>
        <v>Normal</v>
      </c>
      <c r="H552" s="57">
        <f ca="1">IFERROR(__xludf.DUMMYFUNCTION("""COMPUTED_VALUE"""),23.7)</f>
        <v>23.7</v>
      </c>
      <c r="I552" s="57">
        <v>21</v>
      </c>
      <c r="J552" s="10">
        <v>62.126399999999997</v>
      </c>
      <c r="K552" s="58" t="s">
        <v>42</v>
      </c>
      <c r="L552" s="57">
        <v>1580</v>
      </c>
      <c r="M552" s="59">
        <v>2.31</v>
      </c>
      <c r="N552" s="56" t="s">
        <v>34</v>
      </c>
      <c r="O552" s="56" t="s">
        <v>37</v>
      </c>
      <c r="P552" s="57" t="e">
        <f t="shared" ca="1" si="5"/>
        <v>#NAME?</v>
      </c>
      <c r="Q552" s="57" t="e">
        <f ca="1"/>
        <v>#NAME?</v>
      </c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</row>
    <row r="553" spans="1:28" ht="12.75">
      <c r="A553" s="60" t="s">
        <v>252</v>
      </c>
      <c r="B553" s="60" t="s">
        <v>431</v>
      </c>
      <c r="C553" s="61">
        <v>35</v>
      </c>
      <c r="D553" s="61">
        <v>178</v>
      </c>
      <c r="E553" s="61">
        <v>93</v>
      </c>
      <c r="F553" s="60" t="str">
        <v>29.4 (Obese)</v>
      </c>
      <c r="G553" s="60" t="str">
        <f t="shared" si="4"/>
        <v>Obese</v>
      </c>
      <c r="H553" s="61">
        <f ca="1">IFERROR(__xludf.DUMMYFUNCTION("""COMPUTED_VALUE"""),29.4)</f>
        <v>29.4</v>
      </c>
      <c r="I553" s="61">
        <v>21</v>
      </c>
      <c r="J553" s="62">
        <v>66.5364</v>
      </c>
      <c r="K553" s="63" t="s">
        <v>4</v>
      </c>
      <c r="L553" s="61">
        <v>1872.5</v>
      </c>
      <c r="M553" s="64">
        <v>3.07</v>
      </c>
      <c r="N553" s="60" t="s">
        <v>39</v>
      </c>
      <c r="O553" s="60" t="s">
        <v>37</v>
      </c>
      <c r="P553" s="61" t="e">
        <f t="shared" ca="1" si="5"/>
        <v>#NAME?</v>
      </c>
      <c r="Q553" s="61" t="e">
        <f ca="1"/>
        <v>#NAME?</v>
      </c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</row>
    <row r="554" spans="1:28" ht="12.75">
      <c r="A554" s="60" t="s">
        <v>59</v>
      </c>
      <c r="B554" s="60" t="s">
        <v>431</v>
      </c>
      <c r="C554" s="61">
        <v>45</v>
      </c>
      <c r="D554" s="61">
        <v>168</v>
      </c>
      <c r="E554" s="61">
        <v>103</v>
      </c>
      <c r="F554" s="60" t="str">
        <v>36.5 (Obese)</v>
      </c>
      <c r="G554" s="60" t="str">
        <f t="shared" si="4"/>
        <v>Obese</v>
      </c>
      <c r="H554" s="61">
        <f ca="1">IFERROR(__xludf.DUMMYFUNCTION("""COMPUTED_VALUE"""),36.5)</f>
        <v>36.5</v>
      </c>
      <c r="I554" s="61">
        <v>21</v>
      </c>
      <c r="J554" s="62">
        <v>59.270399999999988</v>
      </c>
      <c r="K554" s="63" t="s">
        <v>4</v>
      </c>
      <c r="L554" s="61">
        <v>1860</v>
      </c>
      <c r="M554" s="64">
        <v>3.4</v>
      </c>
      <c r="N554" s="60" t="s">
        <v>39</v>
      </c>
      <c r="O554" s="60" t="s">
        <v>60</v>
      </c>
      <c r="P554" s="61" t="e">
        <f t="shared" ca="1" si="5"/>
        <v>#NAME?</v>
      </c>
      <c r="Q554" s="61" t="e">
        <f ca="1"/>
        <v>#NAME?</v>
      </c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</row>
    <row r="555" spans="1:28" ht="12.75">
      <c r="A555" s="75" t="s">
        <v>300</v>
      </c>
      <c r="B555" s="75" t="s">
        <v>431</v>
      </c>
      <c r="C555" s="76">
        <v>35</v>
      </c>
      <c r="D555" s="76">
        <v>156</v>
      </c>
      <c r="E555" s="76">
        <v>59</v>
      </c>
      <c r="F555" s="75" t="str">
        <v>24.2 (Normal)</v>
      </c>
      <c r="G555" s="75" t="str">
        <f t="shared" si="4"/>
        <v>Normal</v>
      </c>
      <c r="H555" s="76">
        <f ca="1">IFERROR(__xludf.DUMMYFUNCTION("""COMPUTED_VALUE"""),24.2)</f>
        <v>24.2</v>
      </c>
      <c r="I555" s="76">
        <v>21</v>
      </c>
      <c r="J555" s="77">
        <v>51.105600000000003</v>
      </c>
      <c r="K555" s="78" t="s">
        <v>28</v>
      </c>
      <c r="L555" s="76">
        <v>1395</v>
      </c>
      <c r="M555" s="79">
        <v>1.95</v>
      </c>
      <c r="N555" s="75" t="s">
        <v>16</v>
      </c>
      <c r="O555" s="75" t="s">
        <v>19</v>
      </c>
      <c r="P555" s="76" t="e">
        <f t="shared" ca="1" si="5"/>
        <v>#NAME?</v>
      </c>
      <c r="Q555" s="76" t="e">
        <f ca="1"/>
        <v>#NAME?</v>
      </c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</row>
    <row r="556" spans="1:28" ht="12.75">
      <c r="A556" s="71" t="s">
        <v>315</v>
      </c>
      <c r="B556" s="71" t="s">
        <v>431</v>
      </c>
      <c r="C556" s="72">
        <v>38</v>
      </c>
      <c r="D556" s="72">
        <v>170</v>
      </c>
      <c r="E556" s="72">
        <v>55</v>
      </c>
      <c r="F556" s="71" t="str">
        <v>19.0 (Normal)</v>
      </c>
      <c r="G556" s="71" t="str">
        <f t="shared" si="4"/>
        <v>Normal</v>
      </c>
      <c r="H556" s="72">
        <f ca="1">IFERROR(__xludf.DUMMYFUNCTION("""COMPUTED_VALUE"""),19)</f>
        <v>19</v>
      </c>
      <c r="I556" s="72">
        <v>21</v>
      </c>
      <c r="J556" s="10">
        <v>60.689999999999991</v>
      </c>
      <c r="K556" s="73" t="s">
        <v>28</v>
      </c>
      <c r="L556" s="72">
        <v>1427.5</v>
      </c>
      <c r="M556" s="74">
        <v>1.82</v>
      </c>
      <c r="N556" s="71" t="s">
        <v>34</v>
      </c>
      <c r="O556" s="71" t="s">
        <v>7</v>
      </c>
      <c r="P556" s="72" t="e">
        <f t="shared" ca="1" si="5"/>
        <v>#NAME?</v>
      </c>
      <c r="Q556" s="72" t="e">
        <f ca="1"/>
        <v>#NAME?</v>
      </c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</row>
    <row r="557" spans="1:28" ht="12.75">
      <c r="A557" s="71" t="s">
        <v>232</v>
      </c>
      <c r="B557" s="71" t="s">
        <v>431</v>
      </c>
      <c r="C557" s="72">
        <v>27</v>
      </c>
      <c r="D557" s="72">
        <v>184</v>
      </c>
      <c r="E557" s="72">
        <v>94</v>
      </c>
      <c r="F557" s="71" t="str">
        <v>27.8 (Obese)</v>
      </c>
      <c r="G557" s="71" t="str">
        <f t="shared" si="4"/>
        <v>Obese</v>
      </c>
      <c r="H557" s="72">
        <f ca="1">IFERROR(__xludf.DUMMYFUNCTION("""COMPUTED_VALUE"""),27.8)</f>
        <v>27.8</v>
      </c>
      <c r="I557" s="72">
        <v>21</v>
      </c>
      <c r="J557" s="10">
        <v>71.0976</v>
      </c>
      <c r="K557" s="73" t="s">
        <v>42</v>
      </c>
      <c r="L557" s="72">
        <v>1960</v>
      </c>
      <c r="M557" s="74">
        <v>3.1</v>
      </c>
      <c r="N557" s="71" t="s">
        <v>34</v>
      </c>
      <c r="O557" s="71" t="s">
        <v>60</v>
      </c>
      <c r="P557" s="72" t="e">
        <f t="shared" ca="1" si="5"/>
        <v>#NAME?</v>
      </c>
      <c r="Q557" s="72" t="e">
        <f ca="1"/>
        <v>#NAME?</v>
      </c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</row>
    <row r="558" spans="1:28" ht="12.75">
      <c r="A558" s="75" t="s">
        <v>316</v>
      </c>
      <c r="B558" s="75" t="s">
        <v>431</v>
      </c>
      <c r="C558" s="76">
        <v>48</v>
      </c>
      <c r="D558" s="76">
        <v>171</v>
      </c>
      <c r="E558" s="76">
        <v>75</v>
      </c>
      <c r="F558" s="75" t="str">
        <v>25.6 (Overweight)</v>
      </c>
      <c r="G558" s="75" t="str">
        <f t="shared" si="4"/>
        <v>Overweight</v>
      </c>
      <c r="H558" s="76">
        <f ca="1">IFERROR(__xludf.DUMMYFUNCTION("""COMPUTED_VALUE"""),25.6)</f>
        <v>25.6</v>
      </c>
      <c r="I558" s="76">
        <v>21</v>
      </c>
      <c r="J558" s="77">
        <v>61.406099999999995</v>
      </c>
      <c r="K558" s="78" t="s">
        <v>18</v>
      </c>
      <c r="L558" s="76">
        <v>1583.75</v>
      </c>
      <c r="M558" s="79">
        <v>2.48</v>
      </c>
      <c r="N558" s="75" t="s">
        <v>16</v>
      </c>
      <c r="O558" s="75" t="s">
        <v>37</v>
      </c>
      <c r="P558" s="76" t="e">
        <f t="shared" ca="1" si="5"/>
        <v>#NAME?</v>
      </c>
      <c r="Q558" s="76" t="e">
        <f ca="1"/>
        <v>#NAME?</v>
      </c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</row>
    <row r="559" spans="1:28" ht="12.75">
      <c r="A559" s="71" t="s">
        <v>249</v>
      </c>
      <c r="B559" s="71" t="s">
        <v>431</v>
      </c>
      <c r="C559" s="72">
        <v>33</v>
      </c>
      <c r="D559" s="72">
        <v>165</v>
      </c>
      <c r="E559" s="72">
        <v>96</v>
      </c>
      <c r="F559" s="71" t="str">
        <v>35.3 (Obese)</v>
      </c>
      <c r="G559" s="71" t="str">
        <f t="shared" si="4"/>
        <v>Obese</v>
      </c>
      <c r="H559" s="72">
        <f ca="1">IFERROR(__xludf.DUMMYFUNCTION("""COMPUTED_VALUE"""),35.3)</f>
        <v>35.299999999999997</v>
      </c>
      <c r="I559" s="72">
        <v>21</v>
      </c>
      <c r="J559" s="10">
        <v>57.172499999999992</v>
      </c>
      <c r="K559" s="73" t="s">
        <v>28</v>
      </c>
      <c r="L559" s="72">
        <v>1831.25</v>
      </c>
      <c r="M559" s="74">
        <v>3.17</v>
      </c>
      <c r="N559" s="71" t="s">
        <v>34</v>
      </c>
      <c r="O559" s="71" t="s">
        <v>19</v>
      </c>
      <c r="P559" s="72" t="e">
        <f t="shared" ca="1" si="5"/>
        <v>#NAME?</v>
      </c>
      <c r="Q559" s="72" t="e">
        <f ca="1"/>
        <v>#NAME?</v>
      </c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</row>
    <row r="560" spans="1:28" ht="12.75">
      <c r="A560" s="71" t="s">
        <v>189</v>
      </c>
      <c r="B560" s="71" t="s">
        <v>431</v>
      </c>
      <c r="C560" s="72">
        <v>51</v>
      </c>
      <c r="D560" s="72">
        <v>183</v>
      </c>
      <c r="E560" s="72">
        <v>65</v>
      </c>
      <c r="F560" s="71" t="str">
        <v>19.4 (Normal)</v>
      </c>
      <c r="G560" s="71" t="str">
        <f t="shared" si="4"/>
        <v>Normal</v>
      </c>
      <c r="H560" s="72">
        <f ca="1">IFERROR(__xludf.DUMMYFUNCTION("""COMPUTED_VALUE"""),19.4)</f>
        <v>19.399999999999999</v>
      </c>
      <c r="I560" s="72">
        <v>21</v>
      </c>
      <c r="J560" s="10">
        <v>70.326900000000009</v>
      </c>
      <c r="K560" s="73" t="s">
        <v>18</v>
      </c>
      <c r="L560" s="72">
        <v>1543.75</v>
      </c>
      <c r="M560" s="74">
        <v>2.15</v>
      </c>
      <c r="N560" s="71" t="s">
        <v>34</v>
      </c>
      <c r="O560" s="71" t="s">
        <v>60</v>
      </c>
      <c r="P560" s="72" t="e">
        <f t="shared" ca="1" si="5"/>
        <v>#NAME?</v>
      </c>
      <c r="Q560" s="72" t="e">
        <f ca="1"/>
        <v>#NAME?</v>
      </c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</row>
    <row r="561" spans="1:28" ht="12.75">
      <c r="A561" s="71" t="s">
        <v>57</v>
      </c>
      <c r="B561" s="71" t="s">
        <v>431</v>
      </c>
      <c r="C561" s="72">
        <v>30</v>
      </c>
      <c r="D561" s="72">
        <v>182</v>
      </c>
      <c r="E561" s="72">
        <v>82</v>
      </c>
      <c r="F561" s="71" t="str">
        <v>24.8 (Normal)</v>
      </c>
      <c r="G561" s="71" t="str">
        <f t="shared" si="4"/>
        <v>Normal</v>
      </c>
      <c r="H561" s="72">
        <f ca="1">IFERROR(__xludf.DUMMYFUNCTION("""COMPUTED_VALUE"""),24.8)</f>
        <v>24.8</v>
      </c>
      <c r="I561" s="72">
        <v>21</v>
      </c>
      <c r="J561" s="10">
        <v>69.560400000000001</v>
      </c>
      <c r="K561" s="73" t="s">
        <v>42</v>
      </c>
      <c r="L561" s="72">
        <v>1812.5</v>
      </c>
      <c r="M561" s="74">
        <v>2.71</v>
      </c>
      <c r="N561" s="71" t="s">
        <v>34</v>
      </c>
      <c r="O561" s="71" t="s">
        <v>37</v>
      </c>
      <c r="P561" s="72" t="e">
        <f t="shared" ca="1" si="5"/>
        <v>#NAME?</v>
      </c>
      <c r="Q561" s="72" t="e">
        <f ca="1"/>
        <v>#NAME?</v>
      </c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</row>
    <row r="562" spans="1:28" ht="12.75">
      <c r="A562" s="67" t="s">
        <v>212</v>
      </c>
      <c r="B562" s="67" t="s">
        <v>431</v>
      </c>
      <c r="C562" s="68">
        <v>36</v>
      </c>
      <c r="D562" s="68">
        <v>171</v>
      </c>
      <c r="E562" s="68">
        <v>65</v>
      </c>
      <c r="F562" s="67" t="str">
        <v>22.2 (Normal)</v>
      </c>
      <c r="G562" s="67" t="str">
        <f t="shared" si="4"/>
        <v>Normal</v>
      </c>
      <c r="H562" s="68">
        <f ca="1">IFERROR(__xludf.DUMMYFUNCTION("""COMPUTED_VALUE"""),22.2)</f>
        <v>22.2</v>
      </c>
      <c r="I562" s="68">
        <v>21</v>
      </c>
      <c r="J562" s="10">
        <v>61.406099999999995</v>
      </c>
      <c r="K562" s="69" t="s">
        <v>4</v>
      </c>
      <c r="L562" s="68">
        <v>1543.75</v>
      </c>
      <c r="M562" s="70">
        <v>2.15</v>
      </c>
      <c r="N562" s="67" t="s">
        <v>26</v>
      </c>
      <c r="O562" s="67" t="s">
        <v>60</v>
      </c>
      <c r="P562" s="68" t="e">
        <f t="shared" ca="1" si="5"/>
        <v>#NAME?</v>
      </c>
      <c r="Q562" s="68" t="e">
        <f ca="1"/>
        <v>#NAME?</v>
      </c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</row>
    <row r="563" spans="1:28" ht="12.75">
      <c r="A563" s="75" t="s">
        <v>85</v>
      </c>
      <c r="B563" s="75" t="s">
        <v>431</v>
      </c>
      <c r="C563" s="76">
        <v>34</v>
      </c>
      <c r="D563" s="76">
        <v>188</v>
      </c>
      <c r="E563" s="76">
        <v>50</v>
      </c>
      <c r="F563" s="75" t="str">
        <v>14.1 (Underweight)</v>
      </c>
      <c r="G563" s="75" t="str">
        <f t="shared" si="4"/>
        <v>Underweight</v>
      </c>
      <c r="H563" s="76">
        <f ca="1">IFERROR(__xludf.DUMMYFUNCTION("""COMPUTED_VALUE"""),14.1)</f>
        <v>14.1</v>
      </c>
      <c r="I563" s="76">
        <v>21</v>
      </c>
      <c r="J563" s="77">
        <v>74.222399999999993</v>
      </c>
      <c r="K563" s="78" t="s">
        <v>42</v>
      </c>
      <c r="L563" s="76">
        <v>1510</v>
      </c>
      <c r="M563" s="79">
        <v>1.65</v>
      </c>
      <c r="N563" s="75" t="s">
        <v>16</v>
      </c>
      <c r="O563" s="75" t="s">
        <v>37</v>
      </c>
      <c r="P563" s="76" t="e">
        <f t="shared" ca="1" si="5"/>
        <v>#NAME?</v>
      </c>
      <c r="Q563" s="76" t="e">
        <f ca="1"/>
        <v>#NAME?</v>
      </c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</row>
    <row r="564" spans="1:28" ht="12.75">
      <c r="A564" s="71" t="s">
        <v>206</v>
      </c>
      <c r="B564" s="71" t="s">
        <v>431</v>
      </c>
      <c r="C564" s="72">
        <v>47</v>
      </c>
      <c r="D564" s="72">
        <v>157</v>
      </c>
      <c r="E564" s="72">
        <v>81</v>
      </c>
      <c r="F564" s="71" t="str">
        <v>32.9 (Obese)</v>
      </c>
      <c r="G564" s="71" t="str">
        <f t="shared" si="4"/>
        <v>Obese</v>
      </c>
      <c r="H564" s="72">
        <f ca="1">IFERROR(__xludf.DUMMYFUNCTION("""COMPUTED_VALUE"""),32.9)</f>
        <v>32.9</v>
      </c>
      <c r="I564" s="72">
        <v>21</v>
      </c>
      <c r="J564" s="10">
        <v>51.762900000000002</v>
      </c>
      <c r="K564" s="73" t="s">
        <v>18</v>
      </c>
      <c r="L564" s="72">
        <v>1561.25</v>
      </c>
      <c r="M564" s="74">
        <v>2.67</v>
      </c>
      <c r="N564" s="71" t="s">
        <v>34</v>
      </c>
      <c r="O564" s="71" t="s">
        <v>19</v>
      </c>
      <c r="P564" s="72" t="e">
        <f t="shared" ca="1" si="5"/>
        <v>#NAME?</v>
      </c>
      <c r="Q564" s="72" t="e">
        <f ca="1"/>
        <v>#NAME?</v>
      </c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</row>
    <row r="565" spans="1:28" ht="12.75">
      <c r="A565" s="67" t="s">
        <v>317</v>
      </c>
      <c r="B565" s="67" t="s">
        <v>431</v>
      </c>
      <c r="C565" s="68">
        <v>59</v>
      </c>
      <c r="D565" s="68">
        <v>174</v>
      </c>
      <c r="E565" s="68">
        <v>77</v>
      </c>
      <c r="F565" s="67" t="str">
        <v>25.4 (Overweight)</v>
      </c>
      <c r="G565" s="67" t="str">
        <f t="shared" si="4"/>
        <v>Overweight</v>
      </c>
      <c r="H565" s="68">
        <f ca="1">IFERROR(__xludf.DUMMYFUNCTION("""COMPUTED_VALUE"""),25.4)</f>
        <v>25.4</v>
      </c>
      <c r="I565" s="68">
        <v>21</v>
      </c>
      <c r="J565" s="10">
        <v>63.579599999999999</v>
      </c>
      <c r="K565" s="69" t="s">
        <v>18</v>
      </c>
      <c r="L565" s="68">
        <v>1567.5</v>
      </c>
      <c r="M565" s="70">
        <v>2.54</v>
      </c>
      <c r="N565" s="67" t="s">
        <v>26</v>
      </c>
      <c r="O565" s="67" t="s">
        <v>30</v>
      </c>
      <c r="P565" s="68" t="e">
        <f t="shared" ca="1" si="5"/>
        <v>#NAME?</v>
      </c>
      <c r="Q565" s="68" t="e">
        <f ca="1"/>
        <v>#NAME?</v>
      </c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</row>
    <row r="566" spans="1:28" ht="12.75">
      <c r="A566" s="60" t="s">
        <v>211</v>
      </c>
      <c r="B566" s="60" t="s">
        <v>431</v>
      </c>
      <c r="C566" s="61">
        <v>46</v>
      </c>
      <c r="D566" s="61">
        <v>158</v>
      </c>
      <c r="E566" s="61">
        <v>109</v>
      </c>
      <c r="F566" s="60" t="str">
        <v>43.7 (Obese)</v>
      </c>
      <c r="G566" s="60" t="str">
        <f t="shared" si="4"/>
        <v>Obese</v>
      </c>
      <c r="H566" s="61">
        <f ca="1">IFERROR(__xludf.DUMMYFUNCTION("""COMPUTED_VALUE"""),43.7)</f>
        <v>43.7</v>
      </c>
      <c r="I566" s="61">
        <v>21</v>
      </c>
      <c r="J566" s="62">
        <v>52.424400000000006</v>
      </c>
      <c r="K566" s="63" t="s">
        <v>28</v>
      </c>
      <c r="L566" s="61">
        <v>1852.5</v>
      </c>
      <c r="M566" s="64">
        <v>3.6</v>
      </c>
      <c r="N566" s="60" t="s">
        <v>39</v>
      </c>
      <c r="O566" s="60" t="s">
        <v>19</v>
      </c>
      <c r="P566" s="61" t="e">
        <f t="shared" ca="1" si="5"/>
        <v>#NAME?</v>
      </c>
      <c r="Q566" s="61" t="e">
        <f ca="1"/>
        <v>#NAME?</v>
      </c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</row>
    <row r="567" spans="1:28" ht="12.75">
      <c r="A567" s="75" t="s">
        <v>318</v>
      </c>
      <c r="B567" s="75" t="s">
        <v>431</v>
      </c>
      <c r="C567" s="76">
        <v>39</v>
      </c>
      <c r="D567" s="76">
        <v>172</v>
      </c>
      <c r="E567" s="76">
        <v>94</v>
      </c>
      <c r="F567" s="75" t="str">
        <v>31.8 (Obese)</v>
      </c>
      <c r="G567" s="75" t="str">
        <f t="shared" si="4"/>
        <v>Obese</v>
      </c>
      <c r="H567" s="76">
        <f ca="1">IFERROR(__xludf.DUMMYFUNCTION("""COMPUTED_VALUE"""),31.8)</f>
        <v>31.8</v>
      </c>
      <c r="I567" s="76">
        <v>21</v>
      </c>
      <c r="J567" s="77">
        <v>62.126399999999997</v>
      </c>
      <c r="K567" s="78" t="s">
        <v>4</v>
      </c>
      <c r="L567" s="76">
        <v>1825</v>
      </c>
      <c r="M567" s="79">
        <v>3.1</v>
      </c>
      <c r="N567" s="75" t="s">
        <v>16</v>
      </c>
      <c r="O567" s="75" t="s">
        <v>60</v>
      </c>
      <c r="P567" s="76" t="e">
        <f t="shared" ca="1" si="5"/>
        <v>#NAME?</v>
      </c>
      <c r="Q567" s="76" t="e">
        <f ca="1"/>
        <v>#NAME?</v>
      </c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</row>
    <row r="568" spans="1:28" ht="12.75">
      <c r="A568" s="71" t="s">
        <v>154</v>
      </c>
      <c r="B568" s="71" t="s">
        <v>431</v>
      </c>
      <c r="C568" s="72">
        <v>44</v>
      </c>
      <c r="D568" s="72">
        <v>189</v>
      </c>
      <c r="E568" s="72">
        <v>74</v>
      </c>
      <c r="F568" s="71" t="str">
        <v>20.7 (Normal)</v>
      </c>
      <c r="G568" s="71" t="str">
        <f t="shared" si="4"/>
        <v>Normal</v>
      </c>
      <c r="H568" s="72">
        <f ca="1">IFERROR(__xludf.DUMMYFUNCTION("""COMPUTED_VALUE"""),20.7)</f>
        <v>20.7</v>
      </c>
      <c r="I568" s="72">
        <v>21</v>
      </c>
      <c r="J568" s="10">
        <v>75.014099999999999</v>
      </c>
      <c r="K568" s="73" t="s">
        <v>42</v>
      </c>
      <c r="L568" s="72">
        <v>1706.25</v>
      </c>
      <c r="M568" s="74">
        <v>2.44</v>
      </c>
      <c r="N568" s="71" t="s">
        <v>34</v>
      </c>
      <c r="O568" s="71" t="s">
        <v>30</v>
      </c>
      <c r="P568" s="72" t="e">
        <f t="shared" ca="1" si="5"/>
        <v>#NAME?</v>
      </c>
      <c r="Q568" s="72" t="e">
        <f ca="1"/>
        <v>#NAME?</v>
      </c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</row>
    <row r="569" spans="1:28" ht="12.75">
      <c r="A569" s="60" t="s">
        <v>154</v>
      </c>
      <c r="B569" s="60" t="s">
        <v>431</v>
      </c>
      <c r="C569" s="61">
        <v>57</v>
      </c>
      <c r="D569" s="61">
        <v>161</v>
      </c>
      <c r="E569" s="61">
        <v>109</v>
      </c>
      <c r="F569" s="60" t="str">
        <v>42.1 (Obese)</v>
      </c>
      <c r="G569" s="60" t="str">
        <f t="shared" si="4"/>
        <v>Obese</v>
      </c>
      <c r="H569" s="61">
        <f ca="1">IFERROR(__xludf.DUMMYFUNCTION("""COMPUTED_VALUE"""),42.1)</f>
        <v>42.1</v>
      </c>
      <c r="I569" s="61">
        <v>21</v>
      </c>
      <c r="J569" s="62">
        <v>54.434100000000008</v>
      </c>
      <c r="K569" s="63" t="s">
        <v>42</v>
      </c>
      <c r="L569" s="61">
        <v>1816.25</v>
      </c>
      <c r="M569" s="64">
        <v>3.6</v>
      </c>
      <c r="N569" s="60" t="s">
        <v>39</v>
      </c>
      <c r="O569" s="60" t="s">
        <v>7</v>
      </c>
      <c r="P569" s="61" t="e">
        <f t="shared" ca="1" si="5"/>
        <v>#NAME?</v>
      </c>
      <c r="Q569" s="61" t="e">
        <f ca="1"/>
        <v>#NAME?</v>
      </c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</row>
    <row r="570" spans="1:28" ht="12.75">
      <c r="A570" s="71" t="s">
        <v>186</v>
      </c>
      <c r="B570" s="71" t="s">
        <v>431</v>
      </c>
      <c r="C570" s="72">
        <v>56</v>
      </c>
      <c r="D570" s="72">
        <v>158</v>
      </c>
      <c r="E570" s="72">
        <v>92</v>
      </c>
      <c r="F570" s="71" t="str">
        <v>36.9 (Obese)</v>
      </c>
      <c r="G570" s="71" t="str">
        <f t="shared" si="4"/>
        <v>Obese</v>
      </c>
      <c r="H570" s="72">
        <f ca="1">IFERROR(__xludf.DUMMYFUNCTION("""COMPUTED_VALUE"""),36.9)</f>
        <v>36.9</v>
      </c>
      <c r="I570" s="72">
        <v>21</v>
      </c>
      <c r="J570" s="10">
        <v>52.424400000000006</v>
      </c>
      <c r="K570" s="73" t="s">
        <v>18</v>
      </c>
      <c r="L570" s="72">
        <v>1632.5</v>
      </c>
      <c r="M570" s="74">
        <v>3.04</v>
      </c>
      <c r="N570" s="71" t="s">
        <v>34</v>
      </c>
      <c r="O570" s="71" t="s">
        <v>19</v>
      </c>
      <c r="P570" s="72" t="e">
        <f t="shared" ca="1" si="5"/>
        <v>#NAME?</v>
      </c>
      <c r="Q570" s="72" t="e">
        <f ca="1"/>
        <v>#NAME?</v>
      </c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</row>
    <row r="571" spans="1:28" ht="12.75">
      <c r="A571" s="75" t="s">
        <v>258</v>
      </c>
      <c r="B571" s="75" t="s">
        <v>431</v>
      </c>
      <c r="C571" s="76">
        <v>50</v>
      </c>
      <c r="D571" s="76">
        <v>178</v>
      </c>
      <c r="E571" s="76">
        <v>78</v>
      </c>
      <c r="F571" s="75" t="str">
        <v>24.6 (Normal)</v>
      </c>
      <c r="G571" s="75" t="str">
        <f t="shared" si="4"/>
        <v>Normal</v>
      </c>
      <c r="H571" s="76">
        <f ca="1">IFERROR(__xludf.DUMMYFUNCTION("""COMPUTED_VALUE"""),24.6)</f>
        <v>24.6</v>
      </c>
      <c r="I571" s="76">
        <v>21</v>
      </c>
      <c r="J571" s="77">
        <v>66.5364</v>
      </c>
      <c r="K571" s="78" t="s">
        <v>42</v>
      </c>
      <c r="L571" s="76">
        <v>1647.5</v>
      </c>
      <c r="M571" s="79">
        <v>2.57</v>
      </c>
      <c r="N571" s="75" t="s">
        <v>16</v>
      </c>
      <c r="O571" s="75" t="s">
        <v>60</v>
      </c>
      <c r="P571" s="76" t="e">
        <f t="shared" ca="1" si="5"/>
        <v>#NAME?</v>
      </c>
      <c r="Q571" s="76" t="e">
        <f ca="1"/>
        <v>#NAME?</v>
      </c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</row>
    <row r="572" spans="1:28" ht="12.75">
      <c r="A572" s="71" t="s">
        <v>152</v>
      </c>
      <c r="B572" s="71" t="s">
        <v>431</v>
      </c>
      <c r="C572" s="72">
        <v>40</v>
      </c>
      <c r="D572" s="72">
        <v>162</v>
      </c>
      <c r="E572" s="72">
        <v>53</v>
      </c>
      <c r="F572" s="71" t="str">
        <v>20.2 (Normal)</v>
      </c>
      <c r="G572" s="71" t="str">
        <f t="shared" si="4"/>
        <v>Normal</v>
      </c>
      <c r="H572" s="72">
        <f ca="1">IFERROR(__xludf.DUMMYFUNCTION("""COMPUTED_VALUE"""),20.2)</f>
        <v>20.2</v>
      </c>
      <c r="I572" s="72">
        <v>21</v>
      </c>
      <c r="J572" s="10">
        <v>55.112400000000008</v>
      </c>
      <c r="K572" s="73" t="s">
        <v>18</v>
      </c>
      <c r="L572" s="72">
        <v>1347.5</v>
      </c>
      <c r="M572" s="74">
        <v>1.75</v>
      </c>
      <c r="N572" s="71" t="s">
        <v>34</v>
      </c>
      <c r="O572" s="71" t="s">
        <v>60</v>
      </c>
      <c r="P572" s="72" t="e">
        <f t="shared" ca="1" si="5"/>
        <v>#NAME?</v>
      </c>
      <c r="Q572" s="72" t="e">
        <f ca="1"/>
        <v>#NAME?</v>
      </c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</row>
    <row r="573" spans="1:28" ht="12.75">
      <c r="A573" s="75" t="s">
        <v>319</v>
      </c>
      <c r="B573" s="75" t="s">
        <v>431</v>
      </c>
      <c r="C573" s="76">
        <v>27</v>
      </c>
      <c r="D573" s="76">
        <v>176</v>
      </c>
      <c r="E573" s="76">
        <v>60</v>
      </c>
      <c r="F573" s="75" t="str">
        <v>19.4 (Normal)</v>
      </c>
      <c r="G573" s="75" t="str">
        <f t="shared" si="4"/>
        <v>Normal</v>
      </c>
      <c r="H573" s="76">
        <f ca="1">IFERROR(__xludf.DUMMYFUNCTION("""COMPUTED_VALUE"""),19.4)</f>
        <v>19.399999999999999</v>
      </c>
      <c r="I573" s="76">
        <v>21</v>
      </c>
      <c r="J573" s="77">
        <v>65.049599999999998</v>
      </c>
      <c r="K573" s="78" t="s">
        <v>4</v>
      </c>
      <c r="L573" s="76">
        <v>1570</v>
      </c>
      <c r="M573" s="79">
        <v>1.98</v>
      </c>
      <c r="N573" s="75" t="s">
        <v>16</v>
      </c>
      <c r="O573" s="75" t="s">
        <v>60</v>
      </c>
      <c r="P573" s="76" t="e">
        <f t="shared" ca="1" si="5"/>
        <v>#NAME?</v>
      </c>
      <c r="Q573" s="76" t="e">
        <f ca="1"/>
        <v>#NAME?</v>
      </c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</row>
    <row r="574" spans="1:28" ht="12.75">
      <c r="A574" s="71" t="s">
        <v>320</v>
      </c>
      <c r="B574" s="71" t="s">
        <v>431</v>
      </c>
      <c r="C574" s="72">
        <v>28</v>
      </c>
      <c r="D574" s="72">
        <v>168</v>
      </c>
      <c r="E574" s="72">
        <v>62</v>
      </c>
      <c r="F574" s="71" t="str">
        <v>22.0 (Normal)</v>
      </c>
      <c r="G574" s="71" t="str">
        <f t="shared" si="4"/>
        <v>Normal</v>
      </c>
      <c r="H574" s="72">
        <f ca="1">IFERROR(__xludf.DUMMYFUNCTION("""COMPUTED_VALUE"""),22)</f>
        <v>22</v>
      </c>
      <c r="I574" s="72">
        <v>21</v>
      </c>
      <c r="J574" s="10">
        <v>59.270399999999988</v>
      </c>
      <c r="K574" s="73" t="s">
        <v>28</v>
      </c>
      <c r="L574" s="72">
        <v>1535</v>
      </c>
      <c r="M574" s="74">
        <v>2.0499999999999998</v>
      </c>
      <c r="N574" s="71" t="s">
        <v>34</v>
      </c>
      <c r="O574" s="71" t="s">
        <v>7</v>
      </c>
      <c r="P574" s="72" t="e">
        <f t="shared" ca="1" si="5"/>
        <v>#NAME?</v>
      </c>
      <c r="Q574" s="72" t="e">
        <f ca="1"/>
        <v>#NAME?</v>
      </c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</row>
    <row r="575" spans="1:28" ht="12.75">
      <c r="A575" s="67" t="s">
        <v>321</v>
      </c>
      <c r="B575" s="67" t="s">
        <v>431</v>
      </c>
      <c r="C575" s="68">
        <v>28</v>
      </c>
      <c r="D575" s="68">
        <v>156</v>
      </c>
      <c r="E575" s="68">
        <v>101</v>
      </c>
      <c r="F575" s="67" t="str">
        <v>41.5 (Obese)</v>
      </c>
      <c r="G575" s="67" t="str">
        <f t="shared" si="4"/>
        <v>Obese</v>
      </c>
      <c r="H575" s="68">
        <f ca="1">IFERROR(__xludf.DUMMYFUNCTION("""COMPUTED_VALUE"""),41.5)</f>
        <v>41.5</v>
      </c>
      <c r="I575" s="68">
        <v>21</v>
      </c>
      <c r="J575" s="10">
        <v>51.105600000000003</v>
      </c>
      <c r="K575" s="69" t="s">
        <v>4</v>
      </c>
      <c r="L575" s="68">
        <v>1850</v>
      </c>
      <c r="M575" s="70">
        <v>3.33</v>
      </c>
      <c r="N575" s="67" t="s">
        <v>26</v>
      </c>
      <c r="O575" s="67" t="s">
        <v>30</v>
      </c>
      <c r="P575" s="68" t="e">
        <f t="shared" ca="1" si="5"/>
        <v>#NAME?</v>
      </c>
      <c r="Q575" s="68" t="e">
        <f ca="1"/>
        <v>#NAME?</v>
      </c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</row>
    <row r="576" spans="1:28" ht="12.75">
      <c r="A576" s="60" t="s">
        <v>105</v>
      </c>
      <c r="B576" s="60" t="s">
        <v>431</v>
      </c>
      <c r="C576" s="61">
        <v>47</v>
      </c>
      <c r="D576" s="61">
        <v>170</v>
      </c>
      <c r="E576" s="61">
        <v>104</v>
      </c>
      <c r="F576" s="60" t="str">
        <v>36.0 (Obese)</v>
      </c>
      <c r="G576" s="60" t="str">
        <f t="shared" si="4"/>
        <v>Obese</v>
      </c>
      <c r="H576" s="61">
        <f ca="1">IFERROR(__xludf.DUMMYFUNCTION("""COMPUTED_VALUE"""),36)</f>
        <v>36</v>
      </c>
      <c r="I576" s="61">
        <v>21</v>
      </c>
      <c r="J576" s="62">
        <v>60.689999999999991</v>
      </c>
      <c r="K576" s="63" t="s">
        <v>4</v>
      </c>
      <c r="L576" s="61">
        <v>1872.5</v>
      </c>
      <c r="M576" s="64">
        <v>3.43</v>
      </c>
      <c r="N576" s="60" t="s">
        <v>39</v>
      </c>
      <c r="O576" s="60" t="s">
        <v>19</v>
      </c>
      <c r="P576" s="61" t="e">
        <f t="shared" ca="1" si="5"/>
        <v>#NAME?</v>
      </c>
      <c r="Q576" s="61" t="e">
        <f ca="1"/>
        <v>#NAME?</v>
      </c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</row>
    <row r="577" spans="1:28" ht="12.75">
      <c r="A577" s="75" t="s">
        <v>154</v>
      </c>
      <c r="B577" s="75" t="s">
        <v>431</v>
      </c>
      <c r="C577" s="76">
        <v>27</v>
      </c>
      <c r="D577" s="76">
        <v>189</v>
      </c>
      <c r="E577" s="76">
        <v>78</v>
      </c>
      <c r="F577" s="75" t="str">
        <v>21.8 (Normal)</v>
      </c>
      <c r="G577" s="75" t="str">
        <f t="shared" si="4"/>
        <v>Normal</v>
      </c>
      <c r="H577" s="76">
        <f ca="1">IFERROR(__xludf.DUMMYFUNCTION("""COMPUTED_VALUE"""),21.8)</f>
        <v>21.8</v>
      </c>
      <c r="I577" s="76">
        <v>21</v>
      </c>
      <c r="J577" s="77">
        <v>75.014099999999999</v>
      </c>
      <c r="K577" s="78" t="s">
        <v>42</v>
      </c>
      <c r="L577" s="76">
        <v>1831.25</v>
      </c>
      <c r="M577" s="79">
        <v>2.57</v>
      </c>
      <c r="N577" s="75" t="s">
        <v>16</v>
      </c>
      <c r="O577" s="75" t="s">
        <v>63</v>
      </c>
      <c r="P577" s="76" t="e">
        <f t="shared" ca="1" si="5"/>
        <v>#NAME?</v>
      </c>
      <c r="Q577" s="76" t="e">
        <f ca="1"/>
        <v>#NAME?</v>
      </c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</row>
    <row r="578" spans="1:28" ht="12.75">
      <c r="A578" s="60" t="s">
        <v>242</v>
      </c>
      <c r="B578" s="60" t="s">
        <v>431</v>
      </c>
      <c r="C578" s="61">
        <v>34</v>
      </c>
      <c r="D578" s="61">
        <v>166</v>
      </c>
      <c r="E578" s="61">
        <v>67</v>
      </c>
      <c r="F578" s="60" t="str">
        <v>24.3 (Normal)</v>
      </c>
      <c r="G578" s="60" t="str">
        <f t="shared" si="4"/>
        <v>Normal</v>
      </c>
      <c r="H578" s="61">
        <f ca="1">IFERROR(__xludf.DUMMYFUNCTION("""COMPUTED_VALUE"""),24.3)</f>
        <v>24.3</v>
      </c>
      <c r="I578" s="61">
        <v>21</v>
      </c>
      <c r="J578" s="62">
        <v>57.867599999999996</v>
      </c>
      <c r="K578" s="63" t="s">
        <v>18</v>
      </c>
      <c r="L578" s="61">
        <v>1542.5</v>
      </c>
      <c r="M578" s="64">
        <v>2.21</v>
      </c>
      <c r="N578" s="60" t="s">
        <v>39</v>
      </c>
      <c r="O578" s="60" t="s">
        <v>30</v>
      </c>
      <c r="P578" s="61" t="e">
        <f t="shared" ca="1" si="5"/>
        <v>#NAME?</v>
      </c>
      <c r="Q578" s="61" t="e">
        <f ca="1"/>
        <v>#NAME?</v>
      </c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</row>
    <row r="579" spans="1:28" ht="12.75">
      <c r="A579" s="75" t="s">
        <v>178</v>
      </c>
      <c r="B579" s="75" t="s">
        <v>431</v>
      </c>
      <c r="C579" s="76">
        <v>22</v>
      </c>
      <c r="D579" s="76">
        <v>189</v>
      </c>
      <c r="E579" s="76">
        <v>67</v>
      </c>
      <c r="F579" s="75" t="str">
        <v>18.8 (Normal)</v>
      </c>
      <c r="G579" s="75" t="str">
        <f t="shared" si="4"/>
        <v>Normal</v>
      </c>
      <c r="H579" s="76">
        <f ca="1">IFERROR(__xludf.DUMMYFUNCTION("""COMPUTED_VALUE"""),18.8)</f>
        <v>18.8</v>
      </c>
      <c r="I579" s="76">
        <v>21</v>
      </c>
      <c r="J579" s="77">
        <v>75.014099999999999</v>
      </c>
      <c r="K579" s="78" t="s">
        <v>42</v>
      </c>
      <c r="L579" s="76">
        <v>1746.25</v>
      </c>
      <c r="M579" s="79">
        <v>2.21</v>
      </c>
      <c r="N579" s="75" t="s">
        <v>16</v>
      </c>
      <c r="O579" s="75" t="s">
        <v>7</v>
      </c>
      <c r="P579" s="76" t="e">
        <f t="shared" ca="1" si="5"/>
        <v>#NAME?</v>
      </c>
      <c r="Q579" s="76" t="e">
        <f ca="1"/>
        <v>#NAME?</v>
      </c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</row>
    <row r="580" spans="1:28" ht="12.75">
      <c r="A580" s="71" t="s">
        <v>322</v>
      </c>
      <c r="B580" s="71" t="s">
        <v>431</v>
      </c>
      <c r="C580" s="72">
        <v>20</v>
      </c>
      <c r="D580" s="72">
        <v>164</v>
      </c>
      <c r="E580" s="72">
        <v>82</v>
      </c>
      <c r="F580" s="71" t="str">
        <v>30.5 (Obese)</v>
      </c>
      <c r="G580" s="71" t="str">
        <f t="shared" si="4"/>
        <v>Obese</v>
      </c>
      <c r="H580" s="72">
        <f ca="1">IFERROR(__xludf.DUMMYFUNCTION("""COMPUTED_VALUE"""),30.5)</f>
        <v>30.5</v>
      </c>
      <c r="I580" s="72">
        <v>21</v>
      </c>
      <c r="J580" s="10">
        <v>56.481599999999993</v>
      </c>
      <c r="K580" s="73" t="s">
        <v>28</v>
      </c>
      <c r="L580" s="72">
        <v>1750</v>
      </c>
      <c r="M580" s="74">
        <v>2.71</v>
      </c>
      <c r="N580" s="71" t="s">
        <v>34</v>
      </c>
      <c r="O580" s="71" t="s">
        <v>60</v>
      </c>
      <c r="P580" s="72" t="e">
        <f t="shared" ca="1" si="5"/>
        <v>#NAME?</v>
      </c>
      <c r="Q580" s="72" t="e">
        <f ca="1"/>
        <v>#NAME?</v>
      </c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</row>
    <row r="581" spans="1:28" ht="12.75">
      <c r="A581" s="60" t="s">
        <v>92</v>
      </c>
      <c r="B581" s="60" t="s">
        <v>431</v>
      </c>
      <c r="C581" s="61">
        <v>37</v>
      </c>
      <c r="D581" s="61">
        <v>166</v>
      </c>
      <c r="E581" s="61">
        <v>109</v>
      </c>
      <c r="F581" s="60" t="str">
        <v>39.6 (Obese)</v>
      </c>
      <c r="G581" s="60" t="str">
        <f t="shared" si="4"/>
        <v>Obese</v>
      </c>
      <c r="H581" s="61">
        <f ca="1">IFERROR(__xludf.DUMMYFUNCTION("""COMPUTED_VALUE"""),39.6)</f>
        <v>39.6</v>
      </c>
      <c r="I581" s="61">
        <v>21</v>
      </c>
      <c r="J581" s="62">
        <v>57.867599999999996</v>
      </c>
      <c r="K581" s="63" t="s">
        <v>4</v>
      </c>
      <c r="L581" s="61">
        <v>1947.5</v>
      </c>
      <c r="M581" s="64">
        <v>3.6</v>
      </c>
      <c r="N581" s="60" t="s">
        <v>39</v>
      </c>
      <c r="O581" s="60" t="s">
        <v>63</v>
      </c>
      <c r="P581" s="61" t="e">
        <f t="shared" ca="1" si="5"/>
        <v>#NAME?</v>
      </c>
      <c r="Q581" s="61" t="e">
        <f ca="1"/>
        <v>#NAME?</v>
      </c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</row>
    <row r="582" spans="1:28" ht="12.75">
      <c r="A582" s="67" t="s">
        <v>251</v>
      </c>
      <c r="B582" s="67" t="s">
        <v>431</v>
      </c>
      <c r="C582" s="68">
        <v>47</v>
      </c>
      <c r="D582" s="68">
        <v>189</v>
      </c>
      <c r="E582" s="68">
        <v>75</v>
      </c>
      <c r="F582" s="67" t="str">
        <v>21.0 (Normal)</v>
      </c>
      <c r="G582" s="67" t="str">
        <f t="shared" si="4"/>
        <v>Normal</v>
      </c>
      <c r="H582" s="68">
        <f ca="1">IFERROR(__xludf.DUMMYFUNCTION("""COMPUTED_VALUE"""),21)</f>
        <v>21</v>
      </c>
      <c r="I582" s="68">
        <v>21</v>
      </c>
      <c r="J582" s="10">
        <v>75.014099999999999</v>
      </c>
      <c r="K582" s="69" t="s">
        <v>28</v>
      </c>
      <c r="L582" s="68">
        <v>1701.25</v>
      </c>
      <c r="M582" s="70">
        <v>2.48</v>
      </c>
      <c r="N582" s="67" t="s">
        <v>26</v>
      </c>
      <c r="O582" s="67" t="s">
        <v>7</v>
      </c>
      <c r="P582" s="68" t="e">
        <f t="shared" ca="1" si="5"/>
        <v>#NAME?</v>
      </c>
      <c r="Q582" s="68" t="e">
        <f ca="1"/>
        <v>#NAME?</v>
      </c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</row>
    <row r="583" spans="1:28" ht="12.75">
      <c r="A583" s="60" t="s">
        <v>323</v>
      </c>
      <c r="B583" s="60" t="s">
        <v>431</v>
      </c>
      <c r="C583" s="61">
        <v>37</v>
      </c>
      <c r="D583" s="61">
        <v>173</v>
      </c>
      <c r="E583" s="61">
        <v>78</v>
      </c>
      <c r="F583" s="60" t="str">
        <v>26.1 (Overweight)</v>
      </c>
      <c r="G583" s="60" t="str">
        <f t="shared" si="4"/>
        <v>Overweight</v>
      </c>
      <c r="H583" s="61">
        <f ca="1">IFERROR(__xludf.DUMMYFUNCTION("""COMPUTED_VALUE"""),26.1)</f>
        <v>26.1</v>
      </c>
      <c r="I583" s="61">
        <v>21</v>
      </c>
      <c r="J583" s="62">
        <v>62.850900000000003</v>
      </c>
      <c r="K583" s="63" t="s">
        <v>28</v>
      </c>
      <c r="L583" s="61">
        <v>1681.25</v>
      </c>
      <c r="M583" s="64">
        <v>2.57</v>
      </c>
      <c r="N583" s="60" t="s">
        <v>39</v>
      </c>
      <c r="O583" s="60" t="s">
        <v>19</v>
      </c>
      <c r="P583" s="61" t="e">
        <f t="shared" ca="1" si="5"/>
        <v>#NAME?</v>
      </c>
      <c r="Q583" s="61" t="e">
        <f ca="1"/>
        <v>#NAME?</v>
      </c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</row>
    <row r="584" spans="1:28" ht="12.75">
      <c r="A584" s="75" t="s">
        <v>324</v>
      </c>
      <c r="B584" s="75" t="s">
        <v>431</v>
      </c>
      <c r="C584" s="76">
        <v>58</v>
      </c>
      <c r="D584" s="76">
        <v>170</v>
      </c>
      <c r="E584" s="76">
        <v>71</v>
      </c>
      <c r="F584" s="75" t="str">
        <v>24.6 (Normal)</v>
      </c>
      <c r="G584" s="75" t="str">
        <f t="shared" si="4"/>
        <v>Normal</v>
      </c>
      <c r="H584" s="76">
        <f ca="1">IFERROR(__xludf.DUMMYFUNCTION("""COMPUTED_VALUE"""),24.6)</f>
        <v>24.6</v>
      </c>
      <c r="I584" s="76">
        <v>21</v>
      </c>
      <c r="J584" s="77">
        <v>60.689999999999991</v>
      </c>
      <c r="K584" s="78" t="s">
        <v>4</v>
      </c>
      <c r="L584" s="76">
        <v>1487.5</v>
      </c>
      <c r="M584" s="79">
        <v>2.34</v>
      </c>
      <c r="N584" s="75" t="s">
        <v>16</v>
      </c>
      <c r="O584" s="75" t="s">
        <v>60</v>
      </c>
      <c r="P584" s="76" t="e">
        <f t="shared" ca="1" si="5"/>
        <v>#NAME?</v>
      </c>
      <c r="Q584" s="76" t="e">
        <f ca="1"/>
        <v>#NAME?</v>
      </c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</row>
    <row r="585" spans="1:28" ht="12.75">
      <c r="A585" s="60" t="s">
        <v>234</v>
      </c>
      <c r="B585" s="60" t="s">
        <v>431</v>
      </c>
      <c r="C585" s="61">
        <v>40</v>
      </c>
      <c r="D585" s="61">
        <v>181</v>
      </c>
      <c r="E585" s="61">
        <v>56</v>
      </c>
      <c r="F585" s="60" t="str">
        <v>17.1 (Underweight)</v>
      </c>
      <c r="G585" s="60" t="str">
        <f t="shared" si="4"/>
        <v>Underweight</v>
      </c>
      <c r="H585" s="61">
        <f ca="1">IFERROR(__xludf.DUMMYFUNCTION("""COMPUTED_VALUE"""),17.1)</f>
        <v>17.100000000000001</v>
      </c>
      <c r="I585" s="61">
        <v>21</v>
      </c>
      <c r="J585" s="62">
        <v>68.798100000000005</v>
      </c>
      <c r="K585" s="63" t="s">
        <v>42</v>
      </c>
      <c r="L585" s="61">
        <v>1496.25</v>
      </c>
      <c r="M585" s="64">
        <v>1.85</v>
      </c>
      <c r="N585" s="60" t="s">
        <v>39</v>
      </c>
      <c r="O585" s="60" t="s">
        <v>60</v>
      </c>
      <c r="P585" s="61" t="e">
        <f t="shared" ca="1" si="5"/>
        <v>#NAME?</v>
      </c>
      <c r="Q585" s="61" t="e">
        <f ca="1"/>
        <v>#NAME?</v>
      </c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</row>
    <row r="586" spans="1:28" ht="12.75">
      <c r="A586" s="71" t="s">
        <v>325</v>
      </c>
      <c r="B586" s="71" t="s">
        <v>431</v>
      </c>
      <c r="C586" s="72">
        <v>52</v>
      </c>
      <c r="D586" s="72">
        <v>179</v>
      </c>
      <c r="E586" s="72">
        <v>107</v>
      </c>
      <c r="F586" s="71" t="str">
        <v>33.4 (Obese)</v>
      </c>
      <c r="G586" s="71" t="str">
        <f t="shared" si="4"/>
        <v>Obese</v>
      </c>
      <c r="H586" s="72">
        <f ca="1">IFERROR(__xludf.DUMMYFUNCTION("""COMPUTED_VALUE"""),33.4)</f>
        <v>33.4</v>
      </c>
      <c r="I586" s="72">
        <v>21</v>
      </c>
      <c r="J586" s="10">
        <v>67.286100000000005</v>
      </c>
      <c r="K586" s="73" t="s">
        <v>42</v>
      </c>
      <c r="L586" s="72">
        <v>1933.75</v>
      </c>
      <c r="M586" s="74">
        <v>3.53</v>
      </c>
      <c r="N586" s="71" t="s">
        <v>34</v>
      </c>
      <c r="O586" s="71" t="s">
        <v>19</v>
      </c>
      <c r="P586" s="72" t="e">
        <f t="shared" ca="1" si="5"/>
        <v>#NAME?</v>
      </c>
      <c r="Q586" s="72" t="e">
        <f ca="1"/>
        <v>#NAME?</v>
      </c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</row>
    <row r="587" spans="1:28" ht="12.75">
      <c r="A587" s="60" t="s">
        <v>249</v>
      </c>
      <c r="B587" s="60" t="s">
        <v>431</v>
      </c>
      <c r="C587" s="61">
        <v>57</v>
      </c>
      <c r="D587" s="61">
        <v>167</v>
      </c>
      <c r="E587" s="61">
        <v>68</v>
      </c>
      <c r="F587" s="60" t="str">
        <v>24.4 (Normal)</v>
      </c>
      <c r="G587" s="60" t="str">
        <f t="shared" si="4"/>
        <v>Normal</v>
      </c>
      <c r="H587" s="61">
        <f ca="1">IFERROR(__xludf.DUMMYFUNCTION("""COMPUTED_VALUE"""),24.4)</f>
        <v>24.4</v>
      </c>
      <c r="I587" s="61">
        <v>21</v>
      </c>
      <c r="J587" s="62">
        <v>58.566899999999997</v>
      </c>
      <c r="K587" s="63" t="s">
        <v>42</v>
      </c>
      <c r="L587" s="61">
        <v>1443.75</v>
      </c>
      <c r="M587" s="64">
        <v>2.2400000000000002</v>
      </c>
      <c r="N587" s="60" t="s">
        <v>39</v>
      </c>
      <c r="O587" s="60" t="s">
        <v>19</v>
      </c>
      <c r="P587" s="61" t="e">
        <f t="shared" ca="1" si="5"/>
        <v>#NAME?</v>
      </c>
      <c r="Q587" s="61" t="e">
        <f ca="1"/>
        <v>#NAME?</v>
      </c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</row>
    <row r="588" spans="1:28" ht="12.75">
      <c r="A588" s="75" t="s">
        <v>27</v>
      </c>
      <c r="B588" s="75" t="s">
        <v>431</v>
      </c>
      <c r="C588" s="76">
        <v>52</v>
      </c>
      <c r="D588" s="76">
        <v>162</v>
      </c>
      <c r="E588" s="76">
        <v>75</v>
      </c>
      <c r="F588" s="75" t="str">
        <v>28.6 (Obese)</v>
      </c>
      <c r="G588" s="75" t="str">
        <f t="shared" si="4"/>
        <v>Obese</v>
      </c>
      <c r="H588" s="76">
        <f ca="1">IFERROR(__xludf.DUMMYFUNCTION("""COMPUTED_VALUE"""),28.6)</f>
        <v>28.6</v>
      </c>
      <c r="I588" s="76">
        <v>21</v>
      </c>
      <c r="J588" s="77">
        <v>55.112400000000008</v>
      </c>
      <c r="K588" s="78" t="s">
        <v>18</v>
      </c>
      <c r="L588" s="76">
        <v>1507.5</v>
      </c>
      <c r="M588" s="79">
        <v>2.48</v>
      </c>
      <c r="N588" s="75" t="s">
        <v>16</v>
      </c>
      <c r="O588" s="75" t="s">
        <v>19</v>
      </c>
      <c r="P588" s="76" t="e">
        <f t="shared" ca="1" si="5"/>
        <v>#NAME?</v>
      </c>
      <c r="Q588" s="76" t="e">
        <f ca="1"/>
        <v>#NAME?</v>
      </c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</row>
    <row r="589" spans="1:28" ht="12.75">
      <c r="A589" s="60" t="s">
        <v>326</v>
      </c>
      <c r="B589" s="60" t="s">
        <v>431</v>
      </c>
      <c r="C589" s="61">
        <v>27</v>
      </c>
      <c r="D589" s="61">
        <v>167</v>
      </c>
      <c r="E589" s="61">
        <v>93</v>
      </c>
      <c r="F589" s="60" t="str">
        <v>33.3 (Obese)</v>
      </c>
      <c r="G589" s="60" t="str">
        <f t="shared" si="4"/>
        <v>Obese</v>
      </c>
      <c r="H589" s="61">
        <f ca="1">IFERROR(__xludf.DUMMYFUNCTION("""COMPUTED_VALUE"""),33.3)</f>
        <v>33.299999999999997</v>
      </c>
      <c r="I589" s="61">
        <v>21</v>
      </c>
      <c r="J589" s="62">
        <v>58.566899999999997</v>
      </c>
      <c r="K589" s="63" t="s">
        <v>28</v>
      </c>
      <c r="L589" s="61">
        <v>1843.75</v>
      </c>
      <c r="M589" s="64">
        <v>3.07</v>
      </c>
      <c r="N589" s="60" t="s">
        <v>39</v>
      </c>
      <c r="O589" s="60" t="s">
        <v>19</v>
      </c>
      <c r="P589" s="61" t="e">
        <f t="shared" ca="1" si="5"/>
        <v>#NAME?</v>
      </c>
      <c r="Q589" s="61" t="e">
        <f ca="1"/>
        <v>#NAME?</v>
      </c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</row>
    <row r="590" spans="1:28" ht="12.75">
      <c r="A590" s="67" t="s">
        <v>327</v>
      </c>
      <c r="B590" s="67" t="s">
        <v>431</v>
      </c>
      <c r="C590" s="68">
        <v>33</v>
      </c>
      <c r="D590" s="68">
        <v>157</v>
      </c>
      <c r="E590" s="68">
        <v>81</v>
      </c>
      <c r="F590" s="67" t="str">
        <v>32.9 (Obese)</v>
      </c>
      <c r="G590" s="67" t="str">
        <f t="shared" si="4"/>
        <v>Obese</v>
      </c>
      <c r="H590" s="68">
        <f ca="1">IFERROR(__xludf.DUMMYFUNCTION("""COMPUTED_VALUE"""),32.9)</f>
        <v>32.9</v>
      </c>
      <c r="I590" s="68">
        <v>21</v>
      </c>
      <c r="J590" s="10">
        <v>51.762900000000002</v>
      </c>
      <c r="K590" s="69" t="s">
        <v>42</v>
      </c>
      <c r="L590" s="68">
        <v>1631.25</v>
      </c>
      <c r="M590" s="70">
        <v>2.67</v>
      </c>
      <c r="N590" s="67" t="s">
        <v>26</v>
      </c>
      <c r="O590" s="67" t="s">
        <v>63</v>
      </c>
      <c r="P590" s="68" t="e">
        <f t="shared" ca="1" si="5"/>
        <v>#NAME?</v>
      </c>
      <c r="Q590" s="68" t="e">
        <f ca="1"/>
        <v>#NAME?</v>
      </c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</row>
    <row r="591" spans="1:28" ht="12.75">
      <c r="A591" s="67" t="s">
        <v>151</v>
      </c>
      <c r="B591" s="67" t="s">
        <v>431</v>
      </c>
      <c r="C591" s="68">
        <v>32</v>
      </c>
      <c r="D591" s="68">
        <v>183</v>
      </c>
      <c r="E591" s="68">
        <v>59</v>
      </c>
      <c r="F591" s="67" t="str">
        <v>17.6 (Underweight)</v>
      </c>
      <c r="G591" s="67" t="str">
        <f t="shared" si="4"/>
        <v>Underweight</v>
      </c>
      <c r="H591" s="68">
        <f ca="1">IFERROR(__xludf.DUMMYFUNCTION("""COMPUTED_VALUE"""),17.6)</f>
        <v>17.600000000000001</v>
      </c>
      <c r="I591" s="68">
        <v>21</v>
      </c>
      <c r="J591" s="10">
        <v>70.326900000000009</v>
      </c>
      <c r="K591" s="69" t="s">
        <v>18</v>
      </c>
      <c r="L591" s="68">
        <v>1578.75</v>
      </c>
      <c r="M591" s="70">
        <v>1.95</v>
      </c>
      <c r="N591" s="67" t="s">
        <v>26</v>
      </c>
      <c r="O591" s="67" t="s">
        <v>19</v>
      </c>
      <c r="P591" s="68" t="e">
        <f t="shared" ca="1" si="5"/>
        <v>#NAME?</v>
      </c>
      <c r="Q591" s="68" t="e">
        <f ca="1"/>
        <v>#NAME?</v>
      </c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</row>
    <row r="592" spans="1:28" ht="12.75">
      <c r="A592" s="67" t="s">
        <v>128</v>
      </c>
      <c r="B592" s="67" t="s">
        <v>431</v>
      </c>
      <c r="C592" s="68">
        <v>29</v>
      </c>
      <c r="D592" s="68">
        <v>186</v>
      </c>
      <c r="E592" s="68">
        <v>57</v>
      </c>
      <c r="F592" s="67" t="str">
        <v>16.5 (Underweight)</v>
      </c>
      <c r="G592" s="67" t="str">
        <f t="shared" si="4"/>
        <v>Underweight</v>
      </c>
      <c r="H592" s="68">
        <f ca="1">IFERROR(__xludf.DUMMYFUNCTION("""COMPUTED_VALUE"""),16.5)</f>
        <v>16.5</v>
      </c>
      <c r="I592" s="68">
        <v>21</v>
      </c>
      <c r="J592" s="10">
        <v>72.651600000000016</v>
      </c>
      <c r="K592" s="69" t="s">
        <v>28</v>
      </c>
      <c r="L592" s="68">
        <v>1592.5</v>
      </c>
      <c r="M592" s="70">
        <v>1.88</v>
      </c>
      <c r="N592" s="67" t="s">
        <v>26</v>
      </c>
      <c r="O592" s="67" t="s">
        <v>60</v>
      </c>
      <c r="P592" s="68" t="e">
        <f t="shared" ca="1" si="5"/>
        <v>#NAME?</v>
      </c>
      <c r="Q592" s="68" t="e">
        <f ca="1"/>
        <v>#NAME?</v>
      </c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</row>
    <row r="593" spans="1:28" ht="12.75">
      <c r="A593" s="60" t="s">
        <v>213</v>
      </c>
      <c r="B593" s="60" t="s">
        <v>431</v>
      </c>
      <c r="C593" s="61">
        <v>33</v>
      </c>
      <c r="D593" s="61">
        <v>171</v>
      </c>
      <c r="E593" s="61">
        <v>109</v>
      </c>
      <c r="F593" s="60" t="str">
        <v>37.3 (Obese)</v>
      </c>
      <c r="G593" s="60" t="str">
        <f t="shared" si="4"/>
        <v>Obese</v>
      </c>
      <c r="H593" s="61">
        <f ca="1">IFERROR(__xludf.DUMMYFUNCTION("""COMPUTED_VALUE"""),37.3)</f>
        <v>37.299999999999997</v>
      </c>
      <c r="I593" s="61">
        <v>21</v>
      </c>
      <c r="J593" s="62">
        <v>61.406099999999995</v>
      </c>
      <c r="K593" s="63" t="s">
        <v>4</v>
      </c>
      <c r="L593" s="61">
        <v>1998.75</v>
      </c>
      <c r="M593" s="64">
        <v>3.6</v>
      </c>
      <c r="N593" s="60" t="s">
        <v>39</v>
      </c>
      <c r="O593" s="60" t="s">
        <v>7</v>
      </c>
      <c r="P593" s="61" t="e">
        <f t="shared" ca="1" si="5"/>
        <v>#NAME?</v>
      </c>
      <c r="Q593" s="61" t="e">
        <f ca="1"/>
        <v>#NAME?</v>
      </c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</row>
    <row r="594" spans="1:28" ht="12.75">
      <c r="A594" s="67" t="s">
        <v>119</v>
      </c>
      <c r="B594" s="67" t="s">
        <v>431</v>
      </c>
      <c r="C594" s="68">
        <v>32</v>
      </c>
      <c r="D594" s="68">
        <v>177</v>
      </c>
      <c r="E594" s="68">
        <v>72</v>
      </c>
      <c r="F594" s="67" t="str">
        <v>23.0 (Normal)</v>
      </c>
      <c r="G594" s="67" t="str">
        <f t="shared" si="4"/>
        <v>Normal</v>
      </c>
      <c r="H594" s="68">
        <f ca="1">IFERROR(__xludf.DUMMYFUNCTION("""COMPUTED_VALUE"""),23)</f>
        <v>23</v>
      </c>
      <c r="I594" s="68">
        <v>21</v>
      </c>
      <c r="J594" s="10">
        <v>65.790900000000008</v>
      </c>
      <c r="K594" s="69" t="s">
        <v>42</v>
      </c>
      <c r="L594" s="68">
        <v>1671.25</v>
      </c>
      <c r="M594" s="70">
        <v>2.38</v>
      </c>
      <c r="N594" s="67" t="s">
        <v>26</v>
      </c>
      <c r="O594" s="67" t="s">
        <v>19</v>
      </c>
      <c r="P594" s="68" t="e">
        <f t="shared" ca="1" si="5"/>
        <v>#NAME?</v>
      </c>
      <c r="Q594" s="68" t="e">
        <f ca="1"/>
        <v>#NAME?</v>
      </c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</row>
    <row r="595" spans="1:28" ht="12.75">
      <c r="A595" s="71" t="s">
        <v>328</v>
      </c>
      <c r="B595" s="71" t="s">
        <v>431</v>
      </c>
      <c r="C595" s="72">
        <v>35</v>
      </c>
      <c r="D595" s="72">
        <v>169</v>
      </c>
      <c r="E595" s="72">
        <v>65</v>
      </c>
      <c r="F595" s="71" t="str">
        <v>22.8 (Normal)</v>
      </c>
      <c r="G595" s="71" t="str">
        <f t="shared" si="4"/>
        <v>Normal</v>
      </c>
      <c r="H595" s="72">
        <f ca="1">IFERROR(__xludf.DUMMYFUNCTION("""COMPUTED_VALUE"""),22.8)</f>
        <v>22.8</v>
      </c>
      <c r="I595" s="72">
        <v>21</v>
      </c>
      <c r="J595" s="10">
        <v>59.978099999999991</v>
      </c>
      <c r="K595" s="73" t="s">
        <v>28</v>
      </c>
      <c r="L595" s="72">
        <v>1536.25</v>
      </c>
      <c r="M595" s="74">
        <v>2.15</v>
      </c>
      <c r="N595" s="71" t="s">
        <v>34</v>
      </c>
      <c r="O595" s="71" t="s">
        <v>63</v>
      </c>
      <c r="P595" s="72" t="e">
        <f t="shared" ca="1" si="5"/>
        <v>#NAME?</v>
      </c>
      <c r="Q595" s="72" t="e">
        <f ca="1"/>
        <v>#NAME?</v>
      </c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</row>
    <row r="596" spans="1:28" ht="12.75">
      <c r="A596" s="67" t="s">
        <v>103</v>
      </c>
      <c r="B596" s="67" t="s">
        <v>431</v>
      </c>
      <c r="C596" s="68">
        <v>32</v>
      </c>
      <c r="D596" s="68">
        <v>176</v>
      </c>
      <c r="E596" s="68">
        <v>63</v>
      </c>
      <c r="F596" s="67" t="str">
        <v>20.3 (Normal)</v>
      </c>
      <c r="G596" s="67" t="str">
        <f t="shared" si="4"/>
        <v>Normal</v>
      </c>
      <c r="H596" s="68">
        <f ca="1">IFERROR(__xludf.DUMMYFUNCTION("""COMPUTED_VALUE"""),20.3)</f>
        <v>20.3</v>
      </c>
      <c r="I596" s="68">
        <v>21</v>
      </c>
      <c r="J596" s="10">
        <v>65.049599999999998</v>
      </c>
      <c r="K596" s="69" t="s">
        <v>18</v>
      </c>
      <c r="L596" s="68">
        <v>1575</v>
      </c>
      <c r="M596" s="70">
        <v>2.08</v>
      </c>
      <c r="N596" s="67" t="s">
        <v>26</v>
      </c>
      <c r="O596" s="67" t="s">
        <v>63</v>
      </c>
      <c r="P596" s="68" t="e">
        <f t="shared" ca="1" si="5"/>
        <v>#NAME?</v>
      </c>
      <c r="Q596" s="68" t="e">
        <f ca="1"/>
        <v>#NAME?</v>
      </c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</row>
    <row r="597" spans="1:28" ht="12.75">
      <c r="A597" s="67" t="s">
        <v>168</v>
      </c>
      <c r="B597" s="67" t="s">
        <v>431</v>
      </c>
      <c r="C597" s="68">
        <v>49</v>
      </c>
      <c r="D597" s="68">
        <v>162</v>
      </c>
      <c r="E597" s="68">
        <v>100</v>
      </c>
      <c r="F597" s="67" t="str">
        <v>38.1 (Obese)</v>
      </c>
      <c r="G597" s="67" t="str">
        <f t="shared" si="4"/>
        <v>Obese</v>
      </c>
      <c r="H597" s="68">
        <f ca="1">IFERROR(__xludf.DUMMYFUNCTION("""COMPUTED_VALUE"""),38.1)</f>
        <v>38.1</v>
      </c>
      <c r="I597" s="68">
        <v>21</v>
      </c>
      <c r="J597" s="10">
        <v>55.112400000000008</v>
      </c>
      <c r="K597" s="69" t="s">
        <v>18</v>
      </c>
      <c r="L597" s="68">
        <v>1772.5</v>
      </c>
      <c r="M597" s="70">
        <v>3.3</v>
      </c>
      <c r="N597" s="67" t="s">
        <v>26</v>
      </c>
      <c r="O597" s="67" t="s">
        <v>30</v>
      </c>
      <c r="P597" s="68" t="e">
        <f t="shared" ca="1" si="5"/>
        <v>#NAME?</v>
      </c>
      <c r="Q597" s="68" t="e">
        <f ca="1"/>
        <v>#NAME?</v>
      </c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</row>
    <row r="598" spans="1:28" ht="12.75">
      <c r="A598" s="67" t="s">
        <v>170</v>
      </c>
      <c r="B598" s="67" t="s">
        <v>431</v>
      </c>
      <c r="C598" s="68">
        <v>32</v>
      </c>
      <c r="D598" s="68">
        <v>167</v>
      </c>
      <c r="E598" s="68">
        <v>72</v>
      </c>
      <c r="F598" s="67" t="str">
        <v>25.8 (Overweight)</v>
      </c>
      <c r="G598" s="67" t="str">
        <f t="shared" si="4"/>
        <v>Overweight</v>
      </c>
      <c r="H598" s="68">
        <f ca="1">IFERROR(__xludf.DUMMYFUNCTION("""COMPUTED_VALUE"""),25.8)</f>
        <v>25.8</v>
      </c>
      <c r="I598" s="68">
        <v>21</v>
      </c>
      <c r="J598" s="10">
        <v>58.566899999999997</v>
      </c>
      <c r="K598" s="69" t="s">
        <v>4</v>
      </c>
      <c r="L598" s="68">
        <v>1608.75</v>
      </c>
      <c r="M598" s="70">
        <v>2.38</v>
      </c>
      <c r="N598" s="67" t="s">
        <v>26</v>
      </c>
      <c r="O598" s="67" t="s">
        <v>7</v>
      </c>
      <c r="P598" s="68" t="e">
        <f t="shared" ca="1" si="5"/>
        <v>#NAME?</v>
      </c>
      <c r="Q598" s="68" t="e">
        <f ca="1"/>
        <v>#NAME?</v>
      </c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</row>
    <row r="599" spans="1:28" ht="12.75">
      <c r="A599" s="60" t="s">
        <v>329</v>
      </c>
      <c r="B599" s="60" t="s">
        <v>431</v>
      </c>
      <c r="C599" s="61">
        <v>33</v>
      </c>
      <c r="D599" s="61">
        <v>178</v>
      </c>
      <c r="E599" s="61">
        <v>96</v>
      </c>
      <c r="F599" s="60" t="str">
        <v>30.3 (Obese)</v>
      </c>
      <c r="G599" s="60" t="str">
        <f t="shared" si="4"/>
        <v>Obese</v>
      </c>
      <c r="H599" s="61">
        <f ca="1">IFERROR(__xludf.DUMMYFUNCTION("""COMPUTED_VALUE"""),30.3)</f>
        <v>30.3</v>
      </c>
      <c r="I599" s="61">
        <v>21</v>
      </c>
      <c r="J599" s="62">
        <v>66.5364</v>
      </c>
      <c r="K599" s="63" t="s">
        <v>28</v>
      </c>
      <c r="L599" s="61">
        <v>1912.5</v>
      </c>
      <c r="M599" s="64">
        <v>3.17</v>
      </c>
      <c r="N599" s="60" t="s">
        <v>39</v>
      </c>
      <c r="O599" s="60" t="s">
        <v>63</v>
      </c>
      <c r="P599" s="61" t="e">
        <f t="shared" ca="1" si="5"/>
        <v>#NAME?</v>
      </c>
      <c r="Q599" s="61" t="e">
        <f ca="1"/>
        <v>#NAME?</v>
      </c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</row>
    <row r="600" spans="1:28" ht="12.75">
      <c r="A600" s="67" t="s">
        <v>330</v>
      </c>
      <c r="B600" s="67" t="s">
        <v>431</v>
      </c>
      <c r="C600" s="68">
        <v>32</v>
      </c>
      <c r="D600" s="68">
        <v>178</v>
      </c>
      <c r="E600" s="68">
        <v>70</v>
      </c>
      <c r="F600" s="67" t="str">
        <v>22.1 (Normal)</v>
      </c>
      <c r="G600" s="67" t="str">
        <f t="shared" si="4"/>
        <v>Normal</v>
      </c>
      <c r="H600" s="68">
        <f ca="1">IFERROR(__xludf.DUMMYFUNCTION("""COMPUTED_VALUE"""),22.1)</f>
        <v>22.1</v>
      </c>
      <c r="I600" s="68">
        <v>21</v>
      </c>
      <c r="J600" s="10">
        <v>66.5364</v>
      </c>
      <c r="K600" s="69" t="s">
        <v>42</v>
      </c>
      <c r="L600" s="68">
        <v>1657.5</v>
      </c>
      <c r="M600" s="70">
        <v>2.31</v>
      </c>
      <c r="N600" s="67" t="s">
        <v>26</v>
      </c>
      <c r="O600" s="67" t="s">
        <v>60</v>
      </c>
      <c r="P600" s="68" t="e">
        <f t="shared" ca="1" si="5"/>
        <v>#NAME?</v>
      </c>
      <c r="Q600" s="68" t="e">
        <f ca="1"/>
        <v>#NAME?</v>
      </c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</row>
    <row r="601" spans="1:28" ht="12.75">
      <c r="A601" s="75" t="s">
        <v>331</v>
      </c>
      <c r="B601" s="75" t="s">
        <v>431</v>
      </c>
      <c r="C601" s="76">
        <v>47</v>
      </c>
      <c r="D601" s="76">
        <v>174</v>
      </c>
      <c r="E601" s="76">
        <v>70</v>
      </c>
      <c r="F601" s="75" t="str">
        <v>23.1 (Normal)</v>
      </c>
      <c r="G601" s="75" t="str">
        <f t="shared" si="4"/>
        <v>Normal</v>
      </c>
      <c r="H601" s="76">
        <f ca="1">IFERROR(__xludf.DUMMYFUNCTION("""COMPUTED_VALUE"""),23.1)</f>
        <v>23.1</v>
      </c>
      <c r="I601" s="76">
        <v>21</v>
      </c>
      <c r="J601" s="77">
        <v>63.579599999999999</v>
      </c>
      <c r="K601" s="78" t="s">
        <v>28</v>
      </c>
      <c r="L601" s="76">
        <v>1557.5</v>
      </c>
      <c r="M601" s="79">
        <v>2.31</v>
      </c>
      <c r="N601" s="75" t="s">
        <v>16</v>
      </c>
      <c r="O601" s="75" t="s">
        <v>37</v>
      </c>
      <c r="P601" s="76" t="e">
        <f t="shared" ca="1" si="5"/>
        <v>#NAME?</v>
      </c>
      <c r="Q601" s="76" t="e">
        <f ca="1"/>
        <v>#NAME?</v>
      </c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</row>
    <row r="602" spans="1:28" ht="12.75">
      <c r="A602" s="71" t="s">
        <v>332</v>
      </c>
      <c r="B602" s="71" t="s">
        <v>431</v>
      </c>
      <c r="C602" s="72">
        <v>31</v>
      </c>
      <c r="D602" s="72">
        <v>164</v>
      </c>
      <c r="E602" s="72">
        <v>69</v>
      </c>
      <c r="F602" s="71" t="str">
        <v>25.7 (Overweight)</v>
      </c>
      <c r="G602" s="71" t="str">
        <f t="shared" si="4"/>
        <v>Overweight</v>
      </c>
      <c r="H602" s="72">
        <f ca="1">IFERROR(__xludf.DUMMYFUNCTION("""COMPUTED_VALUE"""),25.7)</f>
        <v>25.7</v>
      </c>
      <c r="I602" s="72">
        <v>21</v>
      </c>
      <c r="J602" s="10">
        <v>56.481599999999993</v>
      </c>
      <c r="K602" s="73" t="s">
        <v>28</v>
      </c>
      <c r="L602" s="72">
        <v>1565</v>
      </c>
      <c r="M602" s="74">
        <v>2.2799999999999998</v>
      </c>
      <c r="N602" s="71" t="s">
        <v>34</v>
      </c>
      <c r="O602" s="71" t="s">
        <v>30</v>
      </c>
      <c r="P602" s="72" t="e">
        <f t="shared" ca="1" si="5"/>
        <v>#NAME?</v>
      </c>
      <c r="Q602" s="72" t="e">
        <f ca="1"/>
        <v>#NAME?</v>
      </c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</row>
    <row r="603" spans="1:28" ht="12.75">
      <c r="A603" s="60" t="s">
        <v>247</v>
      </c>
      <c r="B603" s="60" t="s">
        <v>431</v>
      </c>
      <c r="C603" s="61">
        <v>47</v>
      </c>
      <c r="D603" s="61">
        <v>160</v>
      </c>
      <c r="E603" s="61">
        <v>99</v>
      </c>
      <c r="F603" s="60" t="str">
        <v>38.7 (Obese)</v>
      </c>
      <c r="G603" s="60" t="str">
        <f t="shared" si="4"/>
        <v>Obese</v>
      </c>
      <c r="H603" s="61">
        <f ca="1">IFERROR(__xludf.DUMMYFUNCTION("""COMPUTED_VALUE"""),38.7)</f>
        <v>38.700000000000003</v>
      </c>
      <c r="I603" s="61">
        <v>21</v>
      </c>
      <c r="J603" s="62">
        <v>53.760000000000012</v>
      </c>
      <c r="K603" s="63" t="s">
        <v>28</v>
      </c>
      <c r="L603" s="61">
        <v>1760</v>
      </c>
      <c r="M603" s="64">
        <v>3.27</v>
      </c>
      <c r="N603" s="60" t="s">
        <v>39</v>
      </c>
      <c r="O603" s="60" t="s">
        <v>30</v>
      </c>
      <c r="P603" s="61" t="e">
        <f t="shared" ca="1" si="5"/>
        <v>#NAME?</v>
      </c>
      <c r="Q603" s="61" t="e">
        <f ca="1"/>
        <v>#NAME?</v>
      </c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</row>
    <row r="604" spans="1:28" ht="12.75">
      <c r="A604" s="67" t="s">
        <v>180</v>
      </c>
      <c r="B604" s="67" t="s">
        <v>431</v>
      </c>
      <c r="C604" s="68">
        <v>40</v>
      </c>
      <c r="D604" s="68">
        <v>156</v>
      </c>
      <c r="E604" s="68">
        <v>51</v>
      </c>
      <c r="F604" s="67" t="str">
        <v>21.0 (Normal)</v>
      </c>
      <c r="G604" s="67" t="str">
        <f t="shared" si="4"/>
        <v>Normal</v>
      </c>
      <c r="H604" s="68">
        <f ca="1">IFERROR(__xludf.DUMMYFUNCTION("""COMPUTED_VALUE"""),21)</f>
        <v>21</v>
      </c>
      <c r="I604" s="68">
        <v>21</v>
      </c>
      <c r="J604" s="10">
        <v>51.105600000000003</v>
      </c>
      <c r="K604" s="69" t="s">
        <v>4</v>
      </c>
      <c r="L604" s="68">
        <v>1290</v>
      </c>
      <c r="M604" s="70">
        <v>1.68</v>
      </c>
      <c r="N604" s="67" t="s">
        <v>26</v>
      </c>
      <c r="O604" s="67" t="s">
        <v>19</v>
      </c>
      <c r="P604" s="68" t="e">
        <f t="shared" ca="1" si="5"/>
        <v>#NAME?</v>
      </c>
      <c r="Q604" s="68" t="e">
        <f ca="1"/>
        <v>#NAME?</v>
      </c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</row>
    <row r="605" spans="1:28" ht="12.75">
      <c r="A605" s="60" t="s">
        <v>119</v>
      </c>
      <c r="B605" s="60" t="s">
        <v>431</v>
      </c>
      <c r="C605" s="61">
        <v>35</v>
      </c>
      <c r="D605" s="61">
        <v>181</v>
      </c>
      <c r="E605" s="61">
        <v>57</v>
      </c>
      <c r="F605" s="60" t="str">
        <v>17.4 (Underweight)</v>
      </c>
      <c r="G605" s="60" t="str">
        <f t="shared" si="4"/>
        <v>Underweight</v>
      </c>
      <c r="H605" s="61">
        <f ca="1">IFERROR(__xludf.DUMMYFUNCTION("""COMPUTED_VALUE"""),17.4)</f>
        <v>17.399999999999999</v>
      </c>
      <c r="I605" s="61">
        <v>21</v>
      </c>
      <c r="J605" s="62">
        <v>68.798100000000005</v>
      </c>
      <c r="K605" s="63" t="s">
        <v>4</v>
      </c>
      <c r="L605" s="61">
        <v>1531.25</v>
      </c>
      <c r="M605" s="64">
        <v>1.88</v>
      </c>
      <c r="N605" s="60" t="s">
        <v>39</v>
      </c>
      <c r="O605" s="60" t="s">
        <v>63</v>
      </c>
      <c r="P605" s="61" t="e">
        <f t="shared" ca="1" si="5"/>
        <v>#NAME?</v>
      </c>
      <c r="Q605" s="61" t="e">
        <f ca="1"/>
        <v>#NAME?</v>
      </c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</row>
    <row r="606" spans="1:28" ht="12.75">
      <c r="A606" s="75" t="s">
        <v>223</v>
      </c>
      <c r="B606" s="75" t="s">
        <v>431</v>
      </c>
      <c r="C606" s="76">
        <v>53</v>
      </c>
      <c r="D606" s="76">
        <v>178</v>
      </c>
      <c r="E606" s="76">
        <v>72</v>
      </c>
      <c r="F606" s="75" t="str">
        <v>22.7 (Normal)</v>
      </c>
      <c r="G606" s="75" t="str">
        <f t="shared" si="4"/>
        <v>Normal</v>
      </c>
      <c r="H606" s="76">
        <f ca="1">IFERROR(__xludf.DUMMYFUNCTION("""COMPUTED_VALUE"""),22.7)</f>
        <v>22.7</v>
      </c>
      <c r="I606" s="76">
        <v>21</v>
      </c>
      <c r="J606" s="77">
        <v>66.5364</v>
      </c>
      <c r="K606" s="78" t="s">
        <v>42</v>
      </c>
      <c r="L606" s="76">
        <v>1572.5</v>
      </c>
      <c r="M606" s="79">
        <v>2.38</v>
      </c>
      <c r="N606" s="75" t="s">
        <v>16</v>
      </c>
      <c r="O606" s="75" t="s">
        <v>63</v>
      </c>
      <c r="P606" s="76" t="e">
        <f t="shared" ca="1" si="5"/>
        <v>#NAME?</v>
      </c>
      <c r="Q606" s="76" t="e">
        <f ca="1"/>
        <v>#NAME?</v>
      </c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</row>
    <row r="607" spans="1:28" ht="12.75">
      <c r="A607" s="60" t="s">
        <v>333</v>
      </c>
      <c r="B607" s="60" t="s">
        <v>431</v>
      </c>
      <c r="C607" s="61">
        <v>43</v>
      </c>
      <c r="D607" s="61">
        <v>157</v>
      </c>
      <c r="E607" s="61">
        <v>91</v>
      </c>
      <c r="F607" s="60" t="str">
        <v>36.9 (Obese)</v>
      </c>
      <c r="G607" s="60" t="str">
        <f t="shared" si="4"/>
        <v>Obese</v>
      </c>
      <c r="H607" s="61">
        <f ca="1">IFERROR(__xludf.DUMMYFUNCTION("""COMPUTED_VALUE"""),36.9)</f>
        <v>36.9</v>
      </c>
      <c r="I607" s="61">
        <v>21</v>
      </c>
      <c r="J607" s="62">
        <v>51.762900000000002</v>
      </c>
      <c r="K607" s="63" t="s">
        <v>4</v>
      </c>
      <c r="L607" s="61">
        <v>1681.25</v>
      </c>
      <c r="M607" s="64">
        <v>3</v>
      </c>
      <c r="N607" s="60" t="s">
        <v>39</v>
      </c>
      <c r="O607" s="60" t="s">
        <v>63</v>
      </c>
      <c r="P607" s="61" t="e">
        <f t="shared" ca="1" si="5"/>
        <v>#NAME?</v>
      </c>
      <c r="Q607" s="61" t="e">
        <f ca="1"/>
        <v>#NAME?</v>
      </c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</row>
    <row r="608" spans="1:28" ht="12.75">
      <c r="A608" s="67" t="s">
        <v>3</v>
      </c>
      <c r="B608" s="67" t="s">
        <v>431</v>
      </c>
      <c r="C608" s="68">
        <v>30</v>
      </c>
      <c r="D608" s="68">
        <v>181</v>
      </c>
      <c r="E608" s="68">
        <v>100</v>
      </c>
      <c r="F608" s="67" t="str">
        <v>30.5 (Obese)</v>
      </c>
      <c r="G608" s="67" t="str">
        <f t="shared" si="4"/>
        <v>Obese</v>
      </c>
      <c r="H608" s="68">
        <f ca="1">IFERROR(__xludf.DUMMYFUNCTION("""COMPUTED_VALUE"""),30.5)</f>
        <v>30.5</v>
      </c>
      <c r="I608" s="68">
        <v>21</v>
      </c>
      <c r="J608" s="10">
        <v>68.798100000000005</v>
      </c>
      <c r="K608" s="69" t="s">
        <v>4</v>
      </c>
      <c r="L608" s="68">
        <v>1986.25</v>
      </c>
      <c r="M608" s="70">
        <v>3.3</v>
      </c>
      <c r="N608" s="67" t="s">
        <v>26</v>
      </c>
      <c r="O608" s="67" t="s">
        <v>7</v>
      </c>
      <c r="P608" s="68" t="e">
        <f t="shared" ca="1" si="5"/>
        <v>#NAME?</v>
      </c>
      <c r="Q608" s="68" t="e">
        <f ca="1"/>
        <v>#NAME?</v>
      </c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</row>
    <row r="609" spans="1:28" ht="12.75">
      <c r="A609" s="75" t="s">
        <v>169</v>
      </c>
      <c r="B609" s="75" t="s">
        <v>431</v>
      </c>
      <c r="C609" s="76">
        <v>38</v>
      </c>
      <c r="D609" s="76">
        <v>159</v>
      </c>
      <c r="E609" s="76">
        <v>83</v>
      </c>
      <c r="F609" s="75" t="str">
        <v>32.8 (Obese)</v>
      </c>
      <c r="G609" s="75" t="str">
        <f t="shared" si="4"/>
        <v>Obese</v>
      </c>
      <c r="H609" s="76">
        <f ca="1">IFERROR(__xludf.DUMMYFUNCTION("""COMPUTED_VALUE"""),32.8)</f>
        <v>32.799999999999997</v>
      </c>
      <c r="I609" s="76">
        <v>21</v>
      </c>
      <c r="J609" s="77">
        <v>53.090100000000007</v>
      </c>
      <c r="K609" s="78" t="s">
        <v>28</v>
      </c>
      <c r="L609" s="76">
        <v>1638.75</v>
      </c>
      <c r="M609" s="79">
        <v>2.74</v>
      </c>
      <c r="N609" s="75" t="s">
        <v>16</v>
      </c>
      <c r="O609" s="75" t="s">
        <v>60</v>
      </c>
      <c r="P609" s="76" t="e">
        <f t="shared" ca="1" si="5"/>
        <v>#NAME?</v>
      </c>
      <c r="Q609" s="76" t="e">
        <f ca="1"/>
        <v>#NAME?</v>
      </c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</row>
    <row r="610" spans="1:28" ht="12.75">
      <c r="A610" s="75" t="s">
        <v>119</v>
      </c>
      <c r="B610" s="75" t="s">
        <v>431</v>
      </c>
      <c r="C610" s="76">
        <v>38</v>
      </c>
      <c r="D610" s="76">
        <v>157</v>
      </c>
      <c r="E610" s="76">
        <v>104</v>
      </c>
      <c r="F610" s="75" t="str">
        <v>42.2 (Obese)</v>
      </c>
      <c r="G610" s="75" t="str">
        <f t="shared" si="4"/>
        <v>Obese</v>
      </c>
      <c r="H610" s="76">
        <f ca="1">IFERROR(__xludf.DUMMYFUNCTION("""COMPUTED_VALUE"""),42.2)</f>
        <v>42.2</v>
      </c>
      <c r="I610" s="76">
        <v>21</v>
      </c>
      <c r="J610" s="77">
        <v>51.762900000000002</v>
      </c>
      <c r="K610" s="78" t="s">
        <v>4</v>
      </c>
      <c r="L610" s="76">
        <v>1836.25</v>
      </c>
      <c r="M610" s="79">
        <v>3.43</v>
      </c>
      <c r="N610" s="75" t="s">
        <v>16</v>
      </c>
      <c r="O610" s="75" t="s">
        <v>19</v>
      </c>
      <c r="P610" s="76" t="e">
        <f t="shared" ca="1" si="5"/>
        <v>#NAME?</v>
      </c>
      <c r="Q610" s="76" t="e">
        <f ca="1"/>
        <v>#NAME?</v>
      </c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</row>
    <row r="611" spans="1:28" ht="12.75">
      <c r="A611" s="44" t="s">
        <v>214</v>
      </c>
      <c r="B611" s="29" t="s">
        <v>431</v>
      </c>
      <c r="C611" s="45">
        <v>21</v>
      </c>
      <c r="D611" s="45">
        <v>159</v>
      </c>
      <c r="E611" s="45">
        <v>101</v>
      </c>
      <c r="F611" s="9" t="str">
        <v>40.0 (Obese)</v>
      </c>
      <c r="G611" s="9" t="str">
        <f t="shared" si="4"/>
        <v>Obese</v>
      </c>
      <c r="H611" s="24">
        <f ca="1">IFERROR(__xludf.DUMMYFUNCTION("""COMPUTED_VALUE"""),40)</f>
        <v>40</v>
      </c>
      <c r="I611" s="24">
        <v>21</v>
      </c>
      <c r="J611" s="10">
        <v>53.090100000000007</v>
      </c>
      <c r="K611" s="46" t="s">
        <v>28</v>
      </c>
      <c r="L611" s="24">
        <v>1903.75</v>
      </c>
      <c r="M611" s="26">
        <v>3.33</v>
      </c>
      <c r="N611" s="44" t="s">
        <v>26</v>
      </c>
      <c r="O611" s="44" t="s">
        <v>7</v>
      </c>
      <c r="P611" s="27" t="e">
        <f t="shared" ca="1" si="5"/>
        <v>#NAME?</v>
      </c>
      <c r="Q611" s="28" t="e">
        <f ca="1"/>
        <v>#NAME?</v>
      </c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2.75">
      <c r="A612" s="75" t="s">
        <v>334</v>
      </c>
      <c r="B612" s="75" t="s">
        <v>431</v>
      </c>
      <c r="C612" s="76">
        <v>58</v>
      </c>
      <c r="D612" s="76">
        <v>176</v>
      </c>
      <c r="E612" s="76">
        <v>109</v>
      </c>
      <c r="F612" s="75" t="str">
        <v>35.2 (Obese)</v>
      </c>
      <c r="G612" s="75" t="str">
        <f t="shared" si="4"/>
        <v>Obese</v>
      </c>
      <c r="H612" s="76">
        <f ca="1">IFERROR(__xludf.DUMMYFUNCTION("""COMPUTED_VALUE"""),35.2)</f>
        <v>35.200000000000003</v>
      </c>
      <c r="I612" s="76">
        <v>21</v>
      </c>
      <c r="J612" s="77">
        <v>65.049599999999998</v>
      </c>
      <c r="K612" s="78" t="s">
        <v>18</v>
      </c>
      <c r="L612" s="76">
        <v>1905</v>
      </c>
      <c r="M612" s="79">
        <v>3.6</v>
      </c>
      <c r="N612" s="75" t="s">
        <v>16</v>
      </c>
      <c r="O612" s="75" t="s">
        <v>60</v>
      </c>
      <c r="P612" s="76" t="e">
        <f t="shared" ca="1" si="5"/>
        <v>#NAME?</v>
      </c>
      <c r="Q612" s="76" t="e">
        <f ca="1"/>
        <v>#NAME?</v>
      </c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</row>
    <row r="613" spans="1:28" ht="12.75">
      <c r="A613" s="75" t="s">
        <v>178</v>
      </c>
      <c r="B613" s="75" t="s">
        <v>431</v>
      </c>
      <c r="C613" s="76">
        <v>51</v>
      </c>
      <c r="D613" s="76">
        <v>159</v>
      </c>
      <c r="E613" s="76">
        <v>59</v>
      </c>
      <c r="F613" s="75" t="str">
        <v>23.3 (Normal)</v>
      </c>
      <c r="G613" s="75" t="str">
        <f t="shared" si="4"/>
        <v>Normal</v>
      </c>
      <c r="H613" s="76">
        <f ca="1">IFERROR(__xludf.DUMMYFUNCTION("""COMPUTED_VALUE"""),23.3)</f>
        <v>23.3</v>
      </c>
      <c r="I613" s="76">
        <v>21</v>
      </c>
      <c r="J613" s="77">
        <v>53.090100000000007</v>
      </c>
      <c r="K613" s="78" t="s">
        <v>4</v>
      </c>
      <c r="L613" s="76">
        <v>1333.75</v>
      </c>
      <c r="M613" s="79">
        <v>1.95</v>
      </c>
      <c r="N613" s="75" t="s">
        <v>16</v>
      </c>
      <c r="O613" s="75" t="s">
        <v>63</v>
      </c>
      <c r="P613" s="76" t="e">
        <f t="shared" ca="1" si="5"/>
        <v>#NAME?</v>
      </c>
      <c r="Q613" s="76" t="e">
        <f ca="1"/>
        <v>#NAME?</v>
      </c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</row>
    <row r="614" spans="1:28" ht="12.75">
      <c r="A614" s="67" t="s">
        <v>43</v>
      </c>
      <c r="B614" s="67" t="s">
        <v>431</v>
      </c>
      <c r="C614" s="68">
        <v>29</v>
      </c>
      <c r="D614" s="68">
        <v>181</v>
      </c>
      <c r="E614" s="68">
        <v>55</v>
      </c>
      <c r="F614" s="67" t="str">
        <v>16.8 (Underweight)</v>
      </c>
      <c r="G614" s="67" t="str">
        <f t="shared" si="4"/>
        <v>Underweight</v>
      </c>
      <c r="H614" s="68">
        <f ca="1">IFERROR(__xludf.DUMMYFUNCTION("""COMPUTED_VALUE"""),16.8)</f>
        <v>16.8</v>
      </c>
      <c r="I614" s="68">
        <v>21</v>
      </c>
      <c r="J614" s="10">
        <v>68.798100000000005</v>
      </c>
      <c r="K614" s="69" t="s">
        <v>28</v>
      </c>
      <c r="L614" s="68">
        <v>1541.25</v>
      </c>
      <c r="M614" s="70">
        <v>1.82</v>
      </c>
      <c r="N614" s="67" t="s">
        <v>26</v>
      </c>
      <c r="O614" s="67" t="s">
        <v>19</v>
      </c>
      <c r="P614" s="68" t="e">
        <f t="shared" ca="1" si="5"/>
        <v>#NAME?</v>
      </c>
      <c r="Q614" s="68" t="e">
        <f ca="1"/>
        <v>#NAME?</v>
      </c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</row>
    <row r="615" spans="1:28" ht="12.75">
      <c r="A615" s="75" t="s">
        <v>198</v>
      </c>
      <c r="B615" s="75" t="s">
        <v>431</v>
      </c>
      <c r="C615" s="76">
        <v>42</v>
      </c>
      <c r="D615" s="76">
        <v>164</v>
      </c>
      <c r="E615" s="76">
        <v>99</v>
      </c>
      <c r="F615" s="75" t="str">
        <v>36.8 (Obese)</v>
      </c>
      <c r="G615" s="75" t="str">
        <f t="shared" si="4"/>
        <v>Obese</v>
      </c>
      <c r="H615" s="76">
        <f ca="1">IFERROR(__xludf.DUMMYFUNCTION("""COMPUTED_VALUE"""),36.8)</f>
        <v>36.799999999999997</v>
      </c>
      <c r="I615" s="76">
        <v>21</v>
      </c>
      <c r="J615" s="77">
        <v>56.481599999999993</v>
      </c>
      <c r="K615" s="78" t="s">
        <v>4</v>
      </c>
      <c r="L615" s="76">
        <v>1810</v>
      </c>
      <c r="M615" s="79">
        <v>3.27</v>
      </c>
      <c r="N615" s="75" t="s">
        <v>16</v>
      </c>
      <c r="O615" s="75" t="s">
        <v>63</v>
      </c>
      <c r="P615" s="76" t="e">
        <f t="shared" ca="1" si="5"/>
        <v>#NAME?</v>
      </c>
      <c r="Q615" s="76" t="e">
        <f ca="1"/>
        <v>#NAME?</v>
      </c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</row>
    <row r="616" spans="1:28" ht="12.75">
      <c r="A616" s="67" t="s">
        <v>335</v>
      </c>
      <c r="B616" s="67" t="s">
        <v>431</v>
      </c>
      <c r="C616" s="68">
        <v>53</v>
      </c>
      <c r="D616" s="68">
        <v>188</v>
      </c>
      <c r="E616" s="68">
        <v>59</v>
      </c>
      <c r="F616" s="67" t="str">
        <v>16.7 (Underweight)</v>
      </c>
      <c r="G616" s="67" t="str">
        <f t="shared" si="4"/>
        <v>Underweight</v>
      </c>
      <c r="H616" s="68">
        <f ca="1">IFERROR(__xludf.DUMMYFUNCTION("""COMPUTED_VALUE"""),16.7)</f>
        <v>16.7</v>
      </c>
      <c r="I616" s="68">
        <v>21</v>
      </c>
      <c r="J616" s="10">
        <v>74.222399999999993</v>
      </c>
      <c r="K616" s="69" t="s">
        <v>42</v>
      </c>
      <c r="L616" s="68">
        <v>1505</v>
      </c>
      <c r="M616" s="70">
        <v>1.95</v>
      </c>
      <c r="N616" s="67" t="s">
        <v>26</v>
      </c>
      <c r="O616" s="67" t="s">
        <v>63</v>
      </c>
      <c r="P616" s="68" t="e">
        <f t="shared" ca="1" si="5"/>
        <v>#NAME?</v>
      </c>
      <c r="Q616" s="68" t="e">
        <f ca="1"/>
        <v>#NAME?</v>
      </c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</row>
    <row r="617" spans="1:28" ht="12.75">
      <c r="A617" s="60" t="s">
        <v>78</v>
      </c>
      <c r="B617" s="60" t="s">
        <v>431</v>
      </c>
      <c r="C617" s="61">
        <v>51</v>
      </c>
      <c r="D617" s="61">
        <v>172</v>
      </c>
      <c r="E617" s="61">
        <v>97</v>
      </c>
      <c r="F617" s="60" t="str">
        <v>32.8 (Obese)</v>
      </c>
      <c r="G617" s="60" t="str">
        <f t="shared" si="4"/>
        <v>Obese</v>
      </c>
      <c r="H617" s="61">
        <f ca="1">IFERROR(__xludf.DUMMYFUNCTION("""COMPUTED_VALUE"""),32.8)</f>
        <v>32.799999999999997</v>
      </c>
      <c r="I617" s="61">
        <v>21</v>
      </c>
      <c r="J617" s="62">
        <v>62.126399999999997</v>
      </c>
      <c r="K617" s="63" t="s">
        <v>42</v>
      </c>
      <c r="L617" s="61">
        <v>1795</v>
      </c>
      <c r="M617" s="64">
        <v>3.2</v>
      </c>
      <c r="N617" s="60" t="s">
        <v>39</v>
      </c>
      <c r="O617" s="60" t="s">
        <v>30</v>
      </c>
      <c r="P617" s="61" t="e">
        <f t="shared" ca="1" si="5"/>
        <v>#NAME?</v>
      </c>
      <c r="Q617" s="61" t="e">
        <f ca="1"/>
        <v>#NAME?</v>
      </c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</row>
    <row r="618" spans="1:28" ht="12.75">
      <c r="A618" s="44" t="s">
        <v>336</v>
      </c>
      <c r="B618" s="29" t="s">
        <v>431</v>
      </c>
      <c r="C618" s="45">
        <v>40</v>
      </c>
      <c r="D618" s="45">
        <v>160</v>
      </c>
      <c r="E618" s="45">
        <v>73</v>
      </c>
      <c r="F618" s="9" t="str">
        <v>28.5 (Obese)</v>
      </c>
      <c r="G618" s="9" t="str">
        <f t="shared" si="4"/>
        <v>Obese</v>
      </c>
      <c r="H618" s="24">
        <f ca="1">IFERROR(__xludf.DUMMYFUNCTION("""COMPUTED_VALUE"""),28.5)</f>
        <v>28.5</v>
      </c>
      <c r="I618" s="24">
        <v>21</v>
      </c>
      <c r="J618" s="10">
        <v>53.760000000000012</v>
      </c>
      <c r="K618" s="46" t="s">
        <v>42</v>
      </c>
      <c r="L618" s="24">
        <v>1535</v>
      </c>
      <c r="M618" s="26">
        <v>2.41</v>
      </c>
      <c r="N618" s="44" t="s">
        <v>26</v>
      </c>
      <c r="O618" s="44" t="s">
        <v>37</v>
      </c>
      <c r="P618" s="27" t="e">
        <f t="shared" ca="1" si="5"/>
        <v>#NAME?</v>
      </c>
      <c r="Q618" s="28" t="e">
        <f ca="1"/>
        <v>#NAME?</v>
      </c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2.75">
      <c r="A619" s="71" t="s">
        <v>27</v>
      </c>
      <c r="B619" s="71" t="s">
        <v>431</v>
      </c>
      <c r="C619" s="72">
        <v>29</v>
      </c>
      <c r="D619" s="72">
        <v>158</v>
      </c>
      <c r="E619" s="72">
        <v>94</v>
      </c>
      <c r="F619" s="71" t="str">
        <v>37.7 (Obese)</v>
      </c>
      <c r="G619" s="71" t="str">
        <f t="shared" si="4"/>
        <v>Obese</v>
      </c>
      <c r="H619" s="72">
        <f ca="1">IFERROR(__xludf.DUMMYFUNCTION("""COMPUTED_VALUE"""),37.7)</f>
        <v>37.700000000000003</v>
      </c>
      <c r="I619" s="72">
        <v>21</v>
      </c>
      <c r="J619" s="10">
        <v>52.424400000000006</v>
      </c>
      <c r="K619" s="73" t="s">
        <v>4</v>
      </c>
      <c r="L619" s="72">
        <v>1787.5</v>
      </c>
      <c r="M619" s="74">
        <v>3.1</v>
      </c>
      <c r="N619" s="71" t="s">
        <v>34</v>
      </c>
      <c r="O619" s="71" t="s">
        <v>63</v>
      </c>
      <c r="P619" s="72" t="e">
        <f t="shared" ca="1" si="5"/>
        <v>#NAME?</v>
      </c>
      <c r="Q619" s="72" t="e">
        <f ca="1"/>
        <v>#NAME?</v>
      </c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</row>
    <row r="620" spans="1:28" ht="12.75">
      <c r="A620" s="44" t="s">
        <v>265</v>
      </c>
      <c r="B620" s="29" t="s">
        <v>431</v>
      </c>
      <c r="C620" s="45">
        <v>37</v>
      </c>
      <c r="D620" s="45">
        <v>177</v>
      </c>
      <c r="E620" s="45">
        <v>52</v>
      </c>
      <c r="F620" s="9" t="str">
        <v>16.6 (Underweight)</v>
      </c>
      <c r="G620" s="9" t="str">
        <f t="shared" si="4"/>
        <v>Underweight</v>
      </c>
      <c r="H620" s="24">
        <f ca="1">IFERROR(__xludf.DUMMYFUNCTION("""COMPUTED_VALUE"""),16.6)</f>
        <v>16.600000000000001</v>
      </c>
      <c r="I620" s="24">
        <v>21</v>
      </c>
      <c r="J620" s="10">
        <v>65.790900000000008</v>
      </c>
      <c r="K620" s="46" t="s">
        <v>4</v>
      </c>
      <c r="L620" s="24">
        <v>1446.25</v>
      </c>
      <c r="M620" s="26">
        <v>1.72</v>
      </c>
      <c r="N620" s="44" t="s">
        <v>16</v>
      </c>
      <c r="O620" s="44" t="s">
        <v>37</v>
      </c>
      <c r="P620" s="27" t="e">
        <f t="shared" ca="1" si="5"/>
        <v>#NAME?</v>
      </c>
      <c r="Q620" s="28" t="e">
        <f ca="1"/>
        <v>#NAME?</v>
      </c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2.75">
      <c r="A621" s="67" t="s">
        <v>72</v>
      </c>
      <c r="B621" s="67" t="s">
        <v>431</v>
      </c>
      <c r="C621" s="68">
        <v>29</v>
      </c>
      <c r="D621" s="68">
        <v>186</v>
      </c>
      <c r="E621" s="68">
        <v>77</v>
      </c>
      <c r="F621" s="67" t="str">
        <v>22.3 (Normal)</v>
      </c>
      <c r="G621" s="67" t="str">
        <f t="shared" si="4"/>
        <v>Normal</v>
      </c>
      <c r="H621" s="68">
        <f ca="1">IFERROR(__xludf.DUMMYFUNCTION("""COMPUTED_VALUE"""),22.3)</f>
        <v>22.3</v>
      </c>
      <c r="I621" s="68">
        <v>21</v>
      </c>
      <c r="J621" s="10">
        <v>72.651600000000016</v>
      </c>
      <c r="K621" s="69" t="s">
        <v>28</v>
      </c>
      <c r="L621" s="68">
        <v>1792.5</v>
      </c>
      <c r="M621" s="70">
        <v>2.54</v>
      </c>
      <c r="N621" s="67" t="s">
        <v>26</v>
      </c>
      <c r="O621" s="67" t="s">
        <v>7</v>
      </c>
      <c r="P621" s="68" t="e">
        <f t="shared" ca="1" si="5"/>
        <v>#NAME?</v>
      </c>
      <c r="Q621" s="68" t="e">
        <f ca="1"/>
        <v>#NAME?</v>
      </c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</row>
    <row r="622" spans="1:28" ht="12.75">
      <c r="A622" s="60" t="s">
        <v>95</v>
      </c>
      <c r="B622" s="60" t="s">
        <v>431</v>
      </c>
      <c r="C622" s="61">
        <v>52</v>
      </c>
      <c r="D622" s="61">
        <v>182</v>
      </c>
      <c r="E622" s="61">
        <v>106</v>
      </c>
      <c r="F622" s="60" t="str">
        <v>32.0 (Obese)</v>
      </c>
      <c r="G622" s="60" t="str">
        <f t="shared" si="4"/>
        <v>Obese</v>
      </c>
      <c r="H622" s="61">
        <f ca="1">IFERROR(__xludf.DUMMYFUNCTION("""COMPUTED_VALUE"""),32)</f>
        <v>32</v>
      </c>
      <c r="I622" s="61">
        <v>21</v>
      </c>
      <c r="J622" s="62">
        <v>69.560400000000001</v>
      </c>
      <c r="K622" s="63" t="s">
        <v>4</v>
      </c>
      <c r="L622" s="61">
        <v>1942.5</v>
      </c>
      <c r="M622" s="64">
        <v>3.5</v>
      </c>
      <c r="N622" s="60" t="s">
        <v>39</v>
      </c>
      <c r="O622" s="60" t="s">
        <v>30</v>
      </c>
      <c r="P622" s="61" t="e">
        <f t="shared" ca="1" si="5"/>
        <v>#NAME?</v>
      </c>
      <c r="Q622" s="61" t="e">
        <f ca="1"/>
        <v>#NAME?</v>
      </c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</row>
    <row r="623" spans="1:28" ht="12.75">
      <c r="A623" s="71" t="s">
        <v>180</v>
      </c>
      <c r="B623" s="71" t="s">
        <v>431</v>
      </c>
      <c r="C623" s="72">
        <v>57</v>
      </c>
      <c r="D623" s="72">
        <v>168</v>
      </c>
      <c r="E623" s="72">
        <v>99</v>
      </c>
      <c r="F623" s="71" t="str">
        <v>35.1 (Obese)</v>
      </c>
      <c r="G623" s="71" t="str">
        <f t="shared" si="4"/>
        <v>Obese</v>
      </c>
      <c r="H623" s="72">
        <f ca="1">IFERROR(__xludf.DUMMYFUNCTION("""COMPUTED_VALUE"""),35.1)</f>
        <v>35.1</v>
      </c>
      <c r="I623" s="72">
        <v>21</v>
      </c>
      <c r="J623" s="10">
        <v>59.270399999999988</v>
      </c>
      <c r="K623" s="73" t="s">
        <v>4</v>
      </c>
      <c r="L623" s="72">
        <v>1760</v>
      </c>
      <c r="M623" s="74">
        <v>3.27</v>
      </c>
      <c r="N623" s="71" t="s">
        <v>34</v>
      </c>
      <c r="O623" s="71" t="s">
        <v>60</v>
      </c>
      <c r="P623" s="72" t="e">
        <f t="shared" ca="1" si="5"/>
        <v>#NAME?</v>
      </c>
      <c r="Q623" s="72" t="e">
        <f ca="1"/>
        <v>#NAME?</v>
      </c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</row>
    <row r="624" spans="1:28" ht="12.75">
      <c r="A624" s="75" t="s">
        <v>200</v>
      </c>
      <c r="B624" s="75" t="s">
        <v>431</v>
      </c>
      <c r="C624" s="76">
        <v>30</v>
      </c>
      <c r="D624" s="76">
        <v>163</v>
      </c>
      <c r="E624" s="76">
        <v>76</v>
      </c>
      <c r="F624" s="75" t="str">
        <v>28.6 (Obese)</v>
      </c>
      <c r="G624" s="75" t="str">
        <f t="shared" si="4"/>
        <v>Obese</v>
      </c>
      <c r="H624" s="76">
        <f ca="1">IFERROR(__xludf.DUMMYFUNCTION("""COMPUTED_VALUE"""),28.6)</f>
        <v>28.6</v>
      </c>
      <c r="I624" s="76">
        <v>21</v>
      </c>
      <c r="J624" s="77">
        <v>55.794899999999998</v>
      </c>
      <c r="K624" s="78" t="s">
        <v>4</v>
      </c>
      <c r="L624" s="76">
        <v>1633.75</v>
      </c>
      <c r="M624" s="79">
        <v>2.5099999999999998</v>
      </c>
      <c r="N624" s="75" t="s">
        <v>16</v>
      </c>
      <c r="O624" s="75" t="s">
        <v>60</v>
      </c>
      <c r="P624" s="76" t="e">
        <f t="shared" ca="1" si="5"/>
        <v>#NAME?</v>
      </c>
      <c r="Q624" s="76" t="e">
        <f ca="1"/>
        <v>#NAME?</v>
      </c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</row>
    <row r="625" spans="1:28" ht="12.75">
      <c r="A625" s="67" t="s">
        <v>146</v>
      </c>
      <c r="B625" s="67" t="s">
        <v>431</v>
      </c>
      <c r="C625" s="68">
        <v>43</v>
      </c>
      <c r="D625" s="68">
        <v>179</v>
      </c>
      <c r="E625" s="68">
        <v>103</v>
      </c>
      <c r="F625" s="67" t="str">
        <v>32.1 (Obese)</v>
      </c>
      <c r="G625" s="67" t="str">
        <f t="shared" si="4"/>
        <v>Obese</v>
      </c>
      <c r="H625" s="68">
        <f ca="1">IFERROR(__xludf.DUMMYFUNCTION("""COMPUTED_VALUE"""),32.1)</f>
        <v>32.1</v>
      </c>
      <c r="I625" s="68">
        <v>21</v>
      </c>
      <c r="J625" s="10">
        <v>67.286100000000005</v>
      </c>
      <c r="K625" s="69" t="s">
        <v>42</v>
      </c>
      <c r="L625" s="68">
        <v>1938.75</v>
      </c>
      <c r="M625" s="70">
        <v>3.4</v>
      </c>
      <c r="N625" s="67" t="s">
        <v>26</v>
      </c>
      <c r="O625" s="67" t="s">
        <v>30</v>
      </c>
      <c r="P625" s="68" t="e">
        <f t="shared" ca="1" si="5"/>
        <v>#NAME?</v>
      </c>
      <c r="Q625" s="68" t="e">
        <f ca="1"/>
        <v>#NAME?</v>
      </c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</row>
    <row r="626" spans="1:28" ht="12.75">
      <c r="A626" s="75" t="s">
        <v>189</v>
      </c>
      <c r="B626" s="75" t="s">
        <v>431</v>
      </c>
      <c r="C626" s="76">
        <v>50</v>
      </c>
      <c r="D626" s="76">
        <v>179</v>
      </c>
      <c r="E626" s="76">
        <v>107</v>
      </c>
      <c r="F626" s="75" t="str">
        <v>33.4 (Obese)</v>
      </c>
      <c r="G626" s="75" t="str">
        <f t="shared" si="4"/>
        <v>Obese</v>
      </c>
      <c r="H626" s="76">
        <f ca="1">IFERROR(__xludf.DUMMYFUNCTION("""COMPUTED_VALUE"""),33.4)</f>
        <v>33.4</v>
      </c>
      <c r="I626" s="76">
        <v>21</v>
      </c>
      <c r="J626" s="77">
        <v>67.286100000000005</v>
      </c>
      <c r="K626" s="78" t="s">
        <v>42</v>
      </c>
      <c r="L626" s="76">
        <v>1943.75</v>
      </c>
      <c r="M626" s="79">
        <v>3.53</v>
      </c>
      <c r="N626" s="75" t="s">
        <v>16</v>
      </c>
      <c r="O626" s="75" t="s">
        <v>30</v>
      </c>
      <c r="P626" s="76" t="e">
        <f t="shared" ca="1" si="5"/>
        <v>#NAME?</v>
      </c>
      <c r="Q626" s="76" t="e">
        <f ca="1"/>
        <v>#NAME?</v>
      </c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</row>
    <row r="627" spans="1:28" ht="12.75">
      <c r="A627" s="71" t="s">
        <v>315</v>
      </c>
      <c r="B627" s="71" t="s">
        <v>431</v>
      </c>
      <c r="C627" s="72">
        <v>36</v>
      </c>
      <c r="D627" s="72">
        <v>173</v>
      </c>
      <c r="E627" s="72">
        <v>84</v>
      </c>
      <c r="F627" s="71" t="str">
        <v>28.1 (Obese)</v>
      </c>
      <c r="G627" s="71" t="str">
        <f t="shared" si="4"/>
        <v>Obese</v>
      </c>
      <c r="H627" s="72">
        <f ca="1">IFERROR(__xludf.DUMMYFUNCTION("""COMPUTED_VALUE"""),28.1)</f>
        <v>28.1</v>
      </c>
      <c r="I627" s="72">
        <v>21</v>
      </c>
      <c r="J627" s="10">
        <v>62.850900000000003</v>
      </c>
      <c r="K627" s="73" t="s">
        <v>28</v>
      </c>
      <c r="L627" s="72">
        <v>1746.25</v>
      </c>
      <c r="M627" s="74">
        <v>2.77</v>
      </c>
      <c r="N627" s="71" t="s">
        <v>34</v>
      </c>
      <c r="O627" s="71" t="s">
        <v>30</v>
      </c>
      <c r="P627" s="72" t="e">
        <f t="shared" ca="1" si="5"/>
        <v>#NAME?</v>
      </c>
      <c r="Q627" s="72" t="e">
        <f ca="1"/>
        <v>#NAME?</v>
      </c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</row>
    <row r="628" spans="1:28" ht="12.75">
      <c r="A628" s="44" t="s">
        <v>205</v>
      </c>
      <c r="B628" s="29" t="s">
        <v>431</v>
      </c>
      <c r="C628" s="45">
        <v>31</v>
      </c>
      <c r="D628" s="45">
        <v>181</v>
      </c>
      <c r="E628" s="45">
        <v>72</v>
      </c>
      <c r="F628" s="9" t="str">
        <v>22.0 (Normal)</v>
      </c>
      <c r="G628" s="9" t="str">
        <f t="shared" si="4"/>
        <v>Normal</v>
      </c>
      <c r="H628" s="24">
        <f ca="1">IFERROR(__xludf.DUMMYFUNCTION("""COMPUTED_VALUE"""),22)</f>
        <v>22</v>
      </c>
      <c r="I628" s="24">
        <v>21</v>
      </c>
      <c r="J628" s="10">
        <v>68.798100000000005</v>
      </c>
      <c r="K628" s="46" t="s">
        <v>28</v>
      </c>
      <c r="L628" s="24">
        <v>1701.25</v>
      </c>
      <c r="M628" s="26">
        <v>2.38</v>
      </c>
      <c r="N628" s="44" t="s">
        <v>26</v>
      </c>
      <c r="O628" s="44" t="s">
        <v>37</v>
      </c>
      <c r="P628" s="27" t="e">
        <f t="shared" ca="1" si="5"/>
        <v>#NAME?</v>
      </c>
      <c r="Q628" s="28" t="e">
        <f ca="1"/>
        <v>#NAME?</v>
      </c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2.75">
      <c r="A629" s="75" t="s">
        <v>247</v>
      </c>
      <c r="B629" s="75" t="s">
        <v>431</v>
      </c>
      <c r="C629" s="76">
        <v>34</v>
      </c>
      <c r="D629" s="76">
        <v>185</v>
      </c>
      <c r="E629" s="76">
        <v>83</v>
      </c>
      <c r="F629" s="75" t="str">
        <v>24.3 (Normal)</v>
      </c>
      <c r="G629" s="75" t="str">
        <f t="shared" si="4"/>
        <v>Normal</v>
      </c>
      <c r="H629" s="76">
        <f ca="1">IFERROR(__xludf.DUMMYFUNCTION("""COMPUTED_VALUE"""),24.3)</f>
        <v>24.3</v>
      </c>
      <c r="I629" s="76">
        <v>21</v>
      </c>
      <c r="J629" s="77">
        <v>71.872500000000002</v>
      </c>
      <c r="K629" s="78" t="s">
        <v>42</v>
      </c>
      <c r="L629" s="76">
        <v>1821.25</v>
      </c>
      <c r="M629" s="79">
        <v>2.74</v>
      </c>
      <c r="N629" s="75" t="s">
        <v>16</v>
      </c>
      <c r="O629" s="75" t="s">
        <v>60</v>
      </c>
      <c r="P629" s="76" t="e">
        <f t="shared" ca="1" si="5"/>
        <v>#NAME?</v>
      </c>
      <c r="Q629" s="76" t="e">
        <f ca="1"/>
        <v>#NAME?</v>
      </c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</row>
    <row r="630" spans="1:28" ht="12.75">
      <c r="A630" s="67" t="s">
        <v>337</v>
      </c>
      <c r="B630" s="67" t="s">
        <v>431</v>
      </c>
      <c r="C630" s="68">
        <v>52</v>
      </c>
      <c r="D630" s="68">
        <v>187</v>
      </c>
      <c r="E630" s="68">
        <v>51</v>
      </c>
      <c r="F630" s="67" t="str">
        <v>14.6 (Underweight)</v>
      </c>
      <c r="G630" s="67" t="str">
        <f t="shared" si="4"/>
        <v>Underweight</v>
      </c>
      <c r="H630" s="68">
        <f ca="1">IFERROR(__xludf.DUMMYFUNCTION("""COMPUTED_VALUE"""),14.6)</f>
        <v>14.6</v>
      </c>
      <c r="I630" s="68">
        <v>21</v>
      </c>
      <c r="J630" s="10">
        <v>73.434900000000013</v>
      </c>
      <c r="K630" s="69" t="s">
        <v>18</v>
      </c>
      <c r="L630" s="68">
        <v>1423.75</v>
      </c>
      <c r="M630" s="70">
        <v>1.68</v>
      </c>
      <c r="N630" s="67" t="s">
        <v>26</v>
      </c>
      <c r="O630" s="67" t="s">
        <v>63</v>
      </c>
      <c r="P630" s="68" t="e">
        <f t="shared" ca="1" si="5"/>
        <v>#NAME?</v>
      </c>
      <c r="Q630" s="68" t="e">
        <f ca="1"/>
        <v>#NAME?</v>
      </c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</row>
    <row r="631" spans="1:28" ht="12.75">
      <c r="A631" s="60" t="s">
        <v>159</v>
      </c>
      <c r="B631" s="60" t="s">
        <v>431</v>
      </c>
      <c r="C631" s="61">
        <v>52</v>
      </c>
      <c r="D631" s="61">
        <v>170</v>
      </c>
      <c r="E631" s="61">
        <v>67</v>
      </c>
      <c r="F631" s="60" t="str">
        <v>23.2 (Normal)</v>
      </c>
      <c r="G631" s="60" t="str">
        <f t="shared" si="4"/>
        <v>Normal</v>
      </c>
      <c r="H631" s="61">
        <f ca="1">IFERROR(__xludf.DUMMYFUNCTION("""COMPUTED_VALUE"""),23.2)</f>
        <v>23.2</v>
      </c>
      <c r="I631" s="61">
        <v>21</v>
      </c>
      <c r="J631" s="62">
        <v>60.689999999999991</v>
      </c>
      <c r="K631" s="63" t="s">
        <v>18</v>
      </c>
      <c r="L631" s="61">
        <v>1477.5</v>
      </c>
      <c r="M631" s="64">
        <v>2.21</v>
      </c>
      <c r="N631" s="60" t="s">
        <v>39</v>
      </c>
      <c r="O631" s="60" t="s">
        <v>37</v>
      </c>
      <c r="P631" s="61" t="e">
        <f t="shared" ca="1" si="5"/>
        <v>#NAME?</v>
      </c>
      <c r="Q631" s="61" t="e">
        <f ca="1"/>
        <v>#NAME?</v>
      </c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</row>
    <row r="632" spans="1:28" ht="12.75">
      <c r="A632" s="71" t="s">
        <v>302</v>
      </c>
      <c r="B632" s="71" t="s">
        <v>431</v>
      </c>
      <c r="C632" s="72">
        <v>26</v>
      </c>
      <c r="D632" s="72">
        <v>170</v>
      </c>
      <c r="E632" s="72">
        <v>67</v>
      </c>
      <c r="F632" s="71" t="str">
        <v>23.2 (Normal)</v>
      </c>
      <c r="G632" s="71" t="str">
        <f t="shared" si="4"/>
        <v>Normal</v>
      </c>
      <c r="H632" s="72">
        <f ca="1">IFERROR(__xludf.DUMMYFUNCTION("""COMPUTED_VALUE"""),23.2)</f>
        <v>23.2</v>
      </c>
      <c r="I632" s="72">
        <v>21</v>
      </c>
      <c r="J632" s="10">
        <v>60.689999999999991</v>
      </c>
      <c r="K632" s="73" t="s">
        <v>18</v>
      </c>
      <c r="L632" s="72">
        <v>1607.5</v>
      </c>
      <c r="M632" s="74">
        <v>2.21</v>
      </c>
      <c r="N632" s="71" t="s">
        <v>34</v>
      </c>
      <c r="O632" s="71" t="s">
        <v>63</v>
      </c>
      <c r="P632" s="72" t="e">
        <f t="shared" ca="1" si="5"/>
        <v>#NAME?</v>
      </c>
      <c r="Q632" s="72" t="e">
        <f ca="1"/>
        <v>#NAME?</v>
      </c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</row>
    <row r="633" spans="1:28" ht="12.75">
      <c r="A633" s="67" t="s">
        <v>338</v>
      </c>
      <c r="B633" s="67" t="s">
        <v>431</v>
      </c>
      <c r="C633" s="68">
        <v>32</v>
      </c>
      <c r="D633" s="68">
        <v>173</v>
      </c>
      <c r="E633" s="68">
        <v>104</v>
      </c>
      <c r="F633" s="67" t="str">
        <v>34.7 (Obese)</v>
      </c>
      <c r="G633" s="67" t="str">
        <f t="shared" si="4"/>
        <v>Obese</v>
      </c>
      <c r="H633" s="68">
        <f ca="1">IFERROR(__xludf.DUMMYFUNCTION("""COMPUTED_VALUE"""),34.7)</f>
        <v>34.700000000000003</v>
      </c>
      <c r="I633" s="68">
        <v>21</v>
      </c>
      <c r="J633" s="10">
        <v>62.850900000000003</v>
      </c>
      <c r="K633" s="69" t="s">
        <v>18</v>
      </c>
      <c r="L633" s="68">
        <v>1966.25</v>
      </c>
      <c r="M633" s="70">
        <v>3.43</v>
      </c>
      <c r="N633" s="67" t="s">
        <v>26</v>
      </c>
      <c r="O633" s="67" t="s">
        <v>60</v>
      </c>
      <c r="P633" s="68" t="e">
        <f t="shared" ca="1" si="5"/>
        <v>#NAME?</v>
      </c>
      <c r="Q633" s="68" t="e">
        <f ca="1"/>
        <v>#NAME?</v>
      </c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</row>
    <row r="634" spans="1:28" ht="12.75">
      <c r="A634" s="60" t="s">
        <v>339</v>
      </c>
      <c r="B634" s="60" t="s">
        <v>431</v>
      </c>
      <c r="C634" s="61">
        <v>38</v>
      </c>
      <c r="D634" s="61">
        <v>155</v>
      </c>
      <c r="E634" s="61">
        <v>104</v>
      </c>
      <c r="F634" s="60" t="str">
        <v>43.3 (Obese)</v>
      </c>
      <c r="G634" s="60" t="str">
        <f t="shared" si="4"/>
        <v>Obese</v>
      </c>
      <c r="H634" s="61">
        <f ca="1">IFERROR(__xludf.DUMMYFUNCTION("""COMPUTED_VALUE"""),43.3)</f>
        <v>43.3</v>
      </c>
      <c r="I634" s="61">
        <v>21</v>
      </c>
      <c r="J634" s="62">
        <v>50.452500000000008</v>
      </c>
      <c r="K634" s="63" t="s">
        <v>42</v>
      </c>
      <c r="L634" s="61">
        <v>1823.75</v>
      </c>
      <c r="M634" s="64">
        <v>3.43</v>
      </c>
      <c r="N634" s="60" t="s">
        <v>39</v>
      </c>
      <c r="O634" s="60" t="s">
        <v>60</v>
      </c>
      <c r="P634" s="61" t="e">
        <f t="shared" ca="1" si="5"/>
        <v>#NAME?</v>
      </c>
      <c r="Q634" s="61" t="e">
        <f ca="1"/>
        <v>#NAME?</v>
      </c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</row>
    <row r="635" spans="1:28" ht="12.75">
      <c r="A635" s="67" t="s">
        <v>284</v>
      </c>
      <c r="B635" s="67" t="s">
        <v>431</v>
      </c>
      <c r="C635" s="68">
        <v>52</v>
      </c>
      <c r="D635" s="68">
        <v>157</v>
      </c>
      <c r="E635" s="68">
        <v>100</v>
      </c>
      <c r="F635" s="67" t="str">
        <v>40.6 (Obese)</v>
      </c>
      <c r="G635" s="67" t="str">
        <f t="shared" si="4"/>
        <v>Obese</v>
      </c>
      <c r="H635" s="68">
        <f ca="1">IFERROR(__xludf.DUMMYFUNCTION("""COMPUTED_VALUE"""),40.6)</f>
        <v>40.6</v>
      </c>
      <c r="I635" s="68">
        <v>21</v>
      </c>
      <c r="J635" s="10">
        <v>51.762900000000002</v>
      </c>
      <c r="K635" s="69" t="s">
        <v>28</v>
      </c>
      <c r="L635" s="68">
        <v>1726.25</v>
      </c>
      <c r="M635" s="70">
        <v>3.3</v>
      </c>
      <c r="N635" s="67" t="s">
        <v>26</v>
      </c>
      <c r="O635" s="67" t="s">
        <v>37</v>
      </c>
      <c r="P635" s="68" t="e">
        <f t="shared" ca="1" si="5"/>
        <v>#NAME?</v>
      </c>
      <c r="Q635" s="68" t="e">
        <f ca="1"/>
        <v>#NAME?</v>
      </c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</row>
    <row r="636" spans="1:28" ht="12.75">
      <c r="A636" s="60" t="s">
        <v>340</v>
      </c>
      <c r="B636" s="60" t="s">
        <v>431</v>
      </c>
      <c r="C636" s="61">
        <v>56</v>
      </c>
      <c r="D636" s="61">
        <v>170</v>
      </c>
      <c r="E636" s="61">
        <v>83</v>
      </c>
      <c r="F636" s="60" t="str">
        <v>28.7 (Obese)</v>
      </c>
      <c r="G636" s="60" t="str">
        <f t="shared" si="4"/>
        <v>Obese</v>
      </c>
      <c r="H636" s="61">
        <f ca="1">IFERROR(__xludf.DUMMYFUNCTION("""COMPUTED_VALUE"""),28.7)</f>
        <v>28.7</v>
      </c>
      <c r="I636" s="61">
        <v>21</v>
      </c>
      <c r="J636" s="62">
        <v>60.689999999999991</v>
      </c>
      <c r="K636" s="63" t="s">
        <v>42</v>
      </c>
      <c r="L636" s="61">
        <v>1617.5</v>
      </c>
      <c r="M636" s="64">
        <v>2.74</v>
      </c>
      <c r="N636" s="60" t="s">
        <v>39</v>
      </c>
      <c r="O636" s="60" t="s">
        <v>19</v>
      </c>
      <c r="P636" s="61" t="e">
        <f t="shared" ca="1" si="5"/>
        <v>#NAME?</v>
      </c>
      <c r="Q636" s="61" t="e">
        <f ca="1"/>
        <v>#NAME?</v>
      </c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</row>
    <row r="637" spans="1:28" ht="12.75">
      <c r="A637" s="71" t="s">
        <v>341</v>
      </c>
      <c r="B637" s="71" t="s">
        <v>431</v>
      </c>
      <c r="C637" s="72">
        <v>25</v>
      </c>
      <c r="D637" s="72">
        <v>177</v>
      </c>
      <c r="E637" s="72">
        <v>72</v>
      </c>
      <c r="F637" s="71" t="str">
        <v>23.0 (Normal)</v>
      </c>
      <c r="G637" s="71" t="str">
        <f t="shared" si="4"/>
        <v>Normal</v>
      </c>
      <c r="H637" s="72">
        <f ca="1">IFERROR(__xludf.DUMMYFUNCTION("""COMPUTED_VALUE"""),23)</f>
        <v>23</v>
      </c>
      <c r="I637" s="72">
        <v>21</v>
      </c>
      <c r="J637" s="10">
        <v>65.790900000000008</v>
      </c>
      <c r="K637" s="73" t="s">
        <v>4</v>
      </c>
      <c r="L637" s="72">
        <v>1706.25</v>
      </c>
      <c r="M637" s="74">
        <v>2.38</v>
      </c>
      <c r="N637" s="71" t="s">
        <v>34</v>
      </c>
      <c r="O637" s="71" t="s">
        <v>7</v>
      </c>
      <c r="P637" s="72" t="e">
        <f t="shared" ca="1" si="5"/>
        <v>#NAME?</v>
      </c>
      <c r="Q637" s="72" t="e">
        <f ca="1"/>
        <v>#NAME?</v>
      </c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</row>
    <row r="638" spans="1:28" ht="12.75">
      <c r="A638" s="71" t="s">
        <v>73</v>
      </c>
      <c r="B638" s="71" t="s">
        <v>431</v>
      </c>
      <c r="C638" s="72">
        <v>28</v>
      </c>
      <c r="D638" s="72">
        <v>183</v>
      </c>
      <c r="E638" s="72">
        <v>83</v>
      </c>
      <c r="F638" s="71" t="str">
        <v>24.8 (Normal)</v>
      </c>
      <c r="G638" s="71" t="str">
        <f t="shared" si="4"/>
        <v>Normal</v>
      </c>
      <c r="H638" s="72">
        <f ca="1">IFERROR(__xludf.DUMMYFUNCTION("""COMPUTED_VALUE"""),24.8)</f>
        <v>24.8</v>
      </c>
      <c r="I638" s="72">
        <v>21</v>
      </c>
      <c r="J638" s="10">
        <v>70.326900000000009</v>
      </c>
      <c r="K638" s="73" t="s">
        <v>28</v>
      </c>
      <c r="L638" s="72">
        <v>1838.75</v>
      </c>
      <c r="M638" s="74">
        <v>2.74</v>
      </c>
      <c r="N638" s="71" t="s">
        <v>34</v>
      </c>
      <c r="O638" s="71" t="s">
        <v>7</v>
      </c>
      <c r="P638" s="72" t="e">
        <f t="shared" ca="1" si="5"/>
        <v>#NAME?</v>
      </c>
      <c r="Q638" s="72" t="e">
        <f ca="1"/>
        <v>#NAME?</v>
      </c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</row>
    <row r="639" spans="1:28" ht="12.75">
      <c r="A639" s="75" t="s">
        <v>252</v>
      </c>
      <c r="B639" s="75" t="s">
        <v>431</v>
      </c>
      <c r="C639" s="76">
        <v>39</v>
      </c>
      <c r="D639" s="76">
        <v>175</v>
      </c>
      <c r="E639" s="76">
        <v>98</v>
      </c>
      <c r="F639" s="75" t="str">
        <v>32.0 (Obese)</v>
      </c>
      <c r="G639" s="75" t="str">
        <f t="shared" si="4"/>
        <v>Obese</v>
      </c>
      <c r="H639" s="76">
        <f ca="1">IFERROR(__xludf.DUMMYFUNCTION("""COMPUTED_VALUE"""),32)</f>
        <v>32</v>
      </c>
      <c r="I639" s="76">
        <v>21</v>
      </c>
      <c r="J639" s="77">
        <v>64.3125</v>
      </c>
      <c r="K639" s="78" t="s">
        <v>18</v>
      </c>
      <c r="L639" s="76">
        <v>1883.75</v>
      </c>
      <c r="M639" s="79">
        <v>3.23</v>
      </c>
      <c r="N639" s="75" t="s">
        <v>16</v>
      </c>
      <c r="O639" s="75" t="s">
        <v>30</v>
      </c>
      <c r="P639" s="76" t="e">
        <f t="shared" ca="1" si="5"/>
        <v>#NAME?</v>
      </c>
      <c r="Q639" s="76" t="e">
        <f ca="1"/>
        <v>#NAME?</v>
      </c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</row>
    <row r="640" spans="1:28" ht="12.75">
      <c r="A640" s="60" t="s">
        <v>342</v>
      </c>
      <c r="B640" s="60" t="s">
        <v>431</v>
      </c>
      <c r="C640" s="61">
        <v>30</v>
      </c>
      <c r="D640" s="61">
        <v>173</v>
      </c>
      <c r="E640" s="61">
        <v>71</v>
      </c>
      <c r="F640" s="60" t="str">
        <v>23.7 (Normal)</v>
      </c>
      <c r="G640" s="60" t="str">
        <f t="shared" si="4"/>
        <v>Normal</v>
      </c>
      <c r="H640" s="61">
        <f ca="1">IFERROR(__xludf.DUMMYFUNCTION("""COMPUTED_VALUE"""),23.7)</f>
        <v>23.7</v>
      </c>
      <c r="I640" s="61">
        <v>21</v>
      </c>
      <c r="J640" s="62">
        <v>62.850900000000003</v>
      </c>
      <c r="K640" s="63" t="s">
        <v>28</v>
      </c>
      <c r="L640" s="61">
        <v>1646.25</v>
      </c>
      <c r="M640" s="64">
        <v>2.34</v>
      </c>
      <c r="N640" s="60" t="s">
        <v>39</v>
      </c>
      <c r="O640" s="60" t="s">
        <v>7</v>
      </c>
      <c r="P640" s="61" t="e">
        <f t="shared" ca="1" si="5"/>
        <v>#NAME?</v>
      </c>
      <c r="Q640" s="61" t="e">
        <f ca="1"/>
        <v>#NAME?</v>
      </c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</row>
    <row r="641" spans="1:28" ht="12.75">
      <c r="A641" s="75" t="s">
        <v>268</v>
      </c>
      <c r="B641" s="75" t="s">
        <v>431</v>
      </c>
      <c r="C641" s="76">
        <v>45</v>
      </c>
      <c r="D641" s="76">
        <v>163</v>
      </c>
      <c r="E641" s="76">
        <v>77</v>
      </c>
      <c r="F641" s="75" t="str">
        <v>29.0 (Obese)</v>
      </c>
      <c r="G641" s="75" t="str">
        <f t="shared" si="4"/>
        <v>Obese</v>
      </c>
      <c r="H641" s="76">
        <f ca="1">IFERROR(__xludf.DUMMYFUNCTION("""COMPUTED_VALUE"""),29)</f>
        <v>29</v>
      </c>
      <c r="I641" s="76">
        <v>21</v>
      </c>
      <c r="J641" s="77">
        <v>55.794899999999998</v>
      </c>
      <c r="K641" s="78" t="s">
        <v>28</v>
      </c>
      <c r="L641" s="76">
        <v>1568.75</v>
      </c>
      <c r="M641" s="79">
        <v>2.54</v>
      </c>
      <c r="N641" s="75" t="s">
        <v>16</v>
      </c>
      <c r="O641" s="75" t="s">
        <v>60</v>
      </c>
      <c r="P641" s="76" t="e">
        <f t="shared" ca="1" si="5"/>
        <v>#NAME?</v>
      </c>
      <c r="Q641" s="76" t="e">
        <f ca="1"/>
        <v>#NAME?</v>
      </c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</row>
    <row r="642" spans="1:28" ht="12.75">
      <c r="A642" s="60" t="s">
        <v>265</v>
      </c>
      <c r="B642" s="60" t="s">
        <v>431</v>
      </c>
      <c r="C642" s="61">
        <v>30</v>
      </c>
      <c r="D642" s="61">
        <v>162</v>
      </c>
      <c r="E642" s="61">
        <v>64</v>
      </c>
      <c r="F642" s="60" t="str">
        <v>24.4 (Normal)</v>
      </c>
      <c r="G642" s="60" t="str">
        <f t="shared" si="4"/>
        <v>Normal</v>
      </c>
      <c r="H642" s="61">
        <f ca="1">IFERROR(__xludf.DUMMYFUNCTION("""COMPUTED_VALUE"""),24.4)</f>
        <v>24.4</v>
      </c>
      <c r="I642" s="61">
        <v>21</v>
      </c>
      <c r="J642" s="62">
        <v>55.112400000000008</v>
      </c>
      <c r="K642" s="63" t="s">
        <v>4</v>
      </c>
      <c r="L642" s="61">
        <v>1507.5</v>
      </c>
      <c r="M642" s="64">
        <v>2.11</v>
      </c>
      <c r="N642" s="60" t="s">
        <v>39</v>
      </c>
      <c r="O642" s="60" t="s">
        <v>7</v>
      </c>
      <c r="P642" s="61" t="e">
        <f t="shared" ca="1" si="5"/>
        <v>#NAME?</v>
      </c>
      <c r="Q642" s="61" t="e">
        <f ca="1"/>
        <v>#NAME?</v>
      </c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</row>
    <row r="643" spans="1:28" ht="12.75">
      <c r="A643" s="71" t="s">
        <v>51</v>
      </c>
      <c r="B643" s="71" t="s">
        <v>431</v>
      </c>
      <c r="C643" s="72">
        <v>43</v>
      </c>
      <c r="D643" s="72">
        <v>165</v>
      </c>
      <c r="E643" s="72">
        <v>75</v>
      </c>
      <c r="F643" s="71" t="str">
        <v>27.5 (Obese)</v>
      </c>
      <c r="G643" s="71" t="str">
        <f t="shared" si="4"/>
        <v>Obese</v>
      </c>
      <c r="H643" s="72">
        <f ca="1">IFERROR(__xludf.DUMMYFUNCTION("""COMPUTED_VALUE"""),27.5)</f>
        <v>27.5</v>
      </c>
      <c r="I643" s="72">
        <v>21</v>
      </c>
      <c r="J643" s="10">
        <v>57.172499999999992</v>
      </c>
      <c r="K643" s="73" t="s">
        <v>28</v>
      </c>
      <c r="L643" s="72">
        <v>1571.25</v>
      </c>
      <c r="M643" s="74">
        <v>2.48</v>
      </c>
      <c r="N643" s="71" t="s">
        <v>34</v>
      </c>
      <c r="O643" s="71" t="s">
        <v>7</v>
      </c>
      <c r="P643" s="72" t="e">
        <f t="shared" ca="1" si="5"/>
        <v>#NAME?</v>
      </c>
      <c r="Q643" s="72" t="e">
        <f ca="1"/>
        <v>#NAME?</v>
      </c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</row>
    <row r="644" spans="1:28" ht="12.75">
      <c r="A644" s="75" t="s">
        <v>225</v>
      </c>
      <c r="B644" s="75" t="s">
        <v>431</v>
      </c>
      <c r="C644" s="76">
        <v>46</v>
      </c>
      <c r="D644" s="76">
        <v>162</v>
      </c>
      <c r="E644" s="76">
        <v>51</v>
      </c>
      <c r="F644" s="75" t="str">
        <v>19.4 (Normal)</v>
      </c>
      <c r="G644" s="75" t="str">
        <f t="shared" si="4"/>
        <v>Normal</v>
      </c>
      <c r="H644" s="76">
        <f ca="1">IFERROR(__xludf.DUMMYFUNCTION("""COMPUTED_VALUE"""),19.4)</f>
        <v>19.399999999999999</v>
      </c>
      <c r="I644" s="76">
        <v>21</v>
      </c>
      <c r="J644" s="77">
        <v>55.112400000000008</v>
      </c>
      <c r="K644" s="78" t="s">
        <v>18</v>
      </c>
      <c r="L644" s="76">
        <v>1297.5</v>
      </c>
      <c r="M644" s="79">
        <v>1.68</v>
      </c>
      <c r="N644" s="75" t="s">
        <v>16</v>
      </c>
      <c r="O644" s="75" t="s">
        <v>7</v>
      </c>
      <c r="P644" s="76" t="e">
        <f t="shared" ca="1" si="5"/>
        <v>#NAME?</v>
      </c>
      <c r="Q644" s="76" t="e">
        <f ca="1"/>
        <v>#NAME?</v>
      </c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</row>
    <row r="645" spans="1:28" ht="12.75">
      <c r="A645" s="71" t="s">
        <v>134</v>
      </c>
      <c r="B645" s="71" t="s">
        <v>431</v>
      </c>
      <c r="C645" s="72">
        <v>24</v>
      </c>
      <c r="D645" s="72">
        <v>168</v>
      </c>
      <c r="E645" s="72">
        <v>89</v>
      </c>
      <c r="F645" s="71" t="str">
        <v>31.5 (Obese)</v>
      </c>
      <c r="G645" s="71" t="str">
        <f t="shared" si="4"/>
        <v>Obese</v>
      </c>
      <c r="H645" s="72">
        <f ca="1">IFERROR(__xludf.DUMMYFUNCTION("""COMPUTED_VALUE"""),31.5)</f>
        <v>31.5</v>
      </c>
      <c r="I645" s="72">
        <v>21</v>
      </c>
      <c r="J645" s="10">
        <v>59.270399999999988</v>
      </c>
      <c r="K645" s="73" t="s">
        <v>42</v>
      </c>
      <c r="L645" s="72">
        <v>1825</v>
      </c>
      <c r="M645" s="74">
        <v>2.94</v>
      </c>
      <c r="N645" s="71" t="s">
        <v>34</v>
      </c>
      <c r="O645" s="71" t="s">
        <v>19</v>
      </c>
      <c r="P645" s="72" t="e">
        <f t="shared" ca="1" si="5"/>
        <v>#NAME?</v>
      </c>
      <c r="Q645" s="72" t="e">
        <f ca="1"/>
        <v>#NAME?</v>
      </c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</row>
    <row r="646" spans="1:28" ht="12.75">
      <c r="A646" s="75" t="s">
        <v>56</v>
      </c>
      <c r="B646" s="75" t="s">
        <v>431</v>
      </c>
      <c r="C646" s="76">
        <v>39</v>
      </c>
      <c r="D646" s="76">
        <v>176</v>
      </c>
      <c r="E646" s="76">
        <v>102</v>
      </c>
      <c r="F646" s="75" t="str">
        <v>32.9 (Obese)</v>
      </c>
      <c r="G646" s="75" t="str">
        <f t="shared" si="4"/>
        <v>Obese</v>
      </c>
      <c r="H646" s="76">
        <f ca="1">IFERROR(__xludf.DUMMYFUNCTION("""COMPUTED_VALUE"""),32.9)</f>
        <v>32.9</v>
      </c>
      <c r="I646" s="76">
        <v>21</v>
      </c>
      <c r="J646" s="77">
        <v>65.049599999999998</v>
      </c>
      <c r="K646" s="78" t="s">
        <v>18</v>
      </c>
      <c r="L646" s="76">
        <v>1930</v>
      </c>
      <c r="M646" s="79">
        <v>3.37</v>
      </c>
      <c r="N646" s="75" t="s">
        <v>16</v>
      </c>
      <c r="O646" s="75" t="s">
        <v>7</v>
      </c>
      <c r="P646" s="76" t="e">
        <f t="shared" ca="1" si="5"/>
        <v>#NAME?</v>
      </c>
      <c r="Q646" s="76" t="e">
        <f ca="1"/>
        <v>#NAME?</v>
      </c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</row>
    <row r="647" spans="1:28" ht="12.75">
      <c r="A647" s="71" t="s">
        <v>102</v>
      </c>
      <c r="B647" s="71" t="s">
        <v>431</v>
      </c>
      <c r="C647" s="72">
        <v>26</v>
      </c>
      <c r="D647" s="72">
        <v>155</v>
      </c>
      <c r="E647" s="72">
        <v>92</v>
      </c>
      <c r="F647" s="71" t="str">
        <v>38.3 (Obese)</v>
      </c>
      <c r="G647" s="71" t="str">
        <f t="shared" si="4"/>
        <v>Obese</v>
      </c>
      <c r="H647" s="72">
        <f ca="1">IFERROR(__xludf.DUMMYFUNCTION("""COMPUTED_VALUE"""),38.3)</f>
        <v>38.299999999999997</v>
      </c>
      <c r="I647" s="72">
        <v>21</v>
      </c>
      <c r="J647" s="10">
        <v>50.452500000000008</v>
      </c>
      <c r="K647" s="73" t="s">
        <v>28</v>
      </c>
      <c r="L647" s="72">
        <v>1763.75</v>
      </c>
      <c r="M647" s="74">
        <v>3.04</v>
      </c>
      <c r="N647" s="71" t="s">
        <v>34</v>
      </c>
      <c r="O647" s="71" t="s">
        <v>63</v>
      </c>
      <c r="P647" s="72" t="e">
        <f t="shared" ca="1" si="5"/>
        <v>#NAME?</v>
      </c>
      <c r="Q647" s="72" t="e">
        <f ca="1"/>
        <v>#NAME?</v>
      </c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</row>
    <row r="648" spans="1:28" ht="12.75">
      <c r="A648" s="75" t="s">
        <v>59</v>
      </c>
      <c r="B648" s="75" t="s">
        <v>431</v>
      </c>
      <c r="C648" s="76">
        <v>51</v>
      </c>
      <c r="D648" s="76">
        <v>168</v>
      </c>
      <c r="E648" s="76">
        <v>99</v>
      </c>
      <c r="F648" s="75" t="str">
        <v>35.1 (Obese)</v>
      </c>
      <c r="G648" s="75" t="str">
        <f t="shared" si="4"/>
        <v>Obese</v>
      </c>
      <c r="H648" s="76">
        <f ca="1">IFERROR(__xludf.DUMMYFUNCTION("""COMPUTED_VALUE"""),35.1)</f>
        <v>35.1</v>
      </c>
      <c r="I648" s="76">
        <v>21</v>
      </c>
      <c r="J648" s="77">
        <v>59.270399999999988</v>
      </c>
      <c r="K648" s="78" t="s">
        <v>4</v>
      </c>
      <c r="L648" s="76">
        <v>1790</v>
      </c>
      <c r="M648" s="79">
        <v>3.27</v>
      </c>
      <c r="N648" s="75" t="s">
        <v>16</v>
      </c>
      <c r="O648" s="75" t="s">
        <v>63</v>
      </c>
      <c r="P648" s="76" t="e">
        <f t="shared" ca="1" si="5"/>
        <v>#NAME?</v>
      </c>
      <c r="Q648" s="76" t="e">
        <f ca="1"/>
        <v>#NAME?</v>
      </c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</row>
    <row r="649" spans="1:28" ht="12.75">
      <c r="A649" s="71" t="s">
        <v>343</v>
      </c>
      <c r="B649" s="71" t="s">
        <v>431</v>
      </c>
      <c r="C649" s="72">
        <v>27</v>
      </c>
      <c r="D649" s="72">
        <v>189</v>
      </c>
      <c r="E649" s="72">
        <v>57</v>
      </c>
      <c r="F649" s="71" t="str">
        <v>16.0 (Underweight)</v>
      </c>
      <c r="G649" s="71" t="str">
        <f t="shared" si="4"/>
        <v>Underweight</v>
      </c>
      <c r="H649" s="72">
        <f ca="1">IFERROR(__xludf.DUMMYFUNCTION("""COMPUTED_VALUE"""),16)</f>
        <v>16</v>
      </c>
      <c r="I649" s="72">
        <v>21</v>
      </c>
      <c r="J649" s="10">
        <v>75.014099999999999</v>
      </c>
      <c r="K649" s="73" t="s">
        <v>18</v>
      </c>
      <c r="L649" s="72">
        <v>1621.25</v>
      </c>
      <c r="M649" s="74">
        <v>1.88</v>
      </c>
      <c r="N649" s="71" t="s">
        <v>34</v>
      </c>
      <c r="O649" s="71" t="s">
        <v>63</v>
      </c>
      <c r="P649" s="72" t="e">
        <f t="shared" ca="1" si="5"/>
        <v>#NAME?</v>
      </c>
      <c r="Q649" s="72" t="e">
        <f ca="1"/>
        <v>#NAME?</v>
      </c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</row>
    <row r="650" spans="1:28" ht="12.75">
      <c r="A650" s="75" t="s">
        <v>85</v>
      </c>
      <c r="B650" s="75" t="s">
        <v>431</v>
      </c>
      <c r="C650" s="76">
        <v>59</v>
      </c>
      <c r="D650" s="76">
        <v>173</v>
      </c>
      <c r="E650" s="76">
        <v>53</v>
      </c>
      <c r="F650" s="75" t="str">
        <v>17.7 (Underweight)</v>
      </c>
      <c r="G650" s="75" t="str">
        <f t="shared" si="4"/>
        <v>Underweight</v>
      </c>
      <c r="H650" s="76">
        <f ca="1">IFERROR(__xludf.DUMMYFUNCTION("""COMPUTED_VALUE"""),17.7)</f>
        <v>17.7</v>
      </c>
      <c r="I650" s="76">
        <v>21</v>
      </c>
      <c r="J650" s="77">
        <v>62.850900000000003</v>
      </c>
      <c r="K650" s="78" t="s">
        <v>28</v>
      </c>
      <c r="L650" s="76">
        <v>1321.25</v>
      </c>
      <c r="M650" s="79">
        <v>1.75</v>
      </c>
      <c r="N650" s="75" t="s">
        <v>16</v>
      </c>
      <c r="O650" s="75" t="s">
        <v>37</v>
      </c>
      <c r="P650" s="76" t="e">
        <f t="shared" ca="1" si="5"/>
        <v>#NAME?</v>
      </c>
      <c r="Q650" s="76" t="e">
        <f ca="1"/>
        <v>#NAME?</v>
      </c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</row>
    <row r="651" spans="1:28" ht="12.75">
      <c r="A651" s="60" t="s">
        <v>344</v>
      </c>
      <c r="B651" s="60" t="s">
        <v>431</v>
      </c>
      <c r="C651" s="61">
        <v>37</v>
      </c>
      <c r="D651" s="61">
        <v>179</v>
      </c>
      <c r="E651" s="61">
        <v>57</v>
      </c>
      <c r="F651" s="60" t="str">
        <v>17.8 (Underweight)</v>
      </c>
      <c r="G651" s="60" t="str">
        <f t="shared" si="4"/>
        <v>Underweight</v>
      </c>
      <c r="H651" s="61">
        <f ca="1">IFERROR(__xludf.DUMMYFUNCTION("""COMPUTED_VALUE"""),17.8)</f>
        <v>17.8</v>
      </c>
      <c r="I651" s="61">
        <v>21</v>
      </c>
      <c r="J651" s="62">
        <v>67.286100000000005</v>
      </c>
      <c r="K651" s="63" t="s">
        <v>28</v>
      </c>
      <c r="L651" s="61">
        <v>1508.75</v>
      </c>
      <c r="M651" s="64">
        <v>1.88</v>
      </c>
      <c r="N651" s="60" t="s">
        <v>39</v>
      </c>
      <c r="O651" s="60" t="s">
        <v>60</v>
      </c>
      <c r="P651" s="61" t="e">
        <f t="shared" ca="1" si="5"/>
        <v>#NAME?</v>
      </c>
      <c r="Q651" s="61" t="e">
        <f ca="1"/>
        <v>#NAME?</v>
      </c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</row>
    <row r="652" spans="1:28" ht="12.75">
      <c r="A652" s="60" t="s">
        <v>172</v>
      </c>
      <c r="B652" s="60" t="s">
        <v>431</v>
      </c>
      <c r="C652" s="61">
        <v>37</v>
      </c>
      <c r="D652" s="61">
        <v>177</v>
      </c>
      <c r="E652" s="61">
        <v>74</v>
      </c>
      <c r="F652" s="60" t="str">
        <v>23.6 (Normal)</v>
      </c>
      <c r="G652" s="60" t="str">
        <f t="shared" si="4"/>
        <v>Normal</v>
      </c>
      <c r="H652" s="61">
        <f ca="1">IFERROR(__xludf.DUMMYFUNCTION("""COMPUTED_VALUE"""),23.6)</f>
        <v>23.6</v>
      </c>
      <c r="I652" s="61">
        <v>21</v>
      </c>
      <c r="J652" s="62">
        <v>65.790900000000008</v>
      </c>
      <c r="K652" s="63" t="s">
        <v>4</v>
      </c>
      <c r="L652" s="61">
        <v>1666.25</v>
      </c>
      <c r="M652" s="64">
        <v>2.44</v>
      </c>
      <c r="N652" s="60" t="s">
        <v>39</v>
      </c>
      <c r="O652" s="60" t="s">
        <v>30</v>
      </c>
      <c r="P652" s="61" t="e">
        <f t="shared" ca="1" si="5"/>
        <v>#NAME?</v>
      </c>
      <c r="Q652" s="61" t="e">
        <f ca="1"/>
        <v>#NAME?</v>
      </c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</row>
    <row r="653" spans="1:28" ht="12.75">
      <c r="A653" s="60" t="s">
        <v>316</v>
      </c>
      <c r="B653" s="60" t="s">
        <v>431</v>
      </c>
      <c r="C653" s="61">
        <v>23</v>
      </c>
      <c r="D653" s="61">
        <v>179</v>
      </c>
      <c r="E653" s="61">
        <v>105</v>
      </c>
      <c r="F653" s="60" t="str">
        <v>32.8 (Obese)</v>
      </c>
      <c r="G653" s="60" t="str">
        <f t="shared" si="4"/>
        <v>Obese</v>
      </c>
      <c r="H653" s="61">
        <f ca="1">IFERROR(__xludf.DUMMYFUNCTION("""COMPUTED_VALUE"""),32.8)</f>
        <v>32.799999999999997</v>
      </c>
      <c r="I653" s="61">
        <v>21</v>
      </c>
      <c r="J653" s="62">
        <v>67.286100000000005</v>
      </c>
      <c r="K653" s="63" t="s">
        <v>28</v>
      </c>
      <c r="L653" s="61">
        <v>2058.75</v>
      </c>
      <c r="M653" s="64">
        <v>3.47</v>
      </c>
      <c r="N653" s="60" t="s">
        <v>39</v>
      </c>
      <c r="O653" s="60" t="s">
        <v>30</v>
      </c>
      <c r="P653" s="61" t="e">
        <f t="shared" ca="1" si="5"/>
        <v>#NAME?</v>
      </c>
      <c r="Q653" s="61" t="e">
        <f ca="1"/>
        <v>#NAME?</v>
      </c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</row>
    <row r="654" spans="1:28" ht="12.75">
      <c r="A654" s="75" t="s">
        <v>255</v>
      </c>
      <c r="B654" s="75" t="s">
        <v>431</v>
      </c>
      <c r="C654" s="76">
        <v>56</v>
      </c>
      <c r="D654" s="76">
        <v>157</v>
      </c>
      <c r="E654" s="76">
        <v>51</v>
      </c>
      <c r="F654" s="75" t="str">
        <v>20.7 (Normal)</v>
      </c>
      <c r="G654" s="75" t="str">
        <f t="shared" si="4"/>
        <v>Normal</v>
      </c>
      <c r="H654" s="76">
        <f ca="1">IFERROR(__xludf.DUMMYFUNCTION("""COMPUTED_VALUE"""),20.7)</f>
        <v>20.7</v>
      </c>
      <c r="I654" s="76">
        <v>21</v>
      </c>
      <c r="J654" s="77">
        <v>51.762900000000002</v>
      </c>
      <c r="K654" s="78" t="s">
        <v>4</v>
      </c>
      <c r="L654" s="76">
        <v>1216.25</v>
      </c>
      <c r="M654" s="79">
        <v>1.68</v>
      </c>
      <c r="N654" s="75" t="s">
        <v>16</v>
      </c>
      <c r="O654" s="75" t="s">
        <v>19</v>
      </c>
      <c r="P654" s="76" t="e">
        <f t="shared" ca="1" si="5"/>
        <v>#NAME?</v>
      </c>
      <c r="Q654" s="76" t="e">
        <f ca="1"/>
        <v>#NAME?</v>
      </c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</row>
    <row r="655" spans="1:28" ht="12.75">
      <c r="A655" s="71" t="s">
        <v>127</v>
      </c>
      <c r="B655" s="71" t="s">
        <v>431</v>
      </c>
      <c r="C655" s="72">
        <v>26</v>
      </c>
      <c r="D655" s="72">
        <v>164</v>
      </c>
      <c r="E655" s="72">
        <v>105</v>
      </c>
      <c r="F655" s="71" t="str">
        <v>39.0 (Obese)</v>
      </c>
      <c r="G655" s="71" t="str">
        <f t="shared" si="4"/>
        <v>Obese</v>
      </c>
      <c r="H655" s="72">
        <f ca="1">IFERROR(__xludf.DUMMYFUNCTION("""COMPUTED_VALUE"""),39)</f>
        <v>39</v>
      </c>
      <c r="I655" s="72">
        <v>21</v>
      </c>
      <c r="J655" s="10">
        <v>56.481599999999993</v>
      </c>
      <c r="K655" s="73" t="s">
        <v>4</v>
      </c>
      <c r="L655" s="72">
        <v>1950</v>
      </c>
      <c r="M655" s="74">
        <v>3.47</v>
      </c>
      <c r="N655" s="71" t="s">
        <v>34</v>
      </c>
      <c r="O655" s="71" t="s">
        <v>30</v>
      </c>
      <c r="P655" s="72" t="e">
        <f t="shared" ca="1" si="5"/>
        <v>#NAME?</v>
      </c>
      <c r="Q655" s="72" t="e">
        <f ca="1"/>
        <v>#NAME?</v>
      </c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</row>
    <row r="656" spans="1:28" ht="12.75">
      <c r="A656" s="67" t="s">
        <v>180</v>
      </c>
      <c r="B656" s="67" t="s">
        <v>431</v>
      </c>
      <c r="C656" s="68">
        <v>27</v>
      </c>
      <c r="D656" s="68">
        <v>173</v>
      </c>
      <c r="E656" s="68">
        <v>93</v>
      </c>
      <c r="F656" s="67" t="str">
        <v>31.1 (Obese)</v>
      </c>
      <c r="G656" s="67" t="str">
        <f t="shared" si="4"/>
        <v>Obese</v>
      </c>
      <c r="H656" s="68">
        <f ca="1">IFERROR(__xludf.DUMMYFUNCTION("""COMPUTED_VALUE"""),31.1)</f>
        <v>31.1</v>
      </c>
      <c r="I656" s="68">
        <v>21</v>
      </c>
      <c r="J656" s="10">
        <v>62.850900000000003</v>
      </c>
      <c r="K656" s="69" t="s">
        <v>28</v>
      </c>
      <c r="L656" s="68">
        <v>1881.25</v>
      </c>
      <c r="M656" s="70">
        <v>3.07</v>
      </c>
      <c r="N656" s="67" t="s">
        <v>26</v>
      </c>
      <c r="O656" s="67" t="s">
        <v>30</v>
      </c>
      <c r="P656" s="68" t="e">
        <f t="shared" ca="1" si="5"/>
        <v>#NAME?</v>
      </c>
      <c r="Q656" s="68" t="e">
        <f ca="1"/>
        <v>#NAME?</v>
      </c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</row>
    <row r="657" spans="1:28" ht="12.75">
      <c r="A657" s="71" t="s">
        <v>300</v>
      </c>
      <c r="B657" s="71" t="s">
        <v>431</v>
      </c>
      <c r="C657" s="72">
        <v>25</v>
      </c>
      <c r="D657" s="72">
        <v>155</v>
      </c>
      <c r="E657" s="72">
        <v>73</v>
      </c>
      <c r="F657" s="71" t="str">
        <v>30.4 (Obese)</v>
      </c>
      <c r="G657" s="71" t="str">
        <f t="shared" si="4"/>
        <v>Obese</v>
      </c>
      <c r="H657" s="72">
        <f ca="1">IFERROR(__xludf.DUMMYFUNCTION("""COMPUTED_VALUE"""),30.4)</f>
        <v>30.4</v>
      </c>
      <c r="I657" s="72">
        <v>21</v>
      </c>
      <c r="J657" s="10">
        <v>50.452500000000008</v>
      </c>
      <c r="K657" s="73" t="s">
        <v>28</v>
      </c>
      <c r="L657" s="72">
        <v>1578.75</v>
      </c>
      <c r="M657" s="74">
        <v>2.41</v>
      </c>
      <c r="N657" s="71" t="s">
        <v>34</v>
      </c>
      <c r="O657" s="71" t="s">
        <v>37</v>
      </c>
      <c r="P657" s="72" t="e">
        <f t="shared" ca="1" si="5"/>
        <v>#NAME?</v>
      </c>
      <c r="Q657" s="72" t="e">
        <f ca="1"/>
        <v>#NAME?</v>
      </c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</row>
    <row r="658" spans="1:28" ht="12.75">
      <c r="A658" s="67" t="s">
        <v>92</v>
      </c>
      <c r="B658" s="67" t="s">
        <v>431</v>
      </c>
      <c r="C658" s="68">
        <v>49</v>
      </c>
      <c r="D658" s="68">
        <v>176</v>
      </c>
      <c r="E658" s="68">
        <v>60</v>
      </c>
      <c r="F658" s="67" t="str">
        <v>19.4 (Normal)</v>
      </c>
      <c r="G658" s="67" t="str">
        <f t="shared" si="4"/>
        <v>Normal</v>
      </c>
      <c r="H658" s="68">
        <f ca="1">IFERROR(__xludf.DUMMYFUNCTION("""COMPUTED_VALUE"""),19.4)</f>
        <v>19.399999999999999</v>
      </c>
      <c r="I658" s="68">
        <v>21</v>
      </c>
      <c r="J658" s="10">
        <v>65.049599999999998</v>
      </c>
      <c r="K658" s="69" t="s">
        <v>28</v>
      </c>
      <c r="L658" s="68">
        <v>1460</v>
      </c>
      <c r="M658" s="70">
        <v>1.98</v>
      </c>
      <c r="N658" s="67" t="s">
        <v>26</v>
      </c>
      <c r="O658" s="67" t="s">
        <v>63</v>
      </c>
      <c r="P658" s="68" t="e">
        <f t="shared" ca="1" si="5"/>
        <v>#NAME?</v>
      </c>
      <c r="Q658" s="68" t="e">
        <f ca="1"/>
        <v>#NAME?</v>
      </c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</row>
    <row r="659" spans="1:28" ht="12.75">
      <c r="A659" s="67" t="s">
        <v>196</v>
      </c>
      <c r="B659" s="67" t="s">
        <v>431</v>
      </c>
      <c r="C659" s="68">
        <v>27</v>
      </c>
      <c r="D659" s="68">
        <v>181</v>
      </c>
      <c r="E659" s="68">
        <v>88</v>
      </c>
      <c r="F659" s="67" t="str">
        <v>26.9 (Overweight)</v>
      </c>
      <c r="G659" s="67" t="str">
        <f t="shared" si="4"/>
        <v>Overweight</v>
      </c>
      <c r="H659" s="68">
        <f ca="1">IFERROR(__xludf.DUMMYFUNCTION("""COMPUTED_VALUE"""),26.9)</f>
        <v>26.9</v>
      </c>
      <c r="I659" s="68">
        <v>21</v>
      </c>
      <c r="J659" s="10">
        <v>68.798100000000005</v>
      </c>
      <c r="K659" s="69" t="s">
        <v>18</v>
      </c>
      <c r="L659" s="68">
        <v>1881.25</v>
      </c>
      <c r="M659" s="70">
        <v>2.9</v>
      </c>
      <c r="N659" s="67" t="s">
        <v>26</v>
      </c>
      <c r="O659" s="67" t="s">
        <v>37</v>
      </c>
      <c r="P659" s="68" t="e">
        <f t="shared" ca="1" si="5"/>
        <v>#NAME?</v>
      </c>
      <c r="Q659" s="68" t="e">
        <f ca="1"/>
        <v>#NAME?</v>
      </c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</row>
    <row r="660" spans="1:28" ht="12.75">
      <c r="A660" s="67" t="s">
        <v>70</v>
      </c>
      <c r="B660" s="67" t="s">
        <v>431</v>
      </c>
      <c r="C660" s="68">
        <v>41</v>
      </c>
      <c r="D660" s="68">
        <v>172</v>
      </c>
      <c r="E660" s="68">
        <v>58</v>
      </c>
      <c r="F660" s="67" t="str">
        <v>19.6 (Normal)</v>
      </c>
      <c r="G660" s="67" t="str">
        <f t="shared" si="4"/>
        <v>Normal</v>
      </c>
      <c r="H660" s="68">
        <f ca="1">IFERROR(__xludf.DUMMYFUNCTION("""COMPUTED_VALUE"""),19.6)</f>
        <v>19.600000000000001</v>
      </c>
      <c r="I660" s="68">
        <v>21</v>
      </c>
      <c r="J660" s="10">
        <v>62.126399999999997</v>
      </c>
      <c r="K660" s="69" t="s">
        <v>4</v>
      </c>
      <c r="L660" s="68">
        <v>1455</v>
      </c>
      <c r="M660" s="70">
        <v>1.91</v>
      </c>
      <c r="N660" s="67" t="s">
        <v>26</v>
      </c>
      <c r="O660" s="67" t="s">
        <v>37</v>
      </c>
      <c r="P660" s="68" t="e">
        <f t="shared" ca="1" si="5"/>
        <v>#NAME?</v>
      </c>
      <c r="Q660" s="68" t="e">
        <f ca="1"/>
        <v>#NAME?</v>
      </c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</row>
    <row r="661" spans="1:28" ht="12.75">
      <c r="A661" s="60" t="s">
        <v>239</v>
      </c>
      <c r="B661" s="60" t="s">
        <v>431</v>
      </c>
      <c r="C661" s="61">
        <v>47</v>
      </c>
      <c r="D661" s="61">
        <v>174</v>
      </c>
      <c r="E661" s="61">
        <v>102</v>
      </c>
      <c r="F661" s="60" t="str">
        <v>33.7 (Obese)</v>
      </c>
      <c r="G661" s="60" t="str">
        <f t="shared" si="4"/>
        <v>Obese</v>
      </c>
      <c r="H661" s="61">
        <f ca="1">IFERROR(__xludf.DUMMYFUNCTION("""COMPUTED_VALUE"""),33.7)</f>
        <v>33.700000000000003</v>
      </c>
      <c r="I661" s="61">
        <v>21</v>
      </c>
      <c r="J661" s="62">
        <v>63.579599999999999</v>
      </c>
      <c r="K661" s="63" t="s">
        <v>28</v>
      </c>
      <c r="L661" s="61">
        <v>1877.5</v>
      </c>
      <c r="M661" s="64">
        <v>3.37</v>
      </c>
      <c r="N661" s="60" t="s">
        <v>39</v>
      </c>
      <c r="O661" s="60" t="s">
        <v>60</v>
      </c>
      <c r="P661" s="61" t="e">
        <f t="shared" ca="1" si="5"/>
        <v>#NAME?</v>
      </c>
      <c r="Q661" s="61" t="e">
        <f ca="1"/>
        <v>#NAME?</v>
      </c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</row>
    <row r="662" spans="1:28" ht="12.75">
      <c r="A662" s="60" t="s">
        <v>252</v>
      </c>
      <c r="B662" s="60" t="s">
        <v>431</v>
      </c>
      <c r="C662" s="61">
        <v>57</v>
      </c>
      <c r="D662" s="61">
        <v>173</v>
      </c>
      <c r="E662" s="61">
        <v>66</v>
      </c>
      <c r="F662" s="60" t="str">
        <v>22.1 (Normal)</v>
      </c>
      <c r="G662" s="60" t="str">
        <f t="shared" si="4"/>
        <v>Normal</v>
      </c>
      <c r="H662" s="61">
        <f ca="1">IFERROR(__xludf.DUMMYFUNCTION("""COMPUTED_VALUE"""),22.1)</f>
        <v>22.1</v>
      </c>
      <c r="I662" s="61">
        <v>21</v>
      </c>
      <c r="J662" s="62">
        <v>62.850900000000003</v>
      </c>
      <c r="K662" s="63" t="s">
        <v>4</v>
      </c>
      <c r="L662" s="61">
        <v>1461.25</v>
      </c>
      <c r="M662" s="64">
        <v>2.1800000000000002</v>
      </c>
      <c r="N662" s="60" t="s">
        <v>39</v>
      </c>
      <c r="O662" s="60" t="s">
        <v>7</v>
      </c>
      <c r="P662" s="61" t="e">
        <f t="shared" ca="1" si="5"/>
        <v>#NAME?</v>
      </c>
      <c r="Q662" s="61" t="e">
        <f ca="1"/>
        <v>#NAME?</v>
      </c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</row>
    <row r="663" spans="1:28" ht="12.75">
      <c r="A663" s="67" t="s">
        <v>345</v>
      </c>
      <c r="B663" s="67" t="s">
        <v>431</v>
      </c>
      <c r="C663" s="68">
        <v>30</v>
      </c>
      <c r="D663" s="68">
        <v>185</v>
      </c>
      <c r="E663" s="68">
        <v>62</v>
      </c>
      <c r="F663" s="67" t="str">
        <v>18.1 (Underweight)</v>
      </c>
      <c r="G663" s="67" t="str">
        <f t="shared" si="4"/>
        <v>Underweight</v>
      </c>
      <c r="H663" s="68">
        <f ca="1">IFERROR(__xludf.DUMMYFUNCTION("""COMPUTED_VALUE"""),18.1)</f>
        <v>18.100000000000001</v>
      </c>
      <c r="I663" s="68">
        <v>21</v>
      </c>
      <c r="J663" s="10">
        <v>71.872500000000002</v>
      </c>
      <c r="K663" s="69" t="s">
        <v>18</v>
      </c>
      <c r="L663" s="68">
        <v>1631.25</v>
      </c>
      <c r="M663" s="70">
        <v>2.0499999999999998</v>
      </c>
      <c r="N663" s="67" t="s">
        <v>26</v>
      </c>
      <c r="O663" s="67" t="s">
        <v>19</v>
      </c>
      <c r="P663" s="68" t="e">
        <f t="shared" ca="1" si="5"/>
        <v>#NAME?</v>
      </c>
      <c r="Q663" s="68" t="e">
        <f ca="1"/>
        <v>#NAME?</v>
      </c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</row>
    <row r="664" spans="1:28" ht="12.75">
      <c r="A664" s="67" t="s">
        <v>196</v>
      </c>
      <c r="B664" s="67" t="s">
        <v>431</v>
      </c>
      <c r="C664" s="68">
        <v>35</v>
      </c>
      <c r="D664" s="68">
        <v>183</v>
      </c>
      <c r="E664" s="68">
        <v>56</v>
      </c>
      <c r="F664" s="67" t="str">
        <v>16.7 (Underweight)</v>
      </c>
      <c r="G664" s="67" t="str">
        <f t="shared" si="4"/>
        <v>Underweight</v>
      </c>
      <c r="H664" s="68">
        <f ca="1">IFERROR(__xludf.DUMMYFUNCTION("""COMPUTED_VALUE"""),16.7)</f>
        <v>16.7</v>
      </c>
      <c r="I664" s="68">
        <v>21</v>
      </c>
      <c r="J664" s="10">
        <v>70.326900000000009</v>
      </c>
      <c r="K664" s="69" t="s">
        <v>18</v>
      </c>
      <c r="L664" s="68">
        <v>1533.75</v>
      </c>
      <c r="M664" s="70">
        <v>1.85</v>
      </c>
      <c r="N664" s="67" t="s">
        <v>26</v>
      </c>
      <c r="O664" s="67" t="s">
        <v>37</v>
      </c>
      <c r="P664" s="68" t="e">
        <f t="shared" ca="1" si="5"/>
        <v>#NAME?</v>
      </c>
      <c r="Q664" s="68" t="e">
        <f ca="1"/>
        <v>#NAME?</v>
      </c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</row>
    <row r="665" spans="1:28" ht="12.75">
      <c r="A665" s="56" t="s">
        <v>56</v>
      </c>
      <c r="B665" s="56" t="s">
        <v>431</v>
      </c>
      <c r="C665" s="57">
        <v>38</v>
      </c>
      <c r="D665" s="57">
        <v>157</v>
      </c>
      <c r="E665" s="57">
        <v>103</v>
      </c>
      <c r="F665" s="56" t="str">
        <v>41.8 (Obese)</v>
      </c>
      <c r="G665" s="56" t="str">
        <f t="shared" si="4"/>
        <v>Obese</v>
      </c>
      <c r="H665" s="57">
        <f ca="1">IFERROR(__xludf.DUMMYFUNCTION("""COMPUTED_VALUE"""),41.8)</f>
        <v>41.8</v>
      </c>
      <c r="I665" s="57">
        <v>21</v>
      </c>
      <c r="J665" s="10">
        <v>51.762900000000002</v>
      </c>
      <c r="K665" s="58" t="s">
        <v>28</v>
      </c>
      <c r="L665" s="57">
        <v>1826.25</v>
      </c>
      <c r="M665" s="59">
        <v>3.4</v>
      </c>
      <c r="N665" s="56" t="s">
        <v>34</v>
      </c>
      <c r="O665" s="56" t="s">
        <v>19</v>
      </c>
      <c r="P665" s="57" t="e">
        <f t="shared" ca="1" si="5"/>
        <v>#NAME?</v>
      </c>
      <c r="Q665" s="57" t="e">
        <f ca="1"/>
        <v>#NAME?</v>
      </c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</row>
    <row r="666" spans="1:28" ht="12.75">
      <c r="A666" s="67" t="s">
        <v>88</v>
      </c>
      <c r="B666" s="67" t="s">
        <v>431</v>
      </c>
      <c r="C666" s="68">
        <v>52</v>
      </c>
      <c r="D666" s="68">
        <v>173</v>
      </c>
      <c r="E666" s="68">
        <v>56</v>
      </c>
      <c r="F666" s="67" t="str">
        <v>18.7 (Normal)</v>
      </c>
      <c r="G666" s="67" t="str">
        <f t="shared" si="4"/>
        <v>Normal</v>
      </c>
      <c r="H666" s="68">
        <f ca="1">IFERROR(__xludf.DUMMYFUNCTION("""COMPUTED_VALUE"""),18.7)</f>
        <v>18.7</v>
      </c>
      <c r="I666" s="68">
        <v>21</v>
      </c>
      <c r="J666" s="10">
        <v>62.850900000000003</v>
      </c>
      <c r="K666" s="69" t="s">
        <v>18</v>
      </c>
      <c r="L666" s="68">
        <v>1386.25</v>
      </c>
      <c r="M666" s="70">
        <v>1.85</v>
      </c>
      <c r="N666" s="67" t="s">
        <v>26</v>
      </c>
      <c r="O666" s="67" t="s">
        <v>7</v>
      </c>
      <c r="P666" s="68" t="e">
        <f t="shared" ca="1" si="5"/>
        <v>#NAME?</v>
      </c>
      <c r="Q666" s="68" t="e">
        <f ca="1"/>
        <v>#NAME?</v>
      </c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</row>
    <row r="667" spans="1:28" ht="12.75">
      <c r="A667" s="60" t="s">
        <v>152</v>
      </c>
      <c r="B667" s="60" t="s">
        <v>431</v>
      </c>
      <c r="C667" s="61">
        <v>56</v>
      </c>
      <c r="D667" s="61">
        <v>155</v>
      </c>
      <c r="E667" s="61">
        <v>108</v>
      </c>
      <c r="F667" s="60" t="str">
        <v>45.0 (Obese)</v>
      </c>
      <c r="G667" s="60" t="str">
        <f t="shared" si="4"/>
        <v>Obese</v>
      </c>
      <c r="H667" s="61">
        <f ca="1">IFERROR(__xludf.DUMMYFUNCTION("""COMPUTED_VALUE"""),45)</f>
        <v>45</v>
      </c>
      <c r="I667" s="61">
        <v>21</v>
      </c>
      <c r="J667" s="62">
        <v>50.452500000000008</v>
      </c>
      <c r="K667" s="63" t="s">
        <v>28</v>
      </c>
      <c r="L667" s="61">
        <v>1773.75</v>
      </c>
      <c r="M667" s="64">
        <v>3.56</v>
      </c>
      <c r="N667" s="60" t="s">
        <v>39</v>
      </c>
      <c r="O667" s="60" t="s">
        <v>63</v>
      </c>
      <c r="P667" s="61" t="e">
        <f t="shared" ca="1" si="5"/>
        <v>#NAME?</v>
      </c>
      <c r="Q667" s="61" t="e">
        <f ca="1"/>
        <v>#NAME?</v>
      </c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</row>
    <row r="668" spans="1:28" ht="12.75">
      <c r="A668" s="60" t="s">
        <v>57</v>
      </c>
      <c r="B668" s="60" t="s">
        <v>431</v>
      </c>
      <c r="C668" s="61">
        <v>55</v>
      </c>
      <c r="D668" s="61">
        <v>170</v>
      </c>
      <c r="E668" s="61">
        <v>94</v>
      </c>
      <c r="F668" s="60" t="str">
        <v>32.5 (Obese)</v>
      </c>
      <c r="G668" s="60" t="str">
        <f t="shared" si="4"/>
        <v>Obese</v>
      </c>
      <c r="H668" s="61">
        <f ca="1">IFERROR(__xludf.DUMMYFUNCTION("""COMPUTED_VALUE"""),32.5)</f>
        <v>32.5</v>
      </c>
      <c r="I668" s="61">
        <v>21</v>
      </c>
      <c r="J668" s="62">
        <v>60.689999999999991</v>
      </c>
      <c r="K668" s="63" t="s">
        <v>28</v>
      </c>
      <c r="L668" s="61">
        <v>1732.5</v>
      </c>
      <c r="M668" s="64">
        <v>3.1</v>
      </c>
      <c r="N668" s="60" t="s">
        <v>39</v>
      </c>
      <c r="O668" s="60" t="s">
        <v>7</v>
      </c>
      <c r="P668" s="61" t="e">
        <f t="shared" ca="1" si="5"/>
        <v>#NAME?</v>
      </c>
      <c r="Q668" s="61" t="e">
        <f ca="1"/>
        <v>#NAME?</v>
      </c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</row>
    <row r="669" spans="1:28" ht="12.75">
      <c r="A669" s="60" t="s">
        <v>115</v>
      </c>
      <c r="B669" s="60" t="s">
        <v>431</v>
      </c>
      <c r="C669" s="61">
        <v>30</v>
      </c>
      <c r="D669" s="61">
        <v>171</v>
      </c>
      <c r="E669" s="61">
        <v>78</v>
      </c>
      <c r="F669" s="60" t="str">
        <v>26.7 (Overweight)</v>
      </c>
      <c r="G669" s="60" t="str">
        <f t="shared" si="4"/>
        <v>Overweight</v>
      </c>
      <c r="H669" s="61">
        <f ca="1">IFERROR(__xludf.DUMMYFUNCTION("""COMPUTED_VALUE"""),26.7)</f>
        <v>26.7</v>
      </c>
      <c r="I669" s="61">
        <v>21</v>
      </c>
      <c r="J669" s="62">
        <v>61.406099999999995</v>
      </c>
      <c r="K669" s="63" t="s">
        <v>28</v>
      </c>
      <c r="L669" s="61">
        <v>1703.75</v>
      </c>
      <c r="M669" s="64">
        <v>2.57</v>
      </c>
      <c r="N669" s="60" t="s">
        <v>39</v>
      </c>
      <c r="O669" s="60" t="s">
        <v>19</v>
      </c>
      <c r="P669" s="61" t="e">
        <f t="shared" ca="1" si="5"/>
        <v>#NAME?</v>
      </c>
      <c r="Q669" s="61" t="e">
        <f ca="1"/>
        <v>#NAME?</v>
      </c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</row>
    <row r="670" spans="1:28" ht="12.75">
      <c r="A670" s="56" t="s">
        <v>346</v>
      </c>
      <c r="B670" s="56" t="s">
        <v>431</v>
      </c>
      <c r="C670" s="57">
        <v>30</v>
      </c>
      <c r="D670" s="57">
        <v>160</v>
      </c>
      <c r="E670" s="57">
        <v>95</v>
      </c>
      <c r="F670" s="56" t="str">
        <v>37.1 (Obese)</v>
      </c>
      <c r="G670" s="56" t="str">
        <f t="shared" si="4"/>
        <v>Obese</v>
      </c>
      <c r="H670" s="57">
        <f ca="1">IFERROR(__xludf.DUMMYFUNCTION("""COMPUTED_VALUE"""),37.1)</f>
        <v>37.1</v>
      </c>
      <c r="I670" s="57">
        <v>21</v>
      </c>
      <c r="J670" s="10">
        <v>53.760000000000012</v>
      </c>
      <c r="K670" s="58" t="s">
        <v>42</v>
      </c>
      <c r="L670" s="57">
        <v>1805</v>
      </c>
      <c r="M670" s="59">
        <v>3.14</v>
      </c>
      <c r="N670" s="56" t="s">
        <v>34</v>
      </c>
      <c r="O670" s="56" t="s">
        <v>30</v>
      </c>
      <c r="P670" s="57" t="e">
        <f t="shared" ca="1" si="5"/>
        <v>#NAME?</v>
      </c>
      <c r="Q670" s="57" t="e">
        <f ca="1"/>
        <v>#NAME?</v>
      </c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</row>
    <row r="671" spans="1:28" ht="12.75">
      <c r="A671" s="75" t="s">
        <v>333</v>
      </c>
      <c r="B671" s="75" t="s">
        <v>431</v>
      </c>
      <c r="C671" s="76">
        <v>51</v>
      </c>
      <c r="D671" s="76">
        <v>155</v>
      </c>
      <c r="E671" s="76">
        <v>65</v>
      </c>
      <c r="F671" s="75" t="str">
        <v>27.1 (Overweight)</v>
      </c>
      <c r="G671" s="75" t="str">
        <f t="shared" si="4"/>
        <v>Overweight</v>
      </c>
      <c r="H671" s="76">
        <f ca="1">IFERROR(__xludf.DUMMYFUNCTION("""COMPUTED_VALUE"""),27.1)</f>
        <v>27.1</v>
      </c>
      <c r="I671" s="76">
        <v>21</v>
      </c>
      <c r="J671" s="77">
        <v>50.452500000000008</v>
      </c>
      <c r="K671" s="78" t="s">
        <v>18</v>
      </c>
      <c r="L671" s="76">
        <v>1368.75</v>
      </c>
      <c r="M671" s="79">
        <v>2.15</v>
      </c>
      <c r="N671" s="75" t="s">
        <v>16</v>
      </c>
      <c r="O671" s="75" t="s">
        <v>63</v>
      </c>
      <c r="P671" s="76" t="e">
        <f t="shared" ca="1" si="5"/>
        <v>#NAME?</v>
      </c>
      <c r="Q671" s="76" t="e">
        <f ca="1"/>
        <v>#NAME?</v>
      </c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</row>
    <row r="672" spans="1:28" ht="12.75">
      <c r="A672" s="67" t="s">
        <v>96</v>
      </c>
      <c r="B672" s="67" t="s">
        <v>431</v>
      </c>
      <c r="C672" s="68">
        <v>43</v>
      </c>
      <c r="D672" s="68">
        <v>178</v>
      </c>
      <c r="E672" s="68">
        <v>82</v>
      </c>
      <c r="F672" s="67" t="str">
        <v>25.9 (Overweight)</v>
      </c>
      <c r="G672" s="67" t="str">
        <f t="shared" si="4"/>
        <v>Overweight</v>
      </c>
      <c r="H672" s="68">
        <f ca="1">IFERROR(__xludf.DUMMYFUNCTION("""COMPUTED_VALUE"""),25.9)</f>
        <v>25.9</v>
      </c>
      <c r="I672" s="68">
        <v>21</v>
      </c>
      <c r="J672" s="10">
        <v>66.5364</v>
      </c>
      <c r="K672" s="69" t="s">
        <v>42</v>
      </c>
      <c r="L672" s="68">
        <v>1722.5</v>
      </c>
      <c r="M672" s="70">
        <v>2.71</v>
      </c>
      <c r="N672" s="67" t="s">
        <v>26</v>
      </c>
      <c r="O672" s="67" t="s">
        <v>30</v>
      </c>
      <c r="P672" s="68" t="e">
        <f t="shared" ca="1" si="5"/>
        <v>#NAME?</v>
      </c>
      <c r="Q672" s="68" t="e">
        <f ca="1"/>
        <v>#NAME?</v>
      </c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</row>
    <row r="673" spans="1:28" ht="12.75">
      <c r="A673" s="56" t="s">
        <v>167</v>
      </c>
      <c r="B673" s="56" t="s">
        <v>431</v>
      </c>
      <c r="C673" s="57">
        <v>38</v>
      </c>
      <c r="D673" s="57">
        <v>167</v>
      </c>
      <c r="E673" s="57">
        <v>86</v>
      </c>
      <c r="F673" s="56" t="str">
        <v>30.8 (Obese)</v>
      </c>
      <c r="G673" s="56" t="str">
        <f t="shared" si="4"/>
        <v>Obese</v>
      </c>
      <c r="H673" s="57">
        <f ca="1">IFERROR(__xludf.DUMMYFUNCTION("""COMPUTED_VALUE"""),30.8)</f>
        <v>30.8</v>
      </c>
      <c r="I673" s="57">
        <v>21</v>
      </c>
      <c r="J673" s="10">
        <v>58.566899999999997</v>
      </c>
      <c r="K673" s="58" t="s">
        <v>4</v>
      </c>
      <c r="L673" s="57">
        <v>1718.75</v>
      </c>
      <c r="M673" s="59">
        <v>2.84</v>
      </c>
      <c r="N673" s="56" t="s">
        <v>34</v>
      </c>
      <c r="O673" s="56" t="s">
        <v>60</v>
      </c>
      <c r="P673" s="57" t="e">
        <f t="shared" ca="1" si="5"/>
        <v>#NAME?</v>
      </c>
      <c r="Q673" s="57" t="e">
        <f ca="1"/>
        <v>#NAME?</v>
      </c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</row>
    <row r="674" spans="1:28" ht="12.75">
      <c r="A674" s="80" t="s">
        <v>162</v>
      </c>
      <c r="B674" s="29" t="s">
        <v>431</v>
      </c>
      <c r="C674" s="24">
        <v>45</v>
      </c>
      <c r="D674" s="24">
        <v>176</v>
      </c>
      <c r="E674" s="24">
        <v>56</v>
      </c>
      <c r="F674" s="9" t="str">
        <v>18.1 (Underweight)</v>
      </c>
      <c r="G674" s="9" t="str">
        <f t="shared" si="4"/>
        <v>Underweight</v>
      </c>
      <c r="H674" s="24">
        <f ca="1">IFERROR(__xludf.DUMMYFUNCTION("""COMPUTED_VALUE"""),18.1)</f>
        <v>18.100000000000001</v>
      </c>
      <c r="I674" s="24">
        <v>21</v>
      </c>
      <c r="J674" s="10">
        <v>65.049599999999998</v>
      </c>
      <c r="K674" s="11" t="s">
        <v>4</v>
      </c>
      <c r="L674" s="24">
        <v>1440</v>
      </c>
      <c r="M674" s="26">
        <v>1.85</v>
      </c>
      <c r="N674" s="9" t="s">
        <v>26</v>
      </c>
      <c r="O674" s="9" t="s">
        <v>7</v>
      </c>
      <c r="P674" s="27" t="e">
        <f t="shared" ca="1" si="5"/>
        <v>#NAME?</v>
      </c>
      <c r="Q674" s="28" t="e">
        <f ca="1"/>
        <v>#NAME?</v>
      </c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2.75">
      <c r="A675" s="80" t="s">
        <v>105</v>
      </c>
      <c r="B675" s="29" t="s">
        <v>431</v>
      </c>
      <c r="C675" s="24">
        <v>51</v>
      </c>
      <c r="D675" s="24">
        <v>163</v>
      </c>
      <c r="E675" s="24">
        <v>50</v>
      </c>
      <c r="F675" s="9" t="str">
        <v>18.8 (Normal)</v>
      </c>
      <c r="G675" s="9" t="str">
        <f t="shared" si="4"/>
        <v>Normal</v>
      </c>
      <c r="H675" s="24">
        <f ca="1">IFERROR(__xludf.DUMMYFUNCTION("""COMPUTED_VALUE"""),18.8)</f>
        <v>18.8</v>
      </c>
      <c r="I675" s="24">
        <v>21</v>
      </c>
      <c r="J675" s="10">
        <v>55.794899999999998</v>
      </c>
      <c r="K675" s="11" t="s">
        <v>4</v>
      </c>
      <c r="L675" s="24">
        <v>1268.75</v>
      </c>
      <c r="M675" s="26">
        <v>1.65</v>
      </c>
      <c r="N675" s="9" t="s">
        <v>26</v>
      </c>
      <c r="O675" s="9" t="s">
        <v>19</v>
      </c>
      <c r="P675" s="27" t="e">
        <f t="shared" ca="1" si="5"/>
        <v>#NAME?</v>
      </c>
      <c r="Q675" s="28" t="e">
        <f ca="1"/>
        <v>#NAME?</v>
      </c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2.75">
      <c r="A676" s="80" t="s">
        <v>159</v>
      </c>
      <c r="B676" s="29" t="s">
        <v>431</v>
      </c>
      <c r="C676" s="24">
        <v>22</v>
      </c>
      <c r="D676" s="24">
        <v>162</v>
      </c>
      <c r="E676" s="24">
        <v>101</v>
      </c>
      <c r="F676" s="9" t="str">
        <v>38.5 (Obese)</v>
      </c>
      <c r="G676" s="9" t="str">
        <f t="shared" si="4"/>
        <v>Obese</v>
      </c>
      <c r="H676" s="24">
        <f ca="1">IFERROR(__xludf.DUMMYFUNCTION("""COMPUTED_VALUE"""),38.5)</f>
        <v>38.5</v>
      </c>
      <c r="I676" s="24">
        <v>21</v>
      </c>
      <c r="J676" s="10">
        <v>55.112400000000008</v>
      </c>
      <c r="K676" s="11" t="s">
        <v>28</v>
      </c>
      <c r="L676" s="24">
        <v>1917.5</v>
      </c>
      <c r="M676" s="26">
        <v>3.33</v>
      </c>
      <c r="N676" s="9" t="s">
        <v>16</v>
      </c>
      <c r="O676" s="9" t="s">
        <v>19</v>
      </c>
      <c r="P676" s="27" t="e">
        <f t="shared" ca="1" si="5"/>
        <v>#NAME?</v>
      </c>
      <c r="Q676" s="28" t="e">
        <f ca="1"/>
        <v>#NAME?</v>
      </c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2.75">
      <c r="A677" s="80" t="s">
        <v>201</v>
      </c>
      <c r="B677" s="29" t="s">
        <v>431</v>
      </c>
      <c r="C677" s="24">
        <v>34</v>
      </c>
      <c r="D677" s="24">
        <v>176</v>
      </c>
      <c r="E677" s="24">
        <v>64</v>
      </c>
      <c r="F677" s="9" t="str">
        <v>20.7 (Normal)</v>
      </c>
      <c r="G677" s="9" t="str">
        <f t="shared" si="4"/>
        <v>Normal</v>
      </c>
      <c r="H677" s="24">
        <f ca="1">IFERROR(__xludf.DUMMYFUNCTION("""COMPUTED_VALUE"""),20.7)</f>
        <v>20.7</v>
      </c>
      <c r="I677" s="24">
        <v>21</v>
      </c>
      <c r="J677" s="10">
        <v>65.049599999999998</v>
      </c>
      <c r="K677" s="11" t="s">
        <v>4</v>
      </c>
      <c r="L677" s="24">
        <v>1575</v>
      </c>
      <c r="M677" s="26">
        <v>2.11</v>
      </c>
      <c r="N677" s="9" t="s">
        <v>34</v>
      </c>
      <c r="O677" s="9" t="s">
        <v>7</v>
      </c>
      <c r="P677" s="27" t="e">
        <f t="shared" ca="1" si="5"/>
        <v>#NAME?</v>
      </c>
      <c r="Q677" s="28" t="e">
        <f ca="1"/>
        <v>#NAME?</v>
      </c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2.75">
      <c r="A678" s="9" t="s">
        <v>433</v>
      </c>
      <c r="B678" s="29" t="s">
        <v>431</v>
      </c>
      <c r="C678" s="24">
        <v>50</v>
      </c>
      <c r="D678" s="24">
        <v>173</v>
      </c>
      <c r="E678" s="24">
        <v>73</v>
      </c>
      <c r="F678" s="9" t="str">
        <v>24.4 (Normal)</v>
      </c>
      <c r="G678" s="9" t="str">
        <f t="shared" si="4"/>
        <v>Normal</v>
      </c>
      <c r="H678" s="24">
        <f ca="1">IFERROR(__xludf.DUMMYFUNCTION("""COMPUTED_VALUE"""),24.4)</f>
        <v>24.4</v>
      </c>
      <c r="I678" s="24">
        <v>21</v>
      </c>
      <c r="J678" s="10">
        <v>62.850900000000003</v>
      </c>
      <c r="K678" s="11" t="s">
        <v>28</v>
      </c>
      <c r="L678" s="24">
        <v>1566.25</v>
      </c>
      <c r="M678" s="26">
        <v>2.41</v>
      </c>
      <c r="N678" s="9" t="s">
        <v>34</v>
      </c>
      <c r="O678" s="9" t="s">
        <v>60</v>
      </c>
      <c r="P678" s="27" t="e">
        <f t="shared" ca="1" si="5"/>
        <v>#NAME?</v>
      </c>
      <c r="Q678" s="28" t="e">
        <f ca="1"/>
        <v>#NAME?</v>
      </c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2.75">
      <c r="A679" s="9" t="s">
        <v>347</v>
      </c>
      <c r="B679" s="29" t="s">
        <v>431</v>
      </c>
      <c r="C679" s="24">
        <v>42</v>
      </c>
      <c r="D679" s="24">
        <v>169</v>
      </c>
      <c r="E679" s="24">
        <v>93</v>
      </c>
      <c r="F679" s="9" t="str">
        <v>32.6 (Obese)</v>
      </c>
      <c r="G679" s="9" t="str">
        <f t="shared" si="4"/>
        <v>Obese</v>
      </c>
      <c r="H679" s="24">
        <f ca="1">IFERROR(__xludf.DUMMYFUNCTION("""COMPUTED_VALUE"""),32.6)</f>
        <v>32.6</v>
      </c>
      <c r="I679" s="24">
        <v>21</v>
      </c>
      <c r="J679" s="10">
        <v>59.978099999999991</v>
      </c>
      <c r="K679" s="11" t="s">
        <v>18</v>
      </c>
      <c r="L679" s="24">
        <v>1781.25</v>
      </c>
      <c r="M679" s="26">
        <v>3.07</v>
      </c>
      <c r="N679" s="9" t="s">
        <v>39</v>
      </c>
      <c r="O679" s="9" t="s">
        <v>30</v>
      </c>
      <c r="P679" s="27" t="e">
        <f t="shared" ca="1" si="5"/>
        <v>#NAME?</v>
      </c>
      <c r="Q679" s="28" t="e">
        <f ca="1"/>
        <v>#NAME?</v>
      </c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2.75">
      <c r="A680" s="9" t="s">
        <v>265</v>
      </c>
      <c r="B680" s="29" t="s">
        <v>431</v>
      </c>
      <c r="C680" s="24">
        <v>32</v>
      </c>
      <c r="D680" s="24">
        <v>182</v>
      </c>
      <c r="E680" s="24">
        <v>103</v>
      </c>
      <c r="F680" s="9" t="str">
        <v>31.1 (Obese)</v>
      </c>
      <c r="G680" s="9" t="str">
        <f t="shared" si="4"/>
        <v>Obese</v>
      </c>
      <c r="H680" s="24">
        <f ca="1">IFERROR(__xludf.DUMMYFUNCTION("""COMPUTED_VALUE"""),31.1)</f>
        <v>31.1</v>
      </c>
      <c r="I680" s="24">
        <v>21</v>
      </c>
      <c r="J680" s="10">
        <v>69.560400000000001</v>
      </c>
      <c r="K680" s="11" t="s">
        <v>18</v>
      </c>
      <c r="L680" s="24">
        <v>2012.5</v>
      </c>
      <c r="M680" s="26">
        <v>3.4</v>
      </c>
      <c r="N680" s="9" t="s">
        <v>16</v>
      </c>
      <c r="O680" s="9" t="s">
        <v>63</v>
      </c>
      <c r="P680" s="27" t="e">
        <f t="shared" ca="1" si="5"/>
        <v>#NAME?</v>
      </c>
      <c r="Q680" s="28" t="e">
        <f ca="1"/>
        <v>#NAME?</v>
      </c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2.75">
      <c r="A681" s="9" t="s">
        <v>99</v>
      </c>
      <c r="B681" s="29" t="s">
        <v>431</v>
      </c>
      <c r="C681" s="24">
        <v>27</v>
      </c>
      <c r="D681" s="24">
        <v>188</v>
      </c>
      <c r="E681" s="24">
        <v>84</v>
      </c>
      <c r="F681" s="9" t="str">
        <v>23.8 (Normal)</v>
      </c>
      <c r="G681" s="9" t="str">
        <f t="shared" si="4"/>
        <v>Normal</v>
      </c>
      <c r="H681" s="24">
        <f ca="1">IFERROR(__xludf.DUMMYFUNCTION("""COMPUTED_VALUE"""),23.8)</f>
        <v>23.8</v>
      </c>
      <c r="I681" s="24">
        <v>21</v>
      </c>
      <c r="J681" s="10">
        <v>74.222399999999993</v>
      </c>
      <c r="K681" s="11" t="s">
        <v>42</v>
      </c>
      <c r="L681" s="24">
        <v>1885</v>
      </c>
      <c r="M681" s="26">
        <v>2.77</v>
      </c>
      <c r="N681" s="9" t="s">
        <v>16</v>
      </c>
      <c r="O681" s="9" t="s">
        <v>60</v>
      </c>
      <c r="P681" s="27" t="e">
        <f t="shared" ca="1" si="5"/>
        <v>#NAME?</v>
      </c>
      <c r="Q681" s="28" t="e">
        <f ca="1"/>
        <v>#NAME?</v>
      </c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2.75">
      <c r="A682" s="9" t="s">
        <v>195</v>
      </c>
      <c r="B682" s="29" t="s">
        <v>431</v>
      </c>
      <c r="C682" s="24">
        <v>37</v>
      </c>
      <c r="D682" s="24">
        <v>184</v>
      </c>
      <c r="E682" s="24">
        <v>78</v>
      </c>
      <c r="F682" s="9" t="str">
        <v>23.0 (Normal)</v>
      </c>
      <c r="G682" s="9" t="str">
        <f t="shared" si="4"/>
        <v>Normal</v>
      </c>
      <c r="H682" s="24">
        <f ca="1">IFERROR(__xludf.DUMMYFUNCTION("""COMPUTED_VALUE"""),23)</f>
        <v>23</v>
      </c>
      <c r="I682" s="24">
        <v>21</v>
      </c>
      <c r="J682" s="10">
        <v>71.0976</v>
      </c>
      <c r="K682" s="11" t="s">
        <v>28</v>
      </c>
      <c r="L682" s="24">
        <v>1750</v>
      </c>
      <c r="M682" s="26">
        <v>2.57</v>
      </c>
      <c r="N682" s="9" t="s">
        <v>26</v>
      </c>
      <c r="O682" s="9" t="s">
        <v>60</v>
      </c>
      <c r="P682" s="27" t="e">
        <f t="shared" ca="1" si="5"/>
        <v>#NAME?</v>
      </c>
      <c r="Q682" s="28" t="e">
        <f ca="1"/>
        <v>#NAME?</v>
      </c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2.75">
      <c r="A683" s="9" t="s">
        <v>176</v>
      </c>
      <c r="B683" s="29" t="s">
        <v>431</v>
      </c>
      <c r="C683" s="24">
        <v>52</v>
      </c>
      <c r="D683" s="24">
        <v>167</v>
      </c>
      <c r="E683" s="24">
        <v>58</v>
      </c>
      <c r="F683" s="9" t="str">
        <v>20.8 (Normal)</v>
      </c>
      <c r="G683" s="9" t="str">
        <f t="shared" si="4"/>
        <v>Normal</v>
      </c>
      <c r="H683" s="24">
        <f ca="1">IFERROR(__xludf.DUMMYFUNCTION("""COMPUTED_VALUE"""),20.8)</f>
        <v>20.8</v>
      </c>
      <c r="I683" s="24">
        <v>21</v>
      </c>
      <c r="J683" s="10">
        <v>58.566899999999997</v>
      </c>
      <c r="K683" s="11" t="s">
        <v>28</v>
      </c>
      <c r="L683" s="24">
        <v>1368.75</v>
      </c>
      <c r="M683" s="26">
        <v>1.91</v>
      </c>
      <c r="N683" s="9" t="s">
        <v>34</v>
      </c>
      <c r="O683" s="9" t="s">
        <v>19</v>
      </c>
      <c r="P683" s="27" t="e">
        <f t="shared" ca="1" si="5"/>
        <v>#NAME?</v>
      </c>
      <c r="Q683" s="28" t="e">
        <f ca="1"/>
        <v>#NAME?</v>
      </c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2.75">
      <c r="A684" s="9" t="s">
        <v>252</v>
      </c>
      <c r="B684" s="29" t="s">
        <v>431</v>
      </c>
      <c r="C684" s="24">
        <v>55</v>
      </c>
      <c r="D684" s="24">
        <v>176</v>
      </c>
      <c r="E684" s="24">
        <v>84</v>
      </c>
      <c r="F684" s="9" t="str">
        <v>27.1 (Overweight)</v>
      </c>
      <c r="G684" s="9" t="str">
        <f t="shared" si="4"/>
        <v>Overweight</v>
      </c>
      <c r="H684" s="24">
        <f ca="1">IFERROR(__xludf.DUMMYFUNCTION("""COMPUTED_VALUE"""),27.1)</f>
        <v>27.1</v>
      </c>
      <c r="I684" s="24">
        <v>21</v>
      </c>
      <c r="J684" s="10">
        <v>65.049599999999998</v>
      </c>
      <c r="K684" s="11" t="s">
        <v>4</v>
      </c>
      <c r="L684" s="24">
        <v>1670</v>
      </c>
      <c r="M684" s="26">
        <v>2.77</v>
      </c>
      <c r="N684" s="9" t="s">
        <v>34</v>
      </c>
      <c r="O684" s="9" t="s">
        <v>30</v>
      </c>
      <c r="P684" s="27" t="e">
        <f t="shared" ca="1" si="5"/>
        <v>#NAME?</v>
      </c>
      <c r="Q684" s="28" t="e">
        <f ca="1"/>
        <v>#NAME?</v>
      </c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2.75">
      <c r="A685" s="9" t="s">
        <v>174</v>
      </c>
      <c r="B685" s="29" t="s">
        <v>431</v>
      </c>
      <c r="C685" s="24">
        <v>54</v>
      </c>
      <c r="D685" s="24">
        <v>172</v>
      </c>
      <c r="E685" s="24">
        <v>81</v>
      </c>
      <c r="F685" s="9" t="str">
        <v>27.4 (Overweight)</v>
      </c>
      <c r="G685" s="9" t="str">
        <f t="shared" si="4"/>
        <v>Overweight</v>
      </c>
      <c r="H685" s="24">
        <f ca="1">IFERROR(__xludf.DUMMYFUNCTION("""COMPUTED_VALUE"""),27.4)</f>
        <v>27.4</v>
      </c>
      <c r="I685" s="24">
        <v>21</v>
      </c>
      <c r="J685" s="10">
        <v>62.126399999999997</v>
      </c>
      <c r="K685" s="11" t="s">
        <v>18</v>
      </c>
      <c r="L685" s="24">
        <v>1620</v>
      </c>
      <c r="M685" s="26">
        <v>2.67</v>
      </c>
      <c r="N685" s="9" t="s">
        <v>34</v>
      </c>
      <c r="O685" s="9" t="s">
        <v>63</v>
      </c>
      <c r="P685" s="27" t="e">
        <f t="shared" ca="1" si="5"/>
        <v>#NAME?</v>
      </c>
      <c r="Q685" s="28" t="e">
        <f ca="1"/>
        <v>#NAME?</v>
      </c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2.75">
      <c r="A686" s="9" t="s">
        <v>67</v>
      </c>
      <c r="B686" s="29" t="s">
        <v>431</v>
      </c>
      <c r="C686" s="24">
        <v>40</v>
      </c>
      <c r="D686" s="24">
        <v>180</v>
      </c>
      <c r="E686" s="24">
        <v>80</v>
      </c>
      <c r="F686" s="9" t="str">
        <v>24.7 (Normal)</v>
      </c>
      <c r="G686" s="9" t="str">
        <f t="shared" si="4"/>
        <v>Normal</v>
      </c>
      <c r="H686" s="24">
        <f ca="1">IFERROR(__xludf.DUMMYFUNCTION("""COMPUTED_VALUE"""),24.7)</f>
        <v>24.7</v>
      </c>
      <c r="I686" s="24">
        <v>21</v>
      </c>
      <c r="J686" s="10">
        <v>68.040000000000006</v>
      </c>
      <c r="K686" s="11" t="s">
        <v>18</v>
      </c>
      <c r="L686" s="24">
        <v>1730</v>
      </c>
      <c r="M686" s="26">
        <v>2.64</v>
      </c>
      <c r="N686" s="9" t="s">
        <v>16</v>
      </c>
      <c r="O686" s="9" t="s">
        <v>7</v>
      </c>
      <c r="P686" s="27" t="e">
        <f t="shared" ca="1" si="5"/>
        <v>#NAME?</v>
      </c>
      <c r="Q686" s="28" t="e">
        <f ca="1"/>
        <v>#NAME?</v>
      </c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2.75">
      <c r="A687" s="9" t="s">
        <v>348</v>
      </c>
      <c r="B687" s="29" t="s">
        <v>431</v>
      </c>
      <c r="C687" s="24">
        <v>38</v>
      </c>
      <c r="D687" s="24">
        <v>182</v>
      </c>
      <c r="E687" s="24">
        <v>85</v>
      </c>
      <c r="F687" s="9" t="str">
        <v>25.7 (Overweight)</v>
      </c>
      <c r="G687" s="9" t="str">
        <f t="shared" si="4"/>
        <v>Overweight</v>
      </c>
      <c r="H687" s="24">
        <f ca="1">IFERROR(__xludf.DUMMYFUNCTION("""COMPUTED_VALUE"""),25.7)</f>
        <v>25.7</v>
      </c>
      <c r="I687" s="24">
        <v>21</v>
      </c>
      <c r="J687" s="10">
        <v>69.560400000000001</v>
      </c>
      <c r="K687" s="11" t="s">
        <v>28</v>
      </c>
      <c r="L687" s="24">
        <v>1802.5</v>
      </c>
      <c r="M687" s="26">
        <v>2.81</v>
      </c>
      <c r="N687" s="9" t="s">
        <v>26</v>
      </c>
      <c r="O687" s="9" t="s">
        <v>37</v>
      </c>
      <c r="P687" s="27" t="e">
        <f t="shared" ca="1" si="5"/>
        <v>#NAME?</v>
      </c>
      <c r="Q687" s="28" t="e">
        <f ca="1"/>
        <v>#NAME?</v>
      </c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2.75">
      <c r="A688" s="9" t="s">
        <v>43</v>
      </c>
      <c r="B688" s="29" t="s">
        <v>431</v>
      </c>
      <c r="C688" s="24">
        <v>56</v>
      </c>
      <c r="D688" s="24">
        <v>158</v>
      </c>
      <c r="E688" s="24">
        <v>89</v>
      </c>
      <c r="F688" s="9" t="str">
        <v>35.7 (Obese)</v>
      </c>
      <c r="G688" s="9" t="str">
        <f t="shared" si="4"/>
        <v>Obese</v>
      </c>
      <c r="H688" s="24">
        <f ca="1">IFERROR(__xludf.DUMMYFUNCTION("""COMPUTED_VALUE"""),35.7)</f>
        <v>35.700000000000003</v>
      </c>
      <c r="I688" s="24">
        <v>21</v>
      </c>
      <c r="J688" s="10">
        <v>52.424400000000006</v>
      </c>
      <c r="K688" s="11" t="s">
        <v>42</v>
      </c>
      <c r="L688" s="24">
        <v>1602.5</v>
      </c>
      <c r="M688" s="26">
        <v>2.94</v>
      </c>
      <c r="N688" s="9" t="s">
        <v>39</v>
      </c>
      <c r="O688" s="9" t="s">
        <v>30</v>
      </c>
      <c r="P688" s="27" t="e">
        <f t="shared" ca="1" si="5"/>
        <v>#NAME?</v>
      </c>
      <c r="Q688" s="28" t="e">
        <f ca="1"/>
        <v>#NAME?</v>
      </c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2.75">
      <c r="A689" s="9" t="s">
        <v>291</v>
      </c>
      <c r="B689" s="29" t="s">
        <v>431</v>
      </c>
      <c r="C689" s="24">
        <v>41</v>
      </c>
      <c r="D689" s="24">
        <v>188</v>
      </c>
      <c r="E689" s="24">
        <v>85</v>
      </c>
      <c r="F689" s="9" t="str">
        <v>24.0 (Normal)</v>
      </c>
      <c r="G689" s="9" t="str">
        <f t="shared" si="4"/>
        <v>Normal</v>
      </c>
      <c r="H689" s="24">
        <f ca="1">IFERROR(__xludf.DUMMYFUNCTION("""COMPUTED_VALUE"""),24)</f>
        <v>24</v>
      </c>
      <c r="I689" s="24">
        <v>21</v>
      </c>
      <c r="J689" s="10">
        <v>74.222399999999993</v>
      </c>
      <c r="K689" s="11" t="s">
        <v>28</v>
      </c>
      <c r="L689" s="24">
        <v>1825</v>
      </c>
      <c r="M689" s="26">
        <v>2.81</v>
      </c>
      <c r="N689" s="9" t="s">
        <v>26</v>
      </c>
      <c r="O689" s="9" t="s">
        <v>19</v>
      </c>
      <c r="P689" s="27" t="e">
        <f t="shared" ca="1" si="5"/>
        <v>#NAME?</v>
      </c>
      <c r="Q689" s="28" t="e">
        <f ca="1"/>
        <v>#NAME?</v>
      </c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2.75">
      <c r="A690" s="9" t="s">
        <v>318</v>
      </c>
      <c r="B690" s="29" t="s">
        <v>431</v>
      </c>
      <c r="C690" s="24">
        <v>37</v>
      </c>
      <c r="D690" s="24">
        <v>158</v>
      </c>
      <c r="E690" s="24">
        <v>108</v>
      </c>
      <c r="F690" s="9" t="str">
        <v>43.3 (Obese)</v>
      </c>
      <c r="G690" s="9" t="str">
        <f t="shared" si="4"/>
        <v>Obese</v>
      </c>
      <c r="H690" s="24">
        <f ca="1">IFERROR(__xludf.DUMMYFUNCTION("""COMPUTED_VALUE"""),43.3)</f>
        <v>43.3</v>
      </c>
      <c r="I690" s="24">
        <v>21</v>
      </c>
      <c r="J690" s="10">
        <v>52.424400000000006</v>
      </c>
      <c r="K690" s="11" t="s">
        <v>4</v>
      </c>
      <c r="L690" s="24">
        <v>1887.5</v>
      </c>
      <c r="M690" s="26">
        <v>3.56</v>
      </c>
      <c r="N690" s="9" t="s">
        <v>16</v>
      </c>
      <c r="O690" s="9" t="s">
        <v>19</v>
      </c>
      <c r="P690" s="27" t="e">
        <f t="shared" ca="1" si="5"/>
        <v>#NAME?</v>
      </c>
      <c r="Q690" s="28" t="e">
        <f ca="1"/>
        <v>#NAME?</v>
      </c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2.75">
      <c r="A691" s="9" t="s">
        <v>163</v>
      </c>
      <c r="B691" s="29" t="s">
        <v>431</v>
      </c>
      <c r="C691" s="24">
        <v>37</v>
      </c>
      <c r="D691" s="24">
        <v>171</v>
      </c>
      <c r="E691" s="24">
        <v>99</v>
      </c>
      <c r="F691" s="9" t="str">
        <v>33.9 (Obese)</v>
      </c>
      <c r="G691" s="9" t="str">
        <f t="shared" si="4"/>
        <v>Obese</v>
      </c>
      <c r="H691" s="24">
        <f ca="1">IFERROR(__xludf.DUMMYFUNCTION("""COMPUTED_VALUE"""),33.9)</f>
        <v>33.9</v>
      </c>
      <c r="I691" s="24">
        <v>21</v>
      </c>
      <c r="J691" s="10">
        <v>61.406099999999995</v>
      </c>
      <c r="K691" s="11" t="s">
        <v>18</v>
      </c>
      <c r="L691" s="24">
        <v>1878.75</v>
      </c>
      <c r="M691" s="26">
        <v>3.27</v>
      </c>
      <c r="N691" s="9" t="s">
        <v>39</v>
      </c>
      <c r="O691" s="9" t="s">
        <v>19</v>
      </c>
      <c r="P691" s="27" t="e">
        <f t="shared" ca="1" si="5"/>
        <v>#NAME?</v>
      </c>
      <c r="Q691" s="28" t="e">
        <f ca="1"/>
        <v>#NAME?</v>
      </c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2.75">
      <c r="A692" s="9" t="s">
        <v>145</v>
      </c>
      <c r="B692" s="29" t="s">
        <v>431</v>
      </c>
      <c r="C692" s="24">
        <v>43</v>
      </c>
      <c r="D692" s="24">
        <v>169</v>
      </c>
      <c r="E692" s="24">
        <v>70</v>
      </c>
      <c r="F692" s="9" t="str">
        <v>24.5 (Normal)</v>
      </c>
      <c r="G692" s="9" t="str">
        <f t="shared" si="4"/>
        <v>Normal</v>
      </c>
      <c r="H692" s="24">
        <f ca="1">IFERROR(__xludf.DUMMYFUNCTION("""COMPUTED_VALUE"""),24.5)</f>
        <v>24.5</v>
      </c>
      <c r="I692" s="24">
        <v>21</v>
      </c>
      <c r="J692" s="10">
        <v>59.978099999999991</v>
      </c>
      <c r="K692" s="11" t="s">
        <v>4</v>
      </c>
      <c r="L692" s="24">
        <v>1546.25</v>
      </c>
      <c r="M692" s="26">
        <v>2.31</v>
      </c>
      <c r="N692" s="9" t="s">
        <v>26</v>
      </c>
      <c r="O692" s="9" t="s">
        <v>60</v>
      </c>
      <c r="P692" s="27" t="e">
        <f t="shared" ca="1" si="5"/>
        <v>#NAME?</v>
      </c>
      <c r="Q692" s="28" t="e">
        <f ca="1"/>
        <v>#NAME?</v>
      </c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2.75">
      <c r="A693" s="9" t="s">
        <v>349</v>
      </c>
      <c r="B693" s="29" t="s">
        <v>431</v>
      </c>
      <c r="C693" s="24">
        <v>27</v>
      </c>
      <c r="D693" s="24">
        <v>163</v>
      </c>
      <c r="E693" s="24">
        <v>108</v>
      </c>
      <c r="F693" s="9" t="str">
        <v>40.6 (Obese)</v>
      </c>
      <c r="G693" s="9" t="str">
        <f t="shared" si="4"/>
        <v>Obese</v>
      </c>
      <c r="H693" s="24">
        <f ca="1">IFERROR(__xludf.DUMMYFUNCTION("""COMPUTED_VALUE"""),40.6)</f>
        <v>40.6</v>
      </c>
      <c r="I693" s="24">
        <v>21</v>
      </c>
      <c r="J693" s="10">
        <v>55.794899999999998</v>
      </c>
      <c r="K693" s="11" t="s">
        <v>28</v>
      </c>
      <c r="L693" s="24">
        <v>1968.75</v>
      </c>
      <c r="M693" s="26">
        <v>3.56</v>
      </c>
      <c r="N693" s="9" t="s">
        <v>16</v>
      </c>
      <c r="O693" s="9" t="s">
        <v>7</v>
      </c>
      <c r="P693" s="27" t="e">
        <f t="shared" ca="1" si="5"/>
        <v>#NAME?</v>
      </c>
      <c r="Q693" s="28" t="e">
        <f ca="1"/>
        <v>#NAME?</v>
      </c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2.75">
      <c r="A694" s="9" t="s">
        <v>350</v>
      </c>
      <c r="B694" s="29" t="s">
        <v>431</v>
      </c>
      <c r="C694" s="24">
        <v>53</v>
      </c>
      <c r="D694" s="24">
        <v>170</v>
      </c>
      <c r="E694" s="24">
        <v>65</v>
      </c>
      <c r="F694" s="9" t="str">
        <v>22.5 (Normal)</v>
      </c>
      <c r="G694" s="9" t="str">
        <f t="shared" si="4"/>
        <v>Normal</v>
      </c>
      <c r="H694" s="24">
        <f ca="1">IFERROR(__xludf.DUMMYFUNCTION("""COMPUTED_VALUE"""),22.5)</f>
        <v>22.5</v>
      </c>
      <c r="I694" s="24">
        <v>21</v>
      </c>
      <c r="J694" s="10">
        <v>60.689999999999991</v>
      </c>
      <c r="K694" s="11" t="s">
        <v>18</v>
      </c>
      <c r="L694" s="24">
        <v>1452.5</v>
      </c>
      <c r="M694" s="26">
        <v>2.15</v>
      </c>
      <c r="N694" s="9" t="s">
        <v>39</v>
      </c>
      <c r="O694" s="9" t="s">
        <v>63</v>
      </c>
      <c r="P694" s="27" t="e">
        <f t="shared" ca="1" si="5"/>
        <v>#NAME?</v>
      </c>
      <c r="Q694" s="28" t="e">
        <f ca="1"/>
        <v>#NAME?</v>
      </c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2.75">
      <c r="A695" s="9" t="s">
        <v>57</v>
      </c>
      <c r="B695" s="29" t="s">
        <v>431</v>
      </c>
      <c r="C695" s="24">
        <v>53</v>
      </c>
      <c r="D695" s="24">
        <v>164</v>
      </c>
      <c r="E695" s="24">
        <v>89</v>
      </c>
      <c r="F695" s="9" t="str">
        <v>33.1 (Obese)</v>
      </c>
      <c r="G695" s="9" t="str">
        <f t="shared" si="4"/>
        <v>Obese</v>
      </c>
      <c r="H695" s="24">
        <f ca="1">IFERROR(__xludf.DUMMYFUNCTION("""COMPUTED_VALUE"""),33.1)</f>
        <v>33.1</v>
      </c>
      <c r="I695" s="24">
        <v>21</v>
      </c>
      <c r="J695" s="10">
        <v>56.481599999999993</v>
      </c>
      <c r="K695" s="11" t="s">
        <v>18</v>
      </c>
      <c r="L695" s="24">
        <v>1655</v>
      </c>
      <c r="M695" s="26">
        <v>2.94</v>
      </c>
      <c r="N695" s="9" t="s">
        <v>34</v>
      </c>
      <c r="O695" s="9" t="s">
        <v>63</v>
      </c>
      <c r="P695" s="27" t="e">
        <f t="shared" ca="1" si="5"/>
        <v>#NAME?</v>
      </c>
      <c r="Q695" s="28" t="e">
        <f ca="1"/>
        <v>#NAME?</v>
      </c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2.75">
      <c r="A696" s="9" t="s">
        <v>70</v>
      </c>
      <c r="B696" s="29" t="s">
        <v>431</v>
      </c>
      <c r="C696" s="24">
        <v>45</v>
      </c>
      <c r="D696" s="24">
        <v>159</v>
      </c>
      <c r="E696" s="24">
        <v>105</v>
      </c>
      <c r="F696" s="9" t="str">
        <v>41.5 (Obese)</v>
      </c>
      <c r="G696" s="9" t="str">
        <f t="shared" si="4"/>
        <v>Obese</v>
      </c>
      <c r="H696" s="24">
        <f ca="1">IFERROR(__xludf.DUMMYFUNCTION("""COMPUTED_VALUE"""),41.5)</f>
        <v>41.5</v>
      </c>
      <c r="I696" s="24">
        <v>21</v>
      </c>
      <c r="J696" s="10">
        <v>53.090100000000007</v>
      </c>
      <c r="K696" s="11" t="s">
        <v>42</v>
      </c>
      <c r="L696" s="24">
        <v>1823.75</v>
      </c>
      <c r="M696" s="26">
        <v>3.47</v>
      </c>
      <c r="N696" s="9" t="s">
        <v>16</v>
      </c>
      <c r="O696" s="9" t="s">
        <v>60</v>
      </c>
      <c r="P696" s="27" t="e">
        <f t="shared" ca="1" si="5"/>
        <v>#NAME?</v>
      </c>
      <c r="Q696" s="28" t="e">
        <f ca="1"/>
        <v>#NAME?</v>
      </c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2.75">
      <c r="A697" s="9" t="s">
        <v>172</v>
      </c>
      <c r="B697" s="29" t="s">
        <v>431</v>
      </c>
      <c r="C697" s="24">
        <v>59</v>
      </c>
      <c r="D697" s="24">
        <v>170</v>
      </c>
      <c r="E697" s="24">
        <v>109</v>
      </c>
      <c r="F697" s="9" t="str">
        <v>37.7 (Obese)</v>
      </c>
      <c r="G697" s="9" t="str">
        <f t="shared" si="4"/>
        <v>Obese</v>
      </c>
      <c r="H697" s="24">
        <f ca="1">IFERROR(__xludf.DUMMYFUNCTION("""COMPUTED_VALUE"""),37.7)</f>
        <v>37.700000000000003</v>
      </c>
      <c r="I697" s="24">
        <v>21</v>
      </c>
      <c r="J697" s="10">
        <v>60.689999999999991</v>
      </c>
      <c r="K697" s="11" t="s">
        <v>42</v>
      </c>
      <c r="L697" s="24">
        <v>1862.5</v>
      </c>
      <c r="M697" s="26">
        <v>3.6</v>
      </c>
      <c r="N697" s="9" t="s">
        <v>26</v>
      </c>
      <c r="O697" s="9" t="s">
        <v>37</v>
      </c>
      <c r="P697" s="27" t="e">
        <f t="shared" ca="1" si="5"/>
        <v>#NAME?</v>
      </c>
      <c r="Q697" s="28" t="e">
        <f ca="1"/>
        <v>#NAME?</v>
      </c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2.75">
      <c r="A698" s="9" t="s">
        <v>95</v>
      </c>
      <c r="B698" s="29" t="s">
        <v>431</v>
      </c>
      <c r="C698" s="24">
        <v>50</v>
      </c>
      <c r="D698" s="24">
        <v>166</v>
      </c>
      <c r="E698" s="24">
        <v>64</v>
      </c>
      <c r="F698" s="9" t="str">
        <v>23.2 (Normal)</v>
      </c>
      <c r="G698" s="9" t="str">
        <f t="shared" si="4"/>
        <v>Normal</v>
      </c>
      <c r="H698" s="24">
        <f ca="1">IFERROR(__xludf.DUMMYFUNCTION("""COMPUTED_VALUE"""),23.2)</f>
        <v>23.2</v>
      </c>
      <c r="I698" s="24">
        <v>21</v>
      </c>
      <c r="J698" s="10">
        <v>57.867599999999996</v>
      </c>
      <c r="K698" s="11" t="s">
        <v>42</v>
      </c>
      <c r="L698" s="24">
        <v>1432.5</v>
      </c>
      <c r="M698" s="26">
        <v>2.11</v>
      </c>
      <c r="N698" s="9" t="s">
        <v>34</v>
      </c>
      <c r="O698" s="9" t="s">
        <v>19</v>
      </c>
      <c r="P698" s="27" t="e">
        <f t="shared" ca="1" si="5"/>
        <v>#NAME?</v>
      </c>
      <c r="Q698" s="28" t="e">
        <f ca="1"/>
        <v>#NAME?</v>
      </c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2.75">
      <c r="A699" s="9" t="s">
        <v>115</v>
      </c>
      <c r="B699" s="29" t="s">
        <v>431</v>
      </c>
      <c r="C699" s="24">
        <v>33</v>
      </c>
      <c r="D699" s="24">
        <v>175</v>
      </c>
      <c r="E699" s="24">
        <v>81</v>
      </c>
      <c r="F699" s="9" t="str">
        <v>26.4 (Overweight)</v>
      </c>
      <c r="G699" s="9" t="str">
        <f t="shared" si="4"/>
        <v>Overweight</v>
      </c>
      <c r="H699" s="24">
        <f ca="1">IFERROR(__xludf.DUMMYFUNCTION("""COMPUTED_VALUE"""),26.4)</f>
        <v>26.4</v>
      </c>
      <c r="I699" s="24">
        <v>21</v>
      </c>
      <c r="J699" s="10">
        <v>64.3125</v>
      </c>
      <c r="K699" s="11" t="s">
        <v>18</v>
      </c>
      <c r="L699" s="24">
        <v>1743.75</v>
      </c>
      <c r="M699" s="26">
        <v>2.67</v>
      </c>
      <c r="N699" s="9" t="s">
        <v>16</v>
      </c>
      <c r="O699" s="9" t="s">
        <v>7</v>
      </c>
      <c r="P699" s="27" t="e">
        <f t="shared" ca="1" si="5"/>
        <v>#NAME?</v>
      </c>
      <c r="Q699" s="28" t="e">
        <f ca="1"/>
        <v>#NAME?</v>
      </c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2.75">
      <c r="A700" s="9" t="s">
        <v>73</v>
      </c>
      <c r="B700" s="29" t="s">
        <v>431</v>
      </c>
      <c r="C700" s="24">
        <v>28</v>
      </c>
      <c r="D700" s="24">
        <v>167</v>
      </c>
      <c r="E700" s="24">
        <v>92</v>
      </c>
      <c r="F700" s="9" t="str">
        <v>33.0 (Obese)</v>
      </c>
      <c r="G700" s="9" t="str">
        <f t="shared" si="4"/>
        <v>Obese</v>
      </c>
      <c r="H700" s="24">
        <f ca="1">IFERROR(__xludf.DUMMYFUNCTION("""COMPUTED_VALUE"""),33)</f>
        <v>33</v>
      </c>
      <c r="I700" s="24">
        <v>21</v>
      </c>
      <c r="J700" s="10">
        <v>58.566899999999997</v>
      </c>
      <c r="K700" s="11" t="s">
        <v>18</v>
      </c>
      <c r="L700" s="24">
        <v>1828.75</v>
      </c>
      <c r="M700" s="26">
        <v>3.04</v>
      </c>
      <c r="N700" s="9" t="s">
        <v>26</v>
      </c>
      <c r="O700" s="9" t="s">
        <v>7</v>
      </c>
      <c r="P700" s="27" t="e">
        <f t="shared" ca="1" si="5"/>
        <v>#NAME?</v>
      </c>
      <c r="Q700" s="28" t="e">
        <f ca="1"/>
        <v>#NAME?</v>
      </c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2.75">
      <c r="A701" s="9" t="s">
        <v>163</v>
      </c>
      <c r="B701" s="29" t="s">
        <v>431</v>
      </c>
      <c r="C701" s="24">
        <v>51</v>
      </c>
      <c r="D701" s="24">
        <v>176</v>
      </c>
      <c r="E701" s="24">
        <v>52</v>
      </c>
      <c r="F701" s="9" t="str">
        <v>16.8 (Underweight)</v>
      </c>
      <c r="G701" s="9" t="str">
        <f t="shared" si="4"/>
        <v>Underweight</v>
      </c>
      <c r="H701" s="24">
        <f ca="1">IFERROR(__xludf.DUMMYFUNCTION("""COMPUTED_VALUE"""),16.8)</f>
        <v>16.8</v>
      </c>
      <c r="I701" s="24">
        <v>21</v>
      </c>
      <c r="J701" s="10">
        <v>65.049599999999998</v>
      </c>
      <c r="K701" s="11" t="s">
        <v>42</v>
      </c>
      <c r="L701" s="24">
        <v>1370</v>
      </c>
      <c r="M701" s="26">
        <v>1.72</v>
      </c>
      <c r="N701" s="9" t="s">
        <v>39</v>
      </c>
      <c r="O701" s="9" t="s">
        <v>30</v>
      </c>
      <c r="P701" s="27" t="e">
        <f t="shared" ca="1" si="5"/>
        <v>#NAME?</v>
      </c>
      <c r="Q701" s="28" t="e">
        <f ca="1"/>
        <v>#NAME?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2.75">
      <c r="A702" s="9" t="s">
        <v>144</v>
      </c>
      <c r="B702" s="29" t="s">
        <v>431</v>
      </c>
      <c r="C702" s="24">
        <v>26</v>
      </c>
      <c r="D702" s="24">
        <v>184</v>
      </c>
      <c r="E702" s="24">
        <v>89</v>
      </c>
      <c r="F702" s="9" t="str">
        <v>26.3 (Overweight)</v>
      </c>
      <c r="G702" s="9" t="str">
        <f t="shared" si="4"/>
        <v>Overweight</v>
      </c>
      <c r="H702" s="24">
        <f ca="1">IFERROR(__xludf.DUMMYFUNCTION("""COMPUTED_VALUE"""),26.3)</f>
        <v>26.3</v>
      </c>
      <c r="I702" s="24">
        <v>21</v>
      </c>
      <c r="J702" s="10">
        <v>71.0976</v>
      </c>
      <c r="K702" s="11" t="s">
        <v>4</v>
      </c>
      <c r="L702" s="24">
        <v>1915</v>
      </c>
      <c r="M702" s="26">
        <v>2.94</v>
      </c>
      <c r="N702" s="9" t="s">
        <v>39</v>
      </c>
      <c r="O702" s="9" t="s">
        <v>60</v>
      </c>
      <c r="P702" s="27" t="e">
        <f t="shared" ca="1" si="5"/>
        <v>#NAME?</v>
      </c>
      <c r="Q702" s="28" t="e">
        <f ca="1"/>
        <v>#NAME?</v>
      </c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2.75">
      <c r="A703" s="9" t="s">
        <v>351</v>
      </c>
      <c r="B703" s="29" t="s">
        <v>431</v>
      </c>
      <c r="C703" s="24">
        <v>48</v>
      </c>
      <c r="D703" s="24">
        <v>176</v>
      </c>
      <c r="E703" s="24">
        <v>63</v>
      </c>
      <c r="F703" s="9" t="str">
        <v>20.3 (Normal)</v>
      </c>
      <c r="G703" s="9" t="str">
        <f t="shared" si="4"/>
        <v>Normal</v>
      </c>
      <c r="H703" s="24">
        <f ca="1">IFERROR(__xludf.DUMMYFUNCTION("""COMPUTED_VALUE"""),20.3)</f>
        <v>20.3</v>
      </c>
      <c r="I703" s="24">
        <v>21</v>
      </c>
      <c r="J703" s="10">
        <v>65.049599999999998</v>
      </c>
      <c r="K703" s="11" t="s">
        <v>18</v>
      </c>
      <c r="L703" s="24">
        <v>1495</v>
      </c>
      <c r="M703" s="26">
        <v>2.08</v>
      </c>
      <c r="N703" s="9" t="s">
        <v>34</v>
      </c>
      <c r="O703" s="9" t="s">
        <v>19</v>
      </c>
      <c r="P703" s="27" t="e">
        <f t="shared" ca="1" si="5"/>
        <v>#NAME?</v>
      </c>
      <c r="Q703" s="28" t="e">
        <f ca="1"/>
        <v>#NAME?</v>
      </c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2.75">
      <c r="A704" s="9" t="s">
        <v>352</v>
      </c>
      <c r="B704" s="29" t="s">
        <v>431</v>
      </c>
      <c r="C704" s="24">
        <v>30</v>
      </c>
      <c r="D704" s="24">
        <v>184</v>
      </c>
      <c r="E704" s="24">
        <v>77</v>
      </c>
      <c r="F704" s="9" t="str">
        <v>22.7 (Normal)</v>
      </c>
      <c r="G704" s="9" t="str">
        <f t="shared" si="4"/>
        <v>Normal</v>
      </c>
      <c r="H704" s="24">
        <f ca="1">IFERROR(__xludf.DUMMYFUNCTION("""COMPUTED_VALUE"""),22.7)</f>
        <v>22.7</v>
      </c>
      <c r="I704" s="24">
        <v>21</v>
      </c>
      <c r="J704" s="10">
        <v>71.0976</v>
      </c>
      <c r="K704" s="11" t="s">
        <v>42</v>
      </c>
      <c r="L704" s="24">
        <v>1775</v>
      </c>
      <c r="M704" s="26">
        <v>2.54</v>
      </c>
      <c r="N704" s="9" t="s">
        <v>34</v>
      </c>
      <c r="O704" s="9" t="s">
        <v>60</v>
      </c>
      <c r="P704" s="27" t="e">
        <f t="shared" ca="1" si="5"/>
        <v>#NAME?</v>
      </c>
      <c r="Q704" s="28" t="e">
        <f ca="1"/>
        <v>#NAME?</v>
      </c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2.75">
      <c r="A705" s="9" t="s">
        <v>199</v>
      </c>
      <c r="B705" s="29" t="s">
        <v>431</v>
      </c>
      <c r="C705" s="24">
        <v>58</v>
      </c>
      <c r="D705" s="24">
        <v>181</v>
      </c>
      <c r="E705" s="24">
        <v>57</v>
      </c>
      <c r="F705" s="9" t="str">
        <v>17.4 (Underweight)</v>
      </c>
      <c r="G705" s="9" t="str">
        <f t="shared" si="4"/>
        <v>Underweight</v>
      </c>
      <c r="H705" s="24">
        <f ca="1">IFERROR(__xludf.DUMMYFUNCTION("""COMPUTED_VALUE"""),17.4)</f>
        <v>17.399999999999999</v>
      </c>
      <c r="I705" s="24">
        <v>21</v>
      </c>
      <c r="J705" s="10">
        <v>68.798100000000005</v>
      </c>
      <c r="K705" s="11" t="s">
        <v>4</v>
      </c>
      <c r="L705" s="24">
        <v>1416.25</v>
      </c>
      <c r="M705" s="26">
        <v>1.88</v>
      </c>
      <c r="N705" s="9" t="s">
        <v>16</v>
      </c>
      <c r="O705" s="9" t="s">
        <v>60</v>
      </c>
      <c r="P705" s="27" t="e">
        <f t="shared" ca="1" si="5"/>
        <v>#NAME?</v>
      </c>
      <c r="Q705" s="28" t="e">
        <f ca="1"/>
        <v>#NAME?</v>
      </c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2.75">
      <c r="A706" s="9" t="s">
        <v>156</v>
      </c>
      <c r="B706" s="29" t="s">
        <v>431</v>
      </c>
      <c r="C706" s="24">
        <v>44</v>
      </c>
      <c r="D706" s="24">
        <v>172</v>
      </c>
      <c r="E706" s="24">
        <v>107</v>
      </c>
      <c r="F706" s="9" t="str">
        <v>36.2 (Obese)</v>
      </c>
      <c r="G706" s="9" t="str">
        <f t="shared" si="4"/>
        <v>Obese</v>
      </c>
      <c r="H706" s="24">
        <f ca="1">IFERROR(__xludf.DUMMYFUNCTION("""COMPUTED_VALUE"""),36.2)</f>
        <v>36.200000000000003</v>
      </c>
      <c r="I706" s="24">
        <v>21</v>
      </c>
      <c r="J706" s="10">
        <v>62.126399999999997</v>
      </c>
      <c r="K706" s="11" t="s">
        <v>4</v>
      </c>
      <c r="L706" s="24">
        <v>1930</v>
      </c>
      <c r="M706" s="26">
        <v>3.53</v>
      </c>
      <c r="N706" s="9" t="s">
        <v>26</v>
      </c>
      <c r="O706" s="9" t="s">
        <v>19</v>
      </c>
      <c r="P706" s="27" t="e">
        <f t="shared" ca="1" si="5"/>
        <v>#NAME?</v>
      </c>
      <c r="Q706" s="28" t="e">
        <f ca="1"/>
        <v>#NAME?</v>
      </c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2.75">
      <c r="A707" s="9" t="s">
        <v>353</v>
      </c>
      <c r="B707" s="29" t="s">
        <v>431</v>
      </c>
      <c r="C707" s="24">
        <v>38</v>
      </c>
      <c r="D707" s="24">
        <v>163</v>
      </c>
      <c r="E707" s="24">
        <v>78</v>
      </c>
      <c r="F707" s="9" t="str">
        <v>29.4 (Obese)</v>
      </c>
      <c r="G707" s="9" t="str">
        <f t="shared" si="4"/>
        <v>Obese</v>
      </c>
      <c r="H707" s="24">
        <f ca="1">IFERROR(__xludf.DUMMYFUNCTION("""COMPUTED_VALUE"""),29.4)</f>
        <v>29.4</v>
      </c>
      <c r="I707" s="24">
        <v>21</v>
      </c>
      <c r="J707" s="10">
        <v>55.794899999999998</v>
      </c>
      <c r="K707" s="11" t="s">
        <v>28</v>
      </c>
      <c r="L707" s="24">
        <v>1613.75</v>
      </c>
      <c r="M707" s="26">
        <v>2.57</v>
      </c>
      <c r="N707" s="9" t="s">
        <v>16</v>
      </c>
      <c r="O707" s="9" t="s">
        <v>7</v>
      </c>
      <c r="P707" s="27" t="e">
        <f t="shared" ca="1" si="5"/>
        <v>#NAME?</v>
      </c>
      <c r="Q707" s="28" t="e">
        <f ca="1"/>
        <v>#NAME?</v>
      </c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2.75">
      <c r="A708" s="9" t="s">
        <v>338</v>
      </c>
      <c r="B708" s="29" t="s">
        <v>431</v>
      </c>
      <c r="C708" s="24">
        <v>41</v>
      </c>
      <c r="D708" s="24">
        <v>175</v>
      </c>
      <c r="E708" s="24">
        <v>79</v>
      </c>
      <c r="F708" s="9" t="str">
        <v>25.8 (Overweight)</v>
      </c>
      <c r="G708" s="9" t="str">
        <f t="shared" si="4"/>
        <v>Overweight</v>
      </c>
      <c r="H708" s="24">
        <f ca="1">IFERROR(__xludf.DUMMYFUNCTION("""COMPUTED_VALUE"""),25.8)</f>
        <v>25.8</v>
      </c>
      <c r="I708" s="24">
        <v>21</v>
      </c>
      <c r="J708" s="10">
        <v>64.3125</v>
      </c>
      <c r="K708" s="11" t="s">
        <v>42</v>
      </c>
      <c r="L708" s="24">
        <v>1683.75</v>
      </c>
      <c r="M708" s="26">
        <v>2.61</v>
      </c>
      <c r="N708" s="9" t="s">
        <v>26</v>
      </c>
      <c r="O708" s="9" t="s">
        <v>19</v>
      </c>
      <c r="P708" s="27" t="e">
        <f t="shared" ca="1" si="5"/>
        <v>#NAME?</v>
      </c>
      <c r="Q708" s="28" t="e">
        <f ca="1"/>
        <v>#NAME?</v>
      </c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2.75">
      <c r="A709" s="9" t="s">
        <v>145</v>
      </c>
      <c r="B709" s="29" t="s">
        <v>431</v>
      </c>
      <c r="C709" s="24">
        <v>47</v>
      </c>
      <c r="D709" s="24">
        <v>162</v>
      </c>
      <c r="E709" s="24">
        <v>94</v>
      </c>
      <c r="F709" s="9" t="str">
        <v>35.8 (Obese)</v>
      </c>
      <c r="G709" s="9" t="str">
        <f t="shared" si="4"/>
        <v>Obese</v>
      </c>
      <c r="H709" s="24">
        <f ca="1">IFERROR(__xludf.DUMMYFUNCTION("""COMPUTED_VALUE"""),35.8)</f>
        <v>35.799999999999997</v>
      </c>
      <c r="I709" s="24">
        <v>21</v>
      </c>
      <c r="J709" s="10">
        <v>55.112400000000008</v>
      </c>
      <c r="K709" s="11" t="s">
        <v>18</v>
      </c>
      <c r="L709" s="24">
        <v>1722.5</v>
      </c>
      <c r="M709" s="26">
        <v>3.1</v>
      </c>
      <c r="N709" s="9" t="s">
        <v>26</v>
      </c>
      <c r="O709" s="9" t="s">
        <v>30</v>
      </c>
      <c r="P709" s="27" t="e">
        <f t="shared" ca="1" si="5"/>
        <v>#NAME?</v>
      </c>
      <c r="Q709" s="28" t="e">
        <f ca="1"/>
        <v>#NAME?</v>
      </c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2.75">
      <c r="A710" s="9" t="s">
        <v>59</v>
      </c>
      <c r="B710" s="29" t="s">
        <v>431</v>
      </c>
      <c r="C710" s="24">
        <v>57</v>
      </c>
      <c r="D710" s="24">
        <v>157</v>
      </c>
      <c r="E710" s="24">
        <v>83</v>
      </c>
      <c r="F710" s="9" t="str">
        <v>33.7 (Obese)</v>
      </c>
      <c r="G710" s="9" t="str">
        <f t="shared" si="4"/>
        <v>Obese</v>
      </c>
      <c r="H710" s="24">
        <f ca="1">IFERROR(__xludf.DUMMYFUNCTION("""COMPUTED_VALUE"""),33.7)</f>
        <v>33.700000000000003</v>
      </c>
      <c r="I710" s="24">
        <v>21</v>
      </c>
      <c r="J710" s="10">
        <v>51.762900000000002</v>
      </c>
      <c r="K710" s="11" t="s">
        <v>28</v>
      </c>
      <c r="L710" s="24">
        <v>1531.25</v>
      </c>
      <c r="M710" s="26">
        <v>2.74</v>
      </c>
      <c r="N710" s="9" t="s">
        <v>26</v>
      </c>
      <c r="O710" s="9" t="s">
        <v>19</v>
      </c>
      <c r="P710" s="27" t="e">
        <f t="shared" ca="1" si="5"/>
        <v>#NAME?</v>
      </c>
      <c r="Q710" s="28" t="e">
        <f ca="1"/>
        <v>#NAME?</v>
      </c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2.75">
      <c r="A711" s="9" t="s">
        <v>116</v>
      </c>
      <c r="B711" s="29" t="s">
        <v>431</v>
      </c>
      <c r="C711" s="24">
        <v>57</v>
      </c>
      <c r="D711" s="24">
        <v>166</v>
      </c>
      <c r="E711" s="24">
        <v>71</v>
      </c>
      <c r="F711" s="9" t="str">
        <v>25.8 (Overweight)</v>
      </c>
      <c r="G711" s="9" t="str">
        <f t="shared" si="4"/>
        <v>Overweight</v>
      </c>
      <c r="H711" s="24">
        <f ca="1">IFERROR(__xludf.DUMMYFUNCTION("""COMPUTED_VALUE"""),25.8)</f>
        <v>25.8</v>
      </c>
      <c r="I711" s="24">
        <v>21</v>
      </c>
      <c r="J711" s="10">
        <v>57.867599999999996</v>
      </c>
      <c r="K711" s="11" t="s">
        <v>4</v>
      </c>
      <c r="L711" s="24">
        <v>1467.5</v>
      </c>
      <c r="M711" s="26">
        <v>2.34</v>
      </c>
      <c r="N711" s="9" t="s">
        <v>34</v>
      </c>
      <c r="O711" s="9" t="s">
        <v>63</v>
      </c>
      <c r="P711" s="27" t="e">
        <f t="shared" ca="1" si="5"/>
        <v>#NAME?</v>
      </c>
      <c r="Q711" s="28" t="e">
        <f ca="1"/>
        <v>#NAME?</v>
      </c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2.75">
      <c r="A712" s="9" t="s">
        <v>69</v>
      </c>
      <c r="B712" s="29" t="s">
        <v>431</v>
      </c>
      <c r="C712" s="24">
        <v>36</v>
      </c>
      <c r="D712" s="24">
        <v>158</v>
      </c>
      <c r="E712" s="24">
        <v>93</v>
      </c>
      <c r="F712" s="9" t="str">
        <v>37.3 (Obese)</v>
      </c>
      <c r="G712" s="9" t="str">
        <f t="shared" si="4"/>
        <v>Obese</v>
      </c>
      <c r="H712" s="24">
        <f ca="1">IFERROR(__xludf.DUMMYFUNCTION("""COMPUTED_VALUE"""),37.3)</f>
        <v>37.299999999999997</v>
      </c>
      <c r="I712" s="24">
        <v>21</v>
      </c>
      <c r="J712" s="10">
        <v>52.424400000000006</v>
      </c>
      <c r="K712" s="11" t="s">
        <v>28</v>
      </c>
      <c r="L712" s="24">
        <v>1742.5</v>
      </c>
      <c r="M712" s="26">
        <v>3.07</v>
      </c>
      <c r="N712" s="9" t="s">
        <v>34</v>
      </c>
      <c r="O712" s="9" t="s">
        <v>30</v>
      </c>
      <c r="P712" s="27" t="e">
        <f t="shared" ca="1" si="5"/>
        <v>#NAME?</v>
      </c>
      <c r="Q712" s="28" t="e">
        <f ca="1"/>
        <v>#NAME?</v>
      </c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2.75">
      <c r="A713" s="9" t="s">
        <v>256</v>
      </c>
      <c r="B713" s="29" t="s">
        <v>431</v>
      </c>
      <c r="C713" s="24">
        <v>28</v>
      </c>
      <c r="D713" s="24">
        <v>168</v>
      </c>
      <c r="E713" s="24">
        <v>79</v>
      </c>
      <c r="F713" s="9" t="str">
        <v>28.0 (Obese)</v>
      </c>
      <c r="G713" s="9" t="str">
        <f t="shared" si="4"/>
        <v>Obese</v>
      </c>
      <c r="H713" s="24">
        <f ca="1">IFERROR(__xludf.DUMMYFUNCTION("""COMPUTED_VALUE"""),28)</f>
        <v>28</v>
      </c>
      <c r="I713" s="24">
        <v>21</v>
      </c>
      <c r="J713" s="10">
        <v>59.270399999999988</v>
      </c>
      <c r="K713" s="11" t="s">
        <v>28</v>
      </c>
      <c r="L713" s="24">
        <v>1705</v>
      </c>
      <c r="M713" s="26">
        <v>2.61</v>
      </c>
      <c r="N713" s="9" t="s">
        <v>34</v>
      </c>
      <c r="O713" s="9" t="s">
        <v>60</v>
      </c>
      <c r="P713" s="27" t="e">
        <f t="shared" ca="1" si="5"/>
        <v>#NAME?</v>
      </c>
      <c r="Q713" s="28" t="e">
        <f ca="1"/>
        <v>#NAME?</v>
      </c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2.75">
      <c r="A714" s="9" t="s">
        <v>184</v>
      </c>
      <c r="B714" s="29" t="s">
        <v>431</v>
      </c>
      <c r="C714" s="24">
        <v>34</v>
      </c>
      <c r="D714" s="24">
        <v>166</v>
      </c>
      <c r="E714" s="24">
        <v>103</v>
      </c>
      <c r="F714" s="9" t="str">
        <v>37.4 (Obese)</v>
      </c>
      <c r="G714" s="9" t="str">
        <f t="shared" si="4"/>
        <v>Obese</v>
      </c>
      <c r="H714" s="24">
        <f ca="1">IFERROR(__xludf.DUMMYFUNCTION("""COMPUTED_VALUE"""),37.4)</f>
        <v>37.4</v>
      </c>
      <c r="I714" s="24">
        <v>21</v>
      </c>
      <c r="J714" s="10">
        <v>57.867599999999996</v>
      </c>
      <c r="K714" s="11" t="s">
        <v>4</v>
      </c>
      <c r="L714" s="24">
        <v>1902.5</v>
      </c>
      <c r="M714" s="26">
        <v>3.4</v>
      </c>
      <c r="N714" s="9" t="s">
        <v>26</v>
      </c>
      <c r="O714" s="9" t="s">
        <v>30</v>
      </c>
      <c r="P714" s="27" t="e">
        <f t="shared" ca="1" si="5"/>
        <v>#NAME?</v>
      </c>
      <c r="Q714" s="28" t="e">
        <f ca="1"/>
        <v>#NAME?</v>
      </c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2.75">
      <c r="A715" s="9" t="s">
        <v>354</v>
      </c>
      <c r="B715" s="29" t="s">
        <v>431</v>
      </c>
      <c r="C715" s="24">
        <v>24</v>
      </c>
      <c r="D715" s="24">
        <v>166</v>
      </c>
      <c r="E715" s="24">
        <v>102</v>
      </c>
      <c r="F715" s="9" t="str">
        <v>37.0 (Obese)</v>
      </c>
      <c r="G715" s="9" t="str">
        <f t="shared" si="4"/>
        <v>Obese</v>
      </c>
      <c r="H715" s="24">
        <f ca="1">IFERROR(__xludf.DUMMYFUNCTION("""COMPUTED_VALUE"""),37)</f>
        <v>37</v>
      </c>
      <c r="I715" s="24">
        <v>21</v>
      </c>
      <c r="J715" s="10">
        <v>57.867599999999996</v>
      </c>
      <c r="K715" s="11" t="s">
        <v>18</v>
      </c>
      <c r="L715" s="24">
        <v>1942.5</v>
      </c>
      <c r="M715" s="26">
        <v>3.37</v>
      </c>
      <c r="N715" s="9" t="s">
        <v>34</v>
      </c>
      <c r="O715" s="9" t="s">
        <v>63</v>
      </c>
      <c r="P715" s="27" t="e">
        <f t="shared" ca="1" si="5"/>
        <v>#NAME?</v>
      </c>
      <c r="Q715" s="28" t="e">
        <f ca="1"/>
        <v>#NAME?</v>
      </c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2.75">
      <c r="A716" s="9" t="s">
        <v>294</v>
      </c>
      <c r="B716" s="29" t="s">
        <v>431</v>
      </c>
      <c r="C716" s="24">
        <v>49</v>
      </c>
      <c r="D716" s="24">
        <v>177</v>
      </c>
      <c r="E716" s="24">
        <v>66</v>
      </c>
      <c r="F716" s="9" t="str">
        <v>21.1 (Normal)</v>
      </c>
      <c r="G716" s="9" t="str">
        <f t="shared" si="4"/>
        <v>Normal</v>
      </c>
      <c r="H716" s="24">
        <f ca="1">IFERROR(__xludf.DUMMYFUNCTION("""COMPUTED_VALUE"""),21.1)</f>
        <v>21.1</v>
      </c>
      <c r="I716" s="24">
        <v>21</v>
      </c>
      <c r="J716" s="10">
        <v>65.790900000000008</v>
      </c>
      <c r="K716" s="11" t="s">
        <v>42</v>
      </c>
      <c r="L716" s="24">
        <v>1526.25</v>
      </c>
      <c r="M716" s="26">
        <v>2.1800000000000002</v>
      </c>
      <c r="N716" s="9" t="s">
        <v>39</v>
      </c>
      <c r="O716" s="9" t="s">
        <v>37</v>
      </c>
      <c r="P716" s="27" t="e">
        <f t="shared" ca="1" si="5"/>
        <v>#NAME?</v>
      </c>
      <c r="Q716" s="28" t="e">
        <f ca="1"/>
        <v>#NAME?</v>
      </c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2.75">
      <c r="A717" s="9" t="s">
        <v>291</v>
      </c>
      <c r="B717" s="29" t="s">
        <v>431</v>
      </c>
      <c r="C717" s="24">
        <v>25</v>
      </c>
      <c r="D717" s="24">
        <v>178</v>
      </c>
      <c r="E717" s="24">
        <v>76</v>
      </c>
      <c r="F717" s="9" t="str">
        <v>24.0 (Normal)</v>
      </c>
      <c r="G717" s="9" t="str">
        <f t="shared" si="4"/>
        <v>Normal</v>
      </c>
      <c r="H717" s="24">
        <f ca="1">IFERROR(__xludf.DUMMYFUNCTION("""COMPUTED_VALUE"""),24)</f>
        <v>24</v>
      </c>
      <c r="I717" s="24">
        <v>21</v>
      </c>
      <c r="J717" s="10">
        <v>66.5364</v>
      </c>
      <c r="K717" s="11" t="s">
        <v>4</v>
      </c>
      <c r="L717" s="24">
        <v>1752.5</v>
      </c>
      <c r="M717" s="26">
        <v>2.5099999999999998</v>
      </c>
      <c r="N717" s="9" t="s">
        <v>34</v>
      </c>
      <c r="O717" s="9" t="s">
        <v>60</v>
      </c>
      <c r="P717" s="27" t="e">
        <f t="shared" ca="1" si="5"/>
        <v>#NAME?</v>
      </c>
      <c r="Q717" s="28" t="e">
        <f ca="1"/>
        <v>#NAME?</v>
      </c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2.75">
      <c r="A718" s="9" t="s">
        <v>56</v>
      </c>
      <c r="B718" s="29" t="s">
        <v>431</v>
      </c>
      <c r="C718" s="24">
        <v>41</v>
      </c>
      <c r="D718" s="24">
        <v>185</v>
      </c>
      <c r="E718" s="24">
        <v>106</v>
      </c>
      <c r="F718" s="9" t="str">
        <v>31.0 (Obese)</v>
      </c>
      <c r="G718" s="9" t="str">
        <f t="shared" si="4"/>
        <v>Obese</v>
      </c>
      <c r="H718" s="24">
        <f ca="1">IFERROR(__xludf.DUMMYFUNCTION("""COMPUTED_VALUE"""),31)</f>
        <v>31</v>
      </c>
      <c r="I718" s="24">
        <v>21</v>
      </c>
      <c r="J718" s="10">
        <v>71.872500000000002</v>
      </c>
      <c r="K718" s="11" t="s">
        <v>18</v>
      </c>
      <c r="L718" s="24">
        <v>2016.25</v>
      </c>
      <c r="M718" s="26">
        <v>3.5</v>
      </c>
      <c r="N718" s="9" t="s">
        <v>39</v>
      </c>
      <c r="O718" s="9" t="s">
        <v>63</v>
      </c>
      <c r="P718" s="27" t="e">
        <f t="shared" ca="1" si="5"/>
        <v>#NAME?</v>
      </c>
      <c r="Q718" s="28" t="e">
        <f ca="1"/>
        <v>#NAME?</v>
      </c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2.75">
      <c r="A719" s="9" t="s">
        <v>196</v>
      </c>
      <c r="B719" s="29" t="s">
        <v>431</v>
      </c>
      <c r="C719" s="24">
        <v>46</v>
      </c>
      <c r="D719" s="24">
        <v>158</v>
      </c>
      <c r="E719" s="24">
        <v>55</v>
      </c>
      <c r="F719" s="9" t="str">
        <v>22.0 (Normal)</v>
      </c>
      <c r="G719" s="9" t="str">
        <f t="shared" si="4"/>
        <v>Normal</v>
      </c>
      <c r="H719" s="24">
        <f ca="1">IFERROR(__xludf.DUMMYFUNCTION("""COMPUTED_VALUE"""),22)</f>
        <v>22</v>
      </c>
      <c r="I719" s="24">
        <v>21</v>
      </c>
      <c r="J719" s="10">
        <v>52.424400000000006</v>
      </c>
      <c r="K719" s="11" t="s">
        <v>18</v>
      </c>
      <c r="L719" s="24">
        <v>1312.5</v>
      </c>
      <c r="M719" s="26">
        <v>1.82</v>
      </c>
      <c r="N719" s="9" t="s">
        <v>16</v>
      </c>
      <c r="O719" s="9" t="s">
        <v>63</v>
      </c>
      <c r="P719" s="27" t="e">
        <f t="shared" ca="1" si="5"/>
        <v>#NAME?</v>
      </c>
      <c r="Q719" s="28" t="e">
        <f ca="1"/>
        <v>#NAME?</v>
      </c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2.75">
      <c r="A720" s="9" t="s">
        <v>145</v>
      </c>
      <c r="B720" s="29" t="s">
        <v>431</v>
      </c>
      <c r="C720" s="24">
        <v>44</v>
      </c>
      <c r="D720" s="24">
        <v>172</v>
      </c>
      <c r="E720" s="24">
        <v>98</v>
      </c>
      <c r="F720" s="9" t="str">
        <v>33.1 (Obese)</v>
      </c>
      <c r="G720" s="9" t="str">
        <f t="shared" si="4"/>
        <v>Obese</v>
      </c>
      <c r="H720" s="24">
        <f ca="1">IFERROR(__xludf.DUMMYFUNCTION("""COMPUTED_VALUE"""),33.1)</f>
        <v>33.1</v>
      </c>
      <c r="I720" s="24">
        <v>21</v>
      </c>
      <c r="J720" s="10">
        <v>62.126399999999997</v>
      </c>
      <c r="K720" s="11" t="s">
        <v>4</v>
      </c>
      <c r="L720" s="24">
        <v>1840</v>
      </c>
      <c r="M720" s="26">
        <v>3.23</v>
      </c>
      <c r="N720" s="9" t="s">
        <v>39</v>
      </c>
      <c r="O720" s="9" t="s">
        <v>37</v>
      </c>
      <c r="P720" s="27" t="e">
        <f t="shared" ca="1" si="5"/>
        <v>#NAME?</v>
      </c>
      <c r="Q720" s="28" t="e">
        <f ca="1"/>
        <v>#NAME?</v>
      </c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2.75">
      <c r="A721" s="9" t="s">
        <v>85</v>
      </c>
      <c r="B721" s="29" t="s">
        <v>431</v>
      </c>
      <c r="C721" s="24">
        <v>29</v>
      </c>
      <c r="D721" s="24">
        <v>182</v>
      </c>
      <c r="E721" s="24">
        <v>68</v>
      </c>
      <c r="F721" s="9" t="str">
        <v>20.5 (Normal)</v>
      </c>
      <c r="G721" s="9" t="str">
        <f t="shared" si="4"/>
        <v>Normal</v>
      </c>
      <c r="H721" s="24">
        <f ca="1">IFERROR(__xludf.DUMMYFUNCTION("""COMPUTED_VALUE"""),20.5)</f>
        <v>20.5</v>
      </c>
      <c r="I721" s="24">
        <v>21</v>
      </c>
      <c r="J721" s="10">
        <v>69.560400000000001</v>
      </c>
      <c r="K721" s="11" t="s">
        <v>28</v>
      </c>
      <c r="L721" s="24">
        <v>1677.5</v>
      </c>
      <c r="M721" s="26">
        <v>2.2400000000000002</v>
      </c>
      <c r="N721" s="9" t="s">
        <v>34</v>
      </c>
      <c r="O721" s="9" t="s">
        <v>19</v>
      </c>
      <c r="P721" s="27" t="e">
        <f t="shared" ca="1" si="5"/>
        <v>#NAME?</v>
      </c>
      <c r="Q721" s="28" t="e">
        <f ca="1"/>
        <v>#NAME?</v>
      </c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2.75">
      <c r="A722" s="9" t="s">
        <v>355</v>
      </c>
      <c r="B722" s="29" t="s">
        <v>431</v>
      </c>
      <c r="C722" s="24">
        <v>24</v>
      </c>
      <c r="D722" s="24">
        <v>169</v>
      </c>
      <c r="E722" s="24">
        <v>55</v>
      </c>
      <c r="F722" s="9" t="str">
        <v>19.3 (Normal)</v>
      </c>
      <c r="G722" s="9" t="str">
        <f t="shared" si="4"/>
        <v>Normal</v>
      </c>
      <c r="H722" s="24">
        <f ca="1">IFERROR(__xludf.DUMMYFUNCTION("""COMPUTED_VALUE"""),19.3)</f>
        <v>19.3</v>
      </c>
      <c r="I722" s="24">
        <v>21</v>
      </c>
      <c r="J722" s="10">
        <v>59.978099999999991</v>
      </c>
      <c r="K722" s="11" t="s">
        <v>42</v>
      </c>
      <c r="L722" s="24">
        <v>1491.25</v>
      </c>
      <c r="M722" s="26">
        <v>1.82</v>
      </c>
      <c r="N722" s="9" t="s">
        <v>16</v>
      </c>
      <c r="O722" s="9" t="s">
        <v>30</v>
      </c>
      <c r="P722" s="27" t="e">
        <f t="shared" ca="1" si="5"/>
        <v>#NAME?</v>
      </c>
      <c r="Q722" s="28" t="e">
        <f ca="1"/>
        <v>#NAME?</v>
      </c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2.75">
      <c r="A723" s="9" t="s">
        <v>332</v>
      </c>
      <c r="B723" s="29" t="s">
        <v>431</v>
      </c>
      <c r="C723" s="24">
        <v>54</v>
      </c>
      <c r="D723" s="24">
        <v>164</v>
      </c>
      <c r="E723" s="24">
        <v>71</v>
      </c>
      <c r="F723" s="9" t="str">
        <v>26.4 (Overweight)</v>
      </c>
      <c r="G723" s="9" t="str">
        <f t="shared" si="4"/>
        <v>Overweight</v>
      </c>
      <c r="H723" s="24">
        <f ca="1">IFERROR(__xludf.DUMMYFUNCTION("""COMPUTED_VALUE"""),26.4)</f>
        <v>26.4</v>
      </c>
      <c r="I723" s="24">
        <v>21</v>
      </c>
      <c r="J723" s="10">
        <v>56.481599999999993</v>
      </c>
      <c r="K723" s="11" t="s">
        <v>42</v>
      </c>
      <c r="L723" s="24">
        <v>1470</v>
      </c>
      <c r="M723" s="26">
        <v>2.34</v>
      </c>
      <c r="N723" s="9" t="s">
        <v>39</v>
      </c>
      <c r="O723" s="9" t="s">
        <v>30</v>
      </c>
      <c r="P723" s="27" t="e">
        <f t="shared" ca="1" si="5"/>
        <v>#NAME?</v>
      </c>
      <c r="Q723" s="28" t="e">
        <f ca="1"/>
        <v>#NAME?</v>
      </c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2.75">
      <c r="A724" s="9" t="s">
        <v>102</v>
      </c>
      <c r="B724" s="29" t="s">
        <v>431</v>
      </c>
      <c r="C724" s="24">
        <v>54</v>
      </c>
      <c r="D724" s="24">
        <v>177</v>
      </c>
      <c r="E724" s="24">
        <v>79</v>
      </c>
      <c r="F724" s="9" t="str">
        <v>25.2 (Overweight)</v>
      </c>
      <c r="G724" s="9" t="str">
        <f t="shared" si="4"/>
        <v>Overweight</v>
      </c>
      <c r="H724" s="24">
        <f ca="1">IFERROR(__xludf.DUMMYFUNCTION("""COMPUTED_VALUE"""),25.2)</f>
        <v>25.2</v>
      </c>
      <c r="I724" s="24">
        <v>21</v>
      </c>
      <c r="J724" s="10">
        <v>65.790900000000008</v>
      </c>
      <c r="K724" s="11" t="s">
        <v>28</v>
      </c>
      <c r="L724" s="24">
        <v>1631.25</v>
      </c>
      <c r="M724" s="26">
        <v>2.61</v>
      </c>
      <c r="N724" s="9" t="s">
        <v>16</v>
      </c>
      <c r="O724" s="9" t="s">
        <v>60</v>
      </c>
      <c r="P724" s="27" t="e">
        <f t="shared" ca="1" si="5"/>
        <v>#NAME?</v>
      </c>
      <c r="Q724" s="28" t="e">
        <f ca="1"/>
        <v>#NAME?</v>
      </c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2.75">
      <c r="A725" s="9" t="s">
        <v>196</v>
      </c>
      <c r="B725" s="29" t="s">
        <v>431</v>
      </c>
      <c r="C725" s="24">
        <v>21</v>
      </c>
      <c r="D725" s="24">
        <v>164</v>
      </c>
      <c r="E725" s="24">
        <v>57</v>
      </c>
      <c r="F725" s="9" t="str">
        <v>21.2 (Normal)</v>
      </c>
      <c r="G725" s="9" t="str">
        <f t="shared" si="4"/>
        <v>Normal</v>
      </c>
      <c r="H725" s="24">
        <f ca="1">IFERROR(__xludf.DUMMYFUNCTION("""COMPUTED_VALUE"""),21.2)</f>
        <v>21.2</v>
      </c>
      <c r="I725" s="24">
        <v>21</v>
      </c>
      <c r="J725" s="10">
        <v>56.481599999999993</v>
      </c>
      <c r="K725" s="11" t="s">
        <v>18</v>
      </c>
      <c r="L725" s="24">
        <v>1495</v>
      </c>
      <c r="M725" s="26">
        <v>1.88</v>
      </c>
      <c r="N725" s="9" t="s">
        <v>39</v>
      </c>
      <c r="O725" s="9" t="s">
        <v>60</v>
      </c>
      <c r="P725" s="27" t="e">
        <f t="shared" ca="1" si="5"/>
        <v>#NAME?</v>
      </c>
      <c r="Q725" s="28" t="e">
        <f ca="1"/>
        <v>#NAME?</v>
      </c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2.75">
      <c r="A726" s="9" t="s">
        <v>356</v>
      </c>
      <c r="B726" s="29" t="s">
        <v>431</v>
      </c>
      <c r="C726" s="24">
        <v>59</v>
      </c>
      <c r="D726" s="24">
        <v>182</v>
      </c>
      <c r="E726" s="24">
        <v>97</v>
      </c>
      <c r="F726" s="9" t="str">
        <v>29.3 (Obese)</v>
      </c>
      <c r="G726" s="9" t="str">
        <f t="shared" si="4"/>
        <v>Obese</v>
      </c>
      <c r="H726" s="24">
        <f ca="1">IFERROR(__xludf.DUMMYFUNCTION("""COMPUTED_VALUE"""),29.3)</f>
        <v>29.3</v>
      </c>
      <c r="I726" s="24">
        <v>21</v>
      </c>
      <c r="J726" s="10">
        <v>69.560400000000001</v>
      </c>
      <c r="K726" s="11" t="s">
        <v>42</v>
      </c>
      <c r="L726" s="24">
        <v>1817.5</v>
      </c>
      <c r="M726" s="26">
        <v>3.2</v>
      </c>
      <c r="N726" s="9" t="s">
        <v>26</v>
      </c>
      <c r="O726" s="9" t="s">
        <v>30</v>
      </c>
      <c r="P726" s="27" t="e">
        <f t="shared" ca="1" si="5"/>
        <v>#NAME?</v>
      </c>
      <c r="Q726" s="28" t="e">
        <f ca="1"/>
        <v>#NAME?</v>
      </c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2.75">
      <c r="A727" s="9" t="s">
        <v>154</v>
      </c>
      <c r="B727" s="29" t="s">
        <v>431</v>
      </c>
      <c r="C727" s="24">
        <v>24</v>
      </c>
      <c r="D727" s="24">
        <v>174</v>
      </c>
      <c r="E727" s="24">
        <v>51</v>
      </c>
      <c r="F727" s="9" t="str">
        <v>16.8 (Underweight)</v>
      </c>
      <c r="G727" s="9" t="str">
        <f t="shared" si="4"/>
        <v>Underweight</v>
      </c>
      <c r="H727" s="24">
        <f ca="1">IFERROR(__xludf.DUMMYFUNCTION("""COMPUTED_VALUE"""),16.8)</f>
        <v>16.8</v>
      </c>
      <c r="I727" s="24">
        <v>21</v>
      </c>
      <c r="J727" s="10">
        <v>63.579599999999999</v>
      </c>
      <c r="K727" s="11" t="s">
        <v>18</v>
      </c>
      <c r="L727" s="24">
        <v>1482.5</v>
      </c>
      <c r="M727" s="26">
        <v>1.68</v>
      </c>
      <c r="N727" s="9" t="s">
        <v>26</v>
      </c>
      <c r="O727" s="9" t="s">
        <v>63</v>
      </c>
      <c r="P727" s="27" t="e">
        <f t="shared" ca="1" si="5"/>
        <v>#NAME?</v>
      </c>
      <c r="Q727" s="28" t="e">
        <f ca="1"/>
        <v>#NAME?</v>
      </c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2.75">
      <c r="A728" s="9" t="s">
        <v>293</v>
      </c>
      <c r="B728" s="29" t="s">
        <v>431</v>
      </c>
      <c r="C728" s="24">
        <v>52</v>
      </c>
      <c r="D728" s="24">
        <v>179</v>
      </c>
      <c r="E728" s="24">
        <v>107</v>
      </c>
      <c r="F728" s="9" t="str">
        <v>33.4 (Obese)</v>
      </c>
      <c r="G728" s="9" t="str">
        <f t="shared" si="4"/>
        <v>Obese</v>
      </c>
      <c r="H728" s="24">
        <f ca="1">IFERROR(__xludf.DUMMYFUNCTION("""COMPUTED_VALUE"""),33.4)</f>
        <v>33.4</v>
      </c>
      <c r="I728" s="24">
        <v>21</v>
      </c>
      <c r="J728" s="10">
        <v>67.286100000000005</v>
      </c>
      <c r="K728" s="11" t="s">
        <v>4</v>
      </c>
      <c r="L728" s="24">
        <v>1933.75</v>
      </c>
      <c r="M728" s="26">
        <v>3.53</v>
      </c>
      <c r="N728" s="9" t="s">
        <v>16</v>
      </c>
      <c r="O728" s="9" t="s">
        <v>7</v>
      </c>
      <c r="P728" s="27" t="e">
        <f t="shared" ca="1" si="5"/>
        <v>#NAME?</v>
      </c>
      <c r="Q728" s="28" t="e">
        <f ca="1"/>
        <v>#NAME?</v>
      </c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2.75">
      <c r="A729" s="9" t="s">
        <v>180</v>
      </c>
      <c r="B729" s="29" t="s">
        <v>431</v>
      </c>
      <c r="C729" s="24">
        <v>27</v>
      </c>
      <c r="D729" s="24">
        <v>168</v>
      </c>
      <c r="E729" s="24">
        <v>84</v>
      </c>
      <c r="F729" s="9" t="str">
        <v>29.8 (Obese)</v>
      </c>
      <c r="G729" s="9" t="str">
        <f t="shared" si="4"/>
        <v>Obese</v>
      </c>
      <c r="H729" s="24">
        <f ca="1">IFERROR(__xludf.DUMMYFUNCTION("""COMPUTED_VALUE"""),29.8)</f>
        <v>29.8</v>
      </c>
      <c r="I729" s="24">
        <v>21</v>
      </c>
      <c r="J729" s="10">
        <v>59.270399999999988</v>
      </c>
      <c r="K729" s="11" t="s">
        <v>18</v>
      </c>
      <c r="L729" s="24">
        <v>1760</v>
      </c>
      <c r="M729" s="26">
        <v>2.77</v>
      </c>
      <c r="N729" s="9" t="s">
        <v>34</v>
      </c>
      <c r="O729" s="9" t="s">
        <v>19</v>
      </c>
      <c r="P729" s="27" t="e">
        <f t="shared" ca="1" si="5"/>
        <v>#NAME?</v>
      </c>
      <c r="Q729" s="28" t="e">
        <f ca="1"/>
        <v>#NAME?</v>
      </c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2.75">
      <c r="A730" s="9" t="s">
        <v>357</v>
      </c>
      <c r="B730" s="29" t="s">
        <v>431</v>
      </c>
      <c r="C730" s="24">
        <v>38</v>
      </c>
      <c r="D730" s="24">
        <v>176</v>
      </c>
      <c r="E730" s="24">
        <v>85</v>
      </c>
      <c r="F730" s="9" t="str">
        <v>27.4 (Overweight)</v>
      </c>
      <c r="G730" s="9" t="str">
        <f t="shared" si="4"/>
        <v>Overweight</v>
      </c>
      <c r="H730" s="24">
        <f ca="1">IFERROR(__xludf.DUMMYFUNCTION("""COMPUTED_VALUE"""),27.4)</f>
        <v>27.4</v>
      </c>
      <c r="I730" s="24">
        <v>21</v>
      </c>
      <c r="J730" s="10">
        <v>65.049599999999998</v>
      </c>
      <c r="K730" s="11" t="s">
        <v>28</v>
      </c>
      <c r="L730" s="24">
        <v>1765</v>
      </c>
      <c r="M730" s="26">
        <v>2.81</v>
      </c>
      <c r="N730" s="9" t="s">
        <v>39</v>
      </c>
      <c r="O730" s="9" t="s">
        <v>60</v>
      </c>
      <c r="P730" s="27" t="e">
        <f t="shared" ca="1" si="5"/>
        <v>#NAME?</v>
      </c>
      <c r="Q730" s="28" t="e">
        <f ca="1"/>
        <v>#NAME?</v>
      </c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2.75">
      <c r="A731" s="9" t="s">
        <v>187</v>
      </c>
      <c r="B731" s="29" t="s">
        <v>431</v>
      </c>
      <c r="C731" s="24">
        <v>24</v>
      </c>
      <c r="D731" s="24">
        <v>181</v>
      </c>
      <c r="E731" s="24">
        <v>102</v>
      </c>
      <c r="F731" s="9" t="str">
        <v>31.1 (Obese)</v>
      </c>
      <c r="G731" s="9" t="str">
        <f t="shared" si="4"/>
        <v>Obese</v>
      </c>
      <c r="H731" s="24">
        <f ca="1">IFERROR(__xludf.DUMMYFUNCTION("""COMPUTED_VALUE"""),31.1)</f>
        <v>31.1</v>
      </c>
      <c r="I731" s="24">
        <v>21</v>
      </c>
      <c r="J731" s="10">
        <v>68.798100000000005</v>
      </c>
      <c r="K731" s="11" t="s">
        <v>28</v>
      </c>
      <c r="L731" s="24">
        <v>2036.25</v>
      </c>
      <c r="M731" s="26">
        <v>3.37</v>
      </c>
      <c r="N731" s="9" t="s">
        <v>16</v>
      </c>
      <c r="O731" s="9" t="s">
        <v>7</v>
      </c>
      <c r="P731" s="27" t="e">
        <f t="shared" ca="1" si="5"/>
        <v>#NAME?</v>
      </c>
      <c r="Q731" s="28" t="e">
        <f ca="1"/>
        <v>#NAME?</v>
      </c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2.75">
      <c r="A732" s="9" t="s">
        <v>358</v>
      </c>
      <c r="B732" s="29" t="s">
        <v>431</v>
      </c>
      <c r="C732" s="24">
        <v>44</v>
      </c>
      <c r="D732" s="24">
        <v>167</v>
      </c>
      <c r="E732" s="24">
        <v>63</v>
      </c>
      <c r="F732" s="9" t="str">
        <v>22.6 (Normal)</v>
      </c>
      <c r="G732" s="9" t="str">
        <f t="shared" si="4"/>
        <v>Normal</v>
      </c>
      <c r="H732" s="24">
        <f ca="1">IFERROR(__xludf.DUMMYFUNCTION("""COMPUTED_VALUE"""),22.6)</f>
        <v>22.6</v>
      </c>
      <c r="I732" s="24">
        <v>21</v>
      </c>
      <c r="J732" s="10">
        <v>58.566899999999997</v>
      </c>
      <c r="K732" s="11" t="s">
        <v>18</v>
      </c>
      <c r="L732" s="24">
        <v>1458.75</v>
      </c>
      <c r="M732" s="26">
        <v>2.08</v>
      </c>
      <c r="N732" s="9" t="s">
        <v>26</v>
      </c>
      <c r="O732" s="9" t="s">
        <v>19</v>
      </c>
      <c r="P732" s="27" t="e">
        <f t="shared" ca="1" si="5"/>
        <v>#NAME?</v>
      </c>
      <c r="Q732" s="28" t="e">
        <f ca="1"/>
        <v>#NAME?</v>
      </c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2.75">
      <c r="A733" s="9" t="s">
        <v>280</v>
      </c>
      <c r="B733" s="29" t="s">
        <v>431</v>
      </c>
      <c r="C733" s="24">
        <v>58</v>
      </c>
      <c r="D733" s="24">
        <v>171</v>
      </c>
      <c r="E733" s="24">
        <v>84</v>
      </c>
      <c r="F733" s="9" t="str">
        <v>28.7 (Obese)</v>
      </c>
      <c r="G733" s="9" t="str">
        <f t="shared" si="4"/>
        <v>Obese</v>
      </c>
      <c r="H733" s="24">
        <f ca="1">IFERROR(__xludf.DUMMYFUNCTION("""COMPUTED_VALUE"""),28.7)</f>
        <v>28.7</v>
      </c>
      <c r="I733" s="24">
        <v>21</v>
      </c>
      <c r="J733" s="10">
        <v>61.406099999999995</v>
      </c>
      <c r="K733" s="11" t="s">
        <v>28</v>
      </c>
      <c r="L733" s="24">
        <v>1623.75</v>
      </c>
      <c r="M733" s="26">
        <v>2.77</v>
      </c>
      <c r="N733" s="9" t="s">
        <v>34</v>
      </c>
      <c r="O733" s="9" t="s">
        <v>19</v>
      </c>
      <c r="P733" s="27" t="e">
        <f t="shared" ca="1" si="5"/>
        <v>#NAME?</v>
      </c>
      <c r="Q733" s="28" t="e">
        <f ca="1"/>
        <v>#NAME?</v>
      </c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2.75">
      <c r="A734" s="9" t="s">
        <v>311</v>
      </c>
      <c r="B734" s="29" t="s">
        <v>431</v>
      </c>
      <c r="C734" s="24">
        <v>51</v>
      </c>
      <c r="D734" s="24">
        <v>189</v>
      </c>
      <c r="E734" s="24">
        <v>63</v>
      </c>
      <c r="F734" s="9" t="str">
        <v>17.6 (Underweight)</v>
      </c>
      <c r="G734" s="9" t="str">
        <f t="shared" si="4"/>
        <v>Underweight</v>
      </c>
      <c r="H734" s="24">
        <f ca="1">IFERROR(__xludf.DUMMYFUNCTION("""COMPUTED_VALUE"""),17.6)</f>
        <v>17.600000000000001</v>
      </c>
      <c r="I734" s="24">
        <v>21</v>
      </c>
      <c r="J734" s="10">
        <v>75.014099999999999</v>
      </c>
      <c r="K734" s="11" t="s">
        <v>4</v>
      </c>
      <c r="L734" s="24">
        <v>1561.25</v>
      </c>
      <c r="M734" s="26">
        <v>2.08</v>
      </c>
      <c r="N734" s="9" t="s">
        <v>34</v>
      </c>
      <c r="O734" s="9" t="s">
        <v>19</v>
      </c>
      <c r="P734" s="27" t="e">
        <f t="shared" ca="1" si="5"/>
        <v>#NAME?</v>
      </c>
      <c r="Q734" s="28" t="e">
        <f ca="1"/>
        <v>#NAME?</v>
      </c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2.75">
      <c r="A735" s="9" t="s">
        <v>180</v>
      </c>
      <c r="B735" s="29" t="s">
        <v>431</v>
      </c>
      <c r="C735" s="24">
        <v>44</v>
      </c>
      <c r="D735" s="24">
        <v>176</v>
      </c>
      <c r="E735" s="24">
        <v>64</v>
      </c>
      <c r="F735" s="9" t="str">
        <v>20.7 (Normal)</v>
      </c>
      <c r="G735" s="9" t="str">
        <f t="shared" si="4"/>
        <v>Normal</v>
      </c>
      <c r="H735" s="24">
        <f ca="1">IFERROR(__xludf.DUMMYFUNCTION("""COMPUTED_VALUE"""),20.7)</f>
        <v>20.7</v>
      </c>
      <c r="I735" s="24">
        <v>21</v>
      </c>
      <c r="J735" s="10">
        <v>65.049599999999998</v>
      </c>
      <c r="K735" s="11" t="s">
        <v>18</v>
      </c>
      <c r="L735" s="24">
        <v>1525</v>
      </c>
      <c r="M735" s="26">
        <v>2.11</v>
      </c>
      <c r="N735" s="9" t="s">
        <v>26</v>
      </c>
      <c r="O735" s="9" t="s">
        <v>60</v>
      </c>
      <c r="P735" s="27" t="e">
        <f t="shared" ca="1" si="5"/>
        <v>#NAME?</v>
      </c>
      <c r="Q735" s="28" t="e">
        <f ca="1"/>
        <v>#NAME?</v>
      </c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2.75">
      <c r="A736" s="9" t="s">
        <v>359</v>
      </c>
      <c r="B736" s="29" t="s">
        <v>431</v>
      </c>
      <c r="C736" s="24">
        <v>40</v>
      </c>
      <c r="D736" s="24">
        <v>159</v>
      </c>
      <c r="E736" s="24">
        <v>81</v>
      </c>
      <c r="F736" s="9" t="str">
        <v>32.0 (Obese)</v>
      </c>
      <c r="G736" s="9" t="str">
        <f t="shared" si="4"/>
        <v>Obese</v>
      </c>
      <c r="H736" s="24">
        <f ca="1">IFERROR(__xludf.DUMMYFUNCTION("""COMPUTED_VALUE"""),32)</f>
        <v>32</v>
      </c>
      <c r="I736" s="24">
        <v>21</v>
      </c>
      <c r="J736" s="10">
        <v>53.090100000000007</v>
      </c>
      <c r="K736" s="11" t="s">
        <v>42</v>
      </c>
      <c r="L736" s="24">
        <v>1608.75</v>
      </c>
      <c r="M736" s="26">
        <v>2.67</v>
      </c>
      <c r="N736" s="9" t="s">
        <v>34</v>
      </c>
      <c r="O736" s="9" t="s">
        <v>63</v>
      </c>
      <c r="P736" s="27" t="e">
        <f t="shared" ca="1" si="5"/>
        <v>#NAME?</v>
      </c>
      <c r="Q736" s="28" t="e">
        <f ca="1"/>
        <v>#NAME?</v>
      </c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2.75">
      <c r="A737" s="9" t="s">
        <v>41</v>
      </c>
      <c r="B737" s="29" t="s">
        <v>431</v>
      </c>
      <c r="C737" s="24">
        <v>54</v>
      </c>
      <c r="D737" s="24">
        <v>175</v>
      </c>
      <c r="E737" s="24">
        <v>64</v>
      </c>
      <c r="F737" s="9" t="str">
        <v>20.9 (Normal)</v>
      </c>
      <c r="G737" s="9" t="str">
        <f t="shared" si="4"/>
        <v>Normal</v>
      </c>
      <c r="H737" s="24">
        <f ca="1">IFERROR(__xludf.DUMMYFUNCTION("""COMPUTED_VALUE"""),20.9)</f>
        <v>20.9</v>
      </c>
      <c r="I737" s="24">
        <v>21</v>
      </c>
      <c r="J737" s="10">
        <v>64.3125</v>
      </c>
      <c r="K737" s="11" t="s">
        <v>42</v>
      </c>
      <c r="L737" s="24">
        <v>1468.75</v>
      </c>
      <c r="M737" s="26">
        <v>2.11</v>
      </c>
      <c r="N737" s="9" t="s">
        <v>39</v>
      </c>
      <c r="O737" s="9" t="s">
        <v>60</v>
      </c>
      <c r="P737" s="27" t="e">
        <f t="shared" ca="1" si="5"/>
        <v>#NAME?</v>
      </c>
      <c r="Q737" s="28" t="e">
        <f ca="1"/>
        <v>#NAME?</v>
      </c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2.75">
      <c r="A738" s="9" t="s">
        <v>57</v>
      </c>
      <c r="B738" s="29" t="s">
        <v>431</v>
      </c>
      <c r="C738" s="24">
        <v>34</v>
      </c>
      <c r="D738" s="24">
        <v>174</v>
      </c>
      <c r="E738" s="24">
        <v>104</v>
      </c>
      <c r="F738" s="9" t="str">
        <v>34.4 (Obese)</v>
      </c>
      <c r="G738" s="9" t="str">
        <f t="shared" si="4"/>
        <v>Obese</v>
      </c>
      <c r="H738" s="24">
        <f ca="1">IFERROR(__xludf.DUMMYFUNCTION("""COMPUTED_VALUE"""),34.4)</f>
        <v>34.4</v>
      </c>
      <c r="I738" s="24">
        <v>21</v>
      </c>
      <c r="J738" s="10">
        <v>63.579599999999999</v>
      </c>
      <c r="K738" s="11" t="s">
        <v>18</v>
      </c>
      <c r="L738" s="24">
        <v>1962.5</v>
      </c>
      <c r="M738" s="26">
        <v>3.43</v>
      </c>
      <c r="N738" s="9" t="s">
        <v>34</v>
      </c>
      <c r="O738" s="9" t="s">
        <v>60</v>
      </c>
      <c r="P738" s="27" t="e">
        <f t="shared" ca="1" si="5"/>
        <v>#NAME?</v>
      </c>
      <c r="Q738" s="28" t="e">
        <f ca="1"/>
        <v>#NAME?</v>
      </c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2.75">
      <c r="A739" s="9" t="s">
        <v>70</v>
      </c>
      <c r="B739" s="29" t="s">
        <v>431</v>
      </c>
      <c r="C739" s="24">
        <v>34</v>
      </c>
      <c r="D739" s="24">
        <v>155</v>
      </c>
      <c r="E739" s="24">
        <v>99</v>
      </c>
      <c r="F739" s="9" t="str">
        <v>41.2 (Obese)</v>
      </c>
      <c r="G739" s="9" t="str">
        <f t="shared" si="4"/>
        <v>Obese</v>
      </c>
      <c r="H739" s="24">
        <f ca="1">IFERROR(__xludf.DUMMYFUNCTION("""COMPUTED_VALUE"""),41.2)</f>
        <v>41.2</v>
      </c>
      <c r="I739" s="24">
        <v>21</v>
      </c>
      <c r="J739" s="10">
        <v>50.452500000000008</v>
      </c>
      <c r="K739" s="11" t="s">
        <v>28</v>
      </c>
      <c r="L739" s="24">
        <v>1793.75</v>
      </c>
      <c r="M739" s="26">
        <v>3.27</v>
      </c>
      <c r="N739" s="9" t="s">
        <v>26</v>
      </c>
      <c r="O739" s="9" t="s">
        <v>19</v>
      </c>
      <c r="P739" s="27" t="e">
        <f t="shared" ca="1" si="5"/>
        <v>#NAME?</v>
      </c>
      <c r="Q739" s="28" t="e">
        <f ca="1"/>
        <v>#NAME?</v>
      </c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2.75">
      <c r="A740" s="9" t="s">
        <v>41</v>
      </c>
      <c r="B740" s="29" t="s">
        <v>431</v>
      </c>
      <c r="C740" s="24">
        <v>35</v>
      </c>
      <c r="D740" s="24">
        <v>167</v>
      </c>
      <c r="E740" s="24">
        <v>65</v>
      </c>
      <c r="F740" s="9" t="str">
        <v>23.3 (Normal)</v>
      </c>
      <c r="G740" s="9" t="str">
        <f t="shared" si="4"/>
        <v>Normal</v>
      </c>
      <c r="H740" s="24">
        <f ca="1">IFERROR(__xludf.DUMMYFUNCTION("""COMPUTED_VALUE"""),23.3)</f>
        <v>23.3</v>
      </c>
      <c r="I740" s="24">
        <v>21</v>
      </c>
      <c r="J740" s="10">
        <v>58.566899999999997</v>
      </c>
      <c r="K740" s="11" t="s">
        <v>42</v>
      </c>
      <c r="L740" s="24">
        <v>1523.75</v>
      </c>
      <c r="M740" s="26">
        <v>2.15</v>
      </c>
      <c r="N740" s="9" t="s">
        <v>26</v>
      </c>
      <c r="O740" s="9" t="s">
        <v>7</v>
      </c>
      <c r="P740" s="27" t="e">
        <f t="shared" ca="1" si="5"/>
        <v>#NAME?</v>
      </c>
      <c r="Q740" s="28" t="e">
        <f ca="1"/>
        <v>#NAME?</v>
      </c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2.75">
      <c r="A741" s="9" t="s">
        <v>164</v>
      </c>
      <c r="B741" s="29" t="s">
        <v>431</v>
      </c>
      <c r="C741" s="24">
        <v>45</v>
      </c>
      <c r="D741" s="24">
        <v>161</v>
      </c>
      <c r="E741" s="24">
        <v>103</v>
      </c>
      <c r="F741" s="9" t="str">
        <v>39.7 (Obese)</v>
      </c>
      <c r="G741" s="9" t="str">
        <f t="shared" si="4"/>
        <v>Obese</v>
      </c>
      <c r="H741" s="24">
        <f ca="1">IFERROR(__xludf.DUMMYFUNCTION("""COMPUTED_VALUE"""),39.7)</f>
        <v>39.700000000000003</v>
      </c>
      <c r="I741" s="24">
        <v>21</v>
      </c>
      <c r="J741" s="10">
        <v>54.434100000000008</v>
      </c>
      <c r="K741" s="11" t="s">
        <v>4</v>
      </c>
      <c r="L741" s="24">
        <v>1816.25</v>
      </c>
      <c r="M741" s="26">
        <v>3.4</v>
      </c>
      <c r="N741" s="9" t="s">
        <v>34</v>
      </c>
      <c r="O741" s="9" t="s">
        <v>30</v>
      </c>
      <c r="P741" s="27" t="e">
        <f t="shared" ca="1" si="5"/>
        <v>#NAME?</v>
      </c>
      <c r="Q741" s="28" t="e">
        <f ca="1"/>
        <v>#NAME?</v>
      </c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2.75">
      <c r="A742" s="9" t="s">
        <v>35</v>
      </c>
      <c r="B742" s="29" t="s">
        <v>431</v>
      </c>
      <c r="C742" s="24">
        <v>55</v>
      </c>
      <c r="D742" s="24">
        <v>163</v>
      </c>
      <c r="E742" s="24">
        <v>73</v>
      </c>
      <c r="F742" s="9" t="str">
        <v>27.5 (Overweight)</v>
      </c>
      <c r="G742" s="9" t="str">
        <f t="shared" si="4"/>
        <v>Overweight</v>
      </c>
      <c r="H742" s="24">
        <f ca="1">IFERROR(__xludf.DUMMYFUNCTION("""COMPUTED_VALUE"""),27.5)</f>
        <v>27.5</v>
      </c>
      <c r="I742" s="24">
        <v>21</v>
      </c>
      <c r="J742" s="10">
        <v>55.794899999999998</v>
      </c>
      <c r="K742" s="11" t="s">
        <v>4</v>
      </c>
      <c r="L742" s="24">
        <v>1478.75</v>
      </c>
      <c r="M742" s="26">
        <v>2.41</v>
      </c>
      <c r="N742" s="9" t="s">
        <v>34</v>
      </c>
      <c r="O742" s="9" t="s">
        <v>60</v>
      </c>
      <c r="P742" s="27" t="e">
        <f t="shared" ca="1" si="5"/>
        <v>#NAME?</v>
      </c>
      <c r="Q742" s="28" t="e">
        <f ca="1"/>
        <v>#NAME?</v>
      </c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2.75">
      <c r="A743" s="9" t="s">
        <v>197</v>
      </c>
      <c r="B743" s="29" t="s">
        <v>431</v>
      </c>
      <c r="C743" s="24">
        <v>54</v>
      </c>
      <c r="D743" s="24">
        <v>166</v>
      </c>
      <c r="E743" s="24">
        <v>105</v>
      </c>
      <c r="F743" s="9" t="str">
        <v>38.1 (Obese)</v>
      </c>
      <c r="G743" s="9" t="str">
        <f t="shared" si="4"/>
        <v>Obese</v>
      </c>
      <c r="H743" s="24">
        <f ca="1">IFERROR(__xludf.DUMMYFUNCTION("""COMPUTED_VALUE"""),38.1)</f>
        <v>38.1</v>
      </c>
      <c r="I743" s="24">
        <v>21</v>
      </c>
      <c r="J743" s="10">
        <v>57.867599999999996</v>
      </c>
      <c r="K743" s="11" t="s">
        <v>18</v>
      </c>
      <c r="L743" s="24">
        <v>1822.5</v>
      </c>
      <c r="M743" s="26">
        <v>3.47</v>
      </c>
      <c r="N743" s="9" t="s">
        <v>34</v>
      </c>
      <c r="O743" s="9" t="s">
        <v>37</v>
      </c>
      <c r="P743" s="27" t="e">
        <f t="shared" ca="1" si="5"/>
        <v>#NAME?</v>
      </c>
      <c r="Q743" s="28" t="e">
        <f ca="1"/>
        <v>#NAME?</v>
      </c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2.75">
      <c r="A744" s="9" t="s">
        <v>360</v>
      </c>
      <c r="B744" s="29" t="s">
        <v>431</v>
      </c>
      <c r="C744" s="24">
        <v>24</v>
      </c>
      <c r="D744" s="24">
        <v>156</v>
      </c>
      <c r="E744" s="24">
        <v>98</v>
      </c>
      <c r="F744" s="9" t="str">
        <v>40.3 (Obese)</v>
      </c>
      <c r="G744" s="9" t="str">
        <f t="shared" si="4"/>
        <v>Obese</v>
      </c>
      <c r="H744" s="24">
        <f ca="1">IFERROR(__xludf.DUMMYFUNCTION("""COMPUTED_VALUE"""),40.3)</f>
        <v>40.299999999999997</v>
      </c>
      <c r="I744" s="24">
        <v>21</v>
      </c>
      <c r="J744" s="10">
        <v>51.105600000000003</v>
      </c>
      <c r="K744" s="11" t="s">
        <v>28</v>
      </c>
      <c r="L744" s="24">
        <v>1840</v>
      </c>
      <c r="M744" s="26">
        <v>3.23</v>
      </c>
      <c r="N744" s="9" t="s">
        <v>26</v>
      </c>
      <c r="O744" s="9" t="s">
        <v>7</v>
      </c>
      <c r="P744" s="27" t="e">
        <f t="shared" ca="1" si="5"/>
        <v>#NAME?</v>
      </c>
      <c r="Q744" s="28" t="e">
        <f ca="1"/>
        <v>#NAME?</v>
      </c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2.75">
      <c r="A745" s="9" t="s">
        <v>176</v>
      </c>
      <c r="B745" s="29" t="s">
        <v>431</v>
      </c>
      <c r="C745" s="24">
        <v>42</v>
      </c>
      <c r="D745" s="24">
        <v>163</v>
      </c>
      <c r="E745" s="24">
        <v>74</v>
      </c>
      <c r="F745" s="9" t="str">
        <v>27.9 (Obese)</v>
      </c>
      <c r="G745" s="9" t="str">
        <f t="shared" si="4"/>
        <v>Obese</v>
      </c>
      <c r="H745" s="24">
        <f ca="1">IFERROR(__xludf.DUMMYFUNCTION("""COMPUTED_VALUE"""),27.9)</f>
        <v>27.9</v>
      </c>
      <c r="I745" s="24">
        <v>21</v>
      </c>
      <c r="J745" s="10">
        <v>55.794899999999998</v>
      </c>
      <c r="K745" s="11" t="s">
        <v>42</v>
      </c>
      <c r="L745" s="24">
        <v>1553.75</v>
      </c>
      <c r="M745" s="26">
        <v>2.44</v>
      </c>
      <c r="N745" s="9" t="s">
        <v>39</v>
      </c>
      <c r="O745" s="9" t="s">
        <v>19</v>
      </c>
      <c r="P745" s="27" t="e">
        <f t="shared" ca="1" si="5"/>
        <v>#NAME?</v>
      </c>
      <c r="Q745" s="28" t="e">
        <f ca="1"/>
        <v>#NAME?</v>
      </c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2.75">
      <c r="A746" s="9" t="s">
        <v>191</v>
      </c>
      <c r="B746" s="29" t="s">
        <v>431</v>
      </c>
      <c r="C746" s="24">
        <v>25</v>
      </c>
      <c r="D746" s="24">
        <v>173</v>
      </c>
      <c r="E746" s="24">
        <v>84</v>
      </c>
      <c r="F746" s="9" t="str">
        <v>28.1 (Obese)</v>
      </c>
      <c r="G746" s="9" t="str">
        <f t="shared" si="4"/>
        <v>Obese</v>
      </c>
      <c r="H746" s="24">
        <f ca="1">IFERROR(__xludf.DUMMYFUNCTION("""COMPUTED_VALUE"""),28.1)</f>
        <v>28.1</v>
      </c>
      <c r="I746" s="24">
        <v>21</v>
      </c>
      <c r="J746" s="10">
        <v>62.850900000000003</v>
      </c>
      <c r="K746" s="11" t="s">
        <v>28</v>
      </c>
      <c r="L746" s="24">
        <v>1801.25</v>
      </c>
      <c r="M746" s="26">
        <v>2.77</v>
      </c>
      <c r="N746" s="9" t="s">
        <v>39</v>
      </c>
      <c r="O746" s="9" t="s">
        <v>19</v>
      </c>
      <c r="P746" s="27" t="e">
        <f t="shared" ca="1" si="5"/>
        <v>#NAME?</v>
      </c>
      <c r="Q746" s="28" t="e">
        <f ca="1"/>
        <v>#NAME?</v>
      </c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2.75">
      <c r="A747" s="9" t="s">
        <v>107</v>
      </c>
      <c r="B747" s="29" t="s">
        <v>431</v>
      </c>
      <c r="C747" s="24">
        <v>51</v>
      </c>
      <c r="D747" s="24">
        <v>160</v>
      </c>
      <c r="E747" s="24">
        <v>62</v>
      </c>
      <c r="F747" s="9" t="str">
        <v>24.2 (Normal)</v>
      </c>
      <c r="G747" s="9" t="str">
        <f t="shared" si="4"/>
        <v>Normal</v>
      </c>
      <c r="H747" s="24">
        <f ca="1">IFERROR(__xludf.DUMMYFUNCTION("""COMPUTED_VALUE"""),24.2)</f>
        <v>24.2</v>
      </c>
      <c r="I747" s="24">
        <v>21</v>
      </c>
      <c r="J747" s="10">
        <v>53.760000000000012</v>
      </c>
      <c r="K747" s="11" t="s">
        <v>42</v>
      </c>
      <c r="L747" s="24">
        <v>1370</v>
      </c>
      <c r="M747" s="26">
        <v>2.0499999999999998</v>
      </c>
      <c r="N747" s="9" t="s">
        <v>34</v>
      </c>
      <c r="O747" s="9" t="s">
        <v>19</v>
      </c>
      <c r="P747" s="27" t="e">
        <f t="shared" ca="1" si="5"/>
        <v>#NAME?</v>
      </c>
      <c r="Q747" s="28" t="e">
        <f ca="1"/>
        <v>#NAME?</v>
      </c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2.75">
      <c r="A748" s="9" t="s">
        <v>67</v>
      </c>
      <c r="B748" s="29" t="s">
        <v>431</v>
      </c>
      <c r="C748" s="24">
        <v>35</v>
      </c>
      <c r="D748" s="24">
        <v>178</v>
      </c>
      <c r="E748" s="24">
        <v>88</v>
      </c>
      <c r="F748" s="9" t="str">
        <v>27.8 (Obese)</v>
      </c>
      <c r="G748" s="9" t="str">
        <f t="shared" si="4"/>
        <v>Obese</v>
      </c>
      <c r="H748" s="24">
        <f ca="1">IFERROR(__xludf.DUMMYFUNCTION("""COMPUTED_VALUE"""),27.8)</f>
        <v>27.8</v>
      </c>
      <c r="I748" s="24">
        <v>21</v>
      </c>
      <c r="J748" s="10">
        <v>66.5364</v>
      </c>
      <c r="K748" s="11" t="s">
        <v>4</v>
      </c>
      <c r="L748" s="24">
        <v>1822.5</v>
      </c>
      <c r="M748" s="26">
        <v>2.9</v>
      </c>
      <c r="N748" s="9" t="s">
        <v>16</v>
      </c>
      <c r="O748" s="9" t="s">
        <v>37</v>
      </c>
      <c r="P748" s="27" t="e">
        <f t="shared" ca="1" si="5"/>
        <v>#NAME?</v>
      </c>
      <c r="Q748" s="28" t="e">
        <f ca="1"/>
        <v>#NAME?</v>
      </c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2.75">
      <c r="A749" s="9" t="s">
        <v>165</v>
      </c>
      <c r="B749" s="29" t="s">
        <v>431</v>
      </c>
      <c r="C749" s="24">
        <v>45</v>
      </c>
      <c r="D749" s="24">
        <v>165</v>
      </c>
      <c r="E749" s="24">
        <v>66</v>
      </c>
      <c r="F749" s="9" t="str">
        <v>24.2 (Normal)</v>
      </c>
      <c r="G749" s="9" t="str">
        <f t="shared" si="4"/>
        <v>Normal</v>
      </c>
      <c r="H749" s="24">
        <f ca="1">IFERROR(__xludf.DUMMYFUNCTION("""COMPUTED_VALUE"""),24.2)</f>
        <v>24.2</v>
      </c>
      <c r="I749" s="24">
        <v>21</v>
      </c>
      <c r="J749" s="10">
        <v>57.172499999999992</v>
      </c>
      <c r="K749" s="11" t="s">
        <v>28</v>
      </c>
      <c r="L749" s="24">
        <v>1471.25</v>
      </c>
      <c r="M749" s="26">
        <v>2.1800000000000002</v>
      </c>
      <c r="N749" s="9" t="s">
        <v>16</v>
      </c>
      <c r="O749" s="9" t="s">
        <v>37</v>
      </c>
      <c r="P749" s="27" t="e">
        <f t="shared" ca="1" si="5"/>
        <v>#NAME?</v>
      </c>
      <c r="Q749" s="28" t="e">
        <f ca="1"/>
        <v>#NAME?</v>
      </c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2.75">
      <c r="A750" s="9" t="s">
        <v>361</v>
      </c>
      <c r="B750" s="29" t="s">
        <v>431</v>
      </c>
      <c r="C750" s="24">
        <v>39</v>
      </c>
      <c r="D750" s="24">
        <v>187</v>
      </c>
      <c r="E750" s="24">
        <v>77</v>
      </c>
      <c r="F750" s="9" t="str">
        <v>22.0 (Normal)</v>
      </c>
      <c r="G750" s="9" t="str">
        <f t="shared" si="4"/>
        <v>Normal</v>
      </c>
      <c r="H750" s="24">
        <f ca="1">IFERROR(__xludf.DUMMYFUNCTION("""COMPUTED_VALUE"""),22)</f>
        <v>22</v>
      </c>
      <c r="I750" s="24">
        <v>21</v>
      </c>
      <c r="J750" s="10">
        <v>73.434900000000013</v>
      </c>
      <c r="K750" s="11" t="s">
        <v>42</v>
      </c>
      <c r="L750" s="24">
        <v>1748.75</v>
      </c>
      <c r="M750" s="26">
        <v>2.54</v>
      </c>
      <c r="N750" s="9" t="s">
        <v>16</v>
      </c>
      <c r="O750" s="9" t="s">
        <v>63</v>
      </c>
      <c r="P750" s="27" t="e">
        <f t="shared" ca="1" si="5"/>
        <v>#NAME?</v>
      </c>
      <c r="Q750" s="28" t="e">
        <f ca="1"/>
        <v>#NAME?</v>
      </c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2.75">
      <c r="A751" s="9" t="s">
        <v>258</v>
      </c>
      <c r="B751" s="29" t="s">
        <v>431</v>
      </c>
      <c r="C751" s="24">
        <v>29</v>
      </c>
      <c r="D751" s="24">
        <v>170</v>
      </c>
      <c r="E751" s="24">
        <v>105</v>
      </c>
      <c r="F751" s="9" t="str">
        <v>36.3 (Obese)</v>
      </c>
      <c r="G751" s="9" t="str">
        <f t="shared" si="4"/>
        <v>Obese</v>
      </c>
      <c r="H751" s="24">
        <f ca="1">IFERROR(__xludf.DUMMYFUNCTION("""COMPUTED_VALUE"""),36.3)</f>
        <v>36.299999999999997</v>
      </c>
      <c r="I751" s="24">
        <v>21</v>
      </c>
      <c r="J751" s="10">
        <v>60.689999999999991</v>
      </c>
      <c r="K751" s="11" t="s">
        <v>42</v>
      </c>
      <c r="L751" s="24">
        <v>1972.5</v>
      </c>
      <c r="M751" s="26">
        <v>3.47</v>
      </c>
      <c r="N751" s="9" t="s">
        <v>26</v>
      </c>
      <c r="O751" s="9" t="s">
        <v>19</v>
      </c>
      <c r="P751" s="27" t="e">
        <f t="shared" ca="1" si="5"/>
        <v>#NAME?</v>
      </c>
      <c r="Q751" s="28" t="e">
        <f ca="1"/>
        <v>#NAME?</v>
      </c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2.75">
      <c r="A752" s="9" t="s">
        <v>95</v>
      </c>
      <c r="B752" s="29" t="s">
        <v>431</v>
      </c>
      <c r="C752" s="24">
        <v>38</v>
      </c>
      <c r="D752" s="24">
        <v>182</v>
      </c>
      <c r="E752" s="24">
        <v>63</v>
      </c>
      <c r="F752" s="9" t="str">
        <v>19.0 (Normal)</v>
      </c>
      <c r="G752" s="9" t="str">
        <f t="shared" si="4"/>
        <v>Normal</v>
      </c>
      <c r="H752" s="24">
        <f ca="1">IFERROR(__xludf.DUMMYFUNCTION("""COMPUTED_VALUE"""),19)</f>
        <v>19</v>
      </c>
      <c r="I752" s="24">
        <v>21</v>
      </c>
      <c r="J752" s="10">
        <v>69.560400000000001</v>
      </c>
      <c r="K752" s="11" t="s">
        <v>42</v>
      </c>
      <c r="L752" s="24">
        <v>1582.5</v>
      </c>
      <c r="M752" s="26">
        <v>2.08</v>
      </c>
      <c r="N752" s="9" t="s">
        <v>39</v>
      </c>
      <c r="O752" s="9" t="s">
        <v>30</v>
      </c>
      <c r="P752" s="27" t="e">
        <f t="shared" ca="1" si="5"/>
        <v>#NAME?</v>
      </c>
      <c r="Q752" s="28" t="e">
        <f ca="1"/>
        <v>#NAME?</v>
      </c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2.75">
      <c r="A753" s="9" t="s">
        <v>196</v>
      </c>
      <c r="B753" s="29" t="s">
        <v>431</v>
      </c>
      <c r="C753" s="24">
        <v>58</v>
      </c>
      <c r="D753" s="24">
        <v>188</v>
      </c>
      <c r="E753" s="24">
        <v>102</v>
      </c>
      <c r="F753" s="9" t="str">
        <v>28.9 (Obese)</v>
      </c>
      <c r="G753" s="9" t="str">
        <f t="shared" si="4"/>
        <v>Obese</v>
      </c>
      <c r="H753" s="24">
        <f ca="1">IFERROR(__xludf.DUMMYFUNCTION("""COMPUTED_VALUE"""),28.9)</f>
        <v>28.9</v>
      </c>
      <c r="I753" s="24">
        <v>21</v>
      </c>
      <c r="J753" s="10">
        <v>74.222399999999993</v>
      </c>
      <c r="K753" s="11" t="s">
        <v>42</v>
      </c>
      <c r="L753" s="24">
        <v>1910</v>
      </c>
      <c r="M753" s="26">
        <v>3.37</v>
      </c>
      <c r="N753" s="9" t="s">
        <v>26</v>
      </c>
      <c r="O753" s="9" t="s">
        <v>19</v>
      </c>
      <c r="P753" s="27" t="e">
        <f t="shared" ca="1" si="5"/>
        <v>#NAME?</v>
      </c>
      <c r="Q753" s="28" t="e">
        <f ca="1"/>
        <v>#NAME?</v>
      </c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2.75">
      <c r="A754" s="9" t="s">
        <v>290</v>
      </c>
      <c r="B754" s="29" t="s">
        <v>431</v>
      </c>
      <c r="C754" s="24">
        <v>46</v>
      </c>
      <c r="D754" s="24">
        <v>171</v>
      </c>
      <c r="E754" s="24">
        <v>107</v>
      </c>
      <c r="F754" s="9" t="str">
        <v>36.6 (Obese)</v>
      </c>
      <c r="G754" s="9" t="str">
        <f t="shared" si="4"/>
        <v>Obese</v>
      </c>
      <c r="H754" s="24">
        <f ca="1">IFERROR(__xludf.DUMMYFUNCTION("""COMPUTED_VALUE"""),36.6)</f>
        <v>36.6</v>
      </c>
      <c r="I754" s="24">
        <v>21</v>
      </c>
      <c r="J754" s="10">
        <v>61.406099999999995</v>
      </c>
      <c r="K754" s="11" t="s">
        <v>42</v>
      </c>
      <c r="L754" s="24">
        <v>1913.75</v>
      </c>
      <c r="M754" s="26">
        <v>3.53</v>
      </c>
      <c r="N754" s="9" t="s">
        <v>34</v>
      </c>
      <c r="O754" s="9" t="s">
        <v>37</v>
      </c>
      <c r="P754" s="27" t="e">
        <f t="shared" ca="1" si="5"/>
        <v>#NAME?</v>
      </c>
      <c r="Q754" s="28" t="e">
        <f ca="1"/>
        <v>#NAME?</v>
      </c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2.75">
      <c r="A755" s="9" t="s">
        <v>362</v>
      </c>
      <c r="B755" s="29" t="s">
        <v>431</v>
      </c>
      <c r="C755" s="24">
        <v>40</v>
      </c>
      <c r="D755" s="24">
        <v>173</v>
      </c>
      <c r="E755" s="24">
        <v>67</v>
      </c>
      <c r="F755" s="9" t="str">
        <v>22.4 (Normal)</v>
      </c>
      <c r="G755" s="9" t="str">
        <f t="shared" si="4"/>
        <v>Normal</v>
      </c>
      <c r="H755" s="24">
        <f ca="1">IFERROR(__xludf.DUMMYFUNCTION("""COMPUTED_VALUE"""),22.4)</f>
        <v>22.4</v>
      </c>
      <c r="I755" s="24">
        <v>21</v>
      </c>
      <c r="J755" s="10">
        <v>62.850900000000003</v>
      </c>
      <c r="K755" s="11" t="s">
        <v>18</v>
      </c>
      <c r="L755" s="24">
        <v>1556.25</v>
      </c>
      <c r="M755" s="26">
        <v>2.21</v>
      </c>
      <c r="N755" s="9" t="s">
        <v>26</v>
      </c>
      <c r="O755" s="9" t="s">
        <v>63</v>
      </c>
      <c r="P755" s="27" t="e">
        <f t="shared" ca="1" si="5"/>
        <v>#NAME?</v>
      </c>
      <c r="Q755" s="28" t="e">
        <f ca="1"/>
        <v>#NAME?</v>
      </c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2.75">
      <c r="A756" s="9" t="s">
        <v>212</v>
      </c>
      <c r="B756" s="29" t="s">
        <v>431</v>
      </c>
      <c r="C756" s="24">
        <v>20</v>
      </c>
      <c r="D756" s="24">
        <v>175</v>
      </c>
      <c r="E756" s="24">
        <v>103</v>
      </c>
      <c r="F756" s="9" t="str">
        <v>33.6 (Obese)</v>
      </c>
      <c r="G756" s="9" t="str">
        <f t="shared" si="4"/>
        <v>Obese</v>
      </c>
      <c r="H756" s="24">
        <f ca="1">IFERROR(__xludf.DUMMYFUNCTION("""COMPUTED_VALUE"""),33.6)</f>
        <v>33.6</v>
      </c>
      <c r="I756" s="24">
        <v>21</v>
      </c>
      <c r="J756" s="10">
        <v>64.3125</v>
      </c>
      <c r="K756" s="11" t="s">
        <v>28</v>
      </c>
      <c r="L756" s="24">
        <v>2028.75</v>
      </c>
      <c r="M756" s="26">
        <v>3.4</v>
      </c>
      <c r="N756" s="9" t="s">
        <v>39</v>
      </c>
      <c r="O756" s="9" t="s">
        <v>19</v>
      </c>
      <c r="P756" s="27" t="e">
        <f t="shared" ca="1" si="5"/>
        <v>#NAME?</v>
      </c>
      <c r="Q756" s="28" t="e">
        <f ca="1"/>
        <v>#NAME?</v>
      </c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2.75">
      <c r="A757" s="9" t="s">
        <v>154</v>
      </c>
      <c r="B757" s="29" t="s">
        <v>431</v>
      </c>
      <c r="C757" s="24">
        <v>34</v>
      </c>
      <c r="D757" s="24">
        <v>160</v>
      </c>
      <c r="E757" s="24">
        <v>98</v>
      </c>
      <c r="F757" s="9" t="str">
        <v>38.3 (Obese)</v>
      </c>
      <c r="G757" s="9" t="str">
        <f t="shared" si="4"/>
        <v>Obese</v>
      </c>
      <c r="H757" s="24">
        <f ca="1">IFERROR(__xludf.DUMMYFUNCTION("""COMPUTED_VALUE"""),38.3)</f>
        <v>38.299999999999997</v>
      </c>
      <c r="I757" s="24">
        <v>21</v>
      </c>
      <c r="J757" s="10">
        <v>53.760000000000012</v>
      </c>
      <c r="K757" s="11" t="s">
        <v>4</v>
      </c>
      <c r="L757" s="24">
        <v>1815</v>
      </c>
      <c r="M757" s="26">
        <v>3.23</v>
      </c>
      <c r="N757" s="9" t="s">
        <v>34</v>
      </c>
      <c r="O757" s="9" t="s">
        <v>19</v>
      </c>
      <c r="P757" s="27" t="e">
        <f t="shared" ca="1" si="5"/>
        <v>#NAME?</v>
      </c>
      <c r="Q757" s="28" t="e">
        <f ca="1"/>
        <v>#NAME?</v>
      </c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2.75">
      <c r="A758" s="9" t="s">
        <v>112</v>
      </c>
      <c r="B758" s="29" t="s">
        <v>431</v>
      </c>
      <c r="C758" s="24">
        <v>41</v>
      </c>
      <c r="D758" s="24">
        <v>179</v>
      </c>
      <c r="E758" s="24">
        <v>94</v>
      </c>
      <c r="F758" s="9" t="str">
        <v>29.3 (Obese)</v>
      </c>
      <c r="G758" s="9" t="str">
        <f t="shared" si="4"/>
        <v>Obese</v>
      </c>
      <c r="H758" s="24">
        <f ca="1">IFERROR(__xludf.DUMMYFUNCTION("""COMPUTED_VALUE"""),29.3)</f>
        <v>29.3</v>
      </c>
      <c r="I758" s="24">
        <v>21</v>
      </c>
      <c r="J758" s="10">
        <v>67.286100000000005</v>
      </c>
      <c r="K758" s="11" t="s">
        <v>42</v>
      </c>
      <c r="L758" s="24">
        <v>1858.75</v>
      </c>
      <c r="M758" s="26">
        <v>3.1</v>
      </c>
      <c r="N758" s="9" t="s">
        <v>39</v>
      </c>
      <c r="O758" s="9" t="s">
        <v>30</v>
      </c>
      <c r="P758" s="27" t="e">
        <f t="shared" ca="1" si="5"/>
        <v>#NAME?</v>
      </c>
      <c r="Q758" s="28" t="e">
        <f ca="1"/>
        <v>#NAME?</v>
      </c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2.75">
      <c r="A759" s="9" t="s">
        <v>59</v>
      </c>
      <c r="B759" s="29" t="s">
        <v>431</v>
      </c>
      <c r="C759" s="24">
        <v>46</v>
      </c>
      <c r="D759" s="24">
        <v>182</v>
      </c>
      <c r="E759" s="24">
        <v>53</v>
      </c>
      <c r="F759" s="9" t="str">
        <v>16.0 (Underweight)</v>
      </c>
      <c r="G759" s="9" t="str">
        <f t="shared" si="4"/>
        <v>Underweight</v>
      </c>
      <c r="H759" s="24">
        <f ca="1">IFERROR(__xludf.DUMMYFUNCTION("""COMPUTED_VALUE"""),16)</f>
        <v>16</v>
      </c>
      <c r="I759" s="24">
        <v>21</v>
      </c>
      <c r="J759" s="10">
        <v>69.560400000000001</v>
      </c>
      <c r="K759" s="11" t="s">
        <v>28</v>
      </c>
      <c r="L759" s="24">
        <v>1442.5</v>
      </c>
      <c r="M759" s="26">
        <v>1.75</v>
      </c>
      <c r="N759" s="9" t="s">
        <v>39</v>
      </c>
      <c r="O759" s="9" t="s">
        <v>7</v>
      </c>
      <c r="P759" s="27" t="e">
        <f t="shared" ca="1" si="5"/>
        <v>#NAME?</v>
      </c>
      <c r="Q759" s="28" t="e">
        <f ca="1"/>
        <v>#NAME?</v>
      </c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2.75">
      <c r="A760" s="9" t="s">
        <v>363</v>
      </c>
      <c r="B760" s="29" t="s">
        <v>431</v>
      </c>
      <c r="C760" s="24">
        <v>27</v>
      </c>
      <c r="D760" s="24">
        <v>177</v>
      </c>
      <c r="E760" s="24">
        <v>80</v>
      </c>
      <c r="F760" s="9" t="str">
        <v>25.5 (Overweight)</v>
      </c>
      <c r="G760" s="9" t="str">
        <f t="shared" si="4"/>
        <v>Overweight</v>
      </c>
      <c r="H760" s="24">
        <f ca="1">IFERROR(__xludf.DUMMYFUNCTION("""COMPUTED_VALUE"""),25.5)</f>
        <v>25.5</v>
      </c>
      <c r="I760" s="24">
        <v>21</v>
      </c>
      <c r="J760" s="10">
        <v>65.790900000000008</v>
      </c>
      <c r="K760" s="11" t="s">
        <v>42</v>
      </c>
      <c r="L760" s="24">
        <v>1776.25</v>
      </c>
      <c r="M760" s="26">
        <v>2.64</v>
      </c>
      <c r="N760" s="9" t="s">
        <v>34</v>
      </c>
      <c r="O760" s="9" t="s">
        <v>7</v>
      </c>
      <c r="P760" s="27" t="e">
        <f t="shared" ca="1" si="5"/>
        <v>#NAME?</v>
      </c>
      <c r="Q760" s="28" t="e">
        <f ca="1"/>
        <v>#NAME?</v>
      </c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2.75">
      <c r="A761" s="9" t="s">
        <v>364</v>
      </c>
      <c r="B761" s="29" t="s">
        <v>431</v>
      </c>
      <c r="C761" s="24">
        <v>47</v>
      </c>
      <c r="D761" s="24">
        <v>183</v>
      </c>
      <c r="E761" s="24">
        <v>71</v>
      </c>
      <c r="F761" s="9" t="str">
        <v>21.2 (Normal)</v>
      </c>
      <c r="G761" s="9" t="str">
        <f t="shared" si="4"/>
        <v>Normal</v>
      </c>
      <c r="H761" s="24">
        <f ca="1">IFERROR(__xludf.DUMMYFUNCTION("""COMPUTED_VALUE"""),21.2)</f>
        <v>21.2</v>
      </c>
      <c r="I761" s="24">
        <v>21</v>
      </c>
      <c r="J761" s="10">
        <v>70.326900000000009</v>
      </c>
      <c r="K761" s="11" t="s">
        <v>28</v>
      </c>
      <c r="L761" s="24">
        <v>1623.75</v>
      </c>
      <c r="M761" s="26">
        <v>2.34</v>
      </c>
      <c r="N761" s="9" t="s">
        <v>16</v>
      </c>
      <c r="O761" s="9" t="s">
        <v>19</v>
      </c>
      <c r="P761" s="27" t="e">
        <f t="shared" ca="1" si="5"/>
        <v>#NAME?</v>
      </c>
      <c r="Q761" s="28" t="e">
        <f ca="1"/>
        <v>#NAME?</v>
      </c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2.75">
      <c r="A762" s="9" t="s">
        <v>85</v>
      </c>
      <c r="B762" s="29" t="s">
        <v>431</v>
      </c>
      <c r="C762" s="24">
        <v>39</v>
      </c>
      <c r="D762" s="24">
        <v>188</v>
      </c>
      <c r="E762" s="24">
        <v>66</v>
      </c>
      <c r="F762" s="9" t="str">
        <v>18.7 (Normal)</v>
      </c>
      <c r="G762" s="9" t="str">
        <f t="shared" si="4"/>
        <v>Normal</v>
      </c>
      <c r="H762" s="24">
        <f ca="1">IFERROR(__xludf.DUMMYFUNCTION("""COMPUTED_VALUE"""),18.7)</f>
        <v>18.7</v>
      </c>
      <c r="I762" s="24">
        <v>21</v>
      </c>
      <c r="J762" s="10">
        <v>74.222399999999993</v>
      </c>
      <c r="K762" s="11" t="s">
        <v>18</v>
      </c>
      <c r="L762" s="24">
        <v>1645</v>
      </c>
      <c r="M762" s="26">
        <v>2.1800000000000002</v>
      </c>
      <c r="N762" s="9" t="s">
        <v>26</v>
      </c>
      <c r="O762" s="9" t="s">
        <v>63</v>
      </c>
      <c r="P762" s="27" t="e">
        <f t="shared" ca="1" si="5"/>
        <v>#NAME?</v>
      </c>
      <c r="Q762" s="28" t="e">
        <f ca="1"/>
        <v>#NAME?</v>
      </c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2.75">
      <c r="A763" s="9" t="s">
        <v>308</v>
      </c>
      <c r="B763" s="29" t="s">
        <v>431</v>
      </c>
      <c r="C763" s="24">
        <v>20</v>
      </c>
      <c r="D763" s="24">
        <v>183</v>
      </c>
      <c r="E763" s="24">
        <v>72</v>
      </c>
      <c r="F763" s="9" t="str">
        <v>21.5 (Normal)</v>
      </c>
      <c r="G763" s="9" t="str">
        <f t="shared" si="4"/>
        <v>Normal</v>
      </c>
      <c r="H763" s="24">
        <f ca="1">IFERROR(__xludf.DUMMYFUNCTION("""COMPUTED_VALUE"""),21.5)</f>
        <v>21.5</v>
      </c>
      <c r="I763" s="24">
        <v>21</v>
      </c>
      <c r="J763" s="10">
        <v>70.326900000000009</v>
      </c>
      <c r="K763" s="11" t="s">
        <v>28</v>
      </c>
      <c r="L763" s="24">
        <v>1768.75</v>
      </c>
      <c r="M763" s="26">
        <v>2.38</v>
      </c>
      <c r="N763" s="9" t="s">
        <v>34</v>
      </c>
      <c r="O763" s="9" t="s">
        <v>60</v>
      </c>
      <c r="P763" s="27" t="e">
        <f t="shared" ca="1" si="5"/>
        <v>#NAME?</v>
      </c>
      <c r="Q763" s="28" t="e">
        <f ca="1"/>
        <v>#NAME?</v>
      </c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2.75">
      <c r="A764" s="9" t="s">
        <v>100</v>
      </c>
      <c r="B764" s="29" t="s">
        <v>431</v>
      </c>
      <c r="C764" s="24">
        <v>59</v>
      </c>
      <c r="D764" s="24">
        <v>184</v>
      </c>
      <c r="E764" s="24">
        <v>96</v>
      </c>
      <c r="F764" s="9" t="str">
        <v>28.4 (Obese)</v>
      </c>
      <c r="G764" s="9" t="str">
        <f t="shared" si="4"/>
        <v>Obese</v>
      </c>
      <c r="H764" s="24">
        <f ca="1">IFERROR(__xludf.DUMMYFUNCTION("""COMPUTED_VALUE"""),28.4)</f>
        <v>28.4</v>
      </c>
      <c r="I764" s="24">
        <v>21</v>
      </c>
      <c r="J764" s="10">
        <v>71.0976</v>
      </c>
      <c r="K764" s="11" t="s">
        <v>4</v>
      </c>
      <c r="L764" s="24">
        <v>1820</v>
      </c>
      <c r="M764" s="26">
        <v>3.17</v>
      </c>
      <c r="N764" s="9" t="s">
        <v>39</v>
      </c>
      <c r="O764" s="9" t="s">
        <v>7</v>
      </c>
      <c r="P764" s="27" t="e">
        <f t="shared" ca="1" si="5"/>
        <v>#NAME?</v>
      </c>
      <c r="Q764" s="28" t="e">
        <f ca="1"/>
        <v>#NAME?</v>
      </c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2.75">
      <c r="A765" s="9" t="s">
        <v>67</v>
      </c>
      <c r="B765" s="29" t="s">
        <v>431</v>
      </c>
      <c r="C765" s="24">
        <v>43</v>
      </c>
      <c r="D765" s="24">
        <v>189</v>
      </c>
      <c r="E765" s="24">
        <v>99</v>
      </c>
      <c r="F765" s="9" t="str">
        <v>27.7 (Obese)</v>
      </c>
      <c r="G765" s="9" t="str">
        <f t="shared" si="4"/>
        <v>Obese</v>
      </c>
      <c r="H765" s="24">
        <f ca="1">IFERROR(__xludf.DUMMYFUNCTION("""COMPUTED_VALUE"""),27.7)</f>
        <v>27.7</v>
      </c>
      <c r="I765" s="24">
        <v>21</v>
      </c>
      <c r="J765" s="10">
        <v>75.014099999999999</v>
      </c>
      <c r="K765" s="11" t="s">
        <v>18</v>
      </c>
      <c r="L765" s="24">
        <v>1961.25</v>
      </c>
      <c r="M765" s="26">
        <v>3.27</v>
      </c>
      <c r="N765" s="9" t="s">
        <v>34</v>
      </c>
      <c r="O765" s="9" t="s">
        <v>7</v>
      </c>
      <c r="P765" s="27" t="e">
        <f t="shared" ca="1" si="5"/>
        <v>#NAME?</v>
      </c>
      <c r="Q765" s="28" t="e">
        <f ca="1"/>
        <v>#NAME?</v>
      </c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2.75">
      <c r="A766" s="9" t="s">
        <v>193</v>
      </c>
      <c r="B766" s="29" t="s">
        <v>431</v>
      </c>
      <c r="C766" s="24">
        <v>50</v>
      </c>
      <c r="D766" s="24">
        <v>165</v>
      </c>
      <c r="E766" s="24">
        <v>87</v>
      </c>
      <c r="F766" s="9" t="str">
        <v>32.0 (Obese)</v>
      </c>
      <c r="G766" s="9" t="str">
        <f t="shared" si="4"/>
        <v>Obese</v>
      </c>
      <c r="H766" s="24">
        <f ca="1">IFERROR(__xludf.DUMMYFUNCTION("""COMPUTED_VALUE"""),32)</f>
        <v>32</v>
      </c>
      <c r="I766" s="24">
        <v>21</v>
      </c>
      <c r="J766" s="10">
        <v>57.172499999999992</v>
      </c>
      <c r="K766" s="11" t="s">
        <v>18</v>
      </c>
      <c r="L766" s="24">
        <v>1656.25</v>
      </c>
      <c r="M766" s="26">
        <v>2.87</v>
      </c>
      <c r="N766" s="9" t="s">
        <v>39</v>
      </c>
      <c r="O766" s="9" t="s">
        <v>63</v>
      </c>
      <c r="P766" s="27" t="e">
        <f t="shared" ca="1" si="5"/>
        <v>#NAME?</v>
      </c>
      <c r="Q766" s="28" t="e">
        <f ca="1"/>
        <v>#NAME?</v>
      </c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2.75">
      <c r="A767" s="9" t="s">
        <v>365</v>
      </c>
      <c r="B767" s="29" t="s">
        <v>431</v>
      </c>
      <c r="C767" s="24">
        <v>22</v>
      </c>
      <c r="D767" s="24">
        <v>175</v>
      </c>
      <c r="E767" s="24">
        <v>63</v>
      </c>
      <c r="F767" s="9" t="str">
        <v>20.6 (Normal)</v>
      </c>
      <c r="G767" s="9" t="str">
        <f t="shared" si="4"/>
        <v>Normal</v>
      </c>
      <c r="H767" s="24">
        <f ca="1">IFERROR(__xludf.DUMMYFUNCTION("""COMPUTED_VALUE"""),20.6)</f>
        <v>20.6</v>
      </c>
      <c r="I767" s="24">
        <v>21</v>
      </c>
      <c r="J767" s="10">
        <v>64.3125</v>
      </c>
      <c r="K767" s="11" t="s">
        <v>28</v>
      </c>
      <c r="L767" s="24">
        <v>1618.75</v>
      </c>
      <c r="M767" s="26">
        <v>2.08</v>
      </c>
      <c r="N767" s="9" t="s">
        <v>34</v>
      </c>
      <c r="O767" s="9" t="s">
        <v>60</v>
      </c>
      <c r="P767" s="27" t="e">
        <f t="shared" ca="1" si="5"/>
        <v>#NAME?</v>
      </c>
      <c r="Q767" s="28" t="e">
        <f ca="1"/>
        <v>#NAME?</v>
      </c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2.75">
      <c r="A768" s="9" t="s">
        <v>78</v>
      </c>
      <c r="B768" s="29" t="s">
        <v>431</v>
      </c>
      <c r="C768" s="24">
        <v>59</v>
      </c>
      <c r="D768" s="24">
        <v>176</v>
      </c>
      <c r="E768" s="24">
        <v>55</v>
      </c>
      <c r="F768" s="9" t="str">
        <v>17.8 (Underweight)</v>
      </c>
      <c r="G768" s="9" t="str">
        <f t="shared" ref="G768:G1003" si="6">MID(F768, FIND("(", F768) + 1, FIND(")", F768) - FIND("(", F768) - 1)</f>
        <v>Underweight</v>
      </c>
      <c r="H768" s="24">
        <f ca="1">IFERROR(__xludf.DUMMYFUNCTION("""COMPUTED_VALUE"""),17.8)</f>
        <v>17.8</v>
      </c>
      <c r="I768" s="24">
        <v>21</v>
      </c>
      <c r="J768" s="10">
        <v>65.049599999999998</v>
      </c>
      <c r="K768" s="11" t="s">
        <v>28</v>
      </c>
      <c r="L768" s="24">
        <v>1360</v>
      </c>
      <c r="M768" s="26">
        <v>1.82</v>
      </c>
      <c r="N768" s="9" t="s">
        <v>34</v>
      </c>
      <c r="O768" s="9" t="s">
        <v>63</v>
      </c>
      <c r="P768" s="27" t="e">
        <f t="shared" ref="P768:P1003" ca="1" si="7">LET(
    activity, K767:K865,
    bmr, L767:L865,
    multiplier,
        IF(activity="Sedentary (little or no exercise)", 1.2,
        IF(activity="Lightly active (light exercise/sports 1-3 days/week)", 1.375,
        IF(activity="Moderately active (moderate exercise/sports 3-5 days/week)", 1.55,
        IF(activity="Very active (hard exercise/sports 6-7 days a week)", 1.725,
        IF(activity="Super active (very hard exercise/physical job)", 1.9, NA()))))),
    bmr * multiplier
)</f>
        <v>#NAME?</v>
      </c>
      <c r="Q768" s="28" t="e">
        <f ca="1"/>
        <v>#NAME?</v>
      </c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2.75">
      <c r="A769" s="9" t="s">
        <v>95</v>
      </c>
      <c r="B769" s="29" t="s">
        <v>431</v>
      </c>
      <c r="C769" s="24">
        <v>36</v>
      </c>
      <c r="D769" s="24">
        <v>179</v>
      </c>
      <c r="E769" s="24">
        <v>57</v>
      </c>
      <c r="F769" s="9" t="str">
        <v>17.8 (Underweight)</v>
      </c>
      <c r="G769" s="9" t="str">
        <f t="shared" si="6"/>
        <v>Underweight</v>
      </c>
      <c r="H769" s="24">
        <f ca="1">IFERROR(__xludf.DUMMYFUNCTION("""COMPUTED_VALUE"""),17.8)</f>
        <v>17.8</v>
      </c>
      <c r="I769" s="24">
        <v>21</v>
      </c>
      <c r="J769" s="10">
        <v>67.286100000000005</v>
      </c>
      <c r="K769" s="11" t="s">
        <v>42</v>
      </c>
      <c r="L769" s="24">
        <v>1513.75</v>
      </c>
      <c r="M769" s="26">
        <v>1.88</v>
      </c>
      <c r="N769" s="9" t="s">
        <v>16</v>
      </c>
      <c r="O769" s="9" t="s">
        <v>63</v>
      </c>
      <c r="P769" s="27" t="e">
        <f t="shared" ca="1" si="7"/>
        <v>#NAME?</v>
      </c>
      <c r="Q769" s="28" t="e">
        <f ca="1"/>
        <v>#NAME?</v>
      </c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2.75">
      <c r="A770" s="9" t="s">
        <v>142</v>
      </c>
      <c r="B770" s="29" t="s">
        <v>431</v>
      </c>
      <c r="C770" s="24">
        <v>52</v>
      </c>
      <c r="D770" s="24">
        <v>161</v>
      </c>
      <c r="E770" s="24">
        <v>65</v>
      </c>
      <c r="F770" s="9" t="str">
        <v>25.1 (Overweight)</v>
      </c>
      <c r="G770" s="9" t="str">
        <f t="shared" si="6"/>
        <v>Overweight</v>
      </c>
      <c r="H770" s="24">
        <f ca="1">IFERROR(__xludf.DUMMYFUNCTION("""COMPUTED_VALUE"""),25.1)</f>
        <v>25.1</v>
      </c>
      <c r="I770" s="24">
        <v>21</v>
      </c>
      <c r="J770" s="10">
        <v>54.434100000000008</v>
      </c>
      <c r="K770" s="11" t="s">
        <v>4</v>
      </c>
      <c r="L770" s="24">
        <v>1401.25</v>
      </c>
      <c r="M770" s="26">
        <v>2.15</v>
      </c>
      <c r="N770" s="9" t="s">
        <v>16</v>
      </c>
      <c r="O770" s="9" t="s">
        <v>63</v>
      </c>
      <c r="P770" s="27" t="e">
        <f t="shared" ca="1" si="7"/>
        <v>#NAME?</v>
      </c>
      <c r="Q770" s="28" t="e">
        <f ca="1"/>
        <v>#NAME?</v>
      </c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2.75">
      <c r="A771" s="9" t="s">
        <v>162</v>
      </c>
      <c r="B771" s="29" t="s">
        <v>431</v>
      </c>
      <c r="C771" s="24">
        <v>32</v>
      </c>
      <c r="D771" s="24">
        <v>179</v>
      </c>
      <c r="E771" s="24">
        <v>106</v>
      </c>
      <c r="F771" s="9" t="str">
        <v>33.1 (Obese)</v>
      </c>
      <c r="G771" s="9" t="str">
        <f t="shared" si="6"/>
        <v>Obese</v>
      </c>
      <c r="H771" s="24">
        <f ca="1">IFERROR(__xludf.DUMMYFUNCTION("""COMPUTED_VALUE"""),33.1)</f>
        <v>33.1</v>
      </c>
      <c r="I771" s="24">
        <v>21</v>
      </c>
      <c r="J771" s="10">
        <v>67.286100000000005</v>
      </c>
      <c r="K771" s="11" t="s">
        <v>28</v>
      </c>
      <c r="L771" s="24">
        <v>2023.75</v>
      </c>
      <c r="M771" s="26">
        <v>3.5</v>
      </c>
      <c r="N771" s="9" t="s">
        <v>39</v>
      </c>
      <c r="O771" s="9" t="s">
        <v>30</v>
      </c>
      <c r="P771" s="27" t="e">
        <f t="shared" ca="1" si="7"/>
        <v>#NAME?</v>
      </c>
      <c r="Q771" s="28" t="e">
        <f ca="1"/>
        <v>#NAME?</v>
      </c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2.75">
      <c r="A772" s="9" t="s">
        <v>291</v>
      </c>
      <c r="B772" s="29" t="s">
        <v>431</v>
      </c>
      <c r="C772" s="24">
        <v>42</v>
      </c>
      <c r="D772" s="24">
        <v>159</v>
      </c>
      <c r="E772" s="24">
        <v>99</v>
      </c>
      <c r="F772" s="9" t="str">
        <v>39.2 (Obese)</v>
      </c>
      <c r="G772" s="9" t="str">
        <f t="shared" si="6"/>
        <v>Obese</v>
      </c>
      <c r="H772" s="24">
        <f ca="1">IFERROR(__xludf.DUMMYFUNCTION("""COMPUTED_VALUE"""),39.2)</f>
        <v>39.200000000000003</v>
      </c>
      <c r="I772" s="24">
        <v>21</v>
      </c>
      <c r="J772" s="10">
        <v>53.090100000000007</v>
      </c>
      <c r="K772" s="11" t="s">
        <v>18</v>
      </c>
      <c r="L772" s="24">
        <v>1778.75</v>
      </c>
      <c r="M772" s="26">
        <v>3.27</v>
      </c>
      <c r="N772" s="9" t="s">
        <v>26</v>
      </c>
      <c r="O772" s="9" t="s">
        <v>7</v>
      </c>
      <c r="P772" s="27" t="e">
        <f t="shared" ca="1" si="7"/>
        <v>#NAME?</v>
      </c>
      <c r="Q772" s="28" t="e">
        <f ca="1"/>
        <v>#NAME?</v>
      </c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2.75">
      <c r="A773" s="9" t="s">
        <v>123</v>
      </c>
      <c r="B773" s="29" t="s">
        <v>431</v>
      </c>
      <c r="C773" s="24">
        <v>45</v>
      </c>
      <c r="D773" s="24">
        <v>158</v>
      </c>
      <c r="E773" s="24">
        <v>59</v>
      </c>
      <c r="F773" s="9" t="str">
        <v>23.6 (Normal)</v>
      </c>
      <c r="G773" s="9" t="str">
        <f t="shared" si="6"/>
        <v>Normal</v>
      </c>
      <c r="H773" s="24">
        <f ca="1">IFERROR(__xludf.DUMMYFUNCTION("""COMPUTED_VALUE"""),23.6)</f>
        <v>23.6</v>
      </c>
      <c r="I773" s="24">
        <v>21</v>
      </c>
      <c r="J773" s="10">
        <v>52.424400000000006</v>
      </c>
      <c r="K773" s="11" t="s">
        <v>42</v>
      </c>
      <c r="L773" s="24">
        <v>1357.5</v>
      </c>
      <c r="M773" s="26">
        <v>1.95</v>
      </c>
      <c r="N773" s="9" t="s">
        <v>16</v>
      </c>
      <c r="O773" s="9" t="s">
        <v>60</v>
      </c>
      <c r="P773" s="27" t="e">
        <f t="shared" ca="1" si="7"/>
        <v>#NAME?</v>
      </c>
      <c r="Q773" s="28" t="e">
        <f ca="1"/>
        <v>#NAME?</v>
      </c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2.75">
      <c r="A774" s="9" t="s">
        <v>365</v>
      </c>
      <c r="B774" s="29" t="s">
        <v>431</v>
      </c>
      <c r="C774" s="24">
        <v>56</v>
      </c>
      <c r="D774" s="24">
        <v>182</v>
      </c>
      <c r="E774" s="24">
        <v>75</v>
      </c>
      <c r="F774" s="9" t="str">
        <v>22.6 (Normal)</v>
      </c>
      <c r="G774" s="9" t="str">
        <f t="shared" si="6"/>
        <v>Normal</v>
      </c>
      <c r="H774" s="24">
        <f ca="1">IFERROR(__xludf.DUMMYFUNCTION("""COMPUTED_VALUE"""),22.6)</f>
        <v>22.6</v>
      </c>
      <c r="I774" s="24">
        <v>21</v>
      </c>
      <c r="J774" s="10">
        <v>69.560400000000001</v>
      </c>
      <c r="K774" s="11" t="s">
        <v>28</v>
      </c>
      <c r="L774" s="24">
        <v>1612.5</v>
      </c>
      <c r="M774" s="26">
        <v>2.48</v>
      </c>
      <c r="N774" s="9" t="s">
        <v>39</v>
      </c>
      <c r="O774" s="9" t="s">
        <v>63</v>
      </c>
      <c r="P774" s="27" t="e">
        <f t="shared" ca="1" si="7"/>
        <v>#NAME?</v>
      </c>
      <c r="Q774" s="28" t="e">
        <f ca="1"/>
        <v>#NAME?</v>
      </c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2.75">
      <c r="A775" s="9" t="s">
        <v>203</v>
      </c>
      <c r="B775" s="29" t="s">
        <v>431</v>
      </c>
      <c r="C775" s="24">
        <v>42</v>
      </c>
      <c r="D775" s="24">
        <v>184</v>
      </c>
      <c r="E775" s="24">
        <v>82</v>
      </c>
      <c r="F775" s="9" t="str">
        <v>24.2 (Normal)</v>
      </c>
      <c r="G775" s="9" t="str">
        <f t="shared" si="6"/>
        <v>Normal</v>
      </c>
      <c r="H775" s="24">
        <f ca="1">IFERROR(__xludf.DUMMYFUNCTION("""COMPUTED_VALUE"""),24.2)</f>
        <v>24.2</v>
      </c>
      <c r="I775" s="24">
        <v>21</v>
      </c>
      <c r="J775" s="10">
        <v>71.0976</v>
      </c>
      <c r="K775" s="11" t="s">
        <v>4</v>
      </c>
      <c r="L775" s="24">
        <v>1765</v>
      </c>
      <c r="M775" s="26">
        <v>2.71</v>
      </c>
      <c r="N775" s="9" t="s">
        <v>16</v>
      </c>
      <c r="O775" s="9" t="s">
        <v>60</v>
      </c>
      <c r="P775" s="27" t="e">
        <f t="shared" ca="1" si="7"/>
        <v>#NAME?</v>
      </c>
      <c r="Q775" s="28" t="e">
        <f ca="1"/>
        <v>#NAME?</v>
      </c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2.75">
      <c r="A776" s="9" t="s">
        <v>99</v>
      </c>
      <c r="B776" s="29" t="s">
        <v>431</v>
      </c>
      <c r="C776" s="24">
        <v>35</v>
      </c>
      <c r="D776" s="24">
        <v>175</v>
      </c>
      <c r="E776" s="24">
        <v>74</v>
      </c>
      <c r="F776" s="9" t="str">
        <v>24.2 (Normal)</v>
      </c>
      <c r="G776" s="9" t="str">
        <f t="shared" si="6"/>
        <v>Normal</v>
      </c>
      <c r="H776" s="24">
        <f ca="1">IFERROR(__xludf.DUMMYFUNCTION("""COMPUTED_VALUE"""),24.2)</f>
        <v>24.2</v>
      </c>
      <c r="I776" s="24">
        <v>21</v>
      </c>
      <c r="J776" s="10">
        <v>64.3125</v>
      </c>
      <c r="K776" s="11" t="s">
        <v>42</v>
      </c>
      <c r="L776" s="24">
        <v>1663.75</v>
      </c>
      <c r="M776" s="26">
        <v>2.44</v>
      </c>
      <c r="N776" s="9" t="s">
        <v>26</v>
      </c>
      <c r="O776" s="9" t="s">
        <v>19</v>
      </c>
      <c r="P776" s="27" t="e">
        <f t="shared" ca="1" si="7"/>
        <v>#NAME?</v>
      </c>
      <c r="Q776" s="28" t="e">
        <f ca="1"/>
        <v>#NAME?</v>
      </c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2.75">
      <c r="A777" s="9" t="s">
        <v>57</v>
      </c>
      <c r="B777" s="29" t="s">
        <v>431</v>
      </c>
      <c r="C777" s="24">
        <v>41</v>
      </c>
      <c r="D777" s="24">
        <v>160</v>
      </c>
      <c r="E777" s="24">
        <v>87</v>
      </c>
      <c r="F777" s="9" t="str">
        <v>34.0 (Obese)</v>
      </c>
      <c r="G777" s="9" t="str">
        <f t="shared" si="6"/>
        <v>Obese</v>
      </c>
      <c r="H777" s="24">
        <f ca="1">IFERROR(__xludf.DUMMYFUNCTION("""COMPUTED_VALUE"""),34)</f>
        <v>34</v>
      </c>
      <c r="I777" s="24">
        <v>21</v>
      </c>
      <c r="J777" s="10">
        <v>53.760000000000012</v>
      </c>
      <c r="K777" s="11" t="s">
        <v>28</v>
      </c>
      <c r="L777" s="24">
        <v>1670</v>
      </c>
      <c r="M777" s="26">
        <v>2.87</v>
      </c>
      <c r="N777" s="9" t="s">
        <v>34</v>
      </c>
      <c r="O777" s="9" t="s">
        <v>60</v>
      </c>
      <c r="P777" s="27" t="e">
        <f t="shared" ca="1" si="7"/>
        <v>#NAME?</v>
      </c>
      <c r="Q777" s="28" t="e">
        <f ca="1"/>
        <v>#NAME?</v>
      </c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2.75">
      <c r="A778" s="9" t="s">
        <v>350</v>
      </c>
      <c r="B778" s="29" t="s">
        <v>431</v>
      </c>
      <c r="C778" s="24">
        <v>34</v>
      </c>
      <c r="D778" s="24">
        <v>166</v>
      </c>
      <c r="E778" s="24">
        <v>76</v>
      </c>
      <c r="F778" s="9" t="str">
        <v>27.6 (Obese)</v>
      </c>
      <c r="G778" s="9" t="str">
        <f t="shared" si="6"/>
        <v>Obese</v>
      </c>
      <c r="H778" s="24">
        <f ca="1">IFERROR(__xludf.DUMMYFUNCTION("""COMPUTED_VALUE"""),27.6)</f>
        <v>27.6</v>
      </c>
      <c r="I778" s="24">
        <v>21</v>
      </c>
      <c r="J778" s="10">
        <v>57.867599999999996</v>
      </c>
      <c r="K778" s="11" t="s">
        <v>42</v>
      </c>
      <c r="L778" s="24">
        <v>1632.5</v>
      </c>
      <c r="M778" s="26">
        <v>2.5099999999999998</v>
      </c>
      <c r="N778" s="9" t="s">
        <v>16</v>
      </c>
      <c r="O778" s="9" t="s">
        <v>7</v>
      </c>
      <c r="P778" s="27" t="e">
        <f t="shared" ca="1" si="7"/>
        <v>#NAME?</v>
      </c>
      <c r="Q778" s="28" t="e">
        <f ca="1"/>
        <v>#NAME?</v>
      </c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2.75">
      <c r="A779" s="9" t="s">
        <v>212</v>
      </c>
      <c r="B779" s="29" t="s">
        <v>431</v>
      </c>
      <c r="C779" s="24">
        <v>51</v>
      </c>
      <c r="D779" s="24">
        <v>180</v>
      </c>
      <c r="E779" s="24">
        <v>78</v>
      </c>
      <c r="F779" s="9" t="str">
        <v>24.1 (Normal)</v>
      </c>
      <c r="G779" s="9" t="str">
        <f t="shared" si="6"/>
        <v>Normal</v>
      </c>
      <c r="H779" s="24">
        <f ca="1">IFERROR(__xludf.DUMMYFUNCTION("""COMPUTED_VALUE"""),24.1)</f>
        <v>24.1</v>
      </c>
      <c r="I779" s="24">
        <v>21</v>
      </c>
      <c r="J779" s="10">
        <v>68.040000000000006</v>
      </c>
      <c r="K779" s="11" t="s">
        <v>4</v>
      </c>
      <c r="L779" s="24">
        <v>1655</v>
      </c>
      <c r="M779" s="26">
        <v>2.57</v>
      </c>
      <c r="N779" s="9" t="s">
        <v>34</v>
      </c>
      <c r="O779" s="9" t="s">
        <v>19</v>
      </c>
      <c r="P779" s="27" t="e">
        <f t="shared" ca="1" si="7"/>
        <v>#NAME?</v>
      </c>
      <c r="Q779" s="28" t="e">
        <f ca="1"/>
        <v>#NAME?</v>
      </c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2.75">
      <c r="A780" s="9" t="s">
        <v>366</v>
      </c>
      <c r="B780" s="29" t="s">
        <v>431</v>
      </c>
      <c r="C780" s="24">
        <v>35</v>
      </c>
      <c r="D780" s="24">
        <v>175</v>
      </c>
      <c r="E780" s="24">
        <v>80</v>
      </c>
      <c r="F780" s="9" t="str">
        <v>26.1 (Overweight)</v>
      </c>
      <c r="G780" s="9" t="str">
        <f t="shared" si="6"/>
        <v>Overweight</v>
      </c>
      <c r="H780" s="24">
        <f ca="1">IFERROR(__xludf.DUMMYFUNCTION("""COMPUTED_VALUE"""),26.1)</f>
        <v>26.1</v>
      </c>
      <c r="I780" s="24">
        <v>21</v>
      </c>
      <c r="J780" s="10">
        <v>64.3125</v>
      </c>
      <c r="K780" s="11" t="s">
        <v>42</v>
      </c>
      <c r="L780" s="24">
        <v>1723.75</v>
      </c>
      <c r="M780" s="26">
        <v>2.64</v>
      </c>
      <c r="N780" s="9" t="s">
        <v>26</v>
      </c>
      <c r="O780" s="9" t="s">
        <v>60</v>
      </c>
      <c r="P780" s="27" t="e">
        <f t="shared" ca="1" si="7"/>
        <v>#NAME?</v>
      </c>
      <c r="Q780" s="28" t="e">
        <f ca="1"/>
        <v>#NAME?</v>
      </c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2.75">
      <c r="A781" s="9" t="s">
        <v>367</v>
      </c>
      <c r="B781" s="29" t="s">
        <v>431</v>
      </c>
      <c r="C781" s="24">
        <v>51</v>
      </c>
      <c r="D781" s="24">
        <v>158</v>
      </c>
      <c r="E781" s="24">
        <v>83</v>
      </c>
      <c r="F781" s="9" t="str">
        <v>33.2 (Obese)</v>
      </c>
      <c r="G781" s="9" t="str">
        <f t="shared" si="6"/>
        <v>Obese</v>
      </c>
      <c r="H781" s="24">
        <f ca="1">IFERROR(__xludf.DUMMYFUNCTION("""COMPUTED_VALUE"""),33.2)</f>
        <v>33.200000000000003</v>
      </c>
      <c r="I781" s="24">
        <v>21</v>
      </c>
      <c r="J781" s="10">
        <v>52.424400000000006</v>
      </c>
      <c r="K781" s="11" t="s">
        <v>4</v>
      </c>
      <c r="L781" s="24">
        <v>1567.5</v>
      </c>
      <c r="M781" s="26">
        <v>2.74</v>
      </c>
      <c r="N781" s="9" t="s">
        <v>26</v>
      </c>
      <c r="O781" s="9" t="s">
        <v>30</v>
      </c>
      <c r="P781" s="27" t="e">
        <f t="shared" ca="1" si="7"/>
        <v>#NAME?</v>
      </c>
      <c r="Q781" s="28" t="e">
        <f ca="1"/>
        <v>#NAME?</v>
      </c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2.75">
      <c r="A782" s="9" t="s">
        <v>79</v>
      </c>
      <c r="B782" s="29" t="s">
        <v>431</v>
      </c>
      <c r="C782" s="24">
        <v>59</v>
      </c>
      <c r="D782" s="24">
        <v>175</v>
      </c>
      <c r="E782" s="24">
        <v>88</v>
      </c>
      <c r="F782" s="9" t="str">
        <v>28.7 (Obese)</v>
      </c>
      <c r="G782" s="9" t="str">
        <f t="shared" si="6"/>
        <v>Obese</v>
      </c>
      <c r="H782" s="24">
        <f ca="1">IFERROR(__xludf.DUMMYFUNCTION("""COMPUTED_VALUE"""),28.7)</f>
        <v>28.7</v>
      </c>
      <c r="I782" s="24">
        <v>21</v>
      </c>
      <c r="J782" s="10">
        <v>64.3125</v>
      </c>
      <c r="K782" s="11" t="s">
        <v>18</v>
      </c>
      <c r="L782" s="24">
        <v>1683.75</v>
      </c>
      <c r="M782" s="26">
        <v>2.9</v>
      </c>
      <c r="N782" s="9" t="s">
        <v>16</v>
      </c>
      <c r="O782" s="9" t="s">
        <v>60</v>
      </c>
      <c r="P782" s="27" t="e">
        <f t="shared" ca="1" si="7"/>
        <v>#NAME?</v>
      </c>
      <c r="Q782" s="28" t="e">
        <f ca="1"/>
        <v>#NAME?</v>
      </c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2.75">
      <c r="A783" s="9" t="s">
        <v>57</v>
      </c>
      <c r="B783" s="29" t="s">
        <v>431</v>
      </c>
      <c r="C783" s="24">
        <v>39</v>
      </c>
      <c r="D783" s="24">
        <v>188</v>
      </c>
      <c r="E783" s="24">
        <v>100</v>
      </c>
      <c r="F783" s="9" t="str">
        <v>28.3 (Obese)</v>
      </c>
      <c r="G783" s="9" t="str">
        <f t="shared" si="6"/>
        <v>Obese</v>
      </c>
      <c r="H783" s="24">
        <f ca="1">IFERROR(__xludf.DUMMYFUNCTION("""COMPUTED_VALUE"""),28.3)</f>
        <v>28.3</v>
      </c>
      <c r="I783" s="24">
        <v>21</v>
      </c>
      <c r="J783" s="10">
        <v>74.222399999999993</v>
      </c>
      <c r="K783" s="11" t="s">
        <v>28</v>
      </c>
      <c r="L783" s="24">
        <v>1985</v>
      </c>
      <c r="M783" s="26">
        <v>3.3</v>
      </c>
      <c r="N783" s="9" t="s">
        <v>26</v>
      </c>
      <c r="O783" s="9" t="s">
        <v>37</v>
      </c>
      <c r="P783" s="27" t="e">
        <f t="shared" ca="1" si="7"/>
        <v>#NAME?</v>
      </c>
      <c r="Q783" s="28" t="e">
        <f ca="1"/>
        <v>#NAME?</v>
      </c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2.75">
      <c r="A784" s="9" t="s">
        <v>368</v>
      </c>
      <c r="B784" s="29" t="s">
        <v>431</v>
      </c>
      <c r="C784" s="24">
        <v>44</v>
      </c>
      <c r="D784" s="24">
        <v>178</v>
      </c>
      <c r="E784" s="24">
        <v>52</v>
      </c>
      <c r="F784" s="9" t="str">
        <v>16.4 (Underweight)</v>
      </c>
      <c r="G784" s="9" t="str">
        <f t="shared" si="6"/>
        <v>Underweight</v>
      </c>
      <c r="H784" s="24">
        <f ca="1">IFERROR(__xludf.DUMMYFUNCTION("""COMPUTED_VALUE"""),16.4)</f>
        <v>16.399999999999999</v>
      </c>
      <c r="I784" s="24">
        <v>21</v>
      </c>
      <c r="J784" s="10">
        <v>66.5364</v>
      </c>
      <c r="K784" s="11" t="s">
        <v>42</v>
      </c>
      <c r="L784" s="24">
        <v>1417.5</v>
      </c>
      <c r="M784" s="26">
        <v>1.72</v>
      </c>
      <c r="N784" s="9" t="s">
        <v>34</v>
      </c>
      <c r="O784" s="9" t="s">
        <v>63</v>
      </c>
      <c r="P784" s="27" t="e">
        <f t="shared" ca="1" si="7"/>
        <v>#NAME?</v>
      </c>
      <c r="Q784" s="28" t="e">
        <f ca="1"/>
        <v>#NAME?</v>
      </c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2.75">
      <c r="A785" s="9" t="s">
        <v>51</v>
      </c>
      <c r="B785" s="29" t="s">
        <v>431</v>
      </c>
      <c r="C785" s="24">
        <v>36</v>
      </c>
      <c r="D785" s="24">
        <v>163</v>
      </c>
      <c r="E785" s="24">
        <v>109</v>
      </c>
      <c r="F785" s="9" t="str">
        <v>41.0 (Obese)</v>
      </c>
      <c r="G785" s="9" t="str">
        <f t="shared" si="6"/>
        <v>Obese</v>
      </c>
      <c r="H785" s="24">
        <f ca="1">IFERROR(__xludf.DUMMYFUNCTION("""COMPUTED_VALUE"""),41)</f>
        <v>41</v>
      </c>
      <c r="I785" s="24">
        <v>21</v>
      </c>
      <c r="J785" s="10">
        <v>55.794899999999998</v>
      </c>
      <c r="K785" s="11" t="s">
        <v>18</v>
      </c>
      <c r="L785" s="24">
        <v>1933.75</v>
      </c>
      <c r="M785" s="26">
        <v>3.6</v>
      </c>
      <c r="N785" s="9" t="s">
        <v>16</v>
      </c>
      <c r="O785" s="9" t="s">
        <v>60</v>
      </c>
      <c r="P785" s="27" t="e">
        <f t="shared" ca="1" si="7"/>
        <v>#NAME?</v>
      </c>
      <c r="Q785" s="28" t="e">
        <f ca="1"/>
        <v>#NAME?</v>
      </c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2.75">
      <c r="A786" s="9" t="s">
        <v>258</v>
      </c>
      <c r="B786" s="29" t="s">
        <v>431</v>
      </c>
      <c r="C786" s="24">
        <v>51</v>
      </c>
      <c r="D786" s="24">
        <v>182</v>
      </c>
      <c r="E786" s="24">
        <v>95</v>
      </c>
      <c r="F786" s="9" t="str">
        <v>28.7 (Obese)</v>
      </c>
      <c r="G786" s="9" t="str">
        <f t="shared" si="6"/>
        <v>Obese</v>
      </c>
      <c r="H786" s="24">
        <f ca="1">IFERROR(__xludf.DUMMYFUNCTION("""COMPUTED_VALUE"""),28.7)</f>
        <v>28.7</v>
      </c>
      <c r="I786" s="24">
        <v>21</v>
      </c>
      <c r="J786" s="10">
        <v>69.560400000000001</v>
      </c>
      <c r="K786" s="11" t="s">
        <v>18</v>
      </c>
      <c r="L786" s="24">
        <v>1837.5</v>
      </c>
      <c r="M786" s="26">
        <v>3.14</v>
      </c>
      <c r="N786" s="9" t="s">
        <v>34</v>
      </c>
      <c r="O786" s="9" t="s">
        <v>60</v>
      </c>
      <c r="P786" s="27" t="e">
        <f t="shared" ca="1" si="7"/>
        <v>#NAME?</v>
      </c>
      <c r="Q786" s="28" t="e">
        <f ca="1"/>
        <v>#NAME?</v>
      </c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2.75">
      <c r="A787" s="9" t="s">
        <v>167</v>
      </c>
      <c r="B787" s="29" t="s">
        <v>431</v>
      </c>
      <c r="C787" s="24">
        <v>47</v>
      </c>
      <c r="D787" s="24">
        <v>165</v>
      </c>
      <c r="E787" s="24">
        <v>108</v>
      </c>
      <c r="F787" s="9" t="str">
        <v>39.7 (Obese)</v>
      </c>
      <c r="G787" s="9" t="str">
        <f t="shared" si="6"/>
        <v>Obese</v>
      </c>
      <c r="H787" s="24">
        <f ca="1">IFERROR(__xludf.DUMMYFUNCTION("""COMPUTED_VALUE"""),39.7)</f>
        <v>39.700000000000003</v>
      </c>
      <c r="I787" s="24">
        <v>21</v>
      </c>
      <c r="J787" s="10">
        <v>57.172499999999992</v>
      </c>
      <c r="K787" s="11" t="s">
        <v>4</v>
      </c>
      <c r="L787" s="24">
        <v>1881.25</v>
      </c>
      <c r="M787" s="26">
        <v>3.56</v>
      </c>
      <c r="N787" s="9" t="s">
        <v>16</v>
      </c>
      <c r="O787" s="9" t="s">
        <v>63</v>
      </c>
      <c r="P787" s="27" t="e">
        <f t="shared" ca="1" si="7"/>
        <v>#NAME?</v>
      </c>
      <c r="Q787" s="28" t="e">
        <f ca="1"/>
        <v>#NAME?</v>
      </c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2.75">
      <c r="A788" s="9" t="s">
        <v>247</v>
      </c>
      <c r="B788" s="29" t="s">
        <v>431</v>
      </c>
      <c r="C788" s="24">
        <v>50</v>
      </c>
      <c r="D788" s="24">
        <v>188</v>
      </c>
      <c r="E788" s="24">
        <v>101</v>
      </c>
      <c r="F788" s="9" t="str">
        <v>28.6 (Obese)</v>
      </c>
      <c r="G788" s="9" t="str">
        <f t="shared" si="6"/>
        <v>Obese</v>
      </c>
      <c r="H788" s="24">
        <f ca="1">IFERROR(__xludf.DUMMYFUNCTION("""COMPUTED_VALUE"""),28.6)</f>
        <v>28.6</v>
      </c>
      <c r="I788" s="24">
        <v>21</v>
      </c>
      <c r="J788" s="10">
        <v>74.222399999999993</v>
      </c>
      <c r="K788" s="11" t="s">
        <v>42</v>
      </c>
      <c r="L788" s="24">
        <v>1940</v>
      </c>
      <c r="M788" s="26">
        <v>3.33</v>
      </c>
      <c r="N788" s="9" t="s">
        <v>39</v>
      </c>
      <c r="O788" s="9" t="s">
        <v>63</v>
      </c>
      <c r="P788" s="27" t="e">
        <f t="shared" ca="1" si="7"/>
        <v>#NAME?</v>
      </c>
      <c r="Q788" s="28" t="e">
        <f ca="1"/>
        <v>#NAME?</v>
      </c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2.75">
      <c r="A789" s="9" t="s">
        <v>53</v>
      </c>
      <c r="B789" s="29" t="s">
        <v>431</v>
      </c>
      <c r="C789" s="24">
        <v>39</v>
      </c>
      <c r="D789" s="24">
        <v>175</v>
      </c>
      <c r="E789" s="24">
        <v>60</v>
      </c>
      <c r="F789" s="9" t="str">
        <v>19.6 (Normal)</v>
      </c>
      <c r="G789" s="9" t="str">
        <f t="shared" si="6"/>
        <v>Normal</v>
      </c>
      <c r="H789" s="24">
        <f ca="1">IFERROR(__xludf.DUMMYFUNCTION("""COMPUTED_VALUE"""),19.6)</f>
        <v>19.600000000000001</v>
      </c>
      <c r="I789" s="24">
        <v>21</v>
      </c>
      <c r="J789" s="10">
        <v>64.3125</v>
      </c>
      <c r="K789" s="11" t="s">
        <v>28</v>
      </c>
      <c r="L789" s="24">
        <v>1503.75</v>
      </c>
      <c r="M789" s="26">
        <v>1.98</v>
      </c>
      <c r="N789" s="9" t="s">
        <v>26</v>
      </c>
      <c r="O789" s="9" t="s">
        <v>37</v>
      </c>
      <c r="P789" s="27" t="e">
        <f t="shared" ca="1" si="7"/>
        <v>#NAME?</v>
      </c>
      <c r="Q789" s="28" t="e">
        <f ca="1"/>
        <v>#NAME?</v>
      </c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2.75">
      <c r="A790" s="9" t="s">
        <v>225</v>
      </c>
      <c r="B790" s="29" t="s">
        <v>431</v>
      </c>
      <c r="C790" s="24">
        <v>42</v>
      </c>
      <c r="D790" s="24">
        <v>171</v>
      </c>
      <c r="E790" s="24">
        <v>97</v>
      </c>
      <c r="F790" s="9" t="str">
        <v>33.2 (Obese)</v>
      </c>
      <c r="G790" s="9" t="str">
        <f t="shared" si="6"/>
        <v>Obese</v>
      </c>
      <c r="H790" s="24">
        <f ca="1">IFERROR(__xludf.DUMMYFUNCTION("""COMPUTED_VALUE"""),33.2)</f>
        <v>33.200000000000003</v>
      </c>
      <c r="I790" s="24">
        <v>21</v>
      </c>
      <c r="J790" s="10">
        <v>61.406099999999995</v>
      </c>
      <c r="K790" s="11" t="s">
        <v>42</v>
      </c>
      <c r="L790" s="24">
        <v>1833.75</v>
      </c>
      <c r="M790" s="26">
        <v>3.2</v>
      </c>
      <c r="N790" s="9" t="s">
        <v>16</v>
      </c>
      <c r="O790" s="9" t="s">
        <v>19</v>
      </c>
      <c r="P790" s="27" t="e">
        <f t="shared" ca="1" si="7"/>
        <v>#NAME?</v>
      </c>
      <c r="Q790" s="28" t="e">
        <f ca="1"/>
        <v>#NAME?</v>
      </c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2.75">
      <c r="A791" s="9" t="s">
        <v>369</v>
      </c>
      <c r="B791" s="29" t="s">
        <v>431</v>
      </c>
      <c r="C791" s="24">
        <v>42</v>
      </c>
      <c r="D791" s="24">
        <v>177</v>
      </c>
      <c r="E791" s="24">
        <v>57</v>
      </c>
      <c r="F791" s="9" t="str">
        <v>18.2 (Underweight)</v>
      </c>
      <c r="G791" s="9" t="str">
        <f t="shared" si="6"/>
        <v>Underweight</v>
      </c>
      <c r="H791" s="24">
        <f ca="1">IFERROR(__xludf.DUMMYFUNCTION("""COMPUTED_VALUE"""),18.2)</f>
        <v>18.2</v>
      </c>
      <c r="I791" s="24">
        <v>21</v>
      </c>
      <c r="J791" s="10">
        <v>65.790900000000008</v>
      </c>
      <c r="K791" s="11" t="s">
        <v>28</v>
      </c>
      <c r="L791" s="24">
        <v>1471.25</v>
      </c>
      <c r="M791" s="26">
        <v>1.88</v>
      </c>
      <c r="N791" s="9" t="s">
        <v>26</v>
      </c>
      <c r="O791" s="9" t="s">
        <v>63</v>
      </c>
      <c r="P791" s="27" t="e">
        <f t="shared" ca="1" si="7"/>
        <v>#NAME?</v>
      </c>
      <c r="Q791" s="28" t="e">
        <f ca="1"/>
        <v>#NAME?</v>
      </c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2.75">
      <c r="A792" s="9" t="s">
        <v>146</v>
      </c>
      <c r="B792" s="29" t="s">
        <v>431</v>
      </c>
      <c r="C792" s="24">
        <v>36</v>
      </c>
      <c r="D792" s="24">
        <v>175</v>
      </c>
      <c r="E792" s="24">
        <v>58</v>
      </c>
      <c r="F792" s="9" t="str">
        <v>18.9 (Normal)</v>
      </c>
      <c r="G792" s="9" t="str">
        <f t="shared" si="6"/>
        <v>Normal</v>
      </c>
      <c r="H792" s="24">
        <f ca="1">IFERROR(__xludf.DUMMYFUNCTION("""COMPUTED_VALUE"""),18.9)</f>
        <v>18.899999999999999</v>
      </c>
      <c r="I792" s="24">
        <v>21</v>
      </c>
      <c r="J792" s="10">
        <v>64.3125</v>
      </c>
      <c r="K792" s="11" t="s">
        <v>4</v>
      </c>
      <c r="L792" s="24">
        <v>1498.75</v>
      </c>
      <c r="M792" s="26">
        <v>1.91</v>
      </c>
      <c r="N792" s="9" t="s">
        <v>16</v>
      </c>
      <c r="O792" s="9" t="s">
        <v>63</v>
      </c>
      <c r="P792" s="27" t="e">
        <f t="shared" ca="1" si="7"/>
        <v>#NAME?</v>
      </c>
      <c r="Q792" s="28" t="e">
        <f ca="1"/>
        <v>#NAME?</v>
      </c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2.75">
      <c r="A793" s="9" t="s">
        <v>115</v>
      </c>
      <c r="B793" s="29" t="s">
        <v>431</v>
      </c>
      <c r="C793" s="24">
        <v>46</v>
      </c>
      <c r="D793" s="24">
        <v>158</v>
      </c>
      <c r="E793" s="24">
        <v>75</v>
      </c>
      <c r="F793" s="9" t="str">
        <v>30.0 (Obese)</v>
      </c>
      <c r="G793" s="9" t="str">
        <f t="shared" si="6"/>
        <v>Obese</v>
      </c>
      <c r="H793" s="24">
        <f ca="1">IFERROR(__xludf.DUMMYFUNCTION("""COMPUTED_VALUE"""),30)</f>
        <v>30</v>
      </c>
      <c r="I793" s="24">
        <v>21</v>
      </c>
      <c r="J793" s="10">
        <v>52.424400000000006</v>
      </c>
      <c r="K793" s="11" t="s">
        <v>4</v>
      </c>
      <c r="L793" s="24">
        <v>1512.5</v>
      </c>
      <c r="M793" s="26">
        <v>2.48</v>
      </c>
      <c r="N793" s="9" t="s">
        <v>26</v>
      </c>
      <c r="O793" s="9" t="s">
        <v>30</v>
      </c>
      <c r="P793" s="27" t="e">
        <f t="shared" ca="1" si="7"/>
        <v>#NAME?</v>
      </c>
      <c r="Q793" s="28" t="e">
        <f ca="1"/>
        <v>#NAME?</v>
      </c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2.75">
      <c r="A794" s="9" t="s">
        <v>210</v>
      </c>
      <c r="B794" s="29" t="s">
        <v>431</v>
      </c>
      <c r="C794" s="24">
        <v>23</v>
      </c>
      <c r="D794" s="24">
        <v>185</v>
      </c>
      <c r="E794" s="24">
        <v>94</v>
      </c>
      <c r="F794" s="9" t="str">
        <v>27.5 (Overweight)</v>
      </c>
      <c r="G794" s="9" t="str">
        <f t="shared" si="6"/>
        <v>Overweight</v>
      </c>
      <c r="H794" s="24">
        <f ca="1">IFERROR(__xludf.DUMMYFUNCTION("""COMPUTED_VALUE"""),27.5)</f>
        <v>27.5</v>
      </c>
      <c r="I794" s="24">
        <v>21</v>
      </c>
      <c r="J794" s="10">
        <v>71.872500000000002</v>
      </c>
      <c r="K794" s="11" t="s">
        <v>42</v>
      </c>
      <c r="L794" s="24">
        <v>1986.25</v>
      </c>
      <c r="M794" s="26">
        <v>3.1</v>
      </c>
      <c r="N794" s="9" t="s">
        <v>26</v>
      </c>
      <c r="O794" s="9" t="s">
        <v>37</v>
      </c>
      <c r="P794" s="27" t="e">
        <f t="shared" ca="1" si="7"/>
        <v>#NAME?</v>
      </c>
      <c r="Q794" s="28" t="e">
        <f ca="1"/>
        <v>#NAME?</v>
      </c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2.75">
      <c r="A795" s="9" t="s">
        <v>154</v>
      </c>
      <c r="B795" s="29" t="s">
        <v>431</v>
      </c>
      <c r="C795" s="24">
        <v>23</v>
      </c>
      <c r="D795" s="24">
        <v>155</v>
      </c>
      <c r="E795" s="24">
        <v>103</v>
      </c>
      <c r="F795" s="9" t="str">
        <v>42.9 (Obese)</v>
      </c>
      <c r="G795" s="9" t="str">
        <f t="shared" si="6"/>
        <v>Obese</v>
      </c>
      <c r="H795" s="24">
        <f ca="1">IFERROR(__xludf.DUMMYFUNCTION("""COMPUTED_VALUE"""),42.9)</f>
        <v>42.9</v>
      </c>
      <c r="I795" s="24">
        <v>21</v>
      </c>
      <c r="J795" s="10">
        <v>50.452500000000008</v>
      </c>
      <c r="K795" s="11" t="s">
        <v>42</v>
      </c>
      <c r="L795" s="24">
        <v>1888.75</v>
      </c>
      <c r="M795" s="26">
        <v>3.4</v>
      </c>
      <c r="N795" s="9" t="s">
        <v>26</v>
      </c>
      <c r="O795" s="9" t="s">
        <v>30</v>
      </c>
      <c r="P795" s="27" t="e">
        <f t="shared" ca="1" si="7"/>
        <v>#NAME?</v>
      </c>
      <c r="Q795" s="28" t="e">
        <f ca="1"/>
        <v>#NAME?</v>
      </c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2.75">
      <c r="A796" s="9" t="s">
        <v>222</v>
      </c>
      <c r="B796" s="29" t="s">
        <v>431</v>
      </c>
      <c r="C796" s="24">
        <v>51</v>
      </c>
      <c r="D796" s="24">
        <v>158</v>
      </c>
      <c r="E796" s="24">
        <v>83</v>
      </c>
      <c r="F796" s="9" t="str">
        <v>33.2 (Obese)</v>
      </c>
      <c r="G796" s="9" t="str">
        <f t="shared" si="6"/>
        <v>Obese</v>
      </c>
      <c r="H796" s="24">
        <f ca="1">IFERROR(__xludf.DUMMYFUNCTION("""COMPUTED_VALUE"""),33.2)</f>
        <v>33.200000000000003</v>
      </c>
      <c r="I796" s="24">
        <v>21</v>
      </c>
      <c r="J796" s="10">
        <v>52.424400000000006</v>
      </c>
      <c r="K796" s="11" t="s">
        <v>4</v>
      </c>
      <c r="L796" s="24">
        <v>1567.5</v>
      </c>
      <c r="M796" s="26">
        <v>2.74</v>
      </c>
      <c r="N796" s="9" t="s">
        <v>39</v>
      </c>
      <c r="O796" s="9" t="s">
        <v>7</v>
      </c>
      <c r="P796" s="27" t="e">
        <f t="shared" ca="1" si="7"/>
        <v>#NAME?</v>
      </c>
      <c r="Q796" s="28" t="e">
        <f ca="1"/>
        <v>#NAME?</v>
      </c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2.75">
      <c r="A797" s="9" t="s">
        <v>217</v>
      </c>
      <c r="B797" s="29" t="s">
        <v>431</v>
      </c>
      <c r="C797" s="24">
        <v>48</v>
      </c>
      <c r="D797" s="24">
        <v>176</v>
      </c>
      <c r="E797" s="24">
        <v>100</v>
      </c>
      <c r="F797" s="9" t="str">
        <v>32.3 (Obese)</v>
      </c>
      <c r="G797" s="9" t="str">
        <f t="shared" si="6"/>
        <v>Obese</v>
      </c>
      <c r="H797" s="24">
        <f ca="1">IFERROR(__xludf.DUMMYFUNCTION("""COMPUTED_VALUE"""),32.3)</f>
        <v>32.299999999999997</v>
      </c>
      <c r="I797" s="24">
        <v>21</v>
      </c>
      <c r="J797" s="10">
        <v>65.049599999999998</v>
      </c>
      <c r="K797" s="11" t="s">
        <v>18</v>
      </c>
      <c r="L797" s="24">
        <v>1865</v>
      </c>
      <c r="M797" s="26">
        <v>3.3</v>
      </c>
      <c r="N797" s="9" t="s">
        <v>16</v>
      </c>
      <c r="O797" s="9" t="s">
        <v>60</v>
      </c>
      <c r="P797" s="27" t="e">
        <f t="shared" ca="1" si="7"/>
        <v>#NAME?</v>
      </c>
      <c r="Q797" s="28" t="e">
        <f ca="1"/>
        <v>#NAME?</v>
      </c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2.75">
      <c r="A798" s="9" t="s">
        <v>290</v>
      </c>
      <c r="B798" s="29" t="s">
        <v>431</v>
      </c>
      <c r="C798" s="24">
        <v>47</v>
      </c>
      <c r="D798" s="24">
        <v>171</v>
      </c>
      <c r="E798" s="24">
        <v>107</v>
      </c>
      <c r="F798" s="9" t="str">
        <v>36.6 (Obese)</v>
      </c>
      <c r="G798" s="9" t="str">
        <f t="shared" si="6"/>
        <v>Obese</v>
      </c>
      <c r="H798" s="24">
        <f ca="1">IFERROR(__xludf.DUMMYFUNCTION("""COMPUTED_VALUE"""),36.6)</f>
        <v>36.6</v>
      </c>
      <c r="I798" s="24">
        <v>21</v>
      </c>
      <c r="J798" s="10">
        <v>61.406099999999995</v>
      </c>
      <c r="K798" s="11" t="s">
        <v>28</v>
      </c>
      <c r="L798" s="24">
        <v>1908.75</v>
      </c>
      <c r="M798" s="26">
        <v>3.53</v>
      </c>
      <c r="N798" s="9" t="s">
        <v>34</v>
      </c>
      <c r="O798" s="9" t="s">
        <v>7</v>
      </c>
      <c r="P798" s="27" t="e">
        <f t="shared" ca="1" si="7"/>
        <v>#NAME?</v>
      </c>
      <c r="Q798" s="28" t="e">
        <f ca="1"/>
        <v>#NAME?</v>
      </c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2.75">
      <c r="A799" s="9" t="s">
        <v>126</v>
      </c>
      <c r="B799" s="29" t="s">
        <v>431</v>
      </c>
      <c r="C799" s="24">
        <v>23</v>
      </c>
      <c r="D799" s="24">
        <v>184</v>
      </c>
      <c r="E799" s="24">
        <v>50</v>
      </c>
      <c r="F799" s="9" t="str">
        <v>14.8 (Underweight)</v>
      </c>
      <c r="G799" s="9" t="str">
        <f t="shared" si="6"/>
        <v>Underweight</v>
      </c>
      <c r="H799" s="24">
        <f ca="1">IFERROR(__xludf.DUMMYFUNCTION("""COMPUTED_VALUE"""),14.8)</f>
        <v>14.8</v>
      </c>
      <c r="I799" s="24">
        <v>21</v>
      </c>
      <c r="J799" s="10">
        <v>71.0976</v>
      </c>
      <c r="K799" s="11" t="s">
        <v>18</v>
      </c>
      <c r="L799" s="24">
        <v>1540</v>
      </c>
      <c r="M799" s="26">
        <v>1.65</v>
      </c>
      <c r="N799" s="9" t="s">
        <v>26</v>
      </c>
      <c r="O799" s="9" t="s">
        <v>63</v>
      </c>
      <c r="P799" s="27" t="e">
        <f t="shared" ca="1" si="7"/>
        <v>#NAME?</v>
      </c>
      <c r="Q799" s="28" t="e">
        <f ca="1"/>
        <v>#NAME?</v>
      </c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2.75">
      <c r="A800" s="9" t="s">
        <v>163</v>
      </c>
      <c r="B800" s="29" t="s">
        <v>431</v>
      </c>
      <c r="C800" s="24">
        <v>52</v>
      </c>
      <c r="D800" s="24">
        <v>178</v>
      </c>
      <c r="E800" s="24">
        <v>84</v>
      </c>
      <c r="F800" s="9" t="str">
        <v>26.5 (Overweight)</v>
      </c>
      <c r="G800" s="9" t="str">
        <f t="shared" si="6"/>
        <v>Overweight</v>
      </c>
      <c r="H800" s="24">
        <f ca="1">IFERROR(__xludf.DUMMYFUNCTION("""COMPUTED_VALUE"""),26.5)</f>
        <v>26.5</v>
      </c>
      <c r="I800" s="24">
        <v>21</v>
      </c>
      <c r="J800" s="10">
        <v>66.5364</v>
      </c>
      <c r="K800" s="11" t="s">
        <v>28</v>
      </c>
      <c r="L800" s="24">
        <v>1697.5</v>
      </c>
      <c r="M800" s="26">
        <v>2.77</v>
      </c>
      <c r="N800" s="9" t="s">
        <v>34</v>
      </c>
      <c r="O800" s="9" t="s">
        <v>30</v>
      </c>
      <c r="P800" s="27" t="e">
        <f t="shared" ca="1" si="7"/>
        <v>#NAME?</v>
      </c>
      <c r="Q800" s="28" t="e">
        <f ca="1"/>
        <v>#NAME?</v>
      </c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2.75">
      <c r="A801" s="9" t="s">
        <v>98</v>
      </c>
      <c r="B801" s="29" t="s">
        <v>431</v>
      </c>
      <c r="C801" s="24">
        <v>24</v>
      </c>
      <c r="D801" s="24">
        <v>177</v>
      </c>
      <c r="E801" s="24">
        <v>78</v>
      </c>
      <c r="F801" s="9" t="str">
        <v>24.9 (Normal)</v>
      </c>
      <c r="G801" s="9" t="str">
        <f t="shared" si="6"/>
        <v>Normal</v>
      </c>
      <c r="H801" s="24">
        <f ca="1">IFERROR(__xludf.DUMMYFUNCTION("""COMPUTED_VALUE"""),24.9)</f>
        <v>24.9</v>
      </c>
      <c r="I801" s="24">
        <v>21</v>
      </c>
      <c r="J801" s="10">
        <v>65.790900000000008</v>
      </c>
      <c r="K801" s="11" t="s">
        <v>18</v>
      </c>
      <c r="L801" s="24">
        <v>1771.25</v>
      </c>
      <c r="M801" s="26">
        <v>2.57</v>
      </c>
      <c r="N801" s="9" t="s">
        <v>34</v>
      </c>
      <c r="O801" s="9" t="s">
        <v>30</v>
      </c>
      <c r="P801" s="27" t="e">
        <f t="shared" ca="1" si="7"/>
        <v>#NAME?</v>
      </c>
      <c r="Q801" s="28" t="e">
        <f ca="1"/>
        <v>#NAME?</v>
      </c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2.75">
      <c r="A802" s="9" t="s">
        <v>370</v>
      </c>
      <c r="B802" s="29" t="s">
        <v>431</v>
      </c>
      <c r="C802" s="24">
        <v>55</v>
      </c>
      <c r="D802" s="24">
        <v>160</v>
      </c>
      <c r="E802" s="24">
        <v>67</v>
      </c>
      <c r="F802" s="9" t="str">
        <v>26.2 (Overweight)</v>
      </c>
      <c r="G802" s="9" t="str">
        <f t="shared" si="6"/>
        <v>Overweight</v>
      </c>
      <c r="H802" s="24">
        <f ca="1">IFERROR(__xludf.DUMMYFUNCTION("""COMPUTED_VALUE"""),26.2)</f>
        <v>26.2</v>
      </c>
      <c r="I802" s="24">
        <v>21</v>
      </c>
      <c r="J802" s="10">
        <v>53.760000000000012</v>
      </c>
      <c r="K802" s="11" t="s">
        <v>18</v>
      </c>
      <c r="L802" s="24">
        <v>1400</v>
      </c>
      <c r="M802" s="26">
        <v>2.21</v>
      </c>
      <c r="N802" s="9" t="s">
        <v>39</v>
      </c>
      <c r="O802" s="9" t="s">
        <v>37</v>
      </c>
      <c r="P802" s="27" t="e">
        <f t="shared" ca="1" si="7"/>
        <v>#NAME?</v>
      </c>
      <c r="Q802" s="28" t="e">
        <f ca="1"/>
        <v>#NAME?</v>
      </c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2.75">
      <c r="A803" s="9" t="s">
        <v>351</v>
      </c>
      <c r="B803" s="29" t="s">
        <v>431</v>
      </c>
      <c r="C803" s="24">
        <v>55</v>
      </c>
      <c r="D803" s="24">
        <v>168</v>
      </c>
      <c r="E803" s="24">
        <v>95</v>
      </c>
      <c r="F803" s="9" t="str">
        <v>33.7 (Obese)</v>
      </c>
      <c r="G803" s="9" t="str">
        <f t="shared" si="6"/>
        <v>Obese</v>
      </c>
      <c r="H803" s="24">
        <f ca="1">IFERROR(__xludf.DUMMYFUNCTION("""COMPUTED_VALUE"""),33.7)</f>
        <v>33.700000000000003</v>
      </c>
      <c r="I803" s="24">
        <v>21</v>
      </c>
      <c r="J803" s="10">
        <v>59.270399999999988</v>
      </c>
      <c r="K803" s="11" t="s">
        <v>28</v>
      </c>
      <c r="L803" s="24">
        <v>1730</v>
      </c>
      <c r="M803" s="26">
        <v>3.14</v>
      </c>
      <c r="N803" s="9" t="s">
        <v>34</v>
      </c>
      <c r="O803" s="9" t="s">
        <v>60</v>
      </c>
      <c r="P803" s="27" t="e">
        <f t="shared" ca="1" si="7"/>
        <v>#NAME?</v>
      </c>
      <c r="Q803" s="28" t="e">
        <f ca="1"/>
        <v>#NAME?</v>
      </c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2.75">
      <c r="A804" s="9" t="s">
        <v>84</v>
      </c>
      <c r="B804" s="29" t="s">
        <v>431</v>
      </c>
      <c r="C804" s="24">
        <v>44</v>
      </c>
      <c r="D804" s="24">
        <v>174</v>
      </c>
      <c r="E804" s="24">
        <v>53</v>
      </c>
      <c r="F804" s="9" t="str">
        <v>17.5 (Underweight)</v>
      </c>
      <c r="G804" s="9" t="str">
        <f t="shared" si="6"/>
        <v>Underweight</v>
      </c>
      <c r="H804" s="24">
        <f ca="1">IFERROR(__xludf.DUMMYFUNCTION("""COMPUTED_VALUE"""),17.5)</f>
        <v>17.5</v>
      </c>
      <c r="I804" s="24">
        <v>21</v>
      </c>
      <c r="J804" s="10">
        <v>63.579599999999999</v>
      </c>
      <c r="K804" s="11" t="s">
        <v>28</v>
      </c>
      <c r="L804" s="24">
        <v>1402.5</v>
      </c>
      <c r="M804" s="26">
        <v>1.75</v>
      </c>
      <c r="N804" s="9" t="s">
        <v>26</v>
      </c>
      <c r="O804" s="9" t="s">
        <v>19</v>
      </c>
      <c r="P804" s="27" t="e">
        <f t="shared" ca="1" si="7"/>
        <v>#NAME?</v>
      </c>
      <c r="Q804" s="28" t="e">
        <f ca="1"/>
        <v>#NAME?</v>
      </c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2.75">
      <c r="A805" s="9" t="s">
        <v>56</v>
      </c>
      <c r="B805" s="29" t="s">
        <v>431</v>
      </c>
      <c r="C805" s="24">
        <v>43</v>
      </c>
      <c r="D805" s="24">
        <v>162</v>
      </c>
      <c r="E805" s="24">
        <v>108</v>
      </c>
      <c r="F805" s="9" t="str">
        <v>41.2 (Obese)</v>
      </c>
      <c r="G805" s="9" t="str">
        <f t="shared" si="6"/>
        <v>Obese</v>
      </c>
      <c r="H805" s="24">
        <f ca="1">IFERROR(__xludf.DUMMYFUNCTION("""COMPUTED_VALUE"""),41.2)</f>
        <v>41.2</v>
      </c>
      <c r="I805" s="24">
        <v>21</v>
      </c>
      <c r="J805" s="10">
        <v>55.112400000000008</v>
      </c>
      <c r="K805" s="11" t="s">
        <v>4</v>
      </c>
      <c r="L805" s="24">
        <v>1882.5</v>
      </c>
      <c r="M805" s="26">
        <v>3.56</v>
      </c>
      <c r="N805" s="9" t="s">
        <v>39</v>
      </c>
      <c r="O805" s="9" t="s">
        <v>19</v>
      </c>
      <c r="P805" s="27" t="e">
        <f t="shared" ca="1" si="7"/>
        <v>#NAME?</v>
      </c>
      <c r="Q805" s="28" t="e">
        <f ca="1"/>
        <v>#NAME?</v>
      </c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2.75">
      <c r="A806" s="9" t="s">
        <v>338</v>
      </c>
      <c r="B806" s="29" t="s">
        <v>431</v>
      </c>
      <c r="C806" s="24">
        <v>33</v>
      </c>
      <c r="D806" s="24">
        <v>156</v>
      </c>
      <c r="E806" s="24">
        <v>104</v>
      </c>
      <c r="F806" s="9" t="str">
        <v>42.7 (Obese)</v>
      </c>
      <c r="G806" s="9" t="str">
        <f t="shared" si="6"/>
        <v>Obese</v>
      </c>
      <c r="H806" s="24">
        <f ca="1">IFERROR(__xludf.DUMMYFUNCTION("""COMPUTED_VALUE"""),42.7)</f>
        <v>42.7</v>
      </c>
      <c r="I806" s="24">
        <v>21</v>
      </c>
      <c r="J806" s="10">
        <v>51.105600000000003</v>
      </c>
      <c r="K806" s="11" t="s">
        <v>28</v>
      </c>
      <c r="L806" s="24">
        <v>1855</v>
      </c>
      <c r="M806" s="26">
        <v>3.43</v>
      </c>
      <c r="N806" s="9" t="s">
        <v>26</v>
      </c>
      <c r="O806" s="9" t="s">
        <v>37</v>
      </c>
      <c r="P806" s="27" t="e">
        <f t="shared" ca="1" si="7"/>
        <v>#NAME?</v>
      </c>
      <c r="Q806" s="28" t="e">
        <f ca="1"/>
        <v>#NAME?</v>
      </c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2.75">
      <c r="A807" s="9" t="s">
        <v>219</v>
      </c>
      <c r="B807" s="29" t="s">
        <v>431</v>
      </c>
      <c r="C807" s="24">
        <v>53</v>
      </c>
      <c r="D807" s="24">
        <v>171</v>
      </c>
      <c r="E807" s="24">
        <v>90</v>
      </c>
      <c r="F807" s="9" t="str">
        <v>30.8 (Obese)</v>
      </c>
      <c r="G807" s="9" t="str">
        <f t="shared" si="6"/>
        <v>Obese</v>
      </c>
      <c r="H807" s="24">
        <f ca="1">IFERROR(__xludf.DUMMYFUNCTION("""COMPUTED_VALUE"""),30.8)</f>
        <v>30.8</v>
      </c>
      <c r="I807" s="24">
        <v>21</v>
      </c>
      <c r="J807" s="10">
        <v>61.406099999999995</v>
      </c>
      <c r="K807" s="11" t="s">
        <v>4</v>
      </c>
      <c r="L807" s="24">
        <v>1708.75</v>
      </c>
      <c r="M807" s="26">
        <v>2.97</v>
      </c>
      <c r="N807" s="9" t="s">
        <v>26</v>
      </c>
      <c r="O807" s="9" t="s">
        <v>30</v>
      </c>
      <c r="P807" s="27" t="e">
        <f t="shared" ca="1" si="7"/>
        <v>#NAME?</v>
      </c>
      <c r="Q807" s="28" t="e">
        <f ca="1"/>
        <v>#NAME?</v>
      </c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2.75">
      <c r="A808" s="9" t="s">
        <v>105</v>
      </c>
      <c r="B808" s="29" t="s">
        <v>431</v>
      </c>
      <c r="C808" s="24">
        <v>29</v>
      </c>
      <c r="D808" s="24">
        <v>177</v>
      </c>
      <c r="E808" s="24">
        <v>99</v>
      </c>
      <c r="F808" s="9" t="str">
        <v>31.6 (Obese)</v>
      </c>
      <c r="G808" s="9" t="str">
        <f t="shared" si="6"/>
        <v>Obese</v>
      </c>
      <c r="H808" s="24">
        <f ca="1">IFERROR(__xludf.DUMMYFUNCTION("""COMPUTED_VALUE"""),31.6)</f>
        <v>31.6</v>
      </c>
      <c r="I808" s="24">
        <v>21</v>
      </c>
      <c r="J808" s="10">
        <v>65.790900000000008</v>
      </c>
      <c r="K808" s="11" t="s">
        <v>42</v>
      </c>
      <c r="L808" s="24">
        <v>1956.25</v>
      </c>
      <c r="M808" s="26">
        <v>3.27</v>
      </c>
      <c r="N808" s="9" t="s">
        <v>16</v>
      </c>
      <c r="O808" s="9" t="s">
        <v>7</v>
      </c>
      <c r="P808" s="27" t="e">
        <f t="shared" ca="1" si="7"/>
        <v>#NAME?</v>
      </c>
      <c r="Q808" s="28" t="e">
        <f ca="1"/>
        <v>#NAME?</v>
      </c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2.75">
      <c r="A809" s="9" t="s">
        <v>371</v>
      </c>
      <c r="B809" s="29" t="s">
        <v>431</v>
      </c>
      <c r="C809" s="24">
        <v>54</v>
      </c>
      <c r="D809" s="24">
        <v>177</v>
      </c>
      <c r="E809" s="24">
        <v>59</v>
      </c>
      <c r="F809" s="9" t="str">
        <v>18.8 (Normal)</v>
      </c>
      <c r="G809" s="9" t="str">
        <f t="shared" si="6"/>
        <v>Normal</v>
      </c>
      <c r="H809" s="24">
        <f ca="1">IFERROR(__xludf.DUMMYFUNCTION("""COMPUTED_VALUE"""),18.8)</f>
        <v>18.8</v>
      </c>
      <c r="I809" s="24">
        <v>21</v>
      </c>
      <c r="J809" s="10">
        <v>65.790900000000008</v>
      </c>
      <c r="K809" s="11" t="s">
        <v>42</v>
      </c>
      <c r="L809" s="24">
        <v>1431.25</v>
      </c>
      <c r="M809" s="26">
        <v>1.95</v>
      </c>
      <c r="N809" s="9" t="s">
        <v>26</v>
      </c>
      <c r="O809" s="9" t="s">
        <v>63</v>
      </c>
      <c r="P809" s="27" t="e">
        <f t="shared" ca="1" si="7"/>
        <v>#NAME?</v>
      </c>
      <c r="Q809" s="28" t="e">
        <f ca="1"/>
        <v>#NAME?</v>
      </c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2.75">
      <c r="A810" s="9" t="s">
        <v>372</v>
      </c>
      <c r="B810" s="29" t="s">
        <v>431</v>
      </c>
      <c r="C810" s="24">
        <v>49</v>
      </c>
      <c r="D810" s="24">
        <v>176</v>
      </c>
      <c r="E810" s="24">
        <v>53</v>
      </c>
      <c r="F810" s="9" t="str">
        <v>17.1 (Underweight)</v>
      </c>
      <c r="G810" s="9" t="str">
        <f t="shared" si="6"/>
        <v>Underweight</v>
      </c>
      <c r="H810" s="24">
        <f ca="1">IFERROR(__xludf.DUMMYFUNCTION("""COMPUTED_VALUE"""),17.1)</f>
        <v>17.100000000000001</v>
      </c>
      <c r="I810" s="24">
        <v>21</v>
      </c>
      <c r="J810" s="10">
        <v>65.049599999999998</v>
      </c>
      <c r="K810" s="11" t="s">
        <v>42</v>
      </c>
      <c r="L810" s="24">
        <v>1390</v>
      </c>
      <c r="M810" s="26">
        <v>1.75</v>
      </c>
      <c r="N810" s="9" t="s">
        <v>39</v>
      </c>
      <c r="O810" s="9" t="s">
        <v>63</v>
      </c>
      <c r="P810" s="27" t="e">
        <f t="shared" ca="1" si="7"/>
        <v>#NAME?</v>
      </c>
      <c r="Q810" s="28" t="e">
        <f ca="1"/>
        <v>#NAME?</v>
      </c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2.75">
      <c r="A811" s="9" t="s">
        <v>57</v>
      </c>
      <c r="B811" s="29" t="s">
        <v>431</v>
      </c>
      <c r="C811" s="24">
        <v>41</v>
      </c>
      <c r="D811" s="24">
        <v>176</v>
      </c>
      <c r="E811" s="24">
        <v>71</v>
      </c>
      <c r="F811" s="9" t="str">
        <v>22.9 (Normal)</v>
      </c>
      <c r="G811" s="9" t="str">
        <f t="shared" si="6"/>
        <v>Normal</v>
      </c>
      <c r="H811" s="24">
        <f ca="1">IFERROR(__xludf.DUMMYFUNCTION("""COMPUTED_VALUE"""),22.9)</f>
        <v>22.9</v>
      </c>
      <c r="I811" s="24">
        <v>21</v>
      </c>
      <c r="J811" s="10">
        <v>65.049599999999998</v>
      </c>
      <c r="K811" s="11" t="s">
        <v>42</v>
      </c>
      <c r="L811" s="24">
        <v>1610</v>
      </c>
      <c r="M811" s="26">
        <v>2.34</v>
      </c>
      <c r="N811" s="9" t="s">
        <v>39</v>
      </c>
      <c r="O811" s="9" t="s">
        <v>30</v>
      </c>
      <c r="P811" s="27" t="e">
        <f t="shared" ca="1" si="7"/>
        <v>#NAME?</v>
      </c>
      <c r="Q811" s="28" t="e">
        <f ca="1"/>
        <v>#NAME?</v>
      </c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2.75">
      <c r="A812" s="9" t="s">
        <v>70</v>
      </c>
      <c r="B812" s="29" t="s">
        <v>431</v>
      </c>
      <c r="C812" s="24">
        <v>40</v>
      </c>
      <c r="D812" s="24">
        <v>180</v>
      </c>
      <c r="E812" s="24">
        <v>90</v>
      </c>
      <c r="F812" s="9" t="str">
        <v>27.8 (Obese)</v>
      </c>
      <c r="G812" s="9" t="str">
        <f t="shared" si="6"/>
        <v>Obese</v>
      </c>
      <c r="H812" s="24">
        <f ca="1">IFERROR(__xludf.DUMMYFUNCTION("""COMPUTED_VALUE"""),27.8)</f>
        <v>27.8</v>
      </c>
      <c r="I812" s="24">
        <v>21</v>
      </c>
      <c r="J812" s="10">
        <v>68.040000000000006</v>
      </c>
      <c r="K812" s="11" t="s">
        <v>4</v>
      </c>
      <c r="L812" s="24">
        <v>1830</v>
      </c>
      <c r="M812" s="26">
        <v>2.97</v>
      </c>
      <c r="N812" s="9" t="s">
        <v>34</v>
      </c>
      <c r="O812" s="9" t="s">
        <v>30</v>
      </c>
      <c r="P812" s="27" t="e">
        <f t="shared" ca="1" si="7"/>
        <v>#NAME?</v>
      </c>
      <c r="Q812" s="28" t="e">
        <f ca="1"/>
        <v>#NAME?</v>
      </c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2.75">
      <c r="A813" s="9" t="s">
        <v>126</v>
      </c>
      <c r="B813" s="29" t="s">
        <v>431</v>
      </c>
      <c r="C813" s="24">
        <v>22</v>
      </c>
      <c r="D813" s="24">
        <v>159</v>
      </c>
      <c r="E813" s="24">
        <v>83</v>
      </c>
      <c r="F813" s="9" t="str">
        <v>32.8 (Obese)</v>
      </c>
      <c r="G813" s="9" t="str">
        <f t="shared" si="6"/>
        <v>Obese</v>
      </c>
      <c r="H813" s="24">
        <f ca="1">IFERROR(__xludf.DUMMYFUNCTION("""COMPUTED_VALUE"""),32.8)</f>
        <v>32.799999999999997</v>
      </c>
      <c r="I813" s="24">
        <v>21</v>
      </c>
      <c r="J813" s="10">
        <v>53.090100000000007</v>
      </c>
      <c r="K813" s="11" t="s">
        <v>18</v>
      </c>
      <c r="L813" s="24">
        <v>1718.75</v>
      </c>
      <c r="M813" s="26">
        <v>2.74</v>
      </c>
      <c r="N813" s="9" t="s">
        <v>26</v>
      </c>
      <c r="O813" s="9" t="s">
        <v>63</v>
      </c>
      <c r="P813" s="27" t="e">
        <f t="shared" ca="1" si="7"/>
        <v>#NAME?</v>
      </c>
      <c r="Q813" s="28" t="e">
        <f ca="1"/>
        <v>#NAME?</v>
      </c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2.75">
      <c r="A814" s="9" t="s">
        <v>92</v>
      </c>
      <c r="B814" s="29" t="s">
        <v>431</v>
      </c>
      <c r="C814" s="24">
        <v>22</v>
      </c>
      <c r="D814" s="24">
        <v>183</v>
      </c>
      <c r="E814" s="24">
        <v>90</v>
      </c>
      <c r="F814" s="9" t="str">
        <v>26.9 (Overweight)</v>
      </c>
      <c r="G814" s="9" t="str">
        <f t="shared" si="6"/>
        <v>Overweight</v>
      </c>
      <c r="H814" s="24">
        <f ca="1">IFERROR(__xludf.DUMMYFUNCTION("""COMPUTED_VALUE"""),26.9)</f>
        <v>26.9</v>
      </c>
      <c r="I814" s="24">
        <v>21</v>
      </c>
      <c r="J814" s="10">
        <v>70.326900000000009</v>
      </c>
      <c r="K814" s="11" t="s">
        <v>18</v>
      </c>
      <c r="L814" s="24">
        <v>1938.75</v>
      </c>
      <c r="M814" s="26">
        <v>2.97</v>
      </c>
      <c r="N814" s="9" t="s">
        <v>16</v>
      </c>
      <c r="O814" s="9" t="s">
        <v>37</v>
      </c>
      <c r="P814" s="27" t="e">
        <f t="shared" ca="1" si="7"/>
        <v>#NAME?</v>
      </c>
      <c r="Q814" s="28" t="e">
        <f ca="1"/>
        <v>#NAME?</v>
      </c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2.75">
      <c r="A815" s="9" t="s">
        <v>373</v>
      </c>
      <c r="B815" s="29" t="s">
        <v>431</v>
      </c>
      <c r="C815" s="24">
        <v>58</v>
      </c>
      <c r="D815" s="24">
        <v>188</v>
      </c>
      <c r="E815" s="24">
        <v>85</v>
      </c>
      <c r="F815" s="9" t="str">
        <v>24.0 (Normal)</v>
      </c>
      <c r="G815" s="9" t="str">
        <f t="shared" si="6"/>
        <v>Normal</v>
      </c>
      <c r="H815" s="24">
        <f ca="1">IFERROR(__xludf.DUMMYFUNCTION("""COMPUTED_VALUE"""),24)</f>
        <v>24</v>
      </c>
      <c r="I815" s="24">
        <v>21</v>
      </c>
      <c r="J815" s="10">
        <v>74.222399999999993</v>
      </c>
      <c r="K815" s="11" t="s">
        <v>28</v>
      </c>
      <c r="L815" s="24">
        <v>1740</v>
      </c>
      <c r="M815" s="26">
        <v>2.81</v>
      </c>
      <c r="N815" s="9" t="s">
        <v>39</v>
      </c>
      <c r="O815" s="9" t="s">
        <v>60</v>
      </c>
      <c r="P815" s="27" t="e">
        <f t="shared" ca="1" si="7"/>
        <v>#NAME?</v>
      </c>
      <c r="Q815" s="28" t="e">
        <f ca="1"/>
        <v>#NAME?</v>
      </c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2.75">
      <c r="A816" s="9" t="s">
        <v>374</v>
      </c>
      <c r="B816" s="29" t="s">
        <v>431</v>
      </c>
      <c r="C816" s="24">
        <v>54</v>
      </c>
      <c r="D816" s="24">
        <v>170</v>
      </c>
      <c r="E816" s="24">
        <v>73</v>
      </c>
      <c r="F816" s="9" t="str">
        <v>25.3 (Overweight)</v>
      </c>
      <c r="G816" s="9" t="str">
        <f t="shared" si="6"/>
        <v>Overweight</v>
      </c>
      <c r="H816" s="24">
        <f ca="1">IFERROR(__xludf.DUMMYFUNCTION("""COMPUTED_VALUE"""),25.3)</f>
        <v>25.3</v>
      </c>
      <c r="I816" s="24">
        <v>21</v>
      </c>
      <c r="J816" s="10">
        <v>60.689999999999991</v>
      </c>
      <c r="K816" s="11" t="s">
        <v>28</v>
      </c>
      <c r="L816" s="24">
        <v>1527.5</v>
      </c>
      <c r="M816" s="26">
        <v>2.41</v>
      </c>
      <c r="N816" s="9" t="s">
        <v>16</v>
      </c>
      <c r="O816" s="9" t="s">
        <v>60</v>
      </c>
      <c r="P816" s="27" t="e">
        <f t="shared" ca="1" si="7"/>
        <v>#NAME?</v>
      </c>
      <c r="Q816" s="28" t="e">
        <f ca="1"/>
        <v>#NAME?</v>
      </c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2.75">
      <c r="A817" s="9" t="s">
        <v>348</v>
      </c>
      <c r="B817" s="29" t="s">
        <v>431</v>
      </c>
      <c r="C817" s="24">
        <v>53</v>
      </c>
      <c r="D817" s="24">
        <v>170</v>
      </c>
      <c r="E817" s="24">
        <v>95</v>
      </c>
      <c r="F817" s="9" t="str">
        <v>32.9 (Obese)</v>
      </c>
      <c r="G817" s="9" t="str">
        <f t="shared" si="6"/>
        <v>Obese</v>
      </c>
      <c r="H817" s="24">
        <f ca="1">IFERROR(__xludf.DUMMYFUNCTION("""COMPUTED_VALUE"""),32.9)</f>
        <v>32.9</v>
      </c>
      <c r="I817" s="24">
        <v>21</v>
      </c>
      <c r="J817" s="10">
        <v>60.689999999999991</v>
      </c>
      <c r="K817" s="11" t="s">
        <v>4</v>
      </c>
      <c r="L817" s="24">
        <v>1752.5</v>
      </c>
      <c r="M817" s="26">
        <v>3.14</v>
      </c>
      <c r="N817" s="9" t="s">
        <v>16</v>
      </c>
      <c r="O817" s="9" t="s">
        <v>19</v>
      </c>
      <c r="P817" s="27" t="e">
        <f t="shared" ca="1" si="7"/>
        <v>#NAME?</v>
      </c>
      <c r="Q817" s="28" t="e">
        <f ca="1"/>
        <v>#NAME?</v>
      </c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2.75">
      <c r="A818" s="9" t="s">
        <v>41</v>
      </c>
      <c r="B818" s="29" t="s">
        <v>431</v>
      </c>
      <c r="C818" s="24">
        <v>25</v>
      </c>
      <c r="D818" s="24">
        <v>187</v>
      </c>
      <c r="E818" s="24">
        <v>81</v>
      </c>
      <c r="F818" s="9" t="str">
        <v>23.2 (Normal)</v>
      </c>
      <c r="G818" s="9" t="str">
        <f t="shared" si="6"/>
        <v>Normal</v>
      </c>
      <c r="H818" s="24">
        <f ca="1">IFERROR(__xludf.DUMMYFUNCTION("""COMPUTED_VALUE"""),23.2)</f>
        <v>23.2</v>
      </c>
      <c r="I818" s="24">
        <v>21</v>
      </c>
      <c r="J818" s="10">
        <v>73.434900000000013</v>
      </c>
      <c r="K818" s="11" t="s">
        <v>4</v>
      </c>
      <c r="L818" s="24">
        <v>1858.75</v>
      </c>
      <c r="M818" s="26">
        <v>2.67</v>
      </c>
      <c r="N818" s="9" t="s">
        <v>26</v>
      </c>
      <c r="O818" s="9" t="s">
        <v>7</v>
      </c>
      <c r="P818" s="27" t="e">
        <f t="shared" ca="1" si="7"/>
        <v>#NAME?</v>
      </c>
      <c r="Q818" s="28" t="e">
        <f ca="1"/>
        <v>#NAME?</v>
      </c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2.75">
      <c r="A819" s="9" t="s">
        <v>116</v>
      </c>
      <c r="B819" s="29" t="s">
        <v>431</v>
      </c>
      <c r="C819" s="24">
        <v>22</v>
      </c>
      <c r="D819" s="24">
        <v>155</v>
      </c>
      <c r="E819" s="24">
        <v>58</v>
      </c>
      <c r="F819" s="9" t="str">
        <v>24.1 (Normal)</v>
      </c>
      <c r="G819" s="9" t="str">
        <f t="shared" si="6"/>
        <v>Normal</v>
      </c>
      <c r="H819" s="24">
        <f ca="1">IFERROR(__xludf.DUMMYFUNCTION("""COMPUTED_VALUE"""),24.1)</f>
        <v>24.1</v>
      </c>
      <c r="I819" s="24">
        <v>21</v>
      </c>
      <c r="J819" s="10">
        <v>50.452500000000008</v>
      </c>
      <c r="K819" s="11" t="s">
        <v>18</v>
      </c>
      <c r="L819" s="24">
        <v>1443.75</v>
      </c>
      <c r="M819" s="26">
        <v>1.91</v>
      </c>
      <c r="N819" s="9" t="s">
        <v>39</v>
      </c>
      <c r="O819" s="9" t="s">
        <v>30</v>
      </c>
      <c r="P819" s="27" t="e">
        <f t="shared" ca="1" si="7"/>
        <v>#NAME?</v>
      </c>
      <c r="Q819" s="28" t="e">
        <f ca="1"/>
        <v>#NAME?</v>
      </c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2.75">
      <c r="A820" s="9" t="s">
        <v>85</v>
      </c>
      <c r="B820" s="29" t="s">
        <v>431</v>
      </c>
      <c r="C820" s="24">
        <v>43</v>
      </c>
      <c r="D820" s="24">
        <v>188</v>
      </c>
      <c r="E820" s="24">
        <v>106</v>
      </c>
      <c r="F820" s="9" t="str">
        <v>30.0 (Obese)</v>
      </c>
      <c r="G820" s="9" t="str">
        <f t="shared" si="6"/>
        <v>Obese</v>
      </c>
      <c r="H820" s="24">
        <f ca="1">IFERROR(__xludf.DUMMYFUNCTION("""COMPUTED_VALUE"""),30)</f>
        <v>30</v>
      </c>
      <c r="I820" s="24">
        <v>21</v>
      </c>
      <c r="J820" s="10">
        <v>74.222399999999993</v>
      </c>
      <c r="K820" s="11" t="s">
        <v>4</v>
      </c>
      <c r="L820" s="24">
        <v>2025</v>
      </c>
      <c r="M820" s="26">
        <v>3.5</v>
      </c>
      <c r="N820" s="9" t="s">
        <v>16</v>
      </c>
      <c r="O820" s="9" t="s">
        <v>37</v>
      </c>
      <c r="P820" s="27" t="e">
        <f t="shared" ca="1" si="7"/>
        <v>#NAME?</v>
      </c>
      <c r="Q820" s="28" t="e">
        <f ca="1"/>
        <v>#NAME?</v>
      </c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2.75">
      <c r="A821" s="9" t="s">
        <v>375</v>
      </c>
      <c r="B821" s="29" t="s">
        <v>431</v>
      </c>
      <c r="C821" s="24">
        <v>53</v>
      </c>
      <c r="D821" s="24">
        <v>182</v>
      </c>
      <c r="E821" s="24">
        <v>85</v>
      </c>
      <c r="F821" s="9" t="str">
        <v>25.7 (Overweight)</v>
      </c>
      <c r="G821" s="9" t="str">
        <f t="shared" si="6"/>
        <v>Overweight</v>
      </c>
      <c r="H821" s="24">
        <f ca="1">IFERROR(__xludf.DUMMYFUNCTION("""COMPUTED_VALUE"""),25.7)</f>
        <v>25.7</v>
      </c>
      <c r="I821" s="24">
        <v>21</v>
      </c>
      <c r="J821" s="10">
        <v>69.560400000000001</v>
      </c>
      <c r="K821" s="11" t="s">
        <v>42</v>
      </c>
      <c r="L821" s="24">
        <v>1727.5</v>
      </c>
      <c r="M821" s="26">
        <v>2.81</v>
      </c>
      <c r="N821" s="9" t="s">
        <v>26</v>
      </c>
      <c r="O821" s="9" t="s">
        <v>60</v>
      </c>
      <c r="P821" s="27" t="e">
        <f t="shared" ca="1" si="7"/>
        <v>#NAME?</v>
      </c>
      <c r="Q821" s="28" t="e">
        <f ca="1"/>
        <v>#NAME?</v>
      </c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2.75">
      <c r="A822" s="9" t="s">
        <v>376</v>
      </c>
      <c r="B822" s="29" t="s">
        <v>431</v>
      </c>
      <c r="C822" s="24">
        <v>31</v>
      </c>
      <c r="D822" s="24">
        <v>155</v>
      </c>
      <c r="E822" s="24">
        <v>74</v>
      </c>
      <c r="F822" s="9" t="str">
        <v>30.8 (Obese)</v>
      </c>
      <c r="G822" s="9" t="str">
        <f t="shared" si="6"/>
        <v>Obese</v>
      </c>
      <c r="H822" s="24">
        <f ca="1">IFERROR(__xludf.DUMMYFUNCTION("""COMPUTED_VALUE"""),30.8)</f>
        <v>30.8</v>
      </c>
      <c r="I822" s="24">
        <v>21</v>
      </c>
      <c r="J822" s="10">
        <v>50.452500000000008</v>
      </c>
      <c r="K822" s="11" t="s">
        <v>18</v>
      </c>
      <c r="L822" s="24">
        <v>1558.75</v>
      </c>
      <c r="M822" s="26">
        <v>2.44</v>
      </c>
      <c r="N822" s="9" t="s">
        <v>16</v>
      </c>
      <c r="O822" s="9" t="s">
        <v>37</v>
      </c>
      <c r="P822" s="27" t="e">
        <f t="shared" ca="1" si="7"/>
        <v>#NAME?</v>
      </c>
      <c r="Q822" s="28" t="e">
        <f ca="1"/>
        <v>#NAME?</v>
      </c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2.75">
      <c r="A823" s="9" t="s">
        <v>110</v>
      </c>
      <c r="B823" s="29" t="s">
        <v>431</v>
      </c>
      <c r="C823" s="24">
        <v>44</v>
      </c>
      <c r="D823" s="24">
        <v>184</v>
      </c>
      <c r="E823" s="24">
        <v>54</v>
      </c>
      <c r="F823" s="9" t="str">
        <v>15.9 (Underweight)</v>
      </c>
      <c r="G823" s="9" t="str">
        <f t="shared" si="6"/>
        <v>Underweight</v>
      </c>
      <c r="H823" s="24">
        <f ca="1">IFERROR(__xludf.DUMMYFUNCTION("""COMPUTED_VALUE"""),15.9)</f>
        <v>15.9</v>
      </c>
      <c r="I823" s="24">
        <v>21</v>
      </c>
      <c r="J823" s="10">
        <v>71.0976</v>
      </c>
      <c r="K823" s="11" t="s">
        <v>18</v>
      </c>
      <c r="L823" s="24">
        <v>1475</v>
      </c>
      <c r="M823" s="26">
        <v>1.78</v>
      </c>
      <c r="N823" s="9" t="s">
        <v>16</v>
      </c>
      <c r="O823" s="9" t="s">
        <v>37</v>
      </c>
      <c r="P823" s="27" t="e">
        <f t="shared" ca="1" si="7"/>
        <v>#NAME?</v>
      </c>
      <c r="Q823" s="28" t="e">
        <f ca="1"/>
        <v>#NAME?</v>
      </c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2.75">
      <c r="A824" s="9" t="s">
        <v>377</v>
      </c>
      <c r="B824" s="29" t="s">
        <v>431</v>
      </c>
      <c r="C824" s="24">
        <v>36</v>
      </c>
      <c r="D824" s="24">
        <v>164</v>
      </c>
      <c r="E824" s="24">
        <v>62</v>
      </c>
      <c r="F824" s="9" t="str">
        <v>23.1 (Normal)</v>
      </c>
      <c r="G824" s="9" t="str">
        <f t="shared" si="6"/>
        <v>Normal</v>
      </c>
      <c r="H824" s="24">
        <f ca="1">IFERROR(__xludf.DUMMYFUNCTION("""COMPUTED_VALUE"""),23.1)</f>
        <v>23.1</v>
      </c>
      <c r="I824" s="24">
        <v>21</v>
      </c>
      <c r="J824" s="10">
        <v>56.481599999999993</v>
      </c>
      <c r="K824" s="11" t="s">
        <v>28</v>
      </c>
      <c r="L824" s="24">
        <v>1470</v>
      </c>
      <c r="M824" s="26">
        <v>2.0499999999999998</v>
      </c>
      <c r="N824" s="9" t="s">
        <v>16</v>
      </c>
      <c r="O824" s="9" t="s">
        <v>7</v>
      </c>
      <c r="P824" s="27" t="e">
        <f t="shared" ca="1" si="7"/>
        <v>#NAME?</v>
      </c>
      <c r="Q824" s="28" t="e">
        <f ca="1"/>
        <v>#NAME?</v>
      </c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2.75">
      <c r="A825" s="9" t="s">
        <v>192</v>
      </c>
      <c r="B825" s="29" t="s">
        <v>431</v>
      </c>
      <c r="C825" s="24">
        <v>32</v>
      </c>
      <c r="D825" s="24">
        <v>185</v>
      </c>
      <c r="E825" s="24">
        <v>97</v>
      </c>
      <c r="F825" s="9" t="str">
        <v>28.3 (Obese)</v>
      </c>
      <c r="G825" s="9" t="str">
        <f t="shared" si="6"/>
        <v>Obese</v>
      </c>
      <c r="H825" s="24">
        <f ca="1">IFERROR(__xludf.DUMMYFUNCTION("""COMPUTED_VALUE"""),28.3)</f>
        <v>28.3</v>
      </c>
      <c r="I825" s="24">
        <v>21</v>
      </c>
      <c r="J825" s="10">
        <v>71.872500000000002</v>
      </c>
      <c r="K825" s="11" t="s">
        <v>18</v>
      </c>
      <c r="L825" s="24">
        <v>1971.25</v>
      </c>
      <c r="M825" s="26">
        <v>3.2</v>
      </c>
      <c r="N825" s="9" t="s">
        <v>34</v>
      </c>
      <c r="O825" s="9" t="s">
        <v>7</v>
      </c>
      <c r="P825" s="27" t="e">
        <f t="shared" ca="1" si="7"/>
        <v>#NAME?</v>
      </c>
      <c r="Q825" s="28" t="e">
        <f ca="1"/>
        <v>#NAME?</v>
      </c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2.75">
      <c r="A826" s="9" t="s">
        <v>378</v>
      </c>
      <c r="B826" s="29" t="s">
        <v>431</v>
      </c>
      <c r="C826" s="24">
        <v>56</v>
      </c>
      <c r="D826" s="24">
        <v>167</v>
      </c>
      <c r="E826" s="24">
        <v>109</v>
      </c>
      <c r="F826" s="9" t="str">
        <v>39.1 (Obese)</v>
      </c>
      <c r="G826" s="9" t="str">
        <f t="shared" si="6"/>
        <v>Obese</v>
      </c>
      <c r="H826" s="24">
        <f ca="1">IFERROR(__xludf.DUMMYFUNCTION("""COMPUTED_VALUE"""),39.1)</f>
        <v>39.1</v>
      </c>
      <c r="I826" s="24">
        <v>21</v>
      </c>
      <c r="J826" s="10">
        <v>58.566899999999997</v>
      </c>
      <c r="K826" s="11" t="s">
        <v>28</v>
      </c>
      <c r="L826" s="24">
        <v>1858.75</v>
      </c>
      <c r="M826" s="26">
        <v>3.6</v>
      </c>
      <c r="N826" s="9" t="s">
        <v>26</v>
      </c>
      <c r="O826" s="9" t="s">
        <v>63</v>
      </c>
      <c r="P826" s="27" t="e">
        <f t="shared" ca="1" si="7"/>
        <v>#NAME?</v>
      </c>
      <c r="Q826" s="28" t="e">
        <f ca="1"/>
        <v>#NAME?</v>
      </c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2.75">
      <c r="A827" s="9" t="s">
        <v>131</v>
      </c>
      <c r="B827" s="29" t="s">
        <v>431</v>
      </c>
      <c r="C827" s="24">
        <v>51</v>
      </c>
      <c r="D827" s="24">
        <v>166</v>
      </c>
      <c r="E827" s="24">
        <v>80</v>
      </c>
      <c r="F827" s="9" t="str">
        <v>29.0 (Obese)</v>
      </c>
      <c r="G827" s="9" t="str">
        <f t="shared" si="6"/>
        <v>Obese</v>
      </c>
      <c r="H827" s="24">
        <f ca="1">IFERROR(__xludf.DUMMYFUNCTION("""COMPUTED_VALUE"""),29)</f>
        <v>29</v>
      </c>
      <c r="I827" s="24">
        <v>21</v>
      </c>
      <c r="J827" s="10">
        <v>57.867599999999996</v>
      </c>
      <c r="K827" s="11" t="s">
        <v>4</v>
      </c>
      <c r="L827" s="24">
        <v>1587.5</v>
      </c>
      <c r="M827" s="26">
        <v>2.64</v>
      </c>
      <c r="N827" s="9" t="s">
        <v>34</v>
      </c>
      <c r="O827" s="9" t="s">
        <v>37</v>
      </c>
      <c r="P827" s="27" t="e">
        <f t="shared" ca="1" si="7"/>
        <v>#NAME?</v>
      </c>
      <c r="Q827" s="28" t="e">
        <f ca="1"/>
        <v>#NAME?</v>
      </c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2.75">
      <c r="A828" s="9" t="s">
        <v>379</v>
      </c>
      <c r="B828" s="29" t="s">
        <v>431</v>
      </c>
      <c r="C828" s="24">
        <v>26</v>
      </c>
      <c r="D828" s="24">
        <v>160</v>
      </c>
      <c r="E828" s="24">
        <v>97</v>
      </c>
      <c r="F828" s="9" t="str">
        <v>37.9 (Obese)</v>
      </c>
      <c r="G828" s="9" t="str">
        <f t="shared" si="6"/>
        <v>Obese</v>
      </c>
      <c r="H828" s="24">
        <f ca="1">IFERROR(__xludf.DUMMYFUNCTION("""COMPUTED_VALUE"""),37.9)</f>
        <v>37.9</v>
      </c>
      <c r="I828" s="24">
        <v>21</v>
      </c>
      <c r="J828" s="10">
        <v>53.760000000000012</v>
      </c>
      <c r="K828" s="11" t="s">
        <v>4</v>
      </c>
      <c r="L828" s="24">
        <v>1845</v>
      </c>
      <c r="M828" s="26">
        <v>3.2</v>
      </c>
      <c r="N828" s="9" t="s">
        <v>16</v>
      </c>
      <c r="O828" s="9" t="s">
        <v>37</v>
      </c>
      <c r="P828" s="27" t="e">
        <f t="shared" ca="1" si="7"/>
        <v>#NAME?</v>
      </c>
      <c r="Q828" s="28" t="e">
        <f ca="1"/>
        <v>#NAME?</v>
      </c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2.75">
      <c r="A829" s="9" t="s">
        <v>380</v>
      </c>
      <c r="B829" s="29" t="s">
        <v>431</v>
      </c>
      <c r="C829" s="24">
        <v>52</v>
      </c>
      <c r="D829" s="24">
        <v>184</v>
      </c>
      <c r="E829" s="24">
        <v>60</v>
      </c>
      <c r="F829" s="9" t="str">
        <v>17.7 (Underweight)</v>
      </c>
      <c r="G829" s="9" t="str">
        <f t="shared" si="6"/>
        <v>Underweight</v>
      </c>
      <c r="H829" s="24">
        <f ca="1">IFERROR(__xludf.DUMMYFUNCTION("""COMPUTED_VALUE"""),17.7)</f>
        <v>17.7</v>
      </c>
      <c r="I829" s="24">
        <v>21</v>
      </c>
      <c r="J829" s="10">
        <v>71.0976</v>
      </c>
      <c r="K829" s="11" t="s">
        <v>42</v>
      </c>
      <c r="L829" s="24">
        <v>1495</v>
      </c>
      <c r="M829" s="26">
        <v>1.98</v>
      </c>
      <c r="N829" s="9" t="s">
        <v>26</v>
      </c>
      <c r="O829" s="9" t="s">
        <v>7</v>
      </c>
      <c r="P829" s="27" t="e">
        <f t="shared" ca="1" si="7"/>
        <v>#NAME?</v>
      </c>
      <c r="Q829" s="28" t="e">
        <f ca="1"/>
        <v>#NAME?</v>
      </c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2.75">
      <c r="A830" s="9" t="s">
        <v>367</v>
      </c>
      <c r="B830" s="29" t="s">
        <v>431</v>
      </c>
      <c r="C830" s="24">
        <v>49</v>
      </c>
      <c r="D830" s="24">
        <v>178</v>
      </c>
      <c r="E830" s="24">
        <v>101</v>
      </c>
      <c r="F830" s="9" t="str">
        <v>31.9 (Obese)</v>
      </c>
      <c r="G830" s="9" t="str">
        <f t="shared" si="6"/>
        <v>Obese</v>
      </c>
      <c r="H830" s="24">
        <f ca="1">IFERROR(__xludf.DUMMYFUNCTION("""COMPUTED_VALUE"""),31.9)</f>
        <v>31.9</v>
      </c>
      <c r="I830" s="24">
        <v>21</v>
      </c>
      <c r="J830" s="10">
        <v>66.5364</v>
      </c>
      <c r="K830" s="11" t="s">
        <v>18</v>
      </c>
      <c r="L830" s="24">
        <v>1882.5</v>
      </c>
      <c r="M830" s="26">
        <v>3.33</v>
      </c>
      <c r="N830" s="9" t="s">
        <v>26</v>
      </c>
      <c r="O830" s="9" t="s">
        <v>7</v>
      </c>
      <c r="P830" s="27" t="e">
        <f t="shared" ca="1" si="7"/>
        <v>#NAME?</v>
      </c>
      <c r="Q830" s="28" t="e">
        <f ca="1"/>
        <v>#NAME?</v>
      </c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2.75">
      <c r="A831" s="9" t="s">
        <v>85</v>
      </c>
      <c r="B831" s="29" t="s">
        <v>431</v>
      </c>
      <c r="C831" s="24">
        <v>53</v>
      </c>
      <c r="D831" s="24">
        <v>157</v>
      </c>
      <c r="E831" s="24">
        <v>66</v>
      </c>
      <c r="F831" s="9" t="str">
        <v>26.8 (Overweight)</v>
      </c>
      <c r="G831" s="9" t="str">
        <f t="shared" si="6"/>
        <v>Overweight</v>
      </c>
      <c r="H831" s="24">
        <f ca="1">IFERROR(__xludf.DUMMYFUNCTION("""COMPUTED_VALUE"""),26.8)</f>
        <v>26.8</v>
      </c>
      <c r="I831" s="24">
        <v>21</v>
      </c>
      <c r="J831" s="10">
        <v>51.762900000000002</v>
      </c>
      <c r="K831" s="11" t="s">
        <v>42</v>
      </c>
      <c r="L831" s="24">
        <v>1381.25</v>
      </c>
      <c r="M831" s="26">
        <v>2.1800000000000002</v>
      </c>
      <c r="N831" s="9" t="s">
        <v>39</v>
      </c>
      <c r="O831" s="9" t="s">
        <v>30</v>
      </c>
      <c r="P831" s="27" t="e">
        <f t="shared" ca="1" si="7"/>
        <v>#NAME?</v>
      </c>
      <c r="Q831" s="28" t="e">
        <f ca="1"/>
        <v>#NAME?</v>
      </c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2.75">
      <c r="A832" s="9" t="s">
        <v>351</v>
      </c>
      <c r="B832" s="29" t="s">
        <v>431</v>
      </c>
      <c r="C832" s="24">
        <v>40</v>
      </c>
      <c r="D832" s="24">
        <v>158</v>
      </c>
      <c r="E832" s="24">
        <v>100</v>
      </c>
      <c r="F832" s="9" t="str">
        <v>40.1 (Obese)</v>
      </c>
      <c r="G832" s="9" t="str">
        <f t="shared" si="6"/>
        <v>Obese</v>
      </c>
      <c r="H832" s="24">
        <f ca="1">IFERROR(__xludf.DUMMYFUNCTION("""COMPUTED_VALUE"""),40.1)</f>
        <v>40.1</v>
      </c>
      <c r="I832" s="24">
        <v>21</v>
      </c>
      <c r="J832" s="10">
        <v>52.424400000000006</v>
      </c>
      <c r="K832" s="11" t="s">
        <v>42</v>
      </c>
      <c r="L832" s="24">
        <v>1792.5</v>
      </c>
      <c r="M832" s="26">
        <v>3.3</v>
      </c>
      <c r="N832" s="9" t="s">
        <v>34</v>
      </c>
      <c r="O832" s="9" t="s">
        <v>19</v>
      </c>
      <c r="P832" s="27" t="e">
        <f t="shared" ca="1" si="7"/>
        <v>#NAME?</v>
      </c>
      <c r="Q832" s="28" t="e">
        <f ca="1"/>
        <v>#NAME?</v>
      </c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2.75">
      <c r="A833" s="9" t="s">
        <v>49</v>
      </c>
      <c r="B833" s="29" t="s">
        <v>431</v>
      </c>
      <c r="C833" s="24">
        <v>42</v>
      </c>
      <c r="D833" s="24">
        <v>188</v>
      </c>
      <c r="E833" s="24">
        <v>55</v>
      </c>
      <c r="F833" s="9" t="str">
        <v>15.6 (Underweight)</v>
      </c>
      <c r="G833" s="9" t="str">
        <f t="shared" si="6"/>
        <v>Underweight</v>
      </c>
      <c r="H833" s="24">
        <f ca="1">IFERROR(__xludf.DUMMYFUNCTION("""COMPUTED_VALUE"""),15.6)</f>
        <v>15.6</v>
      </c>
      <c r="I833" s="24">
        <v>21</v>
      </c>
      <c r="J833" s="10">
        <v>74.222399999999993</v>
      </c>
      <c r="K833" s="11" t="s">
        <v>42</v>
      </c>
      <c r="L833" s="24">
        <v>1520</v>
      </c>
      <c r="M833" s="26">
        <v>1.82</v>
      </c>
      <c r="N833" s="9" t="s">
        <v>34</v>
      </c>
      <c r="O833" s="9" t="s">
        <v>37</v>
      </c>
      <c r="P833" s="27" t="e">
        <f t="shared" ca="1" si="7"/>
        <v>#NAME?</v>
      </c>
      <c r="Q833" s="28" t="e">
        <f ca="1"/>
        <v>#NAME?</v>
      </c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2.75">
      <c r="A834" s="9" t="s">
        <v>198</v>
      </c>
      <c r="B834" s="29" t="s">
        <v>431</v>
      </c>
      <c r="C834" s="24">
        <v>37</v>
      </c>
      <c r="D834" s="24">
        <v>159</v>
      </c>
      <c r="E834" s="24">
        <v>50</v>
      </c>
      <c r="F834" s="9" t="str">
        <v>19.8 (Normal)</v>
      </c>
      <c r="G834" s="9" t="str">
        <f t="shared" si="6"/>
        <v>Normal</v>
      </c>
      <c r="H834" s="24">
        <f ca="1">IFERROR(__xludf.DUMMYFUNCTION("""COMPUTED_VALUE"""),19.8)</f>
        <v>19.8</v>
      </c>
      <c r="I834" s="24">
        <v>21</v>
      </c>
      <c r="J834" s="10">
        <v>53.090100000000007</v>
      </c>
      <c r="K834" s="11" t="s">
        <v>18</v>
      </c>
      <c r="L834" s="24">
        <v>1313.75</v>
      </c>
      <c r="M834" s="26">
        <v>1.65</v>
      </c>
      <c r="N834" s="9" t="s">
        <v>39</v>
      </c>
      <c r="O834" s="9" t="s">
        <v>7</v>
      </c>
      <c r="P834" s="27" t="e">
        <f t="shared" ca="1" si="7"/>
        <v>#NAME?</v>
      </c>
      <c r="Q834" s="28" t="e">
        <f ca="1"/>
        <v>#NAME?</v>
      </c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2.75">
      <c r="A835" s="9" t="s">
        <v>71</v>
      </c>
      <c r="B835" s="29" t="s">
        <v>431</v>
      </c>
      <c r="C835" s="24">
        <v>36</v>
      </c>
      <c r="D835" s="24">
        <v>158</v>
      </c>
      <c r="E835" s="24">
        <v>80</v>
      </c>
      <c r="F835" s="9" t="str">
        <v>32.0 (Obese)</v>
      </c>
      <c r="G835" s="9" t="str">
        <f t="shared" si="6"/>
        <v>Obese</v>
      </c>
      <c r="H835" s="24">
        <f ca="1">IFERROR(__xludf.DUMMYFUNCTION("""COMPUTED_VALUE"""),32)</f>
        <v>32</v>
      </c>
      <c r="I835" s="24">
        <v>21</v>
      </c>
      <c r="J835" s="10">
        <v>52.424400000000006</v>
      </c>
      <c r="K835" s="11" t="s">
        <v>4</v>
      </c>
      <c r="L835" s="24">
        <v>1612.5</v>
      </c>
      <c r="M835" s="26">
        <v>2.64</v>
      </c>
      <c r="N835" s="9" t="s">
        <v>26</v>
      </c>
      <c r="O835" s="9" t="s">
        <v>37</v>
      </c>
      <c r="P835" s="27" t="e">
        <f t="shared" ca="1" si="7"/>
        <v>#NAME?</v>
      </c>
      <c r="Q835" s="28" t="e">
        <f ca="1"/>
        <v>#NAME?</v>
      </c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2.75">
      <c r="A836" s="9" t="s">
        <v>381</v>
      </c>
      <c r="B836" s="29" t="s">
        <v>431</v>
      </c>
      <c r="C836" s="24">
        <v>50</v>
      </c>
      <c r="D836" s="24">
        <v>170</v>
      </c>
      <c r="E836" s="24">
        <v>76</v>
      </c>
      <c r="F836" s="9" t="str">
        <v>26.3 (Overweight)</v>
      </c>
      <c r="G836" s="9" t="str">
        <f t="shared" si="6"/>
        <v>Overweight</v>
      </c>
      <c r="H836" s="24">
        <f ca="1">IFERROR(__xludf.DUMMYFUNCTION("""COMPUTED_VALUE"""),26.3)</f>
        <v>26.3</v>
      </c>
      <c r="I836" s="24">
        <v>21</v>
      </c>
      <c r="J836" s="10">
        <v>60.689999999999991</v>
      </c>
      <c r="K836" s="11" t="s">
        <v>4</v>
      </c>
      <c r="L836" s="24">
        <v>1577.5</v>
      </c>
      <c r="M836" s="26">
        <v>2.5099999999999998</v>
      </c>
      <c r="N836" s="9" t="s">
        <v>34</v>
      </c>
      <c r="O836" s="9" t="s">
        <v>63</v>
      </c>
      <c r="P836" s="27" t="e">
        <f t="shared" ca="1" si="7"/>
        <v>#NAME?</v>
      </c>
      <c r="Q836" s="28" t="e">
        <f ca="1"/>
        <v>#NAME?</v>
      </c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2.75">
      <c r="A837" s="9" t="s">
        <v>154</v>
      </c>
      <c r="B837" s="29" t="s">
        <v>431</v>
      </c>
      <c r="C837" s="24">
        <v>29</v>
      </c>
      <c r="D837" s="24">
        <v>179</v>
      </c>
      <c r="E837" s="24">
        <v>107</v>
      </c>
      <c r="F837" s="9" t="str">
        <v>33.4 (Obese)</v>
      </c>
      <c r="G837" s="9" t="str">
        <f t="shared" si="6"/>
        <v>Obese</v>
      </c>
      <c r="H837" s="24">
        <f ca="1">IFERROR(__xludf.DUMMYFUNCTION("""COMPUTED_VALUE"""),33.4)</f>
        <v>33.4</v>
      </c>
      <c r="I837" s="24">
        <v>21</v>
      </c>
      <c r="J837" s="10">
        <v>67.286100000000005</v>
      </c>
      <c r="K837" s="11" t="s">
        <v>18</v>
      </c>
      <c r="L837" s="24">
        <v>2048.75</v>
      </c>
      <c r="M837" s="26">
        <v>3.53</v>
      </c>
      <c r="N837" s="9" t="s">
        <v>26</v>
      </c>
      <c r="O837" s="9" t="s">
        <v>19</v>
      </c>
      <c r="P837" s="27" t="e">
        <f t="shared" ca="1" si="7"/>
        <v>#NAME?</v>
      </c>
      <c r="Q837" s="28" t="e">
        <f ca="1"/>
        <v>#NAME?</v>
      </c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2.75">
      <c r="A838" s="9" t="s">
        <v>83</v>
      </c>
      <c r="B838" s="29" t="s">
        <v>431</v>
      </c>
      <c r="C838" s="24">
        <v>28</v>
      </c>
      <c r="D838" s="24">
        <v>160</v>
      </c>
      <c r="E838" s="24">
        <v>74</v>
      </c>
      <c r="F838" s="9" t="str">
        <v>28.9 (Obese)</v>
      </c>
      <c r="G838" s="9" t="str">
        <f t="shared" si="6"/>
        <v>Obese</v>
      </c>
      <c r="H838" s="24">
        <f ca="1">IFERROR(__xludf.DUMMYFUNCTION("""COMPUTED_VALUE"""),28.9)</f>
        <v>28.9</v>
      </c>
      <c r="I838" s="24">
        <v>21</v>
      </c>
      <c r="J838" s="10">
        <v>53.760000000000012</v>
      </c>
      <c r="K838" s="11" t="s">
        <v>42</v>
      </c>
      <c r="L838" s="24">
        <v>1605</v>
      </c>
      <c r="M838" s="26">
        <v>2.44</v>
      </c>
      <c r="N838" s="9" t="s">
        <v>26</v>
      </c>
      <c r="O838" s="9" t="s">
        <v>30</v>
      </c>
      <c r="P838" s="27" t="e">
        <f t="shared" ca="1" si="7"/>
        <v>#NAME?</v>
      </c>
      <c r="Q838" s="28" t="e">
        <f ca="1"/>
        <v>#NAME?</v>
      </c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2.75">
      <c r="A839" s="9" t="s">
        <v>266</v>
      </c>
      <c r="B839" s="29" t="s">
        <v>431</v>
      </c>
      <c r="C839" s="24">
        <v>56</v>
      </c>
      <c r="D839" s="24">
        <v>161</v>
      </c>
      <c r="E839" s="24">
        <v>102</v>
      </c>
      <c r="F839" s="9" t="str">
        <v>39.4 (Obese)</v>
      </c>
      <c r="G839" s="9" t="str">
        <f t="shared" si="6"/>
        <v>Obese</v>
      </c>
      <c r="H839" s="24">
        <f ca="1">IFERROR(__xludf.DUMMYFUNCTION("""COMPUTED_VALUE"""),39.4)</f>
        <v>39.4</v>
      </c>
      <c r="I839" s="24">
        <v>21</v>
      </c>
      <c r="J839" s="10">
        <v>54.434100000000008</v>
      </c>
      <c r="K839" s="11" t="s">
        <v>18</v>
      </c>
      <c r="L839" s="24">
        <v>1751.25</v>
      </c>
      <c r="M839" s="26">
        <v>3.37</v>
      </c>
      <c r="N839" s="9" t="s">
        <v>34</v>
      </c>
      <c r="O839" s="9" t="s">
        <v>60</v>
      </c>
      <c r="P839" s="27" t="e">
        <f t="shared" ca="1" si="7"/>
        <v>#NAME?</v>
      </c>
      <c r="Q839" s="28" t="e">
        <f ca="1"/>
        <v>#NAME?</v>
      </c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2.75">
      <c r="A840" s="9" t="s">
        <v>292</v>
      </c>
      <c r="B840" s="29" t="s">
        <v>431</v>
      </c>
      <c r="C840" s="24">
        <v>57</v>
      </c>
      <c r="D840" s="24">
        <v>160</v>
      </c>
      <c r="E840" s="24">
        <v>61</v>
      </c>
      <c r="F840" s="9" t="str">
        <v>23.8 (Normal)</v>
      </c>
      <c r="G840" s="9" t="str">
        <f t="shared" si="6"/>
        <v>Normal</v>
      </c>
      <c r="H840" s="24">
        <f ca="1">IFERROR(__xludf.DUMMYFUNCTION("""COMPUTED_VALUE"""),23.8)</f>
        <v>23.8</v>
      </c>
      <c r="I840" s="24">
        <v>21</v>
      </c>
      <c r="J840" s="10">
        <v>53.760000000000012</v>
      </c>
      <c r="K840" s="11" t="s">
        <v>18</v>
      </c>
      <c r="L840" s="24">
        <v>1330</v>
      </c>
      <c r="M840" s="26">
        <v>2.0099999999999998</v>
      </c>
      <c r="N840" s="9" t="s">
        <v>16</v>
      </c>
      <c r="O840" s="9" t="s">
        <v>37</v>
      </c>
      <c r="P840" s="27" t="e">
        <f t="shared" ca="1" si="7"/>
        <v>#NAME?</v>
      </c>
      <c r="Q840" s="28" t="e">
        <f ca="1"/>
        <v>#NAME?</v>
      </c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2.75">
      <c r="A841" s="9" t="s">
        <v>178</v>
      </c>
      <c r="B841" s="29" t="s">
        <v>431</v>
      </c>
      <c r="C841" s="24">
        <v>55</v>
      </c>
      <c r="D841" s="24">
        <v>170</v>
      </c>
      <c r="E841" s="24">
        <v>81</v>
      </c>
      <c r="F841" s="9" t="str">
        <v>28.0 (Obese)</v>
      </c>
      <c r="G841" s="9" t="str">
        <f t="shared" si="6"/>
        <v>Obese</v>
      </c>
      <c r="H841" s="24">
        <f ca="1">IFERROR(__xludf.DUMMYFUNCTION("""COMPUTED_VALUE"""),28)</f>
        <v>28</v>
      </c>
      <c r="I841" s="24">
        <v>21</v>
      </c>
      <c r="J841" s="10">
        <v>60.689999999999991</v>
      </c>
      <c r="K841" s="11" t="s">
        <v>42</v>
      </c>
      <c r="L841" s="24">
        <v>1602.5</v>
      </c>
      <c r="M841" s="26">
        <v>2.67</v>
      </c>
      <c r="N841" s="9" t="s">
        <v>16</v>
      </c>
      <c r="O841" s="9" t="s">
        <v>37</v>
      </c>
      <c r="P841" s="27" t="e">
        <f t="shared" ca="1" si="7"/>
        <v>#NAME?</v>
      </c>
      <c r="Q841" s="28" t="e">
        <f ca="1"/>
        <v>#NAME?</v>
      </c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2.75">
      <c r="A842" s="9" t="s">
        <v>382</v>
      </c>
      <c r="B842" s="29" t="s">
        <v>431</v>
      </c>
      <c r="C842" s="24">
        <v>42</v>
      </c>
      <c r="D842" s="24">
        <v>181</v>
      </c>
      <c r="E842" s="24">
        <v>85</v>
      </c>
      <c r="F842" s="9" t="str">
        <v>25.9 (Overweight)</v>
      </c>
      <c r="G842" s="9" t="str">
        <f t="shared" si="6"/>
        <v>Overweight</v>
      </c>
      <c r="H842" s="24">
        <f ca="1">IFERROR(__xludf.DUMMYFUNCTION("""COMPUTED_VALUE"""),25.9)</f>
        <v>25.9</v>
      </c>
      <c r="I842" s="24">
        <v>21</v>
      </c>
      <c r="J842" s="10">
        <v>68.798100000000005</v>
      </c>
      <c r="K842" s="11" t="s">
        <v>18</v>
      </c>
      <c r="L842" s="24">
        <v>1776.25</v>
      </c>
      <c r="M842" s="26">
        <v>2.81</v>
      </c>
      <c r="N842" s="9" t="s">
        <v>34</v>
      </c>
      <c r="O842" s="9" t="s">
        <v>30</v>
      </c>
      <c r="P842" s="27" t="e">
        <f t="shared" ca="1" si="7"/>
        <v>#NAME?</v>
      </c>
      <c r="Q842" s="28" t="e">
        <f ca="1"/>
        <v>#NAME?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2.75">
      <c r="A843" s="9" t="s">
        <v>172</v>
      </c>
      <c r="B843" s="29" t="s">
        <v>431</v>
      </c>
      <c r="C843" s="24">
        <v>38</v>
      </c>
      <c r="D843" s="24">
        <v>168</v>
      </c>
      <c r="E843" s="24">
        <v>63</v>
      </c>
      <c r="F843" s="9" t="str">
        <v>22.3 (Normal)</v>
      </c>
      <c r="G843" s="9" t="str">
        <f t="shared" si="6"/>
        <v>Normal</v>
      </c>
      <c r="H843" s="24">
        <f ca="1">IFERROR(__xludf.DUMMYFUNCTION("""COMPUTED_VALUE"""),22.3)</f>
        <v>22.3</v>
      </c>
      <c r="I843" s="24">
        <v>21</v>
      </c>
      <c r="J843" s="10">
        <v>59.270399999999988</v>
      </c>
      <c r="K843" s="11" t="s">
        <v>42</v>
      </c>
      <c r="L843" s="24">
        <v>1495</v>
      </c>
      <c r="M843" s="26">
        <v>2.08</v>
      </c>
      <c r="N843" s="9" t="s">
        <v>16</v>
      </c>
      <c r="O843" s="9" t="s">
        <v>60</v>
      </c>
      <c r="P843" s="27" t="e">
        <f t="shared" ca="1" si="7"/>
        <v>#NAME?</v>
      </c>
      <c r="Q843" s="28" t="e">
        <f ca="1"/>
        <v>#NAME?</v>
      </c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2.75">
      <c r="A844" s="9" t="s">
        <v>80</v>
      </c>
      <c r="B844" s="29" t="s">
        <v>431</v>
      </c>
      <c r="C844" s="24">
        <v>32</v>
      </c>
      <c r="D844" s="24">
        <v>170</v>
      </c>
      <c r="E844" s="24">
        <v>106</v>
      </c>
      <c r="F844" s="9" t="str">
        <v>36.7 (Obese)</v>
      </c>
      <c r="G844" s="9" t="str">
        <f t="shared" si="6"/>
        <v>Obese</v>
      </c>
      <c r="H844" s="24">
        <f ca="1">IFERROR(__xludf.DUMMYFUNCTION("""COMPUTED_VALUE"""),36.7)</f>
        <v>36.700000000000003</v>
      </c>
      <c r="I844" s="24">
        <v>21</v>
      </c>
      <c r="J844" s="10">
        <v>60.689999999999991</v>
      </c>
      <c r="K844" s="11" t="s">
        <v>42</v>
      </c>
      <c r="L844" s="24">
        <v>1967.5</v>
      </c>
      <c r="M844" s="26">
        <v>3.5</v>
      </c>
      <c r="N844" s="9" t="s">
        <v>34</v>
      </c>
      <c r="O844" s="9" t="s">
        <v>60</v>
      </c>
      <c r="P844" s="27" t="e">
        <f t="shared" ca="1" si="7"/>
        <v>#NAME?</v>
      </c>
      <c r="Q844" s="28" t="e">
        <f ca="1"/>
        <v>#NAME?</v>
      </c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2.75">
      <c r="A845" s="9" t="s">
        <v>202</v>
      </c>
      <c r="B845" s="29" t="s">
        <v>431</v>
      </c>
      <c r="C845" s="24">
        <v>26</v>
      </c>
      <c r="D845" s="24">
        <v>183</v>
      </c>
      <c r="E845" s="24">
        <v>107</v>
      </c>
      <c r="F845" s="9" t="str">
        <v>32.0 (Obese)</v>
      </c>
      <c r="G845" s="9" t="str">
        <f t="shared" si="6"/>
        <v>Obese</v>
      </c>
      <c r="H845" s="24">
        <f ca="1">IFERROR(__xludf.DUMMYFUNCTION("""COMPUTED_VALUE"""),32)</f>
        <v>32</v>
      </c>
      <c r="I845" s="24">
        <v>21</v>
      </c>
      <c r="J845" s="10">
        <v>70.326900000000009</v>
      </c>
      <c r="K845" s="11" t="s">
        <v>28</v>
      </c>
      <c r="L845" s="24">
        <v>2088.75</v>
      </c>
      <c r="M845" s="26">
        <v>3.53</v>
      </c>
      <c r="N845" s="9" t="s">
        <v>34</v>
      </c>
      <c r="O845" s="9" t="s">
        <v>19</v>
      </c>
      <c r="P845" s="27" t="e">
        <f t="shared" ca="1" si="7"/>
        <v>#NAME?</v>
      </c>
      <c r="Q845" s="28" t="e">
        <f ca="1"/>
        <v>#NAME?</v>
      </c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2.75">
      <c r="A846" s="9" t="s">
        <v>167</v>
      </c>
      <c r="B846" s="29" t="s">
        <v>431</v>
      </c>
      <c r="C846" s="24">
        <v>34</v>
      </c>
      <c r="D846" s="24">
        <v>160</v>
      </c>
      <c r="E846" s="24">
        <v>82</v>
      </c>
      <c r="F846" s="9" t="str">
        <v>32.0 (Obese)</v>
      </c>
      <c r="G846" s="9" t="str">
        <f t="shared" si="6"/>
        <v>Obese</v>
      </c>
      <c r="H846" s="24">
        <f ca="1">IFERROR(__xludf.DUMMYFUNCTION("""COMPUTED_VALUE"""),32)</f>
        <v>32</v>
      </c>
      <c r="I846" s="24">
        <v>21</v>
      </c>
      <c r="J846" s="10">
        <v>53.760000000000012</v>
      </c>
      <c r="K846" s="11" t="s">
        <v>18</v>
      </c>
      <c r="L846" s="24">
        <v>1655</v>
      </c>
      <c r="M846" s="26">
        <v>2.71</v>
      </c>
      <c r="N846" s="9" t="s">
        <v>39</v>
      </c>
      <c r="O846" s="9" t="s">
        <v>19</v>
      </c>
      <c r="P846" s="27" t="e">
        <f t="shared" ca="1" si="7"/>
        <v>#NAME?</v>
      </c>
      <c r="Q846" s="28" t="e">
        <f ca="1"/>
        <v>#NAME?</v>
      </c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2.75">
      <c r="A847" s="9" t="s">
        <v>291</v>
      </c>
      <c r="B847" s="29" t="s">
        <v>431</v>
      </c>
      <c r="C847" s="24">
        <v>54</v>
      </c>
      <c r="D847" s="24">
        <v>161</v>
      </c>
      <c r="E847" s="24">
        <v>105</v>
      </c>
      <c r="F847" s="9" t="str">
        <v>40.5 (Obese)</v>
      </c>
      <c r="G847" s="9" t="str">
        <f t="shared" si="6"/>
        <v>Obese</v>
      </c>
      <c r="H847" s="24">
        <f ca="1">IFERROR(__xludf.DUMMYFUNCTION("""COMPUTED_VALUE"""),40.5)</f>
        <v>40.5</v>
      </c>
      <c r="I847" s="24">
        <v>21</v>
      </c>
      <c r="J847" s="10">
        <v>54.434100000000008</v>
      </c>
      <c r="K847" s="11" t="s">
        <v>42</v>
      </c>
      <c r="L847" s="24">
        <v>1791.25</v>
      </c>
      <c r="M847" s="26">
        <v>3.47</v>
      </c>
      <c r="N847" s="9" t="s">
        <v>16</v>
      </c>
      <c r="O847" s="9" t="s">
        <v>30</v>
      </c>
      <c r="P847" s="27" t="e">
        <f t="shared" ca="1" si="7"/>
        <v>#NAME?</v>
      </c>
      <c r="Q847" s="28" t="e">
        <f ca="1"/>
        <v>#NAME?</v>
      </c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2.75">
      <c r="A848" s="9" t="s">
        <v>357</v>
      </c>
      <c r="B848" s="29" t="s">
        <v>431</v>
      </c>
      <c r="C848" s="24">
        <v>20</v>
      </c>
      <c r="D848" s="24">
        <v>174</v>
      </c>
      <c r="E848" s="24">
        <v>82</v>
      </c>
      <c r="F848" s="9" t="str">
        <v>27.1 (Overweight)</v>
      </c>
      <c r="G848" s="9" t="str">
        <f t="shared" si="6"/>
        <v>Overweight</v>
      </c>
      <c r="H848" s="24">
        <f ca="1">IFERROR(__xludf.DUMMYFUNCTION("""COMPUTED_VALUE"""),27.1)</f>
        <v>27.1</v>
      </c>
      <c r="I848" s="24">
        <v>21</v>
      </c>
      <c r="J848" s="10">
        <v>63.579599999999999</v>
      </c>
      <c r="K848" s="11" t="s">
        <v>4</v>
      </c>
      <c r="L848" s="24">
        <v>1812.5</v>
      </c>
      <c r="M848" s="26">
        <v>2.71</v>
      </c>
      <c r="N848" s="9" t="s">
        <v>39</v>
      </c>
      <c r="O848" s="9" t="s">
        <v>19</v>
      </c>
      <c r="P848" s="27" t="e">
        <f t="shared" ca="1" si="7"/>
        <v>#NAME?</v>
      </c>
      <c r="Q848" s="28" t="e">
        <f ca="1"/>
        <v>#NAME?</v>
      </c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2.75">
      <c r="A849" s="9" t="s">
        <v>111</v>
      </c>
      <c r="B849" s="29" t="s">
        <v>431</v>
      </c>
      <c r="C849" s="24">
        <v>28</v>
      </c>
      <c r="D849" s="24">
        <v>166</v>
      </c>
      <c r="E849" s="24">
        <v>54</v>
      </c>
      <c r="F849" s="9" t="str">
        <v>19.6 (Normal)</v>
      </c>
      <c r="G849" s="9" t="str">
        <f t="shared" si="6"/>
        <v>Normal</v>
      </c>
      <c r="H849" s="24">
        <f ca="1">IFERROR(__xludf.DUMMYFUNCTION("""COMPUTED_VALUE"""),19.6)</f>
        <v>19.600000000000001</v>
      </c>
      <c r="I849" s="24">
        <v>21</v>
      </c>
      <c r="J849" s="10">
        <v>57.867599999999996</v>
      </c>
      <c r="K849" s="11" t="s">
        <v>18</v>
      </c>
      <c r="L849" s="24">
        <v>1442.5</v>
      </c>
      <c r="M849" s="26">
        <v>1.78</v>
      </c>
      <c r="N849" s="9" t="s">
        <v>34</v>
      </c>
      <c r="O849" s="9" t="s">
        <v>37</v>
      </c>
      <c r="P849" s="27" t="e">
        <f t="shared" ca="1" si="7"/>
        <v>#NAME?</v>
      </c>
      <c r="Q849" s="28" t="e">
        <f ca="1"/>
        <v>#NAME?</v>
      </c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2.75">
      <c r="A850" s="9" t="s">
        <v>293</v>
      </c>
      <c r="B850" s="29" t="s">
        <v>431</v>
      </c>
      <c r="C850" s="24">
        <v>50</v>
      </c>
      <c r="D850" s="24">
        <v>165</v>
      </c>
      <c r="E850" s="24">
        <v>105</v>
      </c>
      <c r="F850" s="9" t="str">
        <v>38.6 (Obese)</v>
      </c>
      <c r="G850" s="9" t="str">
        <f t="shared" si="6"/>
        <v>Obese</v>
      </c>
      <c r="H850" s="24">
        <f ca="1">IFERROR(__xludf.DUMMYFUNCTION("""COMPUTED_VALUE"""),38.6)</f>
        <v>38.6</v>
      </c>
      <c r="I850" s="24">
        <v>21</v>
      </c>
      <c r="J850" s="10">
        <v>57.172499999999992</v>
      </c>
      <c r="K850" s="11" t="s">
        <v>18</v>
      </c>
      <c r="L850" s="24">
        <v>1836.25</v>
      </c>
      <c r="M850" s="26">
        <v>3.47</v>
      </c>
      <c r="N850" s="9" t="s">
        <v>34</v>
      </c>
      <c r="O850" s="9" t="s">
        <v>60</v>
      </c>
      <c r="P850" s="27" t="e">
        <f t="shared" ca="1" si="7"/>
        <v>#NAME?</v>
      </c>
      <c r="Q850" s="28" t="e">
        <f ca="1"/>
        <v>#NAME?</v>
      </c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2.75">
      <c r="A851" s="9" t="s">
        <v>86</v>
      </c>
      <c r="B851" s="29" t="s">
        <v>431</v>
      </c>
      <c r="C851" s="24">
        <v>36</v>
      </c>
      <c r="D851" s="24">
        <v>163</v>
      </c>
      <c r="E851" s="24">
        <v>51</v>
      </c>
      <c r="F851" s="9" t="str">
        <v>19.2 (Normal)</v>
      </c>
      <c r="G851" s="9" t="str">
        <f t="shared" si="6"/>
        <v>Normal</v>
      </c>
      <c r="H851" s="24">
        <f ca="1">IFERROR(__xludf.DUMMYFUNCTION("""COMPUTED_VALUE"""),19.2)</f>
        <v>19.2</v>
      </c>
      <c r="I851" s="24">
        <v>21</v>
      </c>
      <c r="J851" s="10">
        <v>55.794899999999998</v>
      </c>
      <c r="K851" s="11" t="s">
        <v>18</v>
      </c>
      <c r="L851" s="24">
        <v>1353.75</v>
      </c>
      <c r="M851" s="26">
        <v>1.68</v>
      </c>
      <c r="N851" s="9" t="s">
        <v>34</v>
      </c>
      <c r="O851" s="9" t="s">
        <v>37</v>
      </c>
      <c r="P851" s="27" t="e">
        <f t="shared" ca="1" si="7"/>
        <v>#NAME?</v>
      </c>
      <c r="Q851" s="28" t="e">
        <f ca="1"/>
        <v>#NAME?</v>
      </c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2.75">
      <c r="A852" s="9" t="s">
        <v>102</v>
      </c>
      <c r="B852" s="29" t="s">
        <v>431</v>
      </c>
      <c r="C852" s="24">
        <v>24</v>
      </c>
      <c r="D852" s="24">
        <v>170</v>
      </c>
      <c r="E852" s="24">
        <v>66</v>
      </c>
      <c r="F852" s="9" t="str">
        <v>22.8 (Normal)</v>
      </c>
      <c r="G852" s="9" t="str">
        <f t="shared" si="6"/>
        <v>Normal</v>
      </c>
      <c r="H852" s="24">
        <f ca="1">IFERROR(__xludf.DUMMYFUNCTION("""COMPUTED_VALUE"""),22.8)</f>
        <v>22.8</v>
      </c>
      <c r="I852" s="24">
        <v>21</v>
      </c>
      <c r="J852" s="10">
        <v>60.689999999999991</v>
      </c>
      <c r="K852" s="11" t="s">
        <v>4</v>
      </c>
      <c r="L852" s="24">
        <v>1607.5</v>
      </c>
      <c r="M852" s="26">
        <v>2.1800000000000002</v>
      </c>
      <c r="N852" s="9" t="s">
        <v>16</v>
      </c>
      <c r="O852" s="9" t="s">
        <v>37</v>
      </c>
      <c r="P852" s="27" t="e">
        <f t="shared" ca="1" si="7"/>
        <v>#NAME?</v>
      </c>
      <c r="Q852" s="28" t="e">
        <f ca="1"/>
        <v>#NAME?</v>
      </c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2.75">
      <c r="A853" s="9" t="s">
        <v>249</v>
      </c>
      <c r="B853" s="29" t="s">
        <v>431</v>
      </c>
      <c r="C853" s="24">
        <v>43</v>
      </c>
      <c r="D853" s="24">
        <v>162</v>
      </c>
      <c r="E853" s="24">
        <v>51</v>
      </c>
      <c r="F853" s="9" t="str">
        <v>19.4 (Normal)</v>
      </c>
      <c r="G853" s="9" t="str">
        <f t="shared" si="6"/>
        <v>Normal</v>
      </c>
      <c r="H853" s="24">
        <f ca="1">IFERROR(__xludf.DUMMYFUNCTION("""COMPUTED_VALUE"""),19.4)</f>
        <v>19.399999999999999</v>
      </c>
      <c r="I853" s="24">
        <v>21</v>
      </c>
      <c r="J853" s="10">
        <v>55.112400000000008</v>
      </c>
      <c r="K853" s="11" t="s">
        <v>18</v>
      </c>
      <c r="L853" s="24">
        <v>1312.5</v>
      </c>
      <c r="M853" s="26">
        <v>1.68</v>
      </c>
      <c r="N853" s="9" t="s">
        <v>39</v>
      </c>
      <c r="O853" s="9" t="s">
        <v>30</v>
      </c>
      <c r="P853" s="27" t="e">
        <f t="shared" ca="1" si="7"/>
        <v>#NAME?</v>
      </c>
      <c r="Q853" s="28" t="e">
        <f ca="1"/>
        <v>#NAME?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2.75">
      <c r="A854" s="9" t="s">
        <v>150</v>
      </c>
      <c r="B854" s="29" t="s">
        <v>431</v>
      </c>
      <c r="C854" s="24">
        <v>35</v>
      </c>
      <c r="D854" s="24">
        <v>188</v>
      </c>
      <c r="E854" s="24">
        <v>68</v>
      </c>
      <c r="F854" s="9" t="str">
        <v>19.2 (Normal)</v>
      </c>
      <c r="G854" s="9" t="str">
        <f t="shared" si="6"/>
        <v>Normal</v>
      </c>
      <c r="H854" s="24">
        <f ca="1">IFERROR(__xludf.DUMMYFUNCTION("""COMPUTED_VALUE"""),19.2)</f>
        <v>19.2</v>
      </c>
      <c r="I854" s="24">
        <v>21</v>
      </c>
      <c r="J854" s="10">
        <v>74.222399999999993</v>
      </c>
      <c r="K854" s="11" t="s">
        <v>28</v>
      </c>
      <c r="L854" s="24">
        <v>1685</v>
      </c>
      <c r="M854" s="26">
        <v>2.2400000000000002</v>
      </c>
      <c r="N854" s="9" t="s">
        <v>39</v>
      </c>
      <c r="O854" s="9" t="s">
        <v>60</v>
      </c>
      <c r="P854" s="27" t="e">
        <f t="shared" ca="1" si="7"/>
        <v>#NAME?</v>
      </c>
      <c r="Q854" s="28" t="e">
        <f ca="1"/>
        <v>#NAME?</v>
      </c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2.75">
      <c r="A855" s="9" t="s">
        <v>383</v>
      </c>
      <c r="B855" s="29" t="s">
        <v>431</v>
      </c>
      <c r="C855" s="24">
        <v>44</v>
      </c>
      <c r="D855" s="24">
        <v>171</v>
      </c>
      <c r="E855" s="24">
        <v>87</v>
      </c>
      <c r="F855" s="9" t="str">
        <v>29.8 (Obese)</v>
      </c>
      <c r="G855" s="9" t="str">
        <f t="shared" si="6"/>
        <v>Obese</v>
      </c>
      <c r="H855" s="24">
        <f ca="1">IFERROR(__xludf.DUMMYFUNCTION("""COMPUTED_VALUE"""),29.8)</f>
        <v>29.8</v>
      </c>
      <c r="I855" s="24">
        <v>21</v>
      </c>
      <c r="J855" s="10">
        <v>61.406099999999995</v>
      </c>
      <c r="K855" s="11" t="s">
        <v>42</v>
      </c>
      <c r="L855" s="24">
        <v>1723.75</v>
      </c>
      <c r="M855" s="26">
        <v>2.87</v>
      </c>
      <c r="N855" s="9" t="s">
        <v>34</v>
      </c>
      <c r="O855" s="9" t="s">
        <v>63</v>
      </c>
      <c r="P855" s="27" t="e">
        <f t="shared" ca="1" si="7"/>
        <v>#NAME?</v>
      </c>
      <c r="Q855" s="28" t="e">
        <f ca="1"/>
        <v>#NAME?</v>
      </c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2.75">
      <c r="A856" s="9" t="s">
        <v>92</v>
      </c>
      <c r="B856" s="29" t="s">
        <v>431</v>
      </c>
      <c r="C856" s="24">
        <v>28</v>
      </c>
      <c r="D856" s="24">
        <v>167</v>
      </c>
      <c r="E856" s="24">
        <v>107</v>
      </c>
      <c r="F856" s="9" t="str">
        <v>38.4 (Obese)</v>
      </c>
      <c r="G856" s="9" t="str">
        <f t="shared" si="6"/>
        <v>Obese</v>
      </c>
      <c r="H856" s="24">
        <f ca="1">IFERROR(__xludf.DUMMYFUNCTION("""COMPUTED_VALUE"""),38.4)</f>
        <v>38.4</v>
      </c>
      <c r="I856" s="24">
        <v>21</v>
      </c>
      <c r="J856" s="10">
        <v>58.566899999999997</v>
      </c>
      <c r="K856" s="11" t="s">
        <v>28</v>
      </c>
      <c r="L856" s="24">
        <v>1978.75</v>
      </c>
      <c r="M856" s="26">
        <v>3.53</v>
      </c>
      <c r="N856" s="9" t="s">
        <v>39</v>
      </c>
      <c r="O856" s="9" t="s">
        <v>37</v>
      </c>
      <c r="P856" s="27" t="e">
        <f t="shared" ca="1" si="7"/>
        <v>#NAME?</v>
      </c>
      <c r="Q856" s="28" t="e">
        <f ca="1"/>
        <v>#NAME?</v>
      </c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2.75">
      <c r="A857" s="9" t="s">
        <v>172</v>
      </c>
      <c r="B857" s="29" t="s">
        <v>431</v>
      </c>
      <c r="C857" s="24">
        <v>20</v>
      </c>
      <c r="D857" s="24">
        <v>188</v>
      </c>
      <c r="E857" s="24">
        <v>53</v>
      </c>
      <c r="F857" s="9" t="str">
        <v>15.0 (Underweight)</v>
      </c>
      <c r="G857" s="9" t="str">
        <f t="shared" si="6"/>
        <v>Underweight</v>
      </c>
      <c r="H857" s="24">
        <f ca="1">IFERROR(__xludf.DUMMYFUNCTION("""COMPUTED_VALUE"""),15)</f>
        <v>15</v>
      </c>
      <c r="I857" s="24">
        <v>21</v>
      </c>
      <c r="J857" s="10">
        <v>74.222399999999993</v>
      </c>
      <c r="K857" s="11" t="s">
        <v>42</v>
      </c>
      <c r="L857" s="24">
        <v>1610</v>
      </c>
      <c r="M857" s="26">
        <v>1.75</v>
      </c>
      <c r="N857" s="9" t="s">
        <v>39</v>
      </c>
      <c r="O857" s="9" t="s">
        <v>60</v>
      </c>
      <c r="P857" s="27" t="e">
        <f t="shared" ca="1" si="7"/>
        <v>#NAME?</v>
      </c>
      <c r="Q857" s="28" t="e">
        <f ca="1"/>
        <v>#NAME?</v>
      </c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2.75">
      <c r="A858" s="9" t="s">
        <v>239</v>
      </c>
      <c r="B858" s="29" t="s">
        <v>431</v>
      </c>
      <c r="C858" s="24">
        <v>36</v>
      </c>
      <c r="D858" s="24">
        <v>169</v>
      </c>
      <c r="E858" s="24">
        <v>72</v>
      </c>
      <c r="F858" s="9" t="str">
        <v>25.2 (Overweight)</v>
      </c>
      <c r="G858" s="9" t="str">
        <f t="shared" si="6"/>
        <v>Overweight</v>
      </c>
      <c r="H858" s="24">
        <f ca="1">IFERROR(__xludf.DUMMYFUNCTION("""COMPUTED_VALUE"""),25.2)</f>
        <v>25.2</v>
      </c>
      <c r="I858" s="24">
        <v>21</v>
      </c>
      <c r="J858" s="10">
        <v>59.978099999999991</v>
      </c>
      <c r="K858" s="11" t="s">
        <v>28</v>
      </c>
      <c r="L858" s="24">
        <v>1601.25</v>
      </c>
      <c r="M858" s="26">
        <v>2.38</v>
      </c>
      <c r="N858" s="9" t="s">
        <v>26</v>
      </c>
      <c r="O858" s="9" t="s">
        <v>7</v>
      </c>
      <c r="P858" s="27" t="e">
        <f t="shared" ca="1" si="7"/>
        <v>#NAME?</v>
      </c>
      <c r="Q858" s="28" t="e">
        <f ca="1"/>
        <v>#NAME?</v>
      </c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2.75">
      <c r="A859" s="9" t="s">
        <v>249</v>
      </c>
      <c r="B859" s="29" t="s">
        <v>431</v>
      </c>
      <c r="C859" s="24">
        <v>55</v>
      </c>
      <c r="D859" s="24">
        <v>156</v>
      </c>
      <c r="E859" s="24">
        <v>62</v>
      </c>
      <c r="F859" s="9" t="str">
        <v>25.5 (Overweight)</v>
      </c>
      <c r="G859" s="9" t="str">
        <f t="shared" si="6"/>
        <v>Overweight</v>
      </c>
      <c r="H859" s="24">
        <f ca="1">IFERROR(__xludf.DUMMYFUNCTION("""COMPUTED_VALUE"""),25.5)</f>
        <v>25.5</v>
      </c>
      <c r="I859" s="24">
        <v>21</v>
      </c>
      <c r="J859" s="10">
        <v>51.105600000000003</v>
      </c>
      <c r="K859" s="11" t="s">
        <v>42</v>
      </c>
      <c r="L859" s="24">
        <v>1325</v>
      </c>
      <c r="M859" s="26">
        <v>2.0499999999999998</v>
      </c>
      <c r="N859" s="9" t="s">
        <v>39</v>
      </c>
      <c r="O859" s="9" t="s">
        <v>19</v>
      </c>
      <c r="P859" s="27" t="e">
        <f t="shared" ca="1" si="7"/>
        <v>#NAME?</v>
      </c>
      <c r="Q859" s="28" t="e">
        <f ca="1"/>
        <v>#NAME?</v>
      </c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2.75">
      <c r="A860" s="9" t="s">
        <v>227</v>
      </c>
      <c r="B860" s="29" t="s">
        <v>431</v>
      </c>
      <c r="C860" s="24">
        <v>35</v>
      </c>
      <c r="D860" s="24">
        <v>184</v>
      </c>
      <c r="E860" s="24">
        <v>94</v>
      </c>
      <c r="F860" s="9" t="str">
        <v>27.8 (Obese)</v>
      </c>
      <c r="G860" s="9" t="str">
        <f t="shared" si="6"/>
        <v>Obese</v>
      </c>
      <c r="H860" s="24">
        <f ca="1">IFERROR(__xludf.DUMMYFUNCTION("""COMPUTED_VALUE"""),27.8)</f>
        <v>27.8</v>
      </c>
      <c r="I860" s="24">
        <v>21</v>
      </c>
      <c r="J860" s="10">
        <v>71.0976</v>
      </c>
      <c r="K860" s="11" t="s">
        <v>42</v>
      </c>
      <c r="L860" s="24">
        <v>1920</v>
      </c>
      <c r="M860" s="26">
        <v>3.1</v>
      </c>
      <c r="N860" s="9" t="s">
        <v>39</v>
      </c>
      <c r="O860" s="9" t="s">
        <v>37</v>
      </c>
      <c r="P860" s="27" t="e">
        <f t="shared" ca="1" si="7"/>
        <v>#NAME?</v>
      </c>
      <c r="Q860" s="28" t="e">
        <f ca="1"/>
        <v>#NAME?</v>
      </c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2.75">
      <c r="A861" s="9" t="s">
        <v>194</v>
      </c>
      <c r="B861" s="29" t="s">
        <v>431</v>
      </c>
      <c r="C861" s="24">
        <v>25</v>
      </c>
      <c r="D861" s="24">
        <v>170</v>
      </c>
      <c r="E861" s="24">
        <v>75</v>
      </c>
      <c r="F861" s="9" t="str">
        <v>26.0 (Overweight)</v>
      </c>
      <c r="G861" s="9" t="str">
        <f t="shared" si="6"/>
        <v>Overweight</v>
      </c>
      <c r="H861" s="24">
        <f ca="1">IFERROR(__xludf.DUMMYFUNCTION("""COMPUTED_VALUE"""),26)</f>
        <v>26</v>
      </c>
      <c r="I861" s="24">
        <v>21</v>
      </c>
      <c r="J861" s="10">
        <v>60.689999999999991</v>
      </c>
      <c r="K861" s="11" t="s">
        <v>18</v>
      </c>
      <c r="L861" s="24">
        <v>1692.5</v>
      </c>
      <c r="M861" s="26">
        <v>2.48</v>
      </c>
      <c r="N861" s="9" t="s">
        <v>16</v>
      </c>
      <c r="O861" s="9" t="s">
        <v>19</v>
      </c>
      <c r="P861" s="27" t="e">
        <f t="shared" ca="1" si="7"/>
        <v>#NAME?</v>
      </c>
      <c r="Q861" s="28" t="e">
        <f ca="1"/>
        <v>#NAME?</v>
      </c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2.75">
      <c r="A862" s="9" t="s">
        <v>212</v>
      </c>
      <c r="B862" s="29" t="s">
        <v>431</v>
      </c>
      <c r="C862" s="24">
        <v>43</v>
      </c>
      <c r="D862" s="24">
        <v>188</v>
      </c>
      <c r="E862" s="24">
        <v>72</v>
      </c>
      <c r="F862" s="9" t="str">
        <v>20.4 (Normal)</v>
      </c>
      <c r="G862" s="9" t="str">
        <f t="shared" si="6"/>
        <v>Normal</v>
      </c>
      <c r="H862" s="24">
        <f ca="1">IFERROR(__xludf.DUMMYFUNCTION("""COMPUTED_VALUE"""),20.4)</f>
        <v>20.399999999999999</v>
      </c>
      <c r="I862" s="24">
        <v>21</v>
      </c>
      <c r="J862" s="10">
        <v>74.222399999999993</v>
      </c>
      <c r="K862" s="11" t="s">
        <v>42</v>
      </c>
      <c r="L862" s="24">
        <v>1685</v>
      </c>
      <c r="M862" s="26">
        <v>2.38</v>
      </c>
      <c r="N862" s="9" t="s">
        <v>26</v>
      </c>
      <c r="O862" s="9" t="s">
        <v>60</v>
      </c>
      <c r="P862" s="27" t="e">
        <f t="shared" ca="1" si="7"/>
        <v>#NAME?</v>
      </c>
      <c r="Q862" s="28" t="e">
        <f ca="1"/>
        <v>#NAME?</v>
      </c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2.75">
      <c r="A863" s="9" t="s">
        <v>384</v>
      </c>
      <c r="B863" s="29" t="s">
        <v>431</v>
      </c>
      <c r="C863" s="24">
        <v>47</v>
      </c>
      <c r="D863" s="24">
        <v>177</v>
      </c>
      <c r="E863" s="24">
        <v>102</v>
      </c>
      <c r="F863" s="9" t="str">
        <v>32.6 (Obese)</v>
      </c>
      <c r="G863" s="9" t="str">
        <f t="shared" si="6"/>
        <v>Obese</v>
      </c>
      <c r="H863" s="24">
        <f ca="1">IFERROR(__xludf.DUMMYFUNCTION("""COMPUTED_VALUE"""),32.6)</f>
        <v>32.6</v>
      </c>
      <c r="I863" s="24">
        <v>21</v>
      </c>
      <c r="J863" s="10">
        <v>65.790900000000008</v>
      </c>
      <c r="K863" s="11" t="s">
        <v>4</v>
      </c>
      <c r="L863" s="24">
        <v>1896.25</v>
      </c>
      <c r="M863" s="26">
        <v>3.37</v>
      </c>
      <c r="N863" s="9" t="s">
        <v>16</v>
      </c>
      <c r="O863" s="9" t="s">
        <v>7</v>
      </c>
      <c r="P863" s="27" t="e">
        <f t="shared" ca="1" si="7"/>
        <v>#NAME?</v>
      </c>
      <c r="Q863" s="28" t="e">
        <f ca="1"/>
        <v>#NAME?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2.75">
      <c r="A864" s="9" t="s">
        <v>365</v>
      </c>
      <c r="B864" s="29" t="s">
        <v>431</v>
      </c>
      <c r="C864" s="24">
        <v>26</v>
      </c>
      <c r="D864" s="24">
        <v>179</v>
      </c>
      <c r="E864" s="24">
        <v>104</v>
      </c>
      <c r="F864" s="9" t="str">
        <v>32.5 (Obese)</v>
      </c>
      <c r="G864" s="9" t="str">
        <f t="shared" si="6"/>
        <v>Obese</v>
      </c>
      <c r="H864" s="24">
        <f ca="1">IFERROR(__xludf.DUMMYFUNCTION("""COMPUTED_VALUE"""),32.5)</f>
        <v>32.5</v>
      </c>
      <c r="I864" s="24">
        <v>21</v>
      </c>
      <c r="J864" s="10">
        <v>67.286100000000005</v>
      </c>
      <c r="K864" s="11" t="s">
        <v>18</v>
      </c>
      <c r="L864" s="24">
        <v>2033.75</v>
      </c>
      <c r="M864" s="26">
        <v>3.43</v>
      </c>
      <c r="N864" s="9" t="s">
        <v>26</v>
      </c>
      <c r="O864" s="9" t="s">
        <v>37</v>
      </c>
      <c r="P864" s="27" t="e">
        <f t="shared" ca="1" si="7"/>
        <v>#NAME?</v>
      </c>
      <c r="Q864" s="28" t="e">
        <f ca="1"/>
        <v>#NAME?</v>
      </c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2.75">
      <c r="A865" s="9" t="s">
        <v>385</v>
      </c>
      <c r="B865" s="29" t="s">
        <v>431</v>
      </c>
      <c r="C865" s="24">
        <v>32</v>
      </c>
      <c r="D865" s="24">
        <v>183</v>
      </c>
      <c r="E865" s="24">
        <v>107</v>
      </c>
      <c r="F865" s="9" t="str">
        <v>32.0 (Obese)</v>
      </c>
      <c r="G865" s="9" t="str">
        <f t="shared" si="6"/>
        <v>Obese</v>
      </c>
      <c r="H865" s="24">
        <f ca="1">IFERROR(__xludf.DUMMYFUNCTION("""COMPUTED_VALUE"""),32)</f>
        <v>32</v>
      </c>
      <c r="I865" s="24">
        <v>21</v>
      </c>
      <c r="J865" s="10">
        <v>70.326900000000009</v>
      </c>
      <c r="K865" s="11" t="s">
        <v>42</v>
      </c>
      <c r="L865" s="24">
        <v>2058.75</v>
      </c>
      <c r="M865" s="26">
        <v>3.53</v>
      </c>
      <c r="N865" s="9" t="s">
        <v>26</v>
      </c>
      <c r="O865" s="9" t="s">
        <v>19</v>
      </c>
      <c r="P865" s="27" t="e">
        <f t="shared" ca="1" si="7"/>
        <v>#NAME?</v>
      </c>
      <c r="Q865" s="28" t="e">
        <f ca="1"/>
        <v>#NAME?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2.75">
      <c r="A866" s="9" t="s">
        <v>74</v>
      </c>
      <c r="B866" s="29" t="s">
        <v>431</v>
      </c>
      <c r="C866" s="24">
        <v>29</v>
      </c>
      <c r="D866" s="24">
        <v>175</v>
      </c>
      <c r="E866" s="24">
        <v>102</v>
      </c>
      <c r="F866" s="9" t="str">
        <v>33.3 (Obese)</v>
      </c>
      <c r="G866" s="9" t="str">
        <f t="shared" si="6"/>
        <v>Obese</v>
      </c>
      <c r="H866" s="24">
        <f ca="1">IFERROR(__xludf.DUMMYFUNCTION("""COMPUTED_VALUE"""),33.3)</f>
        <v>33.299999999999997</v>
      </c>
      <c r="I866" s="24">
        <v>21</v>
      </c>
      <c r="J866" s="10">
        <v>64.3125</v>
      </c>
      <c r="K866" s="11" t="s">
        <v>18</v>
      </c>
      <c r="L866" s="24">
        <v>1973.75</v>
      </c>
      <c r="M866" s="26">
        <v>3.37</v>
      </c>
      <c r="N866" s="9" t="s">
        <v>16</v>
      </c>
      <c r="O866" s="9" t="s">
        <v>7</v>
      </c>
      <c r="P866" s="27" t="e">
        <f t="shared" ca="1" si="7"/>
        <v>#NAME?</v>
      </c>
      <c r="Q866" s="28" t="e">
        <f ca="1"/>
        <v>#NAME?</v>
      </c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2.75">
      <c r="A867" s="9" t="s">
        <v>148</v>
      </c>
      <c r="B867" s="29" t="s">
        <v>431</v>
      </c>
      <c r="C867" s="24">
        <v>46</v>
      </c>
      <c r="D867" s="24">
        <v>161</v>
      </c>
      <c r="E867" s="24">
        <v>102</v>
      </c>
      <c r="F867" s="9" t="str">
        <v>39.4 (Obese)</v>
      </c>
      <c r="G867" s="9" t="str">
        <f t="shared" si="6"/>
        <v>Obese</v>
      </c>
      <c r="H867" s="24">
        <f ca="1">IFERROR(__xludf.DUMMYFUNCTION("""COMPUTED_VALUE"""),39.4)</f>
        <v>39.4</v>
      </c>
      <c r="I867" s="24">
        <v>21</v>
      </c>
      <c r="J867" s="10">
        <v>54.434100000000008</v>
      </c>
      <c r="K867" s="11" t="s">
        <v>42</v>
      </c>
      <c r="L867" s="24">
        <v>1801.25</v>
      </c>
      <c r="M867" s="26">
        <v>3.37</v>
      </c>
      <c r="N867" s="9" t="s">
        <v>26</v>
      </c>
      <c r="O867" s="9" t="s">
        <v>63</v>
      </c>
      <c r="P867" s="27" t="e">
        <f t="shared" ca="1" si="7"/>
        <v>#NAME?</v>
      </c>
      <c r="Q867" s="28" t="e">
        <f ca="1"/>
        <v>#NAME?</v>
      </c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2.75">
      <c r="A868" s="9" t="s">
        <v>57</v>
      </c>
      <c r="B868" s="29" t="s">
        <v>431</v>
      </c>
      <c r="C868" s="24">
        <v>26</v>
      </c>
      <c r="D868" s="24">
        <v>185</v>
      </c>
      <c r="E868" s="24">
        <v>109</v>
      </c>
      <c r="F868" s="9" t="str">
        <v>31.8 (Obese)</v>
      </c>
      <c r="G868" s="9" t="str">
        <f t="shared" si="6"/>
        <v>Obese</v>
      </c>
      <c r="H868" s="24">
        <f ca="1">IFERROR(__xludf.DUMMYFUNCTION("""COMPUTED_VALUE"""),31.8)</f>
        <v>31.8</v>
      </c>
      <c r="I868" s="24">
        <v>21</v>
      </c>
      <c r="J868" s="10">
        <v>71.872500000000002</v>
      </c>
      <c r="K868" s="11" t="s">
        <v>4</v>
      </c>
      <c r="L868" s="24">
        <v>2121.25</v>
      </c>
      <c r="M868" s="26">
        <v>3.6</v>
      </c>
      <c r="N868" s="9" t="s">
        <v>26</v>
      </c>
      <c r="O868" s="9" t="s">
        <v>63</v>
      </c>
      <c r="P868" s="27" t="e">
        <f t="shared" ca="1" si="7"/>
        <v>#NAME?</v>
      </c>
      <c r="Q868" s="28" t="e">
        <f ca="1"/>
        <v>#NAME?</v>
      </c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2.75">
      <c r="A869" s="9" t="s">
        <v>106</v>
      </c>
      <c r="B869" s="29" t="s">
        <v>431</v>
      </c>
      <c r="C869" s="24">
        <v>32</v>
      </c>
      <c r="D869" s="24">
        <v>166</v>
      </c>
      <c r="E869" s="24">
        <v>68</v>
      </c>
      <c r="F869" s="9" t="str">
        <v>24.7 (Normal)</v>
      </c>
      <c r="G869" s="9" t="str">
        <f t="shared" si="6"/>
        <v>Normal</v>
      </c>
      <c r="H869" s="24">
        <f ca="1">IFERROR(__xludf.DUMMYFUNCTION("""COMPUTED_VALUE"""),24.7)</f>
        <v>24.7</v>
      </c>
      <c r="I869" s="24">
        <v>21</v>
      </c>
      <c r="J869" s="10">
        <v>57.867599999999996</v>
      </c>
      <c r="K869" s="11" t="s">
        <v>28</v>
      </c>
      <c r="L869" s="24">
        <v>1562.5</v>
      </c>
      <c r="M869" s="26">
        <v>2.2400000000000002</v>
      </c>
      <c r="N869" s="9" t="s">
        <v>34</v>
      </c>
      <c r="O869" s="9" t="s">
        <v>60</v>
      </c>
      <c r="P869" s="27" t="e">
        <f t="shared" ca="1" si="7"/>
        <v>#NAME?</v>
      </c>
      <c r="Q869" s="28" t="e">
        <f ca="1"/>
        <v>#NAME?</v>
      </c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2.75">
      <c r="A870" s="9" t="s">
        <v>145</v>
      </c>
      <c r="B870" s="29" t="s">
        <v>431</v>
      </c>
      <c r="C870" s="24">
        <v>20</v>
      </c>
      <c r="D870" s="24">
        <v>162</v>
      </c>
      <c r="E870" s="24">
        <v>107</v>
      </c>
      <c r="F870" s="9" t="str">
        <v>40.8 (Obese)</v>
      </c>
      <c r="G870" s="9" t="str">
        <f t="shared" si="6"/>
        <v>Obese</v>
      </c>
      <c r="H870" s="24">
        <f ca="1">IFERROR(__xludf.DUMMYFUNCTION("""COMPUTED_VALUE"""),40.8)</f>
        <v>40.799999999999997</v>
      </c>
      <c r="I870" s="24">
        <v>21</v>
      </c>
      <c r="J870" s="10">
        <v>55.112400000000008</v>
      </c>
      <c r="K870" s="11" t="s">
        <v>42</v>
      </c>
      <c r="L870" s="24">
        <v>1987.5</v>
      </c>
      <c r="M870" s="26">
        <v>3.53</v>
      </c>
      <c r="N870" s="9" t="s">
        <v>39</v>
      </c>
      <c r="O870" s="9" t="s">
        <v>60</v>
      </c>
      <c r="P870" s="27" t="e">
        <f t="shared" ca="1" si="7"/>
        <v>#NAME?</v>
      </c>
      <c r="Q870" s="28" t="e">
        <f ca="1"/>
        <v>#NAME?</v>
      </c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2.75">
      <c r="A871" s="9" t="s">
        <v>386</v>
      </c>
      <c r="B871" s="29" t="s">
        <v>431</v>
      </c>
      <c r="C871" s="24">
        <v>57</v>
      </c>
      <c r="D871" s="24">
        <v>181</v>
      </c>
      <c r="E871" s="24">
        <v>100</v>
      </c>
      <c r="F871" s="9" t="str">
        <v>30.5 (Obese)</v>
      </c>
      <c r="G871" s="9" t="str">
        <f t="shared" si="6"/>
        <v>Obese</v>
      </c>
      <c r="H871" s="24">
        <f ca="1">IFERROR(__xludf.DUMMYFUNCTION("""COMPUTED_VALUE"""),30.5)</f>
        <v>30.5</v>
      </c>
      <c r="I871" s="24">
        <v>21</v>
      </c>
      <c r="J871" s="10">
        <v>68.798100000000005</v>
      </c>
      <c r="K871" s="11" t="s">
        <v>18</v>
      </c>
      <c r="L871" s="24">
        <v>1851.25</v>
      </c>
      <c r="M871" s="26">
        <v>3.3</v>
      </c>
      <c r="N871" s="9" t="s">
        <v>26</v>
      </c>
      <c r="O871" s="9" t="s">
        <v>60</v>
      </c>
      <c r="P871" s="27" t="e">
        <f t="shared" ca="1" si="7"/>
        <v>#NAME?</v>
      </c>
      <c r="Q871" s="28" t="e">
        <f ca="1"/>
        <v>#NAME?</v>
      </c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2.75">
      <c r="A872" s="9" t="s">
        <v>110</v>
      </c>
      <c r="B872" s="29" t="s">
        <v>431</v>
      </c>
      <c r="C872" s="24">
        <v>37</v>
      </c>
      <c r="D872" s="24">
        <v>179</v>
      </c>
      <c r="E872" s="24">
        <v>72</v>
      </c>
      <c r="F872" s="9" t="str">
        <v>22.5 (Normal)</v>
      </c>
      <c r="G872" s="9" t="str">
        <f t="shared" si="6"/>
        <v>Normal</v>
      </c>
      <c r="H872" s="24">
        <f ca="1">IFERROR(__xludf.DUMMYFUNCTION("""COMPUTED_VALUE"""),22.5)</f>
        <v>22.5</v>
      </c>
      <c r="I872" s="24">
        <v>21</v>
      </c>
      <c r="J872" s="10">
        <v>67.286100000000005</v>
      </c>
      <c r="K872" s="11" t="s">
        <v>4</v>
      </c>
      <c r="L872" s="24">
        <v>1658.75</v>
      </c>
      <c r="M872" s="26">
        <v>2.38</v>
      </c>
      <c r="N872" s="9" t="s">
        <v>39</v>
      </c>
      <c r="O872" s="9" t="s">
        <v>19</v>
      </c>
      <c r="P872" s="27" t="e">
        <f t="shared" ca="1" si="7"/>
        <v>#NAME?</v>
      </c>
      <c r="Q872" s="28" t="e">
        <f ca="1"/>
        <v>#NAME?</v>
      </c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2.75">
      <c r="A873" s="9" t="s">
        <v>141</v>
      </c>
      <c r="B873" s="29" t="s">
        <v>431</v>
      </c>
      <c r="C873" s="24">
        <v>33</v>
      </c>
      <c r="D873" s="24">
        <v>178</v>
      </c>
      <c r="E873" s="24">
        <v>99</v>
      </c>
      <c r="F873" s="9" t="str">
        <v>31.2 (Obese)</v>
      </c>
      <c r="G873" s="9" t="str">
        <f t="shared" si="6"/>
        <v>Obese</v>
      </c>
      <c r="H873" s="24">
        <f ca="1">IFERROR(__xludf.DUMMYFUNCTION("""COMPUTED_VALUE"""),31.2)</f>
        <v>31.2</v>
      </c>
      <c r="I873" s="24">
        <v>21</v>
      </c>
      <c r="J873" s="10">
        <v>66.5364</v>
      </c>
      <c r="K873" s="11" t="s">
        <v>18</v>
      </c>
      <c r="L873" s="24">
        <v>1942.5</v>
      </c>
      <c r="M873" s="26">
        <v>3.27</v>
      </c>
      <c r="N873" s="9" t="s">
        <v>39</v>
      </c>
      <c r="O873" s="9" t="s">
        <v>19</v>
      </c>
      <c r="P873" s="27" t="e">
        <f t="shared" ca="1" si="7"/>
        <v>#NAME?</v>
      </c>
      <c r="Q873" s="28" t="e">
        <f ca="1"/>
        <v>#NAME?</v>
      </c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2.75">
      <c r="A874" s="9" t="s">
        <v>154</v>
      </c>
      <c r="B874" s="29" t="s">
        <v>431</v>
      </c>
      <c r="C874" s="24">
        <v>26</v>
      </c>
      <c r="D874" s="24">
        <v>179</v>
      </c>
      <c r="E874" s="24">
        <v>75</v>
      </c>
      <c r="F874" s="9" t="str">
        <v>23.4 (Normal)</v>
      </c>
      <c r="G874" s="9" t="str">
        <f t="shared" si="6"/>
        <v>Normal</v>
      </c>
      <c r="H874" s="24">
        <f ca="1">IFERROR(__xludf.DUMMYFUNCTION("""COMPUTED_VALUE"""),23.4)</f>
        <v>23.4</v>
      </c>
      <c r="I874" s="24">
        <v>21</v>
      </c>
      <c r="J874" s="10">
        <v>67.286100000000005</v>
      </c>
      <c r="K874" s="11" t="s">
        <v>42</v>
      </c>
      <c r="L874" s="24">
        <v>1743.75</v>
      </c>
      <c r="M874" s="26">
        <v>2.48</v>
      </c>
      <c r="N874" s="9" t="s">
        <v>39</v>
      </c>
      <c r="O874" s="9" t="s">
        <v>30</v>
      </c>
      <c r="P874" s="27" t="e">
        <f t="shared" ca="1" si="7"/>
        <v>#NAME?</v>
      </c>
      <c r="Q874" s="28" t="e">
        <f ca="1"/>
        <v>#NAME?</v>
      </c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2.75">
      <c r="A875" s="9" t="s">
        <v>387</v>
      </c>
      <c r="B875" s="29" t="s">
        <v>431</v>
      </c>
      <c r="C875" s="24">
        <v>33</v>
      </c>
      <c r="D875" s="24">
        <v>163</v>
      </c>
      <c r="E875" s="24">
        <v>80</v>
      </c>
      <c r="F875" s="9" t="str">
        <v>30.1 (Obese)</v>
      </c>
      <c r="G875" s="9" t="str">
        <f t="shared" si="6"/>
        <v>Obese</v>
      </c>
      <c r="H875" s="24">
        <f ca="1">IFERROR(__xludf.DUMMYFUNCTION("""COMPUTED_VALUE"""),30.1)</f>
        <v>30.1</v>
      </c>
      <c r="I875" s="24">
        <v>21</v>
      </c>
      <c r="J875" s="10">
        <v>55.794899999999998</v>
      </c>
      <c r="K875" s="11" t="s">
        <v>18</v>
      </c>
      <c r="L875" s="24">
        <v>1658.75</v>
      </c>
      <c r="M875" s="26">
        <v>2.64</v>
      </c>
      <c r="N875" s="9" t="s">
        <v>34</v>
      </c>
      <c r="O875" s="9" t="s">
        <v>7</v>
      </c>
      <c r="P875" s="27" t="e">
        <f t="shared" ca="1" si="7"/>
        <v>#NAME?</v>
      </c>
      <c r="Q875" s="28" t="e">
        <f ca="1"/>
        <v>#NAME?</v>
      </c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2.75">
      <c r="A876" s="9" t="s">
        <v>388</v>
      </c>
      <c r="B876" s="29" t="s">
        <v>431</v>
      </c>
      <c r="C876" s="24">
        <v>45</v>
      </c>
      <c r="D876" s="24">
        <v>157</v>
      </c>
      <c r="E876" s="24">
        <v>54</v>
      </c>
      <c r="F876" s="9" t="str">
        <v>21.9 (Normal)</v>
      </c>
      <c r="G876" s="9" t="str">
        <f t="shared" si="6"/>
        <v>Normal</v>
      </c>
      <c r="H876" s="24">
        <f ca="1">IFERROR(__xludf.DUMMYFUNCTION("""COMPUTED_VALUE"""),21.9)</f>
        <v>21.9</v>
      </c>
      <c r="I876" s="24">
        <v>21</v>
      </c>
      <c r="J876" s="10">
        <v>51.762900000000002</v>
      </c>
      <c r="K876" s="11" t="s">
        <v>18</v>
      </c>
      <c r="L876" s="24">
        <v>1301.25</v>
      </c>
      <c r="M876" s="26">
        <v>1.78</v>
      </c>
      <c r="N876" s="9" t="s">
        <v>16</v>
      </c>
      <c r="O876" s="9" t="s">
        <v>19</v>
      </c>
      <c r="P876" s="27" t="e">
        <f t="shared" ca="1" si="7"/>
        <v>#NAME?</v>
      </c>
      <c r="Q876" s="28" t="e">
        <f ca="1"/>
        <v>#NAME?</v>
      </c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2.75">
      <c r="A877" s="9" t="s">
        <v>43</v>
      </c>
      <c r="B877" s="29" t="s">
        <v>431</v>
      </c>
      <c r="C877" s="24">
        <v>27</v>
      </c>
      <c r="D877" s="24">
        <v>175</v>
      </c>
      <c r="E877" s="24">
        <v>106</v>
      </c>
      <c r="F877" s="9" t="str">
        <v>34.6 (Obese)</v>
      </c>
      <c r="G877" s="9" t="str">
        <f t="shared" si="6"/>
        <v>Obese</v>
      </c>
      <c r="H877" s="24">
        <f ca="1">IFERROR(__xludf.DUMMYFUNCTION("""COMPUTED_VALUE"""),34.6)</f>
        <v>34.6</v>
      </c>
      <c r="I877" s="24">
        <v>21</v>
      </c>
      <c r="J877" s="10">
        <v>64.3125</v>
      </c>
      <c r="K877" s="11" t="s">
        <v>4</v>
      </c>
      <c r="L877" s="24">
        <v>2023.75</v>
      </c>
      <c r="M877" s="26">
        <v>3.5</v>
      </c>
      <c r="N877" s="9" t="s">
        <v>26</v>
      </c>
      <c r="O877" s="9" t="s">
        <v>60</v>
      </c>
      <c r="P877" s="27" t="e">
        <f t="shared" ca="1" si="7"/>
        <v>#NAME?</v>
      </c>
      <c r="Q877" s="28" t="e">
        <f ca="1"/>
        <v>#NAME?</v>
      </c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2.75">
      <c r="A878" s="9" t="s">
        <v>389</v>
      </c>
      <c r="B878" s="29" t="s">
        <v>431</v>
      </c>
      <c r="C878" s="24">
        <v>25</v>
      </c>
      <c r="D878" s="24">
        <v>175</v>
      </c>
      <c r="E878" s="24">
        <v>60</v>
      </c>
      <c r="F878" s="9" t="str">
        <v>19.6 (Normal)</v>
      </c>
      <c r="G878" s="9" t="str">
        <f t="shared" si="6"/>
        <v>Normal</v>
      </c>
      <c r="H878" s="24">
        <f ca="1">IFERROR(__xludf.DUMMYFUNCTION("""COMPUTED_VALUE"""),19.6)</f>
        <v>19.600000000000001</v>
      </c>
      <c r="I878" s="24">
        <v>21</v>
      </c>
      <c r="J878" s="10">
        <v>64.3125</v>
      </c>
      <c r="K878" s="11" t="s">
        <v>28</v>
      </c>
      <c r="L878" s="24">
        <v>1573.75</v>
      </c>
      <c r="M878" s="26">
        <v>1.98</v>
      </c>
      <c r="N878" s="9" t="s">
        <v>39</v>
      </c>
      <c r="O878" s="9" t="s">
        <v>60</v>
      </c>
      <c r="P878" s="27" t="e">
        <f t="shared" ca="1" si="7"/>
        <v>#NAME?</v>
      </c>
      <c r="Q878" s="28" t="e">
        <f ca="1"/>
        <v>#NAME?</v>
      </c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2.75">
      <c r="A879" s="9" t="s">
        <v>196</v>
      </c>
      <c r="B879" s="29" t="s">
        <v>431</v>
      </c>
      <c r="C879" s="24">
        <v>49</v>
      </c>
      <c r="D879" s="24">
        <v>174</v>
      </c>
      <c r="E879" s="24">
        <v>62</v>
      </c>
      <c r="F879" s="9" t="str">
        <v>20.5 (Normal)</v>
      </c>
      <c r="G879" s="9" t="str">
        <f t="shared" si="6"/>
        <v>Normal</v>
      </c>
      <c r="H879" s="24">
        <f ca="1">IFERROR(__xludf.DUMMYFUNCTION("""COMPUTED_VALUE"""),20.5)</f>
        <v>20.5</v>
      </c>
      <c r="I879" s="24">
        <v>21</v>
      </c>
      <c r="J879" s="10">
        <v>63.579599999999999</v>
      </c>
      <c r="K879" s="11" t="s">
        <v>4</v>
      </c>
      <c r="L879" s="24">
        <v>1467.5</v>
      </c>
      <c r="M879" s="26">
        <v>2.0499999999999998</v>
      </c>
      <c r="N879" s="9" t="s">
        <v>16</v>
      </c>
      <c r="O879" s="9" t="s">
        <v>60</v>
      </c>
      <c r="P879" s="27" t="e">
        <f t="shared" ca="1" si="7"/>
        <v>#NAME?</v>
      </c>
      <c r="Q879" s="28" t="e">
        <f ca="1"/>
        <v>#NAME?</v>
      </c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2.75">
      <c r="A880" s="9" t="s">
        <v>161</v>
      </c>
      <c r="B880" s="29" t="s">
        <v>431</v>
      </c>
      <c r="C880" s="24">
        <v>29</v>
      </c>
      <c r="D880" s="24">
        <v>185</v>
      </c>
      <c r="E880" s="24">
        <v>78</v>
      </c>
      <c r="F880" s="9" t="str">
        <v>22.8 (Normal)</v>
      </c>
      <c r="G880" s="9" t="str">
        <f t="shared" si="6"/>
        <v>Normal</v>
      </c>
      <c r="H880" s="24">
        <f ca="1">IFERROR(__xludf.DUMMYFUNCTION("""COMPUTED_VALUE"""),22.8)</f>
        <v>22.8</v>
      </c>
      <c r="I880" s="24">
        <v>21</v>
      </c>
      <c r="J880" s="10">
        <v>71.872500000000002</v>
      </c>
      <c r="K880" s="11" t="s">
        <v>42</v>
      </c>
      <c r="L880" s="24">
        <v>1796.25</v>
      </c>
      <c r="M880" s="26">
        <v>2.57</v>
      </c>
      <c r="N880" s="9" t="s">
        <v>39</v>
      </c>
      <c r="O880" s="9" t="s">
        <v>30</v>
      </c>
      <c r="P880" s="27" t="e">
        <f t="shared" ca="1" si="7"/>
        <v>#NAME?</v>
      </c>
      <c r="Q880" s="28" t="e">
        <f ca="1"/>
        <v>#NAME?</v>
      </c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2.75">
      <c r="A881" s="9" t="s">
        <v>390</v>
      </c>
      <c r="B881" s="29" t="s">
        <v>431</v>
      </c>
      <c r="C881" s="24">
        <v>35</v>
      </c>
      <c r="D881" s="24">
        <v>183</v>
      </c>
      <c r="E881" s="24">
        <v>68</v>
      </c>
      <c r="F881" s="9" t="str">
        <v>20.3 (Normal)</v>
      </c>
      <c r="G881" s="9" t="str">
        <f t="shared" si="6"/>
        <v>Normal</v>
      </c>
      <c r="H881" s="24">
        <f ca="1">IFERROR(__xludf.DUMMYFUNCTION("""COMPUTED_VALUE"""),20.3)</f>
        <v>20.3</v>
      </c>
      <c r="I881" s="24">
        <v>21</v>
      </c>
      <c r="J881" s="10">
        <v>70.326900000000009</v>
      </c>
      <c r="K881" s="11" t="s">
        <v>18</v>
      </c>
      <c r="L881" s="24">
        <v>1653.75</v>
      </c>
      <c r="M881" s="26">
        <v>2.2400000000000002</v>
      </c>
      <c r="N881" s="9" t="s">
        <v>26</v>
      </c>
      <c r="O881" s="9" t="s">
        <v>37</v>
      </c>
      <c r="P881" s="27" t="e">
        <f t="shared" ca="1" si="7"/>
        <v>#NAME?</v>
      </c>
      <c r="Q881" s="28" t="e">
        <f ca="1"/>
        <v>#NAME?</v>
      </c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2.75">
      <c r="A882" s="9" t="s">
        <v>106</v>
      </c>
      <c r="B882" s="29" t="s">
        <v>431</v>
      </c>
      <c r="C882" s="24">
        <v>54</v>
      </c>
      <c r="D882" s="24">
        <v>155</v>
      </c>
      <c r="E882" s="24">
        <v>79</v>
      </c>
      <c r="F882" s="9" t="str">
        <v>32.9 (Obese)</v>
      </c>
      <c r="G882" s="9" t="str">
        <f t="shared" si="6"/>
        <v>Obese</v>
      </c>
      <c r="H882" s="24">
        <f ca="1">IFERROR(__xludf.DUMMYFUNCTION("""COMPUTED_VALUE"""),32.9)</f>
        <v>32.9</v>
      </c>
      <c r="I882" s="24">
        <v>21</v>
      </c>
      <c r="J882" s="10">
        <v>50.452500000000008</v>
      </c>
      <c r="K882" s="11" t="s">
        <v>18</v>
      </c>
      <c r="L882" s="24">
        <v>1493.75</v>
      </c>
      <c r="M882" s="26">
        <v>2.61</v>
      </c>
      <c r="N882" s="9" t="s">
        <v>16</v>
      </c>
      <c r="O882" s="9" t="s">
        <v>37</v>
      </c>
      <c r="P882" s="27" t="e">
        <f t="shared" ca="1" si="7"/>
        <v>#NAME?</v>
      </c>
      <c r="Q882" s="28" t="e">
        <f ca="1"/>
        <v>#NAME?</v>
      </c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2.75">
      <c r="A883" s="9" t="s">
        <v>252</v>
      </c>
      <c r="B883" s="29" t="s">
        <v>431</v>
      </c>
      <c r="C883" s="24">
        <v>47</v>
      </c>
      <c r="D883" s="24">
        <v>162</v>
      </c>
      <c r="E883" s="24">
        <v>109</v>
      </c>
      <c r="F883" s="9" t="str">
        <v>41.5 (Obese)</v>
      </c>
      <c r="G883" s="9" t="str">
        <f t="shared" si="6"/>
        <v>Obese</v>
      </c>
      <c r="H883" s="24">
        <f ca="1">IFERROR(__xludf.DUMMYFUNCTION("""COMPUTED_VALUE"""),41.5)</f>
        <v>41.5</v>
      </c>
      <c r="I883" s="24">
        <v>21</v>
      </c>
      <c r="J883" s="10">
        <v>55.112400000000008</v>
      </c>
      <c r="K883" s="11" t="s">
        <v>42</v>
      </c>
      <c r="L883" s="24">
        <v>1872.5</v>
      </c>
      <c r="M883" s="26">
        <v>3.6</v>
      </c>
      <c r="N883" s="9" t="s">
        <v>34</v>
      </c>
      <c r="O883" s="9" t="s">
        <v>7</v>
      </c>
      <c r="P883" s="27" t="e">
        <f t="shared" ca="1" si="7"/>
        <v>#NAME?</v>
      </c>
      <c r="Q883" s="28" t="e">
        <f ca="1"/>
        <v>#NAME?</v>
      </c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2.75">
      <c r="A884" s="9" t="s">
        <v>83</v>
      </c>
      <c r="B884" s="29" t="s">
        <v>431</v>
      </c>
      <c r="C884" s="24">
        <v>27</v>
      </c>
      <c r="D884" s="24">
        <v>189</v>
      </c>
      <c r="E884" s="24">
        <v>106</v>
      </c>
      <c r="F884" s="9" t="str">
        <v>29.7 (Obese)</v>
      </c>
      <c r="G884" s="9" t="str">
        <f t="shared" si="6"/>
        <v>Obese</v>
      </c>
      <c r="H884" s="24">
        <f ca="1">IFERROR(__xludf.DUMMYFUNCTION("""COMPUTED_VALUE"""),29.7)</f>
        <v>29.7</v>
      </c>
      <c r="I884" s="24">
        <v>21</v>
      </c>
      <c r="J884" s="10">
        <v>75.014099999999999</v>
      </c>
      <c r="K884" s="11" t="s">
        <v>18</v>
      </c>
      <c r="L884" s="24">
        <v>2111.25</v>
      </c>
      <c r="M884" s="26">
        <v>3.5</v>
      </c>
      <c r="N884" s="9" t="s">
        <v>39</v>
      </c>
      <c r="O884" s="9" t="s">
        <v>63</v>
      </c>
      <c r="P884" s="27" t="e">
        <f t="shared" ca="1" si="7"/>
        <v>#NAME?</v>
      </c>
      <c r="Q884" s="28" t="e">
        <f ca="1"/>
        <v>#NAME?</v>
      </c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2.75">
      <c r="A885" s="9" t="s">
        <v>234</v>
      </c>
      <c r="B885" s="29" t="s">
        <v>431</v>
      </c>
      <c r="C885" s="24">
        <v>58</v>
      </c>
      <c r="D885" s="24">
        <v>159</v>
      </c>
      <c r="E885" s="24">
        <v>58</v>
      </c>
      <c r="F885" s="9" t="str">
        <v>22.9 (Normal)</v>
      </c>
      <c r="G885" s="9" t="str">
        <f t="shared" si="6"/>
        <v>Normal</v>
      </c>
      <c r="H885" s="24">
        <f ca="1">IFERROR(__xludf.DUMMYFUNCTION("""COMPUTED_VALUE"""),22.9)</f>
        <v>22.9</v>
      </c>
      <c r="I885" s="24">
        <v>21</v>
      </c>
      <c r="J885" s="10">
        <v>53.090100000000007</v>
      </c>
      <c r="K885" s="11" t="s">
        <v>42</v>
      </c>
      <c r="L885" s="24">
        <v>1288.75</v>
      </c>
      <c r="M885" s="26">
        <v>1.91</v>
      </c>
      <c r="N885" s="9" t="s">
        <v>39</v>
      </c>
      <c r="O885" s="9" t="s">
        <v>60</v>
      </c>
      <c r="P885" s="27" t="e">
        <f t="shared" ca="1" si="7"/>
        <v>#NAME?</v>
      </c>
      <c r="Q885" s="28" t="e">
        <f ca="1"/>
        <v>#NAME?</v>
      </c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2.75">
      <c r="A886" s="9" t="s">
        <v>193</v>
      </c>
      <c r="B886" s="29" t="s">
        <v>431</v>
      </c>
      <c r="C886" s="24">
        <v>23</v>
      </c>
      <c r="D886" s="24">
        <v>173</v>
      </c>
      <c r="E886" s="24">
        <v>82</v>
      </c>
      <c r="F886" s="9" t="str">
        <v>27.4 (Overweight)</v>
      </c>
      <c r="G886" s="9" t="str">
        <f t="shared" si="6"/>
        <v>Overweight</v>
      </c>
      <c r="H886" s="24">
        <f ca="1">IFERROR(__xludf.DUMMYFUNCTION("""COMPUTED_VALUE"""),27.4)</f>
        <v>27.4</v>
      </c>
      <c r="I886" s="24">
        <v>21</v>
      </c>
      <c r="J886" s="10">
        <v>62.850900000000003</v>
      </c>
      <c r="K886" s="11" t="s">
        <v>4</v>
      </c>
      <c r="L886" s="24">
        <v>1791.25</v>
      </c>
      <c r="M886" s="26">
        <v>2.71</v>
      </c>
      <c r="N886" s="9" t="s">
        <v>34</v>
      </c>
      <c r="O886" s="9" t="s">
        <v>7</v>
      </c>
      <c r="P886" s="27" t="e">
        <f t="shared" ca="1" si="7"/>
        <v>#NAME?</v>
      </c>
      <c r="Q886" s="28" t="e">
        <f ca="1"/>
        <v>#NAME?</v>
      </c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2.75">
      <c r="A887" s="9" t="s">
        <v>161</v>
      </c>
      <c r="B887" s="29" t="s">
        <v>431</v>
      </c>
      <c r="C887" s="24">
        <v>44</v>
      </c>
      <c r="D887" s="24">
        <v>188</v>
      </c>
      <c r="E887" s="24">
        <v>101</v>
      </c>
      <c r="F887" s="9" t="str">
        <v>28.6 (Obese)</v>
      </c>
      <c r="G887" s="9" t="str">
        <f t="shared" si="6"/>
        <v>Obese</v>
      </c>
      <c r="H887" s="24">
        <f ca="1">IFERROR(__xludf.DUMMYFUNCTION("""COMPUTED_VALUE"""),28.6)</f>
        <v>28.6</v>
      </c>
      <c r="I887" s="24">
        <v>21</v>
      </c>
      <c r="J887" s="10">
        <v>74.222399999999993</v>
      </c>
      <c r="K887" s="11" t="s">
        <v>4</v>
      </c>
      <c r="L887" s="24">
        <v>1970</v>
      </c>
      <c r="M887" s="26">
        <v>3.33</v>
      </c>
      <c r="N887" s="9" t="s">
        <v>26</v>
      </c>
      <c r="O887" s="9" t="s">
        <v>37</v>
      </c>
      <c r="P887" s="27" t="e">
        <f t="shared" ca="1" si="7"/>
        <v>#NAME?</v>
      </c>
      <c r="Q887" s="28" t="e">
        <f ca="1"/>
        <v>#NAME?</v>
      </c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2.75">
      <c r="A888" s="9" t="s">
        <v>43</v>
      </c>
      <c r="B888" s="29" t="s">
        <v>431</v>
      </c>
      <c r="C888" s="24">
        <v>51</v>
      </c>
      <c r="D888" s="24">
        <v>189</v>
      </c>
      <c r="E888" s="24">
        <v>71</v>
      </c>
      <c r="F888" s="9" t="str">
        <v>19.9 (Normal)</v>
      </c>
      <c r="G888" s="9" t="str">
        <f t="shared" si="6"/>
        <v>Normal</v>
      </c>
      <c r="H888" s="24">
        <f ca="1">IFERROR(__xludf.DUMMYFUNCTION("""COMPUTED_VALUE"""),19.9)</f>
        <v>19.899999999999999</v>
      </c>
      <c r="I888" s="24">
        <v>21</v>
      </c>
      <c r="J888" s="10">
        <v>75.014099999999999</v>
      </c>
      <c r="K888" s="11" t="s">
        <v>18</v>
      </c>
      <c r="L888" s="24">
        <v>1641.25</v>
      </c>
      <c r="M888" s="26">
        <v>2.34</v>
      </c>
      <c r="N888" s="9" t="s">
        <v>16</v>
      </c>
      <c r="O888" s="9" t="s">
        <v>60</v>
      </c>
      <c r="P888" s="27" t="e">
        <f t="shared" ca="1" si="7"/>
        <v>#NAME?</v>
      </c>
      <c r="Q888" s="28" t="e">
        <f ca="1"/>
        <v>#NAME?</v>
      </c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2.75">
      <c r="A889" s="9" t="s">
        <v>293</v>
      </c>
      <c r="B889" s="29" t="s">
        <v>431</v>
      </c>
      <c r="C889" s="24">
        <v>23</v>
      </c>
      <c r="D889" s="24">
        <v>172</v>
      </c>
      <c r="E889" s="24">
        <v>65</v>
      </c>
      <c r="F889" s="9" t="str">
        <v>22.0 (Normal)</v>
      </c>
      <c r="G889" s="9" t="str">
        <f t="shared" si="6"/>
        <v>Normal</v>
      </c>
      <c r="H889" s="24">
        <f ca="1">IFERROR(__xludf.DUMMYFUNCTION("""COMPUTED_VALUE"""),22)</f>
        <v>22</v>
      </c>
      <c r="I889" s="24">
        <v>21</v>
      </c>
      <c r="J889" s="10">
        <v>62.126399999999997</v>
      </c>
      <c r="K889" s="11" t="s">
        <v>42</v>
      </c>
      <c r="L889" s="24">
        <v>1615</v>
      </c>
      <c r="M889" s="26">
        <v>2.15</v>
      </c>
      <c r="N889" s="9" t="s">
        <v>16</v>
      </c>
      <c r="O889" s="9" t="s">
        <v>60</v>
      </c>
      <c r="P889" s="27" t="e">
        <f t="shared" ca="1" si="7"/>
        <v>#NAME?</v>
      </c>
      <c r="Q889" s="28" t="e">
        <f ca="1"/>
        <v>#NAME?</v>
      </c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2.75">
      <c r="A890" s="9" t="s">
        <v>391</v>
      </c>
      <c r="B890" s="29" t="s">
        <v>431</v>
      </c>
      <c r="C890" s="24">
        <v>55</v>
      </c>
      <c r="D890" s="24">
        <v>164</v>
      </c>
      <c r="E890" s="24">
        <v>59</v>
      </c>
      <c r="F890" s="9" t="str">
        <v>21.9 (Normal)</v>
      </c>
      <c r="G890" s="9" t="str">
        <f t="shared" si="6"/>
        <v>Normal</v>
      </c>
      <c r="H890" s="24">
        <f ca="1">IFERROR(__xludf.DUMMYFUNCTION("""COMPUTED_VALUE"""),21.9)</f>
        <v>21.9</v>
      </c>
      <c r="I890" s="24">
        <v>21</v>
      </c>
      <c r="J890" s="10">
        <v>56.481599999999993</v>
      </c>
      <c r="K890" s="11" t="s">
        <v>4</v>
      </c>
      <c r="L890" s="24">
        <v>1345</v>
      </c>
      <c r="M890" s="26">
        <v>1.95</v>
      </c>
      <c r="N890" s="9" t="s">
        <v>26</v>
      </c>
      <c r="O890" s="9" t="s">
        <v>60</v>
      </c>
      <c r="P890" s="27" t="e">
        <f t="shared" ca="1" si="7"/>
        <v>#NAME?</v>
      </c>
      <c r="Q890" s="28" t="e">
        <f ca="1"/>
        <v>#NAME?</v>
      </c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2.75">
      <c r="A891" s="9" t="s">
        <v>116</v>
      </c>
      <c r="B891" s="29" t="s">
        <v>431</v>
      </c>
      <c r="C891" s="24">
        <v>49</v>
      </c>
      <c r="D891" s="24">
        <v>155</v>
      </c>
      <c r="E891" s="24">
        <v>81</v>
      </c>
      <c r="F891" s="9" t="str">
        <v>33.7 (Obese)</v>
      </c>
      <c r="G891" s="9" t="str">
        <f t="shared" si="6"/>
        <v>Obese</v>
      </c>
      <c r="H891" s="24">
        <f ca="1">IFERROR(__xludf.DUMMYFUNCTION("""COMPUTED_VALUE"""),33.7)</f>
        <v>33.700000000000003</v>
      </c>
      <c r="I891" s="24">
        <v>21</v>
      </c>
      <c r="J891" s="10">
        <v>50.452500000000008</v>
      </c>
      <c r="K891" s="11" t="s">
        <v>28</v>
      </c>
      <c r="L891" s="24">
        <v>1538.75</v>
      </c>
      <c r="M891" s="26">
        <v>2.67</v>
      </c>
      <c r="N891" s="9" t="s">
        <v>34</v>
      </c>
      <c r="O891" s="9" t="s">
        <v>37</v>
      </c>
      <c r="P891" s="27" t="e">
        <f t="shared" ca="1" si="7"/>
        <v>#NAME?</v>
      </c>
      <c r="Q891" s="28" t="e">
        <f ca="1"/>
        <v>#NAME?</v>
      </c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2.75">
      <c r="A892" s="9" t="s">
        <v>392</v>
      </c>
      <c r="B892" s="29" t="s">
        <v>431</v>
      </c>
      <c r="C892" s="24">
        <v>57</v>
      </c>
      <c r="D892" s="24">
        <v>162</v>
      </c>
      <c r="E892" s="24">
        <v>62</v>
      </c>
      <c r="F892" s="9" t="str">
        <v>23.6 (Normal)</v>
      </c>
      <c r="G892" s="9" t="str">
        <f t="shared" si="6"/>
        <v>Normal</v>
      </c>
      <c r="H892" s="24">
        <f ca="1">IFERROR(__xludf.DUMMYFUNCTION("""COMPUTED_VALUE"""),23.6)</f>
        <v>23.6</v>
      </c>
      <c r="I892" s="24">
        <v>21</v>
      </c>
      <c r="J892" s="10">
        <v>55.112400000000008</v>
      </c>
      <c r="K892" s="11" t="s">
        <v>18</v>
      </c>
      <c r="L892" s="24">
        <v>1352.5</v>
      </c>
      <c r="M892" s="26">
        <v>2.0499999999999998</v>
      </c>
      <c r="N892" s="9" t="s">
        <v>16</v>
      </c>
      <c r="O892" s="9" t="s">
        <v>19</v>
      </c>
      <c r="P892" s="27" t="e">
        <f t="shared" ca="1" si="7"/>
        <v>#NAME?</v>
      </c>
      <c r="Q892" s="28" t="e">
        <f ca="1"/>
        <v>#NAME?</v>
      </c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2.75">
      <c r="A893" s="9" t="s">
        <v>126</v>
      </c>
      <c r="B893" s="29" t="s">
        <v>431</v>
      </c>
      <c r="C893" s="24">
        <v>29</v>
      </c>
      <c r="D893" s="24">
        <v>161</v>
      </c>
      <c r="E893" s="24">
        <v>99</v>
      </c>
      <c r="F893" s="9" t="str">
        <v>38.2 (Obese)</v>
      </c>
      <c r="G893" s="9" t="str">
        <f t="shared" si="6"/>
        <v>Obese</v>
      </c>
      <c r="H893" s="24">
        <f ca="1">IFERROR(__xludf.DUMMYFUNCTION("""COMPUTED_VALUE"""),38.2)</f>
        <v>38.200000000000003</v>
      </c>
      <c r="I893" s="24">
        <v>21</v>
      </c>
      <c r="J893" s="10">
        <v>54.434100000000008</v>
      </c>
      <c r="K893" s="11" t="s">
        <v>42</v>
      </c>
      <c r="L893" s="24">
        <v>1856.25</v>
      </c>
      <c r="M893" s="26">
        <v>3.27</v>
      </c>
      <c r="N893" s="9" t="s">
        <v>34</v>
      </c>
      <c r="O893" s="9" t="s">
        <v>7</v>
      </c>
      <c r="P893" s="27" t="e">
        <f t="shared" ca="1" si="7"/>
        <v>#NAME?</v>
      </c>
      <c r="Q893" s="28" t="e">
        <f ca="1"/>
        <v>#NAME?</v>
      </c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2.75">
      <c r="A894" s="9" t="s">
        <v>41</v>
      </c>
      <c r="B894" s="29" t="s">
        <v>431</v>
      </c>
      <c r="C894" s="24">
        <v>49</v>
      </c>
      <c r="D894" s="24">
        <v>176</v>
      </c>
      <c r="E894" s="24">
        <v>104</v>
      </c>
      <c r="F894" s="9" t="str">
        <v>33.6 (Obese)</v>
      </c>
      <c r="G894" s="9" t="str">
        <f t="shared" si="6"/>
        <v>Obese</v>
      </c>
      <c r="H894" s="24">
        <f ca="1">IFERROR(__xludf.DUMMYFUNCTION("""COMPUTED_VALUE"""),33.6)</f>
        <v>33.6</v>
      </c>
      <c r="I894" s="24">
        <v>21</v>
      </c>
      <c r="J894" s="10">
        <v>65.049599999999998</v>
      </c>
      <c r="K894" s="11" t="s">
        <v>4</v>
      </c>
      <c r="L894" s="24">
        <v>1900</v>
      </c>
      <c r="M894" s="26">
        <v>3.43</v>
      </c>
      <c r="N894" s="9" t="s">
        <v>34</v>
      </c>
      <c r="O894" s="9" t="s">
        <v>60</v>
      </c>
      <c r="P894" s="27" t="e">
        <f t="shared" ca="1" si="7"/>
        <v>#NAME?</v>
      </c>
      <c r="Q894" s="28" t="e">
        <f ca="1"/>
        <v>#NAME?</v>
      </c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2.75">
      <c r="A895" s="9" t="s">
        <v>59</v>
      </c>
      <c r="B895" s="29" t="s">
        <v>431</v>
      </c>
      <c r="C895" s="24">
        <v>22</v>
      </c>
      <c r="D895" s="24">
        <v>188</v>
      </c>
      <c r="E895" s="24">
        <v>108</v>
      </c>
      <c r="F895" s="9" t="str">
        <v>30.6 (Obese)</v>
      </c>
      <c r="G895" s="9" t="str">
        <f t="shared" si="6"/>
        <v>Obese</v>
      </c>
      <c r="H895" s="24">
        <f ca="1">IFERROR(__xludf.DUMMYFUNCTION("""COMPUTED_VALUE"""),30.6)</f>
        <v>30.6</v>
      </c>
      <c r="I895" s="24">
        <v>21</v>
      </c>
      <c r="J895" s="10">
        <v>74.222399999999993</v>
      </c>
      <c r="K895" s="11" t="s">
        <v>28</v>
      </c>
      <c r="L895" s="24">
        <v>2150</v>
      </c>
      <c r="M895" s="26">
        <v>3.56</v>
      </c>
      <c r="N895" s="9" t="s">
        <v>16</v>
      </c>
      <c r="O895" s="9" t="s">
        <v>37</v>
      </c>
      <c r="P895" s="27" t="e">
        <f t="shared" ca="1" si="7"/>
        <v>#NAME?</v>
      </c>
      <c r="Q895" s="28" t="e">
        <f ca="1"/>
        <v>#NAME?</v>
      </c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2.75">
      <c r="A896" s="9" t="s">
        <v>80</v>
      </c>
      <c r="B896" s="29" t="s">
        <v>431</v>
      </c>
      <c r="C896" s="24">
        <v>21</v>
      </c>
      <c r="D896" s="24">
        <v>172</v>
      </c>
      <c r="E896" s="24">
        <v>68</v>
      </c>
      <c r="F896" s="9" t="str">
        <v>23.0 (Normal)</v>
      </c>
      <c r="G896" s="9" t="str">
        <f t="shared" si="6"/>
        <v>Normal</v>
      </c>
      <c r="H896" s="24">
        <f ca="1">IFERROR(__xludf.DUMMYFUNCTION("""COMPUTED_VALUE"""),23)</f>
        <v>23</v>
      </c>
      <c r="I896" s="24">
        <v>21</v>
      </c>
      <c r="J896" s="10">
        <v>62.126399999999997</v>
      </c>
      <c r="K896" s="11" t="s">
        <v>18</v>
      </c>
      <c r="L896" s="24">
        <v>1655</v>
      </c>
      <c r="M896" s="26">
        <v>2.2400000000000002</v>
      </c>
      <c r="N896" s="9" t="s">
        <v>39</v>
      </c>
      <c r="O896" s="9" t="s">
        <v>30</v>
      </c>
      <c r="P896" s="27" t="e">
        <f t="shared" ca="1" si="7"/>
        <v>#NAME?</v>
      </c>
      <c r="Q896" s="28" t="e">
        <f ca="1"/>
        <v>#NAME?</v>
      </c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2.75">
      <c r="A897" s="9" t="s">
        <v>381</v>
      </c>
      <c r="B897" s="29" t="s">
        <v>431</v>
      </c>
      <c r="C897" s="24">
        <v>35</v>
      </c>
      <c r="D897" s="24">
        <v>184</v>
      </c>
      <c r="E897" s="24">
        <v>90</v>
      </c>
      <c r="F897" s="9" t="str">
        <v>26.6 (Overweight)</v>
      </c>
      <c r="G897" s="9" t="str">
        <f t="shared" si="6"/>
        <v>Overweight</v>
      </c>
      <c r="H897" s="24">
        <f ca="1">IFERROR(__xludf.DUMMYFUNCTION("""COMPUTED_VALUE"""),26.6)</f>
        <v>26.6</v>
      </c>
      <c r="I897" s="24">
        <v>21</v>
      </c>
      <c r="J897" s="10">
        <v>71.0976</v>
      </c>
      <c r="K897" s="11" t="s">
        <v>18</v>
      </c>
      <c r="L897" s="24">
        <v>1880</v>
      </c>
      <c r="M897" s="26">
        <v>2.97</v>
      </c>
      <c r="N897" s="9" t="s">
        <v>34</v>
      </c>
      <c r="O897" s="9" t="s">
        <v>60</v>
      </c>
      <c r="P897" s="27" t="e">
        <f t="shared" ca="1" si="7"/>
        <v>#NAME?</v>
      </c>
      <c r="Q897" s="28" t="e">
        <f ca="1"/>
        <v>#NAME?</v>
      </c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2.75">
      <c r="A898" s="9" t="s">
        <v>150</v>
      </c>
      <c r="B898" s="29" t="s">
        <v>431</v>
      </c>
      <c r="C898" s="24">
        <v>33</v>
      </c>
      <c r="D898" s="24">
        <v>180</v>
      </c>
      <c r="E898" s="24">
        <v>109</v>
      </c>
      <c r="F898" s="9" t="str">
        <v>33.6 (Obese)</v>
      </c>
      <c r="G898" s="9" t="str">
        <f t="shared" si="6"/>
        <v>Obese</v>
      </c>
      <c r="H898" s="24">
        <f ca="1">IFERROR(__xludf.DUMMYFUNCTION("""COMPUTED_VALUE"""),33.6)</f>
        <v>33.6</v>
      </c>
      <c r="I898" s="24">
        <v>21</v>
      </c>
      <c r="J898" s="10">
        <v>68.040000000000006</v>
      </c>
      <c r="K898" s="11" t="s">
        <v>42</v>
      </c>
      <c r="L898" s="24">
        <v>2055</v>
      </c>
      <c r="M898" s="26">
        <v>3.6</v>
      </c>
      <c r="N898" s="9" t="s">
        <v>34</v>
      </c>
      <c r="O898" s="9" t="s">
        <v>63</v>
      </c>
      <c r="P898" s="27" t="e">
        <f t="shared" ca="1" si="7"/>
        <v>#NAME?</v>
      </c>
      <c r="Q898" s="28" t="e">
        <f ca="1"/>
        <v>#NAME?</v>
      </c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2.75">
      <c r="A899" s="9" t="s">
        <v>393</v>
      </c>
      <c r="B899" s="29" t="s">
        <v>431</v>
      </c>
      <c r="C899" s="24">
        <v>28</v>
      </c>
      <c r="D899" s="24">
        <v>179</v>
      </c>
      <c r="E899" s="24">
        <v>55</v>
      </c>
      <c r="F899" s="9" t="str">
        <v>17.2 (Underweight)</v>
      </c>
      <c r="G899" s="9" t="str">
        <f t="shared" si="6"/>
        <v>Underweight</v>
      </c>
      <c r="H899" s="24">
        <f ca="1">IFERROR(__xludf.DUMMYFUNCTION("""COMPUTED_VALUE"""),17.2)</f>
        <v>17.2</v>
      </c>
      <c r="I899" s="24">
        <v>21</v>
      </c>
      <c r="J899" s="10">
        <v>67.286100000000005</v>
      </c>
      <c r="K899" s="11" t="s">
        <v>28</v>
      </c>
      <c r="L899" s="24">
        <v>1533.75</v>
      </c>
      <c r="M899" s="26">
        <v>1.82</v>
      </c>
      <c r="N899" s="9" t="s">
        <v>16</v>
      </c>
      <c r="O899" s="9" t="s">
        <v>63</v>
      </c>
      <c r="P899" s="27" t="e">
        <f t="shared" ca="1" si="7"/>
        <v>#NAME?</v>
      </c>
      <c r="Q899" s="28" t="e">
        <f ca="1"/>
        <v>#NAME?</v>
      </c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2.75">
      <c r="A900" s="9" t="s">
        <v>74</v>
      </c>
      <c r="B900" s="29" t="s">
        <v>431</v>
      </c>
      <c r="C900" s="24">
        <v>25</v>
      </c>
      <c r="D900" s="24">
        <v>180</v>
      </c>
      <c r="E900" s="24">
        <v>72</v>
      </c>
      <c r="F900" s="9" t="str">
        <v>22.2 (Normal)</v>
      </c>
      <c r="G900" s="9" t="str">
        <f t="shared" si="6"/>
        <v>Normal</v>
      </c>
      <c r="H900" s="24">
        <f ca="1">IFERROR(__xludf.DUMMYFUNCTION("""COMPUTED_VALUE"""),22.2)</f>
        <v>22.2</v>
      </c>
      <c r="I900" s="24">
        <v>21</v>
      </c>
      <c r="J900" s="10">
        <v>68.040000000000006</v>
      </c>
      <c r="K900" s="11" t="s">
        <v>42</v>
      </c>
      <c r="L900" s="24">
        <v>1725</v>
      </c>
      <c r="M900" s="26">
        <v>2.38</v>
      </c>
      <c r="N900" s="9" t="s">
        <v>34</v>
      </c>
      <c r="O900" s="9" t="s">
        <v>7</v>
      </c>
      <c r="P900" s="27" t="e">
        <f t="shared" ca="1" si="7"/>
        <v>#NAME?</v>
      </c>
      <c r="Q900" s="28" t="e">
        <f ca="1"/>
        <v>#NAME?</v>
      </c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2.75">
      <c r="A901" s="9" t="s">
        <v>48</v>
      </c>
      <c r="B901" s="29" t="s">
        <v>431</v>
      </c>
      <c r="C901" s="24">
        <v>31</v>
      </c>
      <c r="D901" s="24">
        <v>179</v>
      </c>
      <c r="E901" s="24">
        <v>82</v>
      </c>
      <c r="F901" s="9" t="str">
        <v>25.6 (Overweight)</v>
      </c>
      <c r="G901" s="9" t="str">
        <f t="shared" si="6"/>
        <v>Overweight</v>
      </c>
      <c r="H901" s="24">
        <f ca="1">IFERROR(__xludf.DUMMYFUNCTION("""COMPUTED_VALUE"""),25.6)</f>
        <v>25.6</v>
      </c>
      <c r="I901" s="24">
        <v>21</v>
      </c>
      <c r="J901" s="10">
        <v>67.286100000000005</v>
      </c>
      <c r="K901" s="11" t="s">
        <v>42</v>
      </c>
      <c r="L901" s="24">
        <v>1788.75</v>
      </c>
      <c r="M901" s="26">
        <v>2.71</v>
      </c>
      <c r="N901" s="9" t="s">
        <v>39</v>
      </c>
      <c r="O901" s="9" t="s">
        <v>19</v>
      </c>
      <c r="P901" s="27" t="e">
        <f t="shared" ca="1" si="7"/>
        <v>#NAME?</v>
      </c>
      <c r="Q901" s="28" t="e">
        <f ca="1"/>
        <v>#NAME?</v>
      </c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2.75">
      <c r="A902" s="9" t="s">
        <v>108</v>
      </c>
      <c r="B902" s="29" t="s">
        <v>431</v>
      </c>
      <c r="C902" s="24">
        <v>47</v>
      </c>
      <c r="D902" s="24">
        <v>181</v>
      </c>
      <c r="E902" s="24">
        <v>92</v>
      </c>
      <c r="F902" s="9" t="str">
        <v>28.1 (Obese)</v>
      </c>
      <c r="G902" s="9" t="str">
        <f t="shared" si="6"/>
        <v>Obese</v>
      </c>
      <c r="H902" s="24">
        <f ca="1">IFERROR(__xludf.DUMMYFUNCTION("""COMPUTED_VALUE"""),28.1)</f>
        <v>28.1</v>
      </c>
      <c r="I902" s="24">
        <v>21</v>
      </c>
      <c r="J902" s="10">
        <v>68.798100000000005</v>
      </c>
      <c r="K902" s="11" t="s">
        <v>4</v>
      </c>
      <c r="L902" s="24">
        <v>1821.25</v>
      </c>
      <c r="M902" s="26">
        <v>3.04</v>
      </c>
      <c r="N902" s="9" t="s">
        <v>34</v>
      </c>
      <c r="O902" s="9" t="s">
        <v>63</v>
      </c>
      <c r="P902" s="27" t="e">
        <f t="shared" ca="1" si="7"/>
        <v>#NAME?</v>
      </c>
      <c r="Q902" s="28" t="e">
        <f ca="1"/>
        <v>#NAME?</v>
      </c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2.75">
      <c r="A903" s="9" t="s">
        <v>394</v>
      </c>
      <c r="B903" s="29" t="s">
        <v>431</v>
      </c>
      <c r="C903" s="24">
        <v>35</v>
      </c>
      <c r="D903" s="24">
        <v>187</v>
      </c>
      <c r="E903" s="24">
        <v>97</v>
      </c>
      <c r="F903" s="9" t="str">
        <v>27.7 (Obese)</v>
      </c>
      <c r="G903" s="9" t="str">
        <f t="shared" si="6"/>
        <v>Obese</v>
      </c>
      <c r="H903" s="24">
        <f ca="1">IFERROR(__xludf.DUMMYFUNCTION("""COMPUTED_VALUE"""),27.7)</f>
        <v>27.7</v>
      </c>
      <c r="I903" s="24">
        <v>21</v>
      </c>
      <c r="J903" s="10">
        <v>73.434900000000013</v>
      </c>
      <c r="K903" s="11" t="s">
        <v>28</v>
      </c>
      <c r="L903" s="24">
        <v>1968.75</v>
      </c>
      <c r="M903" s="26">
        <v>3.2</v>
      </c>
      <c r="N903" s="9" t="s">
        <v>34</v>
      </c>
      <c r="O903" s="9" t="s">
        <v>7</v>
      </c>
      <c r="P903" s="27" t="e">
        <f t="shared" ca="1" si="7"/>
        <v>#NAME?</v>
      </c>
      <c r="Q903" s="28" t="e">
        <f ca="1"/>
        <v>#NAME?</v>
      </c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2.75">
      <c r="A904" s="9" t="s">
        <v>368</v>
      </c>
      <c r="B904" s="29" t="s">
        <v>431</v>
      </c>
      <c r="C904" s="24">
        <v>46</v>
      </c>
      <c r="D904" s="24">
        <v>169</v>
      </c>
      <c r="E904" s="24">
        <v>103</v>
      </c>
      <c r="F904" s="9" t="str">
        <v>36.1 (Obese)</v>
      </c>
      <c r="G904" s="9" t="str">
        <f t="shared" si="6"/>
        <v>Obese</v>
      </c>
      <c r="H904" s="24">
        <f ca="1">IFERROR(__xludf.DUMMYFUNCTION("""COMPUTED_VALUE"""),36.1)</f>
        <v>36.1</v>
      </c>
      <c r="I904" s="24">
        <v>21</v>
      </c>
      <c r="J904" s="10">
        <v>59.978099999999991</v>
      </c>
      <c r="K904" s="11" t="s">
        <v>28</v>
      </c>
      <c r="L904" s="24">
        <v>1861.25</v>
      </c>
      <c r="M904" s="26">
        <v>3.4</v>
      </c>
      <c r="N904" s="9" t="s">
        <v>39</v>
      </c>
      <c r="O904" s="9" t="s">
        <v>7</v>
      </c>
      <c r="P904" s="27" t="e">
        <f t="shared" ca="1" si="7"/>
        <v>#NAME?</v>
      </c>
      <c r="Q904" s="28" t="e">
        <f ca="1"/>
        <v>#NAME?</v>
      </c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2.75">
      <c r="A905" s="9" t="s">
        <v>395</v>
      </c>
      <c r="B905" s="29" t="s">
        <v>431</v>
      </c>
      <c r="C905" s="24">
        <v>46</v>
      </c>
      <c r="D905" s="24">
        <v>162</v>
      </c>
      <c r="E905" s="24">
        <v>103</v>
      </c>
      <c r="F905" s="9" t="str">
        <v>39.2 (Obese)</v>
      </c>
      <c r="G905" s="9" t="str">
        <f t="shared" si="6"/>
        <v>Obese</v>
      </c>
      <c r="H905" s="24">
        <f ca="1">IFERROR(__xludf.DUMMYFUNCTION("""COMPUTED_VALUE"""),39.2)</f>
        <v>39.200000000000003</v>
      </c>
      <c r="I905" s="24">
        <v>21</v>
      </c>
      <c r="J905" s="10">
        <v>55.112400000000008</v>
      </c>
      <c r="K905" s="11" t="s">
        <v>4</v>
      </c>
      <c r="L905" s="24">
        <v>1817.5</v>
      </c>
      <c r="M905" s="26">
        <v>3.4</v>
      </c>
      <c r="N905" s="9" t="s">
        <v>34</v>
      </c>
      <c r="O905" s="9" t="s">
        <v>7</v>
      </c>
      <c r="P905" s="27" t="e">
        <f t="shared" ca="1" si="7"/>
        <v>#NAME?</v>
      </c>
      <c r="Q905" s="28" t="e">
        <f ca="1"/>
        <v>#NAME?</v>
      </c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2.75">
      <c r="A906" s="9" t="s">
        <v>67</v>
      </c>
      <c r="B906" s="29" t="s">
        <v>431</v>
      </c>
      <c r="C906" s="24">
        <v>29</v>
      </c>
      <c r="D906" s="24">
        <v>169</v>
      </c>
      <c r="E906" s="24">
        <v>103</v>
      </c>
      <c r="F906" s="9" t="str">
        <v>36.1 (Obese)</v>
      </c>
      <c r="G906" s="9" t="str">
        <f t="shared" si="6"/>
        <v>Obese</v>
      </c>
      <c r="H906" s="24">
        <f ca="1">IFERROR(__xludf.DUMMYFUNCTION("""COMPUTED_VALUE"""),36.1)</f>
        <v>36.1</v>
      </c>
      <c r="I906" s="24">
        <v>21</v>
      </c>
      <c r="J906" s="10">
        <v>59.978099999999991</v>
      </c>
      <c r="K906" s="11" t="s">
        <v>18</v>
      </c>
      <c r="L906" s="24">
        <v>1946.25</v>
      </c>
      <c r="M906" s="26">
        <v>3.4</v>
      </c>
      <c r="N906" s="9" t="s">
        <v>39</v>
      </c>
      <c r="O906" s="9" t="s">
        <v>30</v>
      </c>
      <c r="P906" s="27" t="e">
        <f t="shared" ca="1" si="7"/>
        <v>#NAME?</v>
      </c>
      <c r="Q906" s="28" t="e">
        <f ca="1"/>
        <v>#NAME?</v>
      </c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2.75">
      <c r="A907" s="9" t="s">
        <v>77</v>
      </c>
      <c r="B907" s="29" t="s">
        <v>431</v>
      </c>
      <c r="C907" s="24">
        <v>45</v>
      </c>
      <c r="D907" s="24">
        <v>183</v>
      </c>
      <c r="E907" s="24">
        <v>79</v>
      </c>
      <c r="F907" s="9" t="str">
        <v>23.6 (Normal)</v>
      </c>
      <c r="G907" s="9" t="str">
        <f t="shared" si="6"/>
        <v>Normal</v>
      </c>
      <c r="H907" s="24">
        <f ca="1">IFERROR(__xludf.DUMMYFUNCTION("""COMPUTED_VALUE"""),23.6)</f>
        <v>23.6</v>
      </c>
      <c r="I907" s="24">
        <v>21</v>
      </c>
      <c r="J907" s="10">
        <v>70.326900000000009</v>
      </c>
      <c r="K907" s="11" t="s">
        <v>4</v>
      </c>
      <c r="L907" s="24">
        <v>1713.75</v>
      </c>
      <c r="M907" s="26">
        <v>2.61</v>
      </c>
      <c r="N907" s="9" t="s">
        <v>16</v>
      </c>
      <c r="O907" s="9" t="s">
        <v>60</v>
      </c>
      <c r="P907" s="27" t="e">
        <f t="shared" ca="1" si="7"/>
        <v>#NAME?</v>
      </c>
      <c r="Q907" s="28" t="e">
        <f ca="1"/>
        <v>#NAME?</v>
      </c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2.75">
      <c r="A908" s="9" t="s">
        <v>396</v>
      </c>
      <c r="B908" s="29" t="s">
        <v>431</v>
      </c>
      <c r="C908" s="24">
        <v>22</v>
      </c>
      <c r="D908" s="24">
        <v>159</v>
      </c>
      <c r="E908" s="24">
        <v>53</v>
      </c>
      <c r="F908" s="9" t="str">
        <v>21.0 (Normal)</v>
      </c>
      <c r="G908" s="9" t="str">
        <f t="shared" si="6"/>
        <v>Normal</v>
      </c>
      <c r="H908" s="24">
        <f ca="1">IFERROR(__xludf.DUMMYFUNCTION("""COMPUTED_VALUE"""),21)</f>
        <v>21</v>
      </c>
      <c r="I908" s="24">
        <v>21</v>
      </c>
      <c r="J908" s="10">
        <v>53.090100000000007</v>
      </c>
      <c r="K908" s="11" t="s">
        <v>4</v>
      </c>
      <c r="L908" s="24">
        <v>1418.75</v>
      </c>
      <c r="M908" s="26">
        <v>1.75</v>
      </c>
      <c r="N908" s="9" t="s">
        <v>26</v>
      </c>
      <c r="O908" s="9" t="s">
        <v>19</v>
      </c>
      <c r="P908" s="27" t="e">
        <f t="shared" ca="1" si="7"/>
        <v>#NAME?</v>
      </c>
      <c r="Q908" s="28" t="e">
        <f ca="1"/>
        <v>#NAME?</v>
      </c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2.75">
      <c r="A909" s="9" t="s">
        <v>221</v>
      </c>
      <c r="B909" s="29" t="s">
        <v>431</v>
      </c>
      <c r="C909" s="24">
        <v>28</v>
      </c>
      <c r="D909" s="24">
        <v>180</v>
      </c>
      <c r="E909" s="24">
        <v>89</v>
      </c>
      <c r="F909" s="9" t="str">
        <v>27.5 (Overweight)</v>
      </c>
      <c r="G909" s="9" t="str">
        <f t="shared" si="6"/>
        <v>Overweight</v>
      </c>
      <c r="H909" s="24">
        <f ca="1">IFERROR(__xludf.DUMMYFUNCTION("""COMPUTED_VALUE"""),27.5)</f>
        <v>27.5</v>
      </c>
      <c r="I909" s="24">
        <v>21</v>
      </c>
      <c r="J909" s="10">
        <v>68.040000000000006</v>
      </c>
      <c r="K909" s="11" t="s">
        <v>4</v>
      </c>
      <c r="L909" s="24">
        <v>1880</v>
      </c>
      <c r="M909" s="26">
        <v>2.94</v>
      </c>
      <c r="N909" s="9" t="s">
        <v>26</v>
      </c>
      <c r="O909" s="9" t="s">
        <v>7</v>
      </c>
      <c r="P909" s="27" t="e">
        <f t="shared" ca="1" si="7"/>
        <v>#NAME?</v>
      </c>
      <c r="Q909" s="28" t="e">
        <f ca="1"/>
        <v>#NAME?</v>
      </c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2.75">
      <c r="A910" s="9" t="s">
        <v>93</v>
      </c>
      <c r="B910" s="29" t="s">
        <v>431</v>
      </c>
      <c r="C910" s="24">
        <v>34</v>
      </c>
      <c r="D910" s="24">
        <v>164</v>
      </c>
      <c r="E910" s="24">
        <v>96</v>
      </c>
      <c r="F910" s="9" t="str">
        <v>35.7 (Obese)</v>
      </c>
      <c r="G910" s="9" t="str">
        <f t="shared" si="6"/>
        <v>Obese</v>
      </c>
      <c r="H910" s="24">
        <f ca="1">IFERROR(__xludf.DUMMYFUNCTION("""COMPUTED_VALUE"""),35.7)</f>
        <v>35.700000000000003</v>
      </c>
      <c r="I910" s="24">
        <v>21</v>
      </c>
      <c r="J910" s="10">
        <v>56.481599999999993</v>
      </c>
      <c r="K910" s="11" t="s">
        <v>4</v>
      </c>
      <c r="L910" s="24">
        <v>1820</v>
      </c>
      <c r="M910" s="26">
        <v>3.17</v>
      </c>
      <c r="N910" s="9" t="s">
        <v>34</v>
      </c>
      <c r="O910" s="9" t="s">
        <v>37</v>
      </c>
      <c r="P910" s="27" t="e">
        <f t="shared" ca="1" si="7"/>
        <v>#NAME?</v>
      </c>
      <c r="Q910" s="28" t="e">
        <f ca="1"/>
        <v>#NAME?</v>
      </c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2.75">
      <c r="A911" s="9" t="s">
        <v>273</v>
      </c>
      <c r="B911" s="29" t="s">
        <v>431</v>
      </c>
      <c r="C911" s="24">
        <v>39</v>
      </c>
      <c r="D911" s="24">
        <v>168</v>
      </c>
      <c r="E911" s="24">
        <v>94</v>
      </c>
      <c r="F911" s="9" t="str">
        <v>33.3 (Obese)</v>
      </c>
      <c r="G911" s="9" t="str">
        <f t="shared" si="6"/>
        <v>Obese</v>
      </c>
      <c r="H911" s="24">
        <f ca="1">IFERROR(__xludf.DUMMYFUNCTION("""COMPUTED_VALUE"""),33.3)</f>
        <v>33.299999999999997</v>
      </c>
      <c r="I911" s="24">
        <v>21</v>
      </c>
      <c r="J911" s="10">
        <v>59.270399999999988</v>
      </c>
      <c r="K911" s="11" t="s">
        <v>4</v>
      </c>
      <c r="L911" s="24">
        <v>1800</v>
      </c>
      <c r="M911" s="26">
        <v>3.1</v>
      </c>
      <c r="N911" s="9" t="s">
        <v>34</v>
      </c>
      <c r="O911" s="9" t="s">
        <v>60</v>
      </c>
      <c r="P911" s="27" t="e">
        <f t="shared" ca="1" si="7"/>
        <v>#NAME?</v>
      </c>
      <c r="Q911" s="28" t="e">
        <f ca="1"/>
        <v>#NAME?</v>
      </c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2.75">
      <c r="A912" s="9" t="s">
        <v>316</v>
      </c>
      <c r="B912" s="29" t="s">
        <v>431</v>
      </c>
      <c r="C912" s="24">
        <v>40</v>
      </c>
      <c r="D912" s="24">
        <v>157</v>
      </c>
      <c r="E912" s="24">
        <v>71</v>
      </c>
      <c r="F912" s="9" t="str">
        <v>28.8 (Obese)</v>
      </c>
      <c r="G912" s="9" t="str">
        <f t="shared" si="6"/>
        <v>Obese</v>
      </c>
      <c r="H912" s="24">
        <f ca="1">IFERROR(__xludf.DUMMYFUNCTION("""COMPUTED_VALUE"""),28.8)</f>
        <v>28.8</v>
      </c>
      <c r="I912" s="24">
        <v>21</v>
      </c>
      <c r="J912" s="10">
        <v>51.762900000000002</v>
      </c>
      <c r="K912" s="11" t="s">
        <v>28</v>
      </c>
      <c r="L912" s="24">
        <v>1496.25</v>
      </c>
      <c r="M912" s="26">
        <v>2.34</v>
      </c>
      <c r="N912" s="9" t="s">
        <v>26</v>
      </c>
      <c r="O912" s="9" t="s">
        <v>37</v>
      </c>
      <c r="P912" s="27" t="e">
        <f t="shared" ca="1" si="7"/>
        <v>#NAME?</v>
      </c>
      <c r="Q912" s="28" t="e">
        <f ca="1"/>
        <v>#NAME?</v>
      </c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2.75">
      <c r="A913" s="9" t="s">
        <v>113</v>
      </c>
      <c r="B913" s="29" t="s">
        <v>431</v>
      </c>
      <c r="C913" s="24">
        <v>48</v>
      </c>
      <c r="D913" s="24">
        <v>163</v>
      </c>
      <c r="E913" s="24">
        <v>88</v>
      </c>
      <c r="F913" s="9" t="str">
        <v>33.1 (Obese)</v>
      </c>
      <c r="G913" s="9" t="str">
        <f t="shared" si="6"/>
        <v>Obese</v>
      </c>
      <c r="H913" s="24">
        <f ca="1">IFERROR(__xludf.DUMMYFUNCTION("""COMPUTED_VALUE"""),33.1)</f>
        <v>33.1</v>
      </c>
      <c r="I913" s="24">
        <v>21</v>
      </c>
      <c r="J913" s="10">
        <v>55.794899999999998</v>
      </c>
      <c r="K913" s="11" t="s">
        <v>28</v>
      </c>
      <c r="L913" s="24">
        <v>1663.75</v>
      </c>
      <c r="M913" s="26">
        <v>2.9</v>
      </c>
      <c r="N913" s="9" t="s">
        <v>16</v>
      </c>
      <c r="O913" s="9" t="s">
        <v>63</v>
      </c>
      <c r="P913" s="27" t="e">
        <f t="shared" ca="1" si="7"/>
        <v>#NAME?</v>
      </c>
      <c r="Q913" s="28" t="e">
        <f ca="1"/>
        <v>#NAME?</v>
      </c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2.75">
      <c r="A914" s="9" t="s">
        <v>289</v>
      </c>
      <c r="B914" s="29" t="s">
        <v>431</v>
      </c>
      <c r="C914" s="24">
        <v>33</v>
      </c>
      <c r="D914" s="24">
        <v>158</v>
      </c>
      <c r="E914" s="24">
        <v>60</v>
      </c>
      <c r="F914" s="9" t="str">
        <v>24.0 (Normal)</v>
      </c>
      <c r="G914" s="9" t="str">
        <f t="shared" si="6"/>
        <v>Normal</v>
      </c>
      <c r="H914" s="24">
        <f ca="1">IFERROR(__xludf.DUMMYFUNCTION("""COMPUTED_VALUE"""),24)</f>
        <v>24</v>
      </c>
      <c r="I914" s="24">
        <v>21</v>
      </c>
      <c r="J914" s="10">
        <v>52.424400000000006</v>
      </c>
      <c r="K914" s="11" t="s">
        <v>28</v>
      </c>
      <c r="L914" s="24">
        <v>1427.5</v>
      </c>
      <c r="M914" s="26">
        <v>1.98</v>
      </c>
      <c r="N914" s="9" t="s">
        <v>34</v>
      </c>
      <c r="O914" s="9" t="s">
        <v>60</v>
      </c>
      <c r="P914" s="27" t="e">
        <f t="shared" ca="1" si="7"/>
        <v>#NAME?</v>
      </c>
      <c r="Q914" s="28" t="e">
        <f ca="1"/>
        <v>#NAME?</v>
      </c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2.75">
      <c r="A915" s="9" t="s">
        <v>212</v>
      </c>
      <c r="B915" s="29" t="s">
        <v>431</v>
      </c>
      <c r="C915" s="24">
        <v>45</v>
      </c>
      <c r="D915" s="24">
        <v>171</v>
      </c>
      <c r="E915" s="24">
        <v>66</v>
      </c>
      <c r="F915" s="9" t="str">
        <v>22.6 (Normal)</v>
      </c>
      <c r="G915" s="9" t="str">
        <f t="shared" si="6"/>
        <v>Normal</v>
      </c>
      <c r="H915" s="24">
        <f ca="1">IFERROR(__xludf.DUMMYFUNCTION("""COMPUTED_VALUE"""),22.6)</f>
        <v>22.6</v>
      </c>
      <c r="I915" s="24">
        <v>21</v>
      </c>
      <c r="J915" s="10">
        <v>61.406099999999995</v>
      </c>
      <c r="K915" s="11" t="s">
        <v>42</v>
      </c>
      <c r="L915" s="24">
        <v>1508.75</v>
      </c>
      <c r="M915" s="26">
        <v>2.1800000000000002</v>
      </c>
      <c r="N915" s="9" t="s">
        <v>16</v>
      </c>
      <c r="O915" s="9" t="s">
        <v>37</v>
      </c>
      <c r="P915" s="27" t="e">
        <f t="shared" ca="1" si="7"/>
        <v>#NAME?</v>
      </c>
      <c r="Q915" s="28" t="e">
        <f ca="1"/>
        <v>#NAME?</v>
      </c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2.75">
      <c r="A916" s="9" t="s">
        <v>397</v>
      </c>
      <c r="B916" s="29" t="s">
        <v>431</v>
      </c>
      <c r="C916" s="24">
        <v>44</v>
      </c>
      <c r="D916" s="24">
        <v>168</v>
      </c>
      <c r="E916" s="24">
        <v>54</v>
      </c>
      <c r="F916" s="9" t="str">
        <v>19.1 (Normal)</v>
      </c>
      <c r="G916" s="9" t="str">
        <f t="shared" si="6"/>
        <v>Normal</v>
      </c>
      <c r="H916" s="24">
        <f ca="1">IFERROR(__xludf.DUMMYFUNCTION("""COMPUTED_VALUE"""),19.1)</f>
        <v>19.100000000000001</v>
      </c>
      <c r="I916" s="24">
        <v>21</v>
      </c>
      <c r="J916" s="10">
        <v>59.270399999999988</v>
      </c>
      <c r="K916" s="11" t="s">
        <v>42</v>
      </c>
      <c r="L916" s="24">
        <v>1375</v>
      </c>
      <c r="M916" s="26">
        <v>1.78</v>
      </c>
      <c r="N916" s="9" t="s">
        <v>16</v>
      </c>
      <c r="O916" s="9" t="s">
        <v>37</v>
      </c>
      <c r="P916" s="27" t="e">
        <f t="shared" ca="1" si="7"/>
        <v>#NAME?</v>
      </c>
      <c r="Q916" s="28" t="e">
        <f ca="1"/>
        <v>#NAME?</v>
      </c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2.75">
      <c r="A917" s="9" t="s">
        <v>268</v>
      </c>
      <c r="B917" s="29" t="s">
        <v>431</v>
      </c>
      <c r="C917" s="24">
        <v>54</v>
      </c>
      <c r="D917" s="24">
        <v>180</v>
      </c>
      <c r="E917" s="24">
        <v>76</v>
      </c>
      <c r="F917" s="9" t="str">
        <v>23.5 (Normal)</v>
      </c>
      <c r="G917" s="9" t="str">
        <f t="shared" si="6"/>
        <v>Normal</v>
      </c>
      <c r="H917" s="24">
        <f ca="1">IFERROR(__xludf.DUMMYFUNCTION("""COMPUTED_VALUE"""),23.5)</f>
        <v>23.5</v>
      </c>
      <c r="I917" s="24">
        <v>21</v>
      </c>
      <c r="J917" s="10">
        <v>68.040000000000006</v>
      </c>
      <c r="K917" s="11" t="s">
        <v>4</v>
      </c>
      <c r="L917" s="24">
        <v>1620</v>
      </c>
      <c r="M917" s="26">
        <v>2.5099999999999998</v>
      </c>
      <c r="N917" s="9" t="s">
        <v>16</v>
      </c>
      <c r="O917" s="9" t="s">
        <v>30</v>
      </c>
      <c r="P917" s="27" t="e">
        <f t="shared" ca="1" si="7"/>
        <v>#NAME?</v>
      </c>
      <c r="Q917" s="28" t="e">
        <f ca="1"/>
        <v>#NAME?</v>
      </c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2.75">
      <c r="A918" s="9" t="s">
        <v>271</v>
      </c>
      <c r="B918" s="29" t="s">
        <v>431</v>
      </c>
      <c r="C918" s="24">
        <v>59</v>
      </c>
      <c r="D918" s="24">
        <v>184</v>
      </c>
      <c r="E918" s="24">
        <v>91</v>
      </c>
      <c r="F918" s="9" t="str">
        <v>26.9 (Overweight)</v>
      </c>
      <c r="G918" s="9" t="str">
        <f t="shared" si="6"/>
        <v>Overweight</v>
      </c>
      <c r="H918" s="24">
        <f ca="1">IFERROR(__xludf.DUMMYFUNCTION("""COMPUTED_VALUE"""),26.9)</f>
        <v>26.9</v>
      </c>
      <c r="I918" s="24">
        <v>21</v>
      </c>
      <c r="J918" s="10">
        <v>71.0976</v>
      </c>
      <c r="K918" s="11" t="s">
        <v>28</v>
      </c>
      <c r="L918" s="24">
        <v>1770</v>
      </c>
      <c r="M918" s="26">
        <v>3</v>
      </c>
      <c r="N918" s="9" t="s">
        <v>34</v>
      </c>
      <c r="O918" s="9" t="s">
        <v>19</v>
      </c>
      <c r="P918" s="27" t="e">
        <f t="shared" ca="1" si="7"/>
        <v>#NAME?</v>
      </c>
      <c r="Q918" s="28" t="e">
        <f ca="1"/>
        <v>#NAME?</v>
      </c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2.75">
      <c r="A919" s="9" t="s">
        <v>266</v>
      </c>
      <c r="B919" s="29" t="s">
        <v>431</v>
      </c>
      <c r="C919" s="24">
        <v>47</v>
      </c>
      <c r="D919" s="24">
        <v>174</v>
      </c>
      <c r="E919" s="24">
        <v>93</v>
      </c>
      <c r="F919" s="9" t="str">
        <v>30.7 (Obese)</v>
      </c>
      <c r="G919" s="9" t="str">
        <f t="shared" si="6"/>
        <v>Obese</v>
      </c>
      <c r="H919" s="24">
        <f ca="1">IFERROR(__xludf.DUMMYFUNCTION("""COMPUTED_VALUE"""),30.7)</f>
        <v>30.7</v>
      </c>
      <c r="I919" s="24">
        <v>21</v>
      </c>
      <c r="J919" s="10">
        <v>63.579599999999999</v>
      </c>
      <c r="K919" s="11" t="s">
        <v>18</v>
      </c>
      <c r="L919" s="24">
        <v>1787.5</v>
      </c>
      <c r="M919" s="26">
        <v>3.07</v>
      </c>
      <c r="N919" s="9" t="s">
        <v>39</v>
      </c>
      <c r="O919" s="9" t="s">
        <v>30</v>
      </c>
      <c r="P919" s="27" t="e">
        <f t="shared" ca="1" si="7"/>
        <v>#NAME?</v>
      </c>
      <c r="Q919" s="28" t="e">
        <f ca="1"/>
        <v>#NAME?</v>
      </c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2.75">
      <c r="A920" s="9" t="s">
        <v>170</v>
      </c>
      <c r="B920" s="29" t="s">
        <v>431</v>
      </c>
      <c r="C920" s="24">
        <v>25</v>
      </c>
      <c r="D920" s="24">
        <v>183</v>
      </c>
      <c r="E920" s="24">
        <v>51</v>
      </c>
      <c r="F920" s="9" t="str">
        <v>15.2 (Underweight)</v>
      </c>
      <c r="G920" s="9" t="str">
        <f t="shared" si="6"/>
        <v>Underweight</v>
      </c>
      <c r="H920" s="24">
        <f ca="1">IFERROR(__xludf.DUMMYFUNCTION("""COMPUTED_VALUE"""),15.2)</f>
        <v>15.2</v>
      </c>
      <c r="I920" s="24">
        <v>21</v>
      </c>
      <c r="J920" s="10">
        <v>70.326900000000009</v>
      </c>
      <c r="K920" s="11" t="s">
        <v>42</v>
      </c>
      <c r="L920" s="24">
        <v>1533.75</v>
      </c>
      <c r="M920" s="26">
        <v>1.68</v>
      </c>
      <c r="N920" s="9" t="s">
        <v>26</v>
      </c>
      <c r="O920" s="9" t="s">
        <v>37</v>
      </c>
      <c r="P920" s="27" t="e">
        <f t="shared" ca="1" si="7"/>
        <v>#NAME?</v>
      </c>
      <c r="Q920" s="28" t="e">
        <f ca="1"/>
        <v>#NAME?</v>
      </c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2.75">
      <c r="A921" s="9" t="s">
        <v>103</v>
      </c>
      <c r="B921" s="29" t="s">
        <v>431</v>
      </c>
      <c r="C921" s="24">
        <v>28</v>
      </c>
      <c r="D921" s="24">
        <v>164</v>
      </c>
      <c r="E921" s="24">
        <v>60</v>
      </c>
      <c r="F921" s="9" t="str">
        <v>22.3 (Normal)</v>
      </c>
      <c r="G921" s="9" t="str">
        <f t="shared" si="6"/>
        <v>Normal</v>
      </c>
      <c r="H921" s="24">
        <f ca="1">IFERROR(__xludf.DUMMYFUNCTION("""COMPUTED_VALUE"""),22.3)</f>
        <v>22.3</v>
      </c>
      <c r="I921" s="24">
        <v>21</v>
      </c>
      <c r="J921" s="10">
        <v>56.481599999999993</v>
      </c>
      <c r="K921" s="11" t="s">
        <v>18</v>
      </c>
      <c r="L921" s="24">
        <v>1490</v>
      </c>
      <c r="M921" s="26">
        <v>1.98</v>
      </c>
      <c r="N921" s="9" t="s">
        <v>26</v>
      </c>
      <c r="O921" s="9" t="s">
        <v>63</v>
      </c>
      <c r="P921" s="27" t="e">
        <f t="shared" ca="1" si="7"/>
        <v>#NAME?</v>
      </c>
      <c r="Q921" s="28" t="e">
        <f ca="1"/>
        <v>#NAME?</v>
      </c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2.75">
      <c r="A922" s="9" t="s">
        <v>170</v>
      </c>
      <c r="B922" s="29" t="s">
        <v>431</v>
      </c>
      <c r="C922" s="24">
        <v>58</v>
      </c>
      <c r="D922" s="24">
        <v>174</v>
      </c>
      <c r="E922" s="24">
        <v>50</v>
      </c>
      <c r="F922" s="9" t="str">
        <v>16.5 (Underweight)</v>
      </c>
      <c r="G922" s="9" t="str">
        <f t="shared" si="6"/>
        <v>Underweight</v>
      </c>
      <c r="H922" s="24">
        <f ca="1">IFERROR(__xludf.DUMMYFUNCTION("""COMPUTED_VALUE"""),16.5)</f>
        <v>16.5</v>
      </c>
      <c r="I922" s="24">
        <v>21</v>
      </c>
      <c r="J922" s="10">
        <v>63.579599999999999</v>
      </c>
      <c r="K922" s="11" t="s">
        <v>18</v>
      </c>
      <c r="L922" s="24">
        <v>1302.5</v>
      </c>
      <c r="M922" s="26">
        <v>1.65</v>
      </c>
      <c r="N922" s="9" t="s">
        <v>16</v>
      </c>
      <c r="O922" s="9" t="s">
        <v>30</v>
      </c>
      <c r="P922" s="27" t="e">
        <f t="shared" ca="1" si="7"/>
        <v>#NAME?</v>
      </c>
      <c r="Q922" s="28" t="e">
        <f ca="1"/>
        <v>#NAME?</v>
      </c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2.75">
      <c r="A923" s="9" t="s">
        <v>220</v>
      </c>
      <c r="B923" s="29" t="s">
        <v>431</v>
      </c>
      <c r="C923" s="24">
        <v>22</v>
      </c>
      <c r="D923" s="24">
        <v>163</v>
      </c>
      <c r="E923" s="24">
        <v>58</v>
      </c>
      <c r="F923" s="9" t="str">
        <v>21.8 (Normal)</v>
      </c>
      <c r="G923" s="9" t="str">
        <f t="shared" si="6"/>
        <v>Normal</v>
      </c>
      <c r="H923" s="24">
        <f ca="1">IFERROR(__xludf.DUMMYFUNCTION("""COMPUTED_VALUE"""),21.8)</f>
        <v>21.8</v>
      </c>
      <c r="I923" s="24">
        <v>21</v>
      </c>
      <c r="J923" s="10">
        <v>55.794899999999998</v>
      </c>
      <c r="K923" s="11" t="s">
        <v>28</v>
      </c>
      <c r="L923" s="24">
        <v>1493.75</v>
      </c>
      <c r="M923" s="26">
        <v>1.91</v>
      </c>
      <c r="N923" s="9" t="s">
        <v>39</v>
      </c>
      <c r="O923" s="9" t="s">
        <v>63</v>
      </c>
      <c r="P923" s="27" t="e">
        <f t="shared" ca="1" si="7"/>
        <v>#NAME?</v>
      </c>
      <c r="Q923" s="28" t="e">
        <f ca="1"/>
        <v>#NAME?</v>
      </c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2.75">
      <c r="A924" s="9" t="s">
        <v>398</v>
      </c>
      <c r="B924" s="29" t="s">
        <v>431</v>
      </c>
      <c r="C924" s="24">
        <v>41</v>
      </c>
      <c r="D924" s="24">
        <v>174</v>
      </c>
      <c r="E924" s="24">
        <v>56</v>
      </c>
      <c r="F924" s="9" t="str">
        <v>18.5 (Underweight)</v>
      </c>
      <c r="G924" s="9" t="str">
        <f t="shared" si="6"/>
        <v>Underweight</v>
      </c>
      <c r="H924" s="24">
        <f ca="1">IFERROR(__xludf.DUMMYFUNCTION("""COMPUTED_VALUE"""),18.5)</f>
        <v>18.5</v>
      </c>
      <c r="I924" s="24">
        <v>21</v>
      </c>
      <c r="J924" s="10">
        <v>63.579599999999999</v>
      </c>
      <c r="K924" s="11" t="s">
        <v>18</v>
      </c>
      <c r="L924" s="24">
        <v>1447.5</v>
      </c>
      <c r="M924" s="26">
        <v>1.85</v>
      </c>
      <c r="N924" s="9" t="s">
        <v>39</v>
      </c>
      <c r="O924" s="9" t="s">
        <v>19</v>
      </c>
      <c r="P924" s="27" t="e">
        <f t="shared" ca="1" si="7"/>
        <v>#NAME?</v>
      </c>
      <c r="Q924" s="28" t="e">
        <f ca="1"/>
        <v>#NAME?</v>
      </c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2.75">
      <c r="A925" s="9" t="s">
        <v>355</v>
      </c>
      <c r="B925" s="29" t="s">
        <v>431</v>
      </c>
      <c r="C925" s="24">
        <v>38</v>
      </c>
      <c r="D925" s="24">
        <v>180</v>
      </c>
      <c r="E925" s="24">
        <v>60</v>
      </c>
      <c r="F925" s="9" t="str">
        <v>18.5 (Normal)</v>
      </c>
      <c r="G925" s="9" t="str">
        <f t="shared" si="6"/>
        <v>Normal</v>
      </c>
      <c r="H925" s="24">
        <f ca="1">IFERROR(__xludf.DUMMYFUNCTION("""COMPUTED_VALUE"""),18.5)</f>
        <v>18.5</v>
      </c>
      <c r="I925" s="24">
        <v>21</v>
      </c>
      <c r="J925" s="10">
        <v>68.040000000000006</v>
      </c>
      <c r="K925" s="11" t="s">
        <v>28</v>
      </c>
      <c r="L925" s="24">
        <v>1540</v>
      </c>
      <c r="M925" s="26">
        <v>1.98</v>
      </c>
      <c r="N925" s="9" t="s">
        <v>16</v>
      </c>
      <c r="O925" s="9" t="s">
        <v>19</v>
      </c>
      <c r="P925" s="27" t="e">
        <f t="shared" ca="1" si="7"/>
        <v>#NAME?</v>
      </c>
      <c r="Q925" s="28" t="e">
        <f ca="1"/>
        <v>#NAME?</v>
      </c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2.75">
      <c r="A926" s="9" t="s">
        <v>357</v>
      </c>
      <c r="B926" s="29" t="s">
        <v>431</v>
      </c>
      <c r="C926" s="24">
        <v>23</v>
      </c>
      <c r="D926" s="24">
        <v>184</v>
      </c>
      <c r="E926" s="24">
        <v>58</v>
      </c>
      <c r="F926" s="9" t="str">
        <v>17.1 (Underweight)</v>
      </c>
      <c r="G926" s="9" t="str">
        <f t="shared" si="6"/>
        <v>Underweight</v>
      </c>
      <c r="H926" s="24">
        <f ca="1">IFERROR(__xludf.DUMMYFUNCTION("""COMPUTED_VALUE"""),17.1)</f>
        <v>17.100000000000001</v>
      </c>
      <c r="I926" s="24">
        <v>21</v>
      </c>
      <c r="J926" s="10">
        <v>71.0976</v>
      </c>
      <c r="K926" s="11" t="s">
        <v>28</v>
      </c>
      <c r="L926" s="24">
        <v>1620</v>
      </c>
      <c r="M926" s="26">
        <v>1.91</v>
      </c>
      <c r="N926" s="9" t="s">
        <v>34</v>
      </c>
      <c r="O926" s="9" t="s">
        <v>30</v>
      </c>
      <c r="P926" s="27" t="e">
        <f t="shared" ca="1" si="7"/>
        <v>#NAME?</v>
      </c>
      <c r="Q926" s="28" t="e">
        <f ca="1"/>
        <v>#NAME?</v>
      </c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2.75">
      <c r="A927" s="9" t="s">
        <v>93</v>
      </c>
      <c r="B927" s="29" t="s">
        <v>431</v>
      </c>
      <c r="C927" s="24">
        <v>37</v>
      </c>
      <c r="D927" s="24">
        <v>161</v>
      </c>
      <c r="E927" s="24">
        <v>78</v>
      </c>
      <c r="F927" s="9" t="str">
        <v>30.1 (Obese)</v>
      </c>
      <c r="G927" s="9" t="str">
        <f t="shared" si="6"/>
        <v>Obese</v>
      </c>
      <c r="H927" s="24">
        <f ca="1">IFERROR(__xludf.DUMMYFUNCTION("""COMPUTED_VALUE"""),30.1)</f>
        <v>30.1</v>
      </c>
      <c r="I927" s="24">
        <v>21</v>
      </c>
      <c r="J927" s="10">
        <v>54.434100000000008</v>
      </c>
      <c r="K927" s="11" t="s">
        <v>18</v>
      </c>
      <c r="L927" s="24">
        <v>1606.25</v>
      </c>
      <c r="M927" s="26">
        <v>2.57</v>
      </c>
      <c r="N927" s="9" t="s">
        <v>34</v>
      </c>
      <c r="O927" s="9" t="s">
        <v>7</v>
      </c>
      <c r="P927" s="27" t="e">
        <f t="shared" ca="1" si="7"/>
        <v>#NAME?</v>
      </c>
      <c r="Q927" s="28" t="e">
        <f ca="1"/>
        <v>#NAME?</v>
      </c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2.75">
      <c r="A928" s="9" t="s">
        <v>310</v>
      </c>
      <c r="B928" s="29" t="s">
        <v>431</v>
      </c>
      <c r="C928" s="24">
        <v>33</v>
      </c>
      <c r="D928" s="24">
        <v>162</v>
      </c>
      <c r="E928" s="24">
        <v>77</v>
      </c>
      <c r="F928" s="9" t="str">
        <v>29.3 (Obese)</v>
      </c>
      <c r="G928" s="9" t="str">
        <f t="shared" si="6"/>
        <v>Obese</v>
      </c>
      <c r="H928" s="24">
        <f ca="1">IFERROR(__xludf.DUMMYFUNCTION("""COMPUTED_VALUE"""),29.3)</f>
        <v>29.3</v>
      </c>
      <c r="I928" s="24">
        <v>21</v>
      </c>
      <c r="J928" s="10">
        <v>55.112400000000008</v>
      </c>
      <c r="K928" s="11" t="s">
        <v>18</v>
      </c>
      <c r="L928" s="24">
        <v>1622.5</v>
      </c>
      <c r="M928" s="26">
        <v>2.54</v>
      </c>
      <c r="N928" s="9" t="s">
        <v>34</v>
      </c>
      <c r="O928" s="9" t="s">
        <v>37</v>
      </c>
      <c r="P928" s="27" t="e">
        <f t="shared" ca="1" si="7"/>
        <v>#NAME?</v>
      </c>
      <c r="Q928" s="28" t="e">
        <f ca="1"/>
        <v>#NAME?</v>
      </c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2.75">
      <c r="A929" s="9" t="s">
        <v>399</v>
      </c>
      <c r="B929" s="29" t="s">
        <v>431</v>
      </c>
      <c r="C929" s="24">
        <v>27</v>
      </c>
      <c r="D929" s="24">
        <v>156</v>
      </c>
      <c r="E929" s="24">
        <v>97</v>
      </c>
      <c r="F929" s="9" t="str">
        <v>39.9 (Obese)</v>
      </c>
      <c r="G929" s="9" t="str">
        <f t="shared" si="6"/>
        <v>Obese</v>
      </c>
      <c r="H929" s="24">
        <f ca="1">IFERROR(__xludf.DUMMYFUNCTION("""COMPUTED_VALUE"""),39.9)</f>
        <v>39.9</v>
      </c>
      <c r="I929" s="24">
        <v>21</v>
      </c>
      <c r="J929" s="10">
        <v>51.105600000000003</v>
      </c>
      <c r="K929" s="11" t="s">
        <v>28</v>
      </c>
      <c r="L929" s="24">
        <v>1815</v>
      </c>
      <c r="M929" s="26">
        <v>3.2</v>
      </c>
      <c r="N929" s="9" t="s">
        <v>16</v>
      </c>
      <c r="O929" s="9" t="s">
        <v>63</v>
      </c>
      <c r="P929" s="27" t="e">
        <f t="shared" ca="1" si="7"/>
        <v>#NAME?</v>
      </c>
      <c r="Q929" s="28" t="e">
        <f ca="1"/>
        <v>#NAME?</v>
      </c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2.75">
      <c r="A930" s="9" t="s">
        <v>258</v>
      </c>
      <c r="B930" s="29" t="s">
        <v>431</v>
      </c>
      <c r="C930" s="24">
        <v>49</v>
      </c>
      <c r="D930" s="24">
        <v>170</v>
      </c>
      <c r="E930" s="24">
        <v>103</v>
      </c>
      <c r="F930" s="9" t="str">
        <v>35.6 (Obese)</v>
      </c>
      <c r="G930" s="9" t="str">
        <f t="shared" si="6"/>
        <v>Obese</v>
      </c>
      <c r="H930" s="24">
        <f ca="1">IFERROR(__xludf.DUMMYFUNCTION("""COMPUTED_VALUE"""),35.6)</f>
        <v>35.6</v>
      </c>
      <c r="I930" s="24">
        <v>21</v>
      </c>
      <c r="J930" s="10">
        <v>60.689999999999991</v>
      </c>
      <c r="K930" s="11" t="s">
        <v>42</v>
      </c>
      <c r="L930" s="24">
        <v>1852.5</v>
      </c>
      <c r="M930" s="26">
        <v>3.4</v>
      </c>
      <c r="N930" s="9" t="s">
        <v>39</v>
      </c>
      <c r="O930" s="9" t="s">
        <v>19</v>
      </c>
      <c r="P930" s="27" t="e">
        <f t="shared" ca="1" si="7"/>
        <v>#NAME?</v>
      </c>
      <c r="Q930" s="28" t="e">
        <f ca="1"/>
        <v>#NAME?</v>
      </c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2.75">
      <c r="A931" s="9" t="s">
        <v>109</v>
      </c>
      <c r="B931" s="29" t="s">
        <v>431</v>
      </c>
      <c r="C931" s="24">
        <v>58</v>
      </c>
      <c r="D931" s="24">
        <v>167</v>
      </c>
      <c r="E931" s="24">
        <v>87</v>
      </c>
      <c r="F931" s="9" t="str">
        <v>31.2 (Obese)</v>
      </c>
      <c r="G931" s="9" t="str">
        <f t="shared" si="6"/>
        <v>Obese</v>
      </c>
      <c r="H931" s="24">
        <f ca="1">IFERROR(__xludf.DUMMYFUNCTION("""COMPUTED_VALUE"""),31.2)</f>
        <v>31.2</v>
      </c>
      <c r="I931" s="24">
        <v>21</v>
      </c>
      <c r="J931" s="10">
        <v>58.566899999999997</v>
      </c>
      <c r="K931" s="11" t="s">
        <v>4</v>
      </c>
      <c r="L931" s="24">
        <v>1628.75</v>
      </c>
      <c r="M931" s="26">
        <v>2.87</v>
      </c>
      <c r="N931" s="9" t="s">
        <v>34</v>
      </c>
      <c r="O931" s="9" t="s">
        <v>37</v>
      </c>
      <c r="P931" s="27" t="e">
        <f t="shared" ca="1" si="7"/>
        <v>#NAME?</v>
      </c>
      <c r="Q931" s="28" t="e">
        <f ca="1"/>
        <v>#NAME?</v>
      </c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2.75">
      <c r="A932" s="9" t="s">
        <v>163</v>
      </c>
      <c r="B932" s="29" t="s">
        <v>431</v>
      </c>
      <c r="C932" s="24">
        <v>38</v>
      </c>
      <c r="D932" s="24">
        <v>189</v>
      </c>
      <c r="E932" s="24">
        <v>109</v>
      </c>
      <c r="F932" s="9" t="str">
        <v>30.5 (Obese)</v>
      </c>
      <c r="G932" s="9" t="str">
        <f t="shared" si="6"/>
        <v>Obese</v>
      </c>
      <c r="H932" s="24">
        <f ca="1">IFERROR(__xludf.DUMMYFUNCTION("""COMPUTED_VALUE"""),30.5)</f>
        <v>30.5</v>
      </c>
      <c r="I932" s="24">
        <v>21</v>
      </c>
      <c r="J932" s="10">
        <v>75.014099999999999</v>
      </c>
      <c r="K932" s="11" t="s">
        <v>28</v>
      </c>
      <c r="L932" s="24">
        <v>2086.25</v>
      </c>
      <c r="M932" s="26">
        <v>3.6</v>
      </c>
      <c r="N932" s="9" t="s">
        <v>39</v>
      </c>
      <c r="O932" s="9" t="s">
        <v>19</v>
      </c>
      <c r="P932" s="27" t="e">
        <f t="shared" ca="1" si="7"/>
        <v>#NAME?</v>
      </c>
      <c r="Q932" s="28" t="e">
        <f ca="1"/>
        <v>#NAME?</v>
      </c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2.75">
      <c r="A933" s="9" t="s">
        <v>165</v>
      </c>
      <c r="B933" s="29" t="s">
        <v>431</v>
      </c>
      <c r="C933" s="24">
        <v>23</v>
      </c>
      <c r="D933" s="24">
        <v>182</v>
      </c>
      <c r="E933" s="24">
        <v>81</v>
      </c>
      <c r="F933" s="9" t="str">
        <v>24.5 (Normal)</v>
      </c>
      <c r="G933" s="9" t="str">
        <f t="shared" si="6"/>
        <v>Normal</v>
      </c>
      <c r="H933" s="24">
        <f ca="1">IFERROR(__xludf.DUMMYFUNCTION("""COMPUTED_VALUE"""),24.5)</f>
        <v>24.5</v>
      </c>
      <c r="I933" s="24">
        <v>21</v>
      </c>
      <c r="J933" s="10">
        <v>69.560400000000001</v>
      </c>
      <c r="K933" s="11" t="s">
        <v>4</v>
      </c>
      <c r="L933" s="24">
        <v>1837.5</v>
      </c>
      <c r="M933" s="26">
        <v>2.67</v>
      </c>
      <c r="N933" s="9" t="s">
        <v>16</v>
      </c>
      <c r="O933" s="9" t="s">
        <v>7</v>
      </c>
      <c r="P933" s="27" t="e">
        <f t="shared" ca="1" si="7"/>
        <v>#NAME?</v>
      </c>
      <c r="Q933" s="28" t="e">
        <f ca="1"/>
        <v>#NAME?</v>
      </c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2.75">
      <c r="A934" s="9" t="s">
        <v>249</v>
      </c>
      <c r="B934" s="29" t="s">
        <v>431</v>
      </c>
      <c r="C934" s="24">
        <v>30</v>
      </c>
      <c r="D934" s="24">
        <v>184</v>
      </c>
      <c r="E934" s="24">
        <v>59</v>
      </c>
      <c r="F934" s="9" t="str">
        <v>17.4 (Underweight)</v>
      </c>
      <c r="G934" s="9" t="str">
        <f t="shared" si="6"/>
        <v>Underweight</v>
      </c>
      <c r="H934" s="24">
        <f ca="1">IFERROR(__xludf.DUMMYFUNCTION("""COMPUTED_VALUE"""),17.4)</f>
        <v>17.399999999999999</v>
      </c>
      <c r="I934" s="24">
        <v>21</v>
      </c>
      <c r="J934" s="10">
        <v>71.0976</v>
      </c>
      <c r="K934" s="11" t="s">
        <v>42</v>
      </c>
      <c r="L934" s="24">
        <v>1595</v>
      </c>
      <c r="M934" s="26">
        <v>1.95</v>
      </c>
      <c r="N934" s="9" t="s">
        <v>26</v>
      </c>
      <c r="O934" s="9" t="s">
        <v>7</v>
      </c>
      <c r="P934" s="27" t="e">
        <f t="shared" ca="1" si="7"/>
        <v>#NAME?</v>
      </c>
      <c r="Q934" s="28" t="e">
        <f ca="1"/>
        <v>#NAME?</v>
      </c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2.75">
      <c r="A935" s="9" t="s">
        <v>83</v>
      </c>
      <c r="B935" s="29" t="s">
        <v>431</v>
      </c>
      <c r="C935" s="24">
        <v>22</v>
      </c>
      <c r="D935" s="24">
        <v>178</v>
      </c>
      <c r="E935" s="24">
        <v>105</v>
      </c>
      <c r="F935" s="9" t="str">
        <v>33.1 (Obese)</v>
      </c>
      <c r="G935" s="9" t="str">
        <f t="shared" si="6"/>
        <v>Obese</v>
      </c>
      <c r="H935" s="24">
        <f ca="1">IFERROR(__xludf.DUMMYFUNCTION("""COMPUTED_VALUE"""),33.1)</f>
        <v>33.1</v>
      </c>
      <c r="I935" s="24">
        <v>21</v>
      </c>
      <c r="J935" s="10">
        <v>66.5364</v>
      </c>
      <c r="K935" s="11" t="s">
        <v>18</v>
      </c>
      <c r="L935" s="24">
        <v>2057.5</v>
      </c>
      <c r="M935" s="26">
        <v>3.47</v>
      </c>
      <c r="N935" s="9" t="s">
        <v>16</v>
      </c>
      <c r="O935" s="9" t="s">
        <v>30</v>
      </c>
      <c r="P935" s="27" t="e">
        <f t="shared" ca="1" si="7"/>
        <v>#NAME?</v>
      </c>
      <c r="Q935" s="28" t="e">
        <f ca="1"/>
        <v>#NAME?</v>
      </c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2.75">
      <c r="A936" s="9" t="s">
        <v>400</v>
      </c>
      <c r="B936" s="29" t="s">
        <v>431</v>
      </c>
      <c r="C936" s="24">
        <v>54</v>
      </c>
      <c r="D936" s="24">
        <v>176</v>
      </c>
      <c r="E936" s="24">
        <v>108</v>
      </c>
      <c r="F936" s="9" t="str">
        <v>34.9 (Obese)</v>
      </c>
      <c r="G936" s="9" t="str">
        <f t="shared" si="6"/>
        <v>Obese</v>
      </c>
      <c r="H936" s="24">
        <f ca="1">IFERROR(__xludf.DUMMYFUNCTION("""COMPUTED_VALUE"""),34.9)</f>
        <v>34.9</v>
      </c>
      <c r="I936" s="24">
        <v>21</v>
      </c>
      <c r="J936" s="10">
        <v>65.049599999999998</v>
      </c>
      <c r="K936" s="11" t="s">
        <v>28</v>
      </c>
      <c r="L936" s="24">
        <v>1915</v>
      </c>
      <c r="M936" s="26">
        <v>3.56</v>
      </c>
      <c r="N936" s="9" t="s">
        <v>16</v>
      </c>
      <c r="O936" s="9" t="s">
        <v>60</v>
      </c>
      <c r="P936" s="27" t="e">
        <f t="shared" ca="1" si="7"/>
        <v>#NAME?</v>
      </c>
      <c r="Q936" s="28" t="e">
        <f ca="1"/>
        <v>#NAME?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2.75">
      <c r="A937" s="9" t="s">
        <v>93</v>
      </c>
      <c r="B937" s="29" t="s">
        <v>431</v>
      </c>
      <c r="C937" s="24">
        <v>57</v>
      </c>
      <c r="D937" s="24">
        <v>181</v>
      </c>
      <c r="E937" s="24">
        <v>101</v>
      </c>
      <c r="F937" s="9" t="str">
        <v>30.8 (Obese)</v>
      </c>
      <c r="G937" s="9" t="str">
        <f t="shared" si="6"/>
        <v>Obese</v>
      </c>
      <c r="H937" s="24">
        <f ca="1">IFERROR(__xludf.DUMMYFUNCTION("""COMPUTED_VALUE"""),30.8)</f>
        <v>30.8</v>
      </c>
      <c r="I937" s="24">
        <v>21</v>
      </c>
      <c r="J937" s="10">
        <v>68.798100000000005</v>
      </c>
      <c r="K937" s="11" t="s">
        <v>18</v>
      </c>
      <c r="L937" s="24">
        <v>1861.25</v>
      </c>
      <c r="M937" s="26">
        <v>3.33</v>
      </c>
      <c r="N937" s="9" t="s">
        <v>26</v>
      </c>
      <c r="O937" s="9" t="s">
        <v>30</v>
      </c>
      <c r="P937" s="27" t="e">
        <f t="shared" ca="1" si="7"/>
        <v>#NAME?</v>
      </c>
      <c r="Q937" s="28" t="e">
        <f ca="1"/>
        <v>#NAME?</v>
      </c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2.75">
      <c r="A938" s="9" t="s">
        <v>56</v>
      </c>
      <c r="B938" s="29" t="s">
        <v>431</v>
      </c>
      <c r="C938" s="24">
        <v>37</v>
      </c>
      <c r="D938" s="24">
        <v>166</v>
      </c>
      <c r="E938" s="24">
        <v>72</v>
      </c>
      <c r="F938" s="9" t="str">
        <v>26.1 (Overweight)</v>
      </c>
      <c r="G938" s="9" t="str">
        <f t="shared" si="6"/>
        <v>Overweight</v>
      </c>
      <c r="H938" s="24">
        <f ca="1">IFERROR(__xludf.DUMMYFUNCTION("""COMPUTED_VALUE"""),26.1)</f>
        <v>26.1</v>
      </c>
      <c r="I938" s="24">
        <v>21</v>
      </c>
      <c r="J938" s="10">
        <v>57.867599999999996</v>
      </c>
      <c r="K938" s="11" t="s">
        <v>4</v>
      </c>
      <c r="L938" s="24">
        <v>1577.5</v>
      </c>
      <c r="M938" s="26">
        <v>2.38</v>
      </c>
      <c r="N938" s="9" t="s">
        <v>39</v>
      </c>
      <c r="O938" s="9" t="s">
        <v>19</v>
      </c>
      <c r="P938" s="27" t="e">
        <f t="shared" ca="1" si="7"/>
        <v>#NAME?</v>
      </c>
      <c r="Q938" s="28" t="e">
        <f ca="1"/>
        <v>#NAME?</v>
      </c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2.75">
      <c r="A939" s="9" t="s">
        <v>111</v>
      </c>
      <c r="B939" s="29" t="s">
        <v>431</v>
      </c>
      <c r="C939" s="24">
        <v>50</v>
      </c>
      <c r="D939" s="24">
        <v>160</v>
      </c>
      <c r="E939" s="24">
        <v>81</v>
      </c>
      <c r="F939" s="9" t="str">
        <v>31.6 (Obese)</v>
      </c>
      <c r="G939" s="9" t="str">
        <f t="shared" si="6"/>
        <v>Obese</v>
      </c>
      <c r="H939" s="24">
        <f ca="1">IFERROR(__xludf.DUMMYFUNCTION("""COMPUTED_VALUE"""),31.6)</f>
        <v>31.6</v>
      </c>
      <c r="I939" s="24">
        <v>21</v>
      </c>
      <c r="J939" s="10">
        <v>53.760000000000012</v>
      </c>
      <c r="K939" s="11" t="s">
        <v>18</v>
      </c>
      <c r="L939" s="24">
        <v>1565</v>
      </c>
      <c r="M939" s="26">
        <v>2.67</v>
      </c>
      <c r="N939" s="9" t="s">
        <v>34</v>
      </c>
      <c r="O939" s="9" t="s">
        <v>30</v>
      </c>
      <c r="P939" s="27" t="e">
        <f t="shared" ca="1" si="7"/>
        <v>#NAME?</v>
      </c>
      <c r="Q939" s="28" t="e">
        <f ca="1"/>
        <v>#NAME?</v>
      </c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2.75">
      <c r="A940" s="9" t="s">
        <v>401</v>
      </c>
      <c r="B940" s="29" t="s">
        <v>431</v>
      </c>
      <c r="C940" s="24">
        <v>52</v>
      </c>
      <c r="D940" s="24">
        <v>177</v>
      </c>
      <c r="E940" s="24">
        <v>59</v>
      </c>
      <c r="F940" s="9" t="str">
        <v>18.8 (Normal)</v>
      </c>
      <c r="G940" s="9" t="str">
        <f t="shared" si="6"/>
        <v>Normal</v>
      </c>
      <c r="H940" s="24">
        <f ca="1">IFERROR(__xludf.DUMMYFUNCTION("""COMPUTED_VALUE"""),18.8)</f>
        <v>18.8</v>
      </c>
      <c r="I940" s="24">
        <v>21</v>
      </c>
      <c r="J940" s="10">
        <v>65.790900000000008</v>
      </c>
      <c r="K940" s="11" t="s">
        <v>4</v>
      </c>
      <c r="L940" s="24">
        <v>1441.25</v>
      </c>
      <c r="M940" s="26">
        <v>1.95</v>
      </c>
      <c r="N940" s="9" t="s">
        <v>34</v>
      </c>
      <c r="O940" s="9" t="s">
        <v>7</v>
      </c>
      <c r="P940" s="27" t="e">
        <f t="shared" ca="1" si="7"/>
        <v>#NAME?</v>
      </c>
      <c r="Q940" s="28" t="e">
        <f ca="1"/>
        <v>#NAME?</v>
      </c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2.75">
      <c r="A941" s="9" t="s">
        <v>102</v>
      </c>
      <c r="B941" s="29" t="s">
        <v>431</v>
      </c>
      <c r="C941" s="24">
        <v>38</v>
      </c>
      <c r="D941" s="24">
        <v>178</v>
      </c>
      <c r="E941" s="24">
        <v>51</v>
      </c>
      <c r="F941" s="9" t="str">
        <v>16.1 (Underweight)</v>
      </c>
      <c r="G941" s="9" t="str">
        <f t="shared" si="6"/>
        <v>Underweight</v>
      </c>
      <c r="H941" s="24">
        <f ca="1">IFERROR(__xludf.DUMMYFUNCTION("""COMPUTED_VALUE"""),16.1)</f>
        <v>16.100000000000001</v>
      </c>
      <c r="I941" s="24">
        <v>21</v>
      </c>
      <c r="J941" s="10">
        <v>66.5364</v>
      </c>
      <c r="K941" s="11" t="s">
        <v>28</v>
      </c>
      <c r="L941" s="24">
        <v>1437.5</v>
      </c>
      <c r="M941" s="26">
        <v>1.68</v>
      </c>
      <c r="N941" s="9" t="s">
        <v>26</v>
      </c>
      <c r="O941" s="9" t="s">
        <v>7</v>
      </c>
      <c r="P941" s="27" t="e">
        <f t="shared" ca="1" si="7"/>
        <v>#NAME?</v>
      </c>
      <c r="Q941" s="28" t="e">
        <f ca="1"/>
        <v>#NAME?</v>
      </c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2.75">
      <c r="A942" s="9" t="s">
        <v>328</v>
      </c>
      <c r="B942" s="29" t="s">
        <v>431</v>
      </c>
      <c r="C942" s="24">
        <v>20</v>
      </c>
      <c r="D942" s="24">
        <v>156</v>
      </c>
      <c r="E942" s="24">
        <v>86</v>
      </c>
      <c r="F942" s="9" t="str">
        <v>35.3 (Obese)</v>
      </c>
      <c r="G942" s="9" t="str">
        <f t="shared" si="6"/>
        <v>Obese</v>
      </c>
      <c r="H942" s="24">
        <f ca="1">IFERROR(__xludf.DUMMYFUNCTION("""COMPUTED_VALUE"""),35.3)</f>
        <v>35.299999999999997</v>
      </c>
      <c r="I942" s="24">
        <v>21</v>
      </c>
      <c r="J942" s="10">
        <v>51.105600000000003</v>
      </c>
      <c r="K942" s="11" t="s">
        <v>4</v>
      </c>
      <c r="L942" s="24">
        <v>1740</v>
      </c>
      <c r="M942" s="26">
        <v>2.84</v>
      </c>
      <c r="N942" s="9" t="s">
        <v>26</v>
      </c>
      <c r="O942" s="9" t="s">
        <v>63</v>
      </c>
      <c r="P942" s="27" t="e">
        <f t="shared" ca="1" si="7"/>
        <v>#NAME?</v>
      </c>
      <c r="Q942" s="28" t="e">
        <f ca="1"/>
        <v>#NAME?</v>
      </c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2.75">
      <c r="A943" s="9" t="s">
        <v>93</v>
      </c>
      <c r="B943" s="29" t="s">
        <v>431</v>
      </c>
      <c r="C943" s="24">
        <v>48</v>
      </c>
      <c r="D943" s="24">
        <v>168</v>
      </c>
      <c r="E943" s="24">
        <v>53</v>
      </c>
      <c r="F943" s="9" t="str">
        <v>18.8 (Normal)</v>
      </c>
      <c r="G943" s="9" t="str">
        <f t="shared" si="6"/>
        <v>Normal</v>
      </c>
      <c r="H943" s="24">
        <f ca="1">IFERROR(__xludf.DUMMYFUNCTION("""COMPUTED_VALUE"""),18.8)</f>
        <v>18.8</v>
      </c>
      <c r="I943" s="24">
        <v>21</v>
      </c>
      <c r="J943" s="10">
        <v>59.270399999999988</v>
      </c>
      <c r="K943" s="11" t="s">
        <v>18</v>
      </c>
      <c r="L943" s="24">
        <v>1345</v>
      </c>
      <c r="M943" s="26">
        <v>1.75</v>
      </c>
      <c r="N943" s="9" t="s">
        <v>34</v>
      </c>
      <c r="O943" s="9" t="s">
        <v>37</v>
      </c>
      <c r="P943" s="27" t="e">
        <f t="shared" ca="1" si="7"/>
        <v>#NAME?</v>
      </c>
      <c r="Q943" s="28" t="e">
        <f ca="1"/>
        <v>#NAME?</v>
      </c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2.75">
      <c r="A944" s="9" t="s">
        <v>270</v>
      </c>
      <c r="B944" s="29" t="s">
        <v>431</v>
      </c>
      <c r="C944" s="24">
        <v>47</v>
      </c>
      <c r="D944" s="24">
        <v>172</v>
      </c>
      <c r="E944" s="24">
        <v>103</v>
      </c>
      <c r="F944" s="9" t="str">
        <v>34.8 (Obese)</v>
      </c>
      <c r="G944" s="9" t="str">
        <f t="shared" si="6"/>
        <v>Obese</v>
      </c>
      <c r="H944" s="24">
        <f ca="1">IFERROR(__xludf.DUMMYFUNCTION("""COMPUTED_VALUE"""),34.8)</f>
        <v>34.799999999999997</v>
      </c>
      <c r="I944" s="24">
        <v>21</v>
      </c>
      <c r="J944" s="10">
        <v>62.126399999999997</v>
      </c>
      <c r="K944" s="11" t="s">
        <v>18</v>
      </c>
      <c r="L944" s="24">
        <v>1875</v>
      </c>
      <c r="M944" s="26">
        <v>3.4</v>
      </c>
      <c r="N944" s="9" t="s">
        <v>34</v>
      </c>
      <c r="O944" s="9" t="s">
        <v>63</v>
      </c>
      <c r="P944" s="27" t="e">
        <f t="shared" ca="1" si="7"/>
        <v>#NAME?</v>
      </c>
      <c r="Q944" s="28" t="e">
        <f ca="1"/>
        <v>#NAME?</v>
      </c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2.75">
      <c r="A945" s="9" t="s">
        <v>134</v>
      </c>
      <c r="B945" s="29" t="s">
        <v>431</v>
      </c>
      <c r="C945" s="24">
        <v>46</v>
      </c>
      <c r="D945" s="24">
        <v>177</v>
      </c>
      <c r="E945" s="24">
        <v>93</v>
      </c>
      <c r="F945" s="9" t="str">
        <v>29.7 (Obese)</v>
      </c>
      <c r="G945" s="9" t="str">
        <f t="shared" si="6"/>
        <v>Obese</v>
      </c>
      <c r="H945" s="24">
        <f ca="1">IFERROR(__xludf.DUMMYFUNCTION("""COMPUTED_VALUE"""),29.7)</f>
        <v>29.7</v>
      </c>
      <c r="I945" s="24">
        <v>21</v>
      </c>
      <c r="J945" s="10">
        <v>65.790900000000008</v>
      </c>
      <c r="K945" s="11" t="s">
        <v>42</v>
      </c>
      <c r="L945" s="24">
        <v>1811.25</v>
      </c>
      <c r="M945" s="26">
        <v>3.07</v>
      </c>
      <c r="N945" s="9" t="s">
        <v>16</v>
      </c>
      <c r="O945" s="9" t="s">
        <v>7</v>
      </c>
      <c r="P945" s="27" t="e">
        <f t="shared" ca="1" si="7"/>
        <v>#NAME?</v>
      </c>
      <c r="Q945" s="28" t="e">
        <f ca="1"/>
        <v>#NAME?</v>
      </c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2.75">
      <c r="A946" s="9" t="s">
        <v>402</v>
      </c>
      <c r="B946" s="29" t="s">
        <v>431</v>
      </c>
      <c r="C946" s="24">
        <v>41</v>
      </c>
      <c r="D946" s="24">
        <v>166</v>
      </c>
      <c r="E946" s="24">
        <v>67</v>
      </c>
      <c r="F946" s="9" t="str">
        <v>24.3 (Normal)</v>
      </c>
      <c r="G946" s="9" t="str">
        <f t="shared" si="6"/>
        <v>Normal</v>
      </c>
      <c r="H946" s="24">
        <f ca="1">IFERROR(__xludf.DUMMYFUNCTION("""COMPUTED_VALUE"""),24.3)</f>
        <v>24.3</v>
      </c>
      <c r="I946" s="24">
        <v>21</v>
      </c>
      <c r="J946" s="10">
        <v>57.867599999999996</v>
      </c>
      <c r="K946" s="11" t="s">
        <v>28</v>
      </c>
      <c r="L946" s="24">
        <v>1507.5</v>
      </c>
      <c r="M946" s="26">
        <v>2.21</v>
      </c>
      <c r="N946" s="9" t="s">
        <v>39</v>
      </c>
      <c r="O946" s="9" t="s">
        <v>63</v>
      </c>
      <c r="P946" s="27" t="e">
        <f t="shared" ca="1" si="7"/>
        <v>#NAME?</v>
      </c>
      <c r="Q946" s="28" t="e">
        <f ca="1"/>
        <v>#NAME?</v>
      </c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2.75">
      <c r="A947" s="9" t="s">
        <v>56</v>
      </c>
      <c r="B947" s="29" t="s">
        <v>431</v>
      </c>
      <c r="C947" s="24">
        <v>55</v>
      </c>
      <c r="D947" s="24">
        <v>176</v>
      </c>
      <c r="E947" s="24">
        <v>99</v>
      </c>
      <c r="F947" s="9" t="str">
        <v>32.0 (Obese)</v>
      </c>
      <c r="G947" s="9" t="str">
        <f t="shared" si="6"/>
        <v>Obese</v>
      </c>
      <c r="H947" s="24">
        <f ca="1">IFERROR(__xludf.DUMMYFUNCTION("""COMPUTED_VALUE"""),32)</f>
        <v>32</v>
      </c>
      <c r="I947" s="24">
        <v>21</v>
      </c>
      <c r="J947" s="10">
        <v>65.049599999999998</v>
      </c>
      <c r="K947" s="11" t="s">
        <v>4</v>
      </c>
      <c r="L947" s="24">
        <v>1820</v>
      </c>
      <c r="M947" s="26">
        <v>3.27</v>
      </c>
      <c r="N947" s="9" t="s">
        <v>26</v>
      </c>
      <c r="O947" s="9" t="s">
        <v>19</v>
      </c>
      <c r="P947" s="27" t="e">
        <f t="shared" ca="1" si="7"/>
        <v>#NAME?</v>
      </c>
      <c r="Q947" s="28" t="e">
        <f ca="1"/>
        <v>#NAME?</v>
      </c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2.75">
      <c r="A948" s="9" t="s">
        <v>116</v>
      </c>
      <c r="B948" s="29" t="s">
        <v>431</v>
      </c>
      <c r="C948" s="24">
        <v>51</v>
      </c>
      <c r="D948" s="24">
        <v>162</v>
      </c>
      <c r="E948" s="24">
        <v>74</v>
      </c>
      <c r="F948" s="9" t="str">
        <v>28.2 (Obese)</v>
      </c>
      <c r="G948" s="9" t="str">
        <f t="shared" si="6"/>
        <v>Obese</v>
      </c>
      <c r="H948" s="24">
        <f ca="1">IFERROR(__xludf.DUMMYFUNCTION("""COMPUTED_VALUE"""),28.2)</f>
        <v>28.2</v>
      </c>
      <c r="I948" s="24">
        <v>21</v>
      </c>
      <c r="J948" s="10">
        <v>55.112400000000008</v>
      </c>
      <c r="K948" s="11" t="s">
        <v>28</v>
      </c>
      <c r="L948" s="24">
        <v>1502.5</v>
      </c>
      <c r="M948" s="26">
        <v>2.44</v>
      </c>
      <c r="N948" s="9" t="s">
        <v>26</v>
      </c>
      <c r="O948" s="9" t="s">
        <v>37</v>
      </c>
      <c r="P948" s="27" t="e">
        <f t="shared" ca="1" si="7"/>
        <v>#NAME?</v>
      </c>
      <c r="Q948" s="28" t="e">
        <f ca="1"/>
        <v>#NAME?</v>
      </c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2.75">
      <c r="A949" s="9" t="s">
        <v>403</v>
      </c>
      <c r="B949" s="29" t="s">
        <v>431</v>
      </c>
      <c r="C949" s="24">
        <v>28</v>
      </c>
      <c r="D949" s="24">
        <v>168</v>
      </c>
      <c r="E949" s="24">
        <v>62</v>
      </c>
      <c r="F949" s="9" t="str">
        <v>22.0 (Normal)</v>
      </c>
      <c r="G949" s="9" t="str">
        <f t="shared" si="6"/>
        <v>Normal</v>
      </c>
      <c r="H949" s="24">
        <f ca="1">IFERROR(__xludf.DUMMYFUNCTION("""COMPUTED_VALUE"""),22)</f>
        <v>22</v>
      </c>
      <c r="I949" s="24">
        <v>21</v>
      </c>
      <c r="J949" s="10">
        <v>59.270399999999988</v>
      </c>
      <c r="K949" s="11" t="s">
        <v>4</v>
      </c>
      <c r="L949" s="24">
        <v>1535</v>
      </c>
      <c r="M949" s="26">
        <v>2.0499999999999998</v>
      </c>
      <c r="N949" s="9" t="s">
        <v>26</v>
      </c>
      <c r="O949" s="9" t="s">
        <v>63</v>
      </c>
      <c r="P949" s="27" t="e">
        <f t="shared" ca="1" si="7"/>
        <v>#NAME?</v>
      </c>
      <c r="Q949" s="28" t="e">
        <f ca="1"/>
        <v>#NAME?</v>
      </c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2.75">
      <c r="A950" s="9" t="s">
        <v>115</v>
      </c>
      <c r="B950" s="29" t="s">
        <v>431</v>
      </c>
      <c r="C950" s="24">
        <v>32</v>
      </c>
      <c r="D950" s="24">
        <v>160</v>
      </c>
      <c r="E950" s="24">
        <v>88</v>
      </c>
      <c r="F950" s="9" t="str">
        <v>34.4 (Obese)</v>
      </c>
      <c r="G950" s="9" t="str">
        <f t="shared" si="6"/>
        <v>Obese</v>
      </c>
      <c r="H950" s="24">
        <f ca="1">IFERROR(__xludf.DUMMYFUNCTION("""COMPUTED_VALUE"""),34.4)</f>
        <v>34.4</v>
      </c>
      <c r="I950" s="24">
        <v>21</v>
      </c>
      <c r="J950" s="10">
        <v>53.760000000000012</v>
      </c>
      <c r="K950" s="11" t="s">
        <v>42</v>
      </c>
      <c r="L950" s="24">
        <v>1725</v>
      </c>
      <c r="M950" s="26">
        <v>2.9</v>
      </c>
      <c r="N950" s="9" t="s">
        <v>16</v>
      </c>
      <c r="O950" s="9" t="s">
        <v>60</v>
      </c>
      <c r="P950" s="27" t="e">
        <f t="shared" ca="1" si="7"/>
        <v>#NAME?</v>
      </c>
      <c r="Q950" s="28" t="e">
        <f ca="1"/>
        <v>#NAME?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2.75">
      <c r="A951" s="9" t="s">
        <v>392</v>
      </c>
      <c r="B951" s="29" t="s">
        <v>431</v>
      </c>
      <c r="C951" s="24">
        <v>57</v>
      </c>
      <c r="D951" s="24">
        <v>168</v>
      </c>
      <c r="E951" s="24">
        <v>88</v>
      </c>
      <c r="F951" s="9" t="str">
        <v>31.2 (Obese)</v>
      </c>
      <c r="G951" s="9" t="str">
        <f t="shared" si="6"/>
        <v>Obese</v>
      </c>
      <c r="H951" s="24">
        <f ca="1">IFERROR(__xludf.DUMMYFUNCTION("""COMPUTED_VALUE"""),31.2)</f>
        <v>31.2</v>
      </c>
      <c r="I951" s="24">
        <v>21</v>
      </c>
      <c r="J951" s="10">
        <v>59.270399999999988</v>
      </c>
      <c r="K951" s="11" t="s">
        <v>28</v>
      </c>
      <c r="L951" s="24">
        <v>1650</v>
      </c>
      <c r="M951" s="26">
        <v>2.9</v>
      </c>
      <c r="N951" s="9" t="s">
        <v>26</v>
      </c>
      <c r="O951" s="9" t="s">
        <v>60</v>
      </c>
      <c r="P951" s="27" t="e">
        <f t="shared" ca="1" si="7"/>
        <v>#NAME?</v>
      </c>
      <c r="Q951" s="28" t="e">
        <f ca="1"/>
        <v>#NAME?</v>
      </c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2.75">
      <c r="A952" s="9" t="s">
        <v>250</v>
      </c>
      <c r="B952" s="29" t="s">
        <v>431</v>
      </c>
      <c r="C952" s="24">
        <v>48</v>
      </c>
      <c r="D952" s="24">
        <v>186</v>
      </c>
      <c r="E952" s="24">
        <v>109</v>
      </c>
      <c r="F952" s="9" t="str">
        <v>31.5 (Obese)</v>
      </c>
      <c r="G952" s="9" t="str">
        <f t="shared" si="6"/>
        <v>Obese</v>
      </c>
      <c r="H952" s="24">
        <f ca="1">IFERROR(__xludf.DUMMYFUNCTION("""COMPUTED_VALUE"""),31.5)</f>
        <v>31.5</v>
      </c>
      <c r="I952" s="24">
        <v>21</v>
      </c>
      <c r="J952" s="10">
        <v>72.651600000000016</v>
      </c>
      <c r="K952" s="11" t="s">
        <v>4</v>
      </c>
      <c r="L952" s="24">
        <v>2017.5</v>
      </c>
      <c r="M952" s="26">
        <v>3.6</v>
      </c>
      <c r="N952" s="9" t="s">
        <v>39</v>
      </c>
      <c r="O952" s="9" t="s">
        <v>63</v>
      </c>
      <c r="P952" s="27" t="e">
        <f t="shared" ca="1" si="7"/>
        <v>#NAME?</v>
      </c>
      <c r="Q952" s="28" t="e">
        <f ca="1"/>
        <v>#NAME?</v>
      </c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2.75">
      <c r="A953" s="9" t="s">
        <v>239</v>
      </c>
      <c r="B953" s="29" t="s">
        <v>431</v>
      </c>
      <c r="C953" s="24">
        <v>59</v>
      </c>
      <c r="D953" s="24">
        <v>164</v>
      </c>
      <c r="E953" s="24">
        <v>51</v>
      </c>
      <c r="F953" s="9" t="str">
        <v>19.0 (Normal)</v>
      </c>
      <c r="G953" s="9" t="str">
        <f t="shared" si="6"/>
        <v>Normal</v>
      </c>
      <c r="H953" s="24">
        <f ca="1">IFERROR(__xludf.DUMMYFUNCTION("""COMPUTED_VALUE"""),19)</f>
        <v>19</v>
      </c>
      <c r="I953" s="24">
        <v>21</v>
      </c>
      <c r="J953" s="10">
        <v>56.481599999999993</v>
      </c>
      <c r="K953" s="11" t="s">
        <v>28</v>
      </c>
      <c r="L953" s="24">
        <v>1245</v>
      </c>
      <c r="M953" s="26">
        <v>1.68</v>
      </c>
      <c r="N953" s="9" t="s">
        <v>26</v>
      </c>
      <c r="O953" s="9" t="s">
        <v>7</v>
      </c>
      <c r="P953" s="27" t="e">
        <f t="shared" ca="1" si="7"/>
        <v>#NAME?</v>
      </c>
      <c r="Q953" s="28" t="e">
        <f ca="1"/>
        <v>#NAME?</v>
      </c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2.75">
      <c r="A954" s="9" t="s">
        <v>365</v>
      </c>
      <c r="B954" s="29" t="s">
        <v>431</v>
      </c>
      <c r="C954" s="24">
        <v>37</v>
      </c>
      <c r="D954" s="24">
        <v>159</v>
      </c>
      <c r="E954" s="24">
        <v>73</v>
      </c>
      <c r="F954" s="9" t="str">
        <v>28.9 (Obese)</v>
      </c>
      <c r="G954" s="9" t="str">
        <f t="shared" si="6"/>
        <v>Obese</v>
      </c>
      <c r="H954" s="24">
        <f ca="1">IFERROR(__xludf.DUMMYFUNCTION("""COMPUTED_VALUE"""),28.9)</f>
        <v>28.9</v>
      </c>
      <c r="I954" s="24">
        <v>21</v>
      </c>
      <c r="J954" s="10">
        <v>53.090100000000007</v>
      </c>
      <c r="K954" s="11" t="s">
        <v>18</v>
      </c>
      <c r="L954" s="24">
        <v>1543.75</v>
      </c>
      <c r="M954" s="26">
        <v>2.41</v>
      </c>
      <c r="N954" s="9" t="s">
        <v>39</v>
      </c>
      <c r="O954" s="9" t="s">
        <v>19</v>
      </c>
      <c r="P954" s="27" t="e">
        <f t="shared" ca="1" si="7"/>
        <v>#NAME?</v>
      </c>
      <c r="Q954" s="28" t="e">
        <f ca="1"/>
        <v>#NAME?</v>
      </c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2.75">
      <c r="A955" s="9" t="s">
        <v>80</v>
      </c>
      <c r="B955" s="29" t="s">
        <v>431</v>
      </c>
      <c r="C955" s="24">
        <v>30</v>
      </c>
      <c r="D955" s="24">
        <v>177</v>
      </c>
      <c r="E955" s="24">
        <v>77</v>
      </c>
      <c r="F955" s="9" t="str">
        <v>24.6 (Normal)</v>
      </c>
      <c r="G955" s="9" t="str">
        <f t="shared" si="6"/>
        <v>Normal</v>
      </c>
      <c r="H955" s="24">
        <f ca="1">IFERROR(__xludf.DUMMYFUNCTION("""COMPUTED_VALUE"""),24.6)</f>
        <v>24.6</v>
      </c>
      <c r="I955" s="24">
        <v>21</v>
      </c>
      <c r="J955" s="10">
        <v>65.790900000000008</v>
      </c>
      <c r="K955" s="11" t="s">
        <v>4</v>
      </c>
      <c r="L955" s="24">
        <v>1731.25</v>
      </c>
      <c r="M955" s="26">
        <v>2.54</v>
      </c>
      <c r="N955" s="9" t="s">
        <v>16</v>
      </c>
      <c r="O955" s="9" t="s">
        <v>7</v>
      </c>
      <c r="P955" s="27" t="e">
        <f t="shared" ca="1" si="7"/>
        <v>#NAME?</v>
      </c>
      <c r="Q955" s="28" t="e">
        <f ca="1"/>
        <v>#NAME?</v>
      </c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2.75">
      <c r="A956" s="9" t="s">
        <v>404</v>
      </c>
      <c r="B956" s="29" t="s">
        <v>431</v>
      </c>
      <c r="C956" s="24">
        <v>49</v>
      </c>
      <c r="D956" s="24">
        <v>170</v>
      </c>
      <c r="E956" s="24">
        <v>75</v>
      </c>
      <c r="F956" s="9" t="str">
        <v>26.0 (Overweight)</v>
      </c>
      <c r="G956" s="9" t="str">
        <f t="shared" si="6"/>
        <v>Overweight</v>
      </c>
      <c r="H956" s="24">
        <f ca="1">IFERROR(__xludf.DUMMYFUNCTION("""COMPUTED_VALUE"""),26)</f>
        <v>26</v>
      </c>
      <c r="I956" s="24">
        <v>21</v>
      </c>
      <c r="J956" s="10">
        <v>60.689999999999991</v>
      </c>
      <c r="K956" s="11" t="s">
        <v>28</v>
      </c>
      <c r="L956" s="24">
        <v>1572.5</v>
      </c>
      <c r="M956" s="26">
        <v>2.48</v>
      </c>
      <c r="N956" s="9" t="s">
        <v>26</v>
      </c>
      <c r="O956" s="9" t="s">
        <v>7</v>
      </c>
      <c r="P956" s="27" t="e">
        <f t="shared" ca="1" si="7"/>
        <v>#NAME?</v>
      </c>
      <c r="Q956" s="28" t="e">
        <f ca="1"/>
        <v>#NAME?</v>
      </c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2.75">
      <c r="A957" s="9" t="s">
        <v>405</v>
      </c>
      <c r="B957" s="29" t="s">
        <v>431</v>
      </c>
      <c r="C957" s="24">
        <v>24</v>
      </c>
      <c r="D957" s="24">
        <v>176</v>
      </c>
      <c r="E957" s="24">
        <v>88</v>
      </c>
      <c r="F957" s="9" t="str">
        <v>28.4 (Obese)</v>
      </c>
      <c r="G957" s="9" t="str">
        <f t="shared" si="6"/>
        <v>Obese</v>
      </c>
      <c r="H957" s="24">
        <f ca="1">IFERROR(__xludf.DUMMYFUNCTION("""COMPUTED_VALUE"""),28.4)</f>
        <v>28.4</v>
      </c>
      <c r="I957" s="24">
        <v>21</v>
      </c>
      <c r="J957" s="10">
        <v>65.049599999999998</v>
      </c>
      <c r="K957" s="11" t="s">
        <v>4</v>
      </c>
      <c r="L957" s="24">
        <v>1865</v>
      </c>
      <c r="M957" s="26">
        <v>2.9</v>
      </c>
      <c r="N957" s="9" t="s">
        <v>39</v>
      </c>
      <c r="O957" s="9" t="s">
        <v>60</v>
      </c>
      <c r="P957" s="27" t="e">
        <f t="shared" ca="1" si="7"/>
        <v>#NAME?</v>
      </c>
      <c r="Q957" s="28" t="e">
        <f ca="1"/>
        <v>#NAME?</v>
      </c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2.75">
      <c r="A958" s="9" t="s">
        <v>406</v>
      </c>
      <c r="B958" s="29" t="s">
        <v>431</v>
      </c>
      <c r="C958" s="24">
        <v>53</v>
      </c>
      <c r="D958" s="24">
        <v>156</v>
      </c>
      <c r="E958" s="24">
        <v>106</v>
      </c>
      <c r="F958" s="9" t="str">
        <v>43.6 (Obese)</v>
      </c>
      <c r="G958" s="9" t="str">
        <f t="shared" si="6"/>
        <v>Obese</v>
      </c>
      <c r="H958" s="24">
        <f ca="1">IFERROR(__xludf.DUMMYFUNCTION("""COMPUTED_VALUE"""),43.6)</f>
        <v>43.6</v>
      </c>
      <c r="I958" s="24">
        <v>21</v>
      </c>
      <c r="J958" s="10">
        <v>51.105600000000003</v>
      </c>
      <c r="K958" s="11" t="s">
        <v>4</v>
      </c>
      <c r="L958" s="24">
        <v>1775</v>
      </c>
      <c r="M958" s="26">
        <v>3.5</v>
      </c>
      <c r="N958" s="9" t="s">
        <v>26</v>
      </c>
      <c r="O958" s="9" t="s">
        <v>37</v>
      </c>
      <c r="P958" s="27" t="e">
        <f t="shared" ca="1" si="7"/>
        <v>#NAME?</v>
      </c>
      <c r="Q958" s="28" t="e">
        <f ca="1"/>
        <v>#NAME?</v>
      </c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2.75">
      <c r="A959" s="9" t="s">
        <v>115</v>
      </c>
      <c r="B959" s="29" t="s">
        <v>431</v>
      </c>
      <c r="C959" s="24">
        <v>38</v>
      </c>
      <c r="D959" s="24">
        <v>176</v>
      </c>
      <c r="E959" s="24">
        <v>56</v>
      </c>
      <c r="F959" s="9" t="str">
        <v>18.1 (Underweight)</v>
      </c>
      <c r="G959" s="9" t="str">
        <f t="shared" si="6"/>
        <v>Underweight</v>
      </c>
      <c r="H959" s="24">
        <f ca="1">IFERROR(__xludf.DUMMYFUNCTION("""COMPUTED_VALUE"""),18.1)</f>
        <v>18.100000000000001</v>
      </c>
      <c r="I959" s="24">
        <v>21</v>
      </c>
      <c r="J959" s="10">
        <v>65.049599999999998</v>
      </c>
      <c r="K959" s="11" t="s">
        <v>4</v>
      </c>
      <c r="L959" s="24">
        <v>1475</v>
      </c>
      <c r="M959" s="26">
        <v>1.85</v>
      </c>
      <c r="N959" s="9" t="s">
        <v>34</v>
      </c>
      <c r="O959" s="9" t="s">
        <v>7</v>
      </c>
      <c r="P959" s="27" t="e">
        <f t="shared" ca="1" si="7"/>
        <v>#NAME?</v>
      </c>
      <c r="Q959" s="28" t="e">
        <f ca="1"/>
        <v>#NAME?</v>
      </c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2.75">
      <c r="A960" s="9" t="s">
        <v>126</v>
      </c>
      <c r="B960" s="29" t="s">
        <v>431</v>
      </c>
      <c r="C960" s="24">
        <v>55</v>
      </c>
      <c r="D960" s="24">
        <v>186</v>
      </c>
      <c r="E960" s="24">
        <v>78</v>
      </c>
      <c r="F960" s="9" t="str">
        <v>22.5 (Normal)</v>
      </c>
      <c r="G960" s="9" t="str">
        <f t="shared" si="6"/>
        <v>Normal</v>
      </c>
      <c r="H960" s="24">
        <f ca="1">IFERROR(__xludf.DUMMYFUNCTION("""COMPUTED_VALUE"""),22.5)</f>
        <v>22.5</v>
      </c>
      <c r="I960" s="24">
        <v>21</v>
      </c>
      <c r="J960" s="10">
        <v>72.651600000000016</v>
      </c>
      <c r="K960" s="11" t="s">
        <v>4</v>
      </c>
      <c r="L960" s="24">
        <v>1672.5</v>
      </c>
      <c r="M960" s="26">
        <v>2.57</v>
      </c>
      <c r="N960" s="9" t="s">
        <v>39</v>
      </c>
      <c r="O960" s="9" t="s">
        <v>30</v>
      </c>
      <c r="P960" s="27" t="e">
        <f t="shared" ca="1" si="7"/>
        <v>#NAME?</v>
      </c>
      <c r="Q960" s="28" t="e">
        <f ca="1"/>
        <v>#NAME?</v>
      </c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2.75">
      <c r="A961" s="9" t="s">
        <v>256</v>
      </c>
      <c r="B961" s="29" t="s">
        <v>431</v>
      </c>
      <c r="C961" s="24">
        <v>30</v>
      </c>
      <c r="D961" s="24">
        <v>175</v>
      </c>
      <c r="E961" s="24">
        <v>89</v>
      </c>
      <c r="F961" s="9" t="str">
        <v>29.1 (Obese)</v>
      </c>
      <c r="G961" s="9" t="str">
        <f t="shared" si="6"/>
        <v>Obese</v>
      </c>
      <c r="H961" s="24">
        <f ca="1">IFERROR(__xludf.DUMMYFUNCTION("""COMPUTED_VALUE"""),29.1)</f>
        <v>29.1</v>
      </c>
      <c r="I961" s="24">
        <v>21</v>
      </c>
      <c r="J961" s="10">
        <v>64.3125</v>
      </c>
      <c r="K961" s="11" t="s">
        <v>42</v>
      </c>
      <c r="L961" s="24">
        <v>1838.75</v>
      </c>
      <c r="M961" s="26">
        <v>2.94</v>
      </c>
      <c r="N961" s="9" t="s">
        <v>34</v>
      </c>
      <c r="O961" s="9" t="s">
        <v>19</v>
      </c>
      <c r="P961" s="27" t="e">
        <f t="shared" ca="1" si="7"/>
        <v>#NAME?</v>
      </c>
      <c r="Q961" s="28" t="e">
        <f ca="1"/>
        <v>#NAME?</v>
      </c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2.75">
      <c r="A962" s="9" t="s">
        <v>326</v>
      </c>
      <c r="B962" s="29" t="s">
        <v>431</v>
      </c>
      <c r="C962" s="24">
        <v>29</v>
      </c>
      <c r="D962" s="24">
        <v>177</v>
      </c>
      <c r="E962" s="24">
        <v>77</v>
      </c>
      <c r="F962" s="9" t="str">
        <v>24.6 (Normal)</v>
      </c>
      <c r="G962" s="9" t="str">
        <f t="shared" si="6"/>
        <v>Normal</v>
      </c>
      <c r="H962" s="24">
        <f ca="1">IFERROR(__xludf.DUMMYFUNCTION("""COMPUTED_VALUE"""),24.6)</f>
        <v>24.6</v>
      </c>
      <c r="I962" s="24">
        <v>21</v>
      </c>
      <c r="J962" s="10">
        <v>65.790900000000008</v>
      </c>
      <c r="K962" s="11" t="s">
        <v>42</v>
      </c>
      <c r="L962" s="24">
        <v>1736.25</v>
      </c>
      <c r="M962" s="26">
        <v>2.54</v>
      </c>
      <c r="N962" s="9" t="s">
        <v>39</v>
      </c>
      <c r="O962" s="9" t="s">
        <v>63</v>
      </c>
      <c r="P962" s="27" t="e">
        <f t="shared" ca="1" si="7"/>
        <v>#NAME?</v>
      </c>
      <c r="Q962" s="28" t="e">
        <f ca="1"/>
        <v>#NAME?</v>
      </c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2.75">
      <c r="A963" s="9" t="s">
        <v>407</v>
      </c>
      <c r="B963" s="29" t="s">
        <v>431</v>
      </c>
      <c r="C963" s="24">
        <v>56</v>
      </c>
      <c r="D963" s="24">
        <v>158</v>
      </c>
      <c r="E963" s="24">
        <v>70</v>
      </c>
      <c r="F963" s="9" t="str">
        <v>28.0 (Obese)</v>
      </c>
      <c r="G963" s="9" t="str">
        <f t="shared" si="6"/>
        <v>Obese</v>
      </c>
      <c r="H963" s="24">
        <f ca="1">IFERROR(__xludf.DUMMYFUNCTION("""COMPUTED_VALUE"""),28)</f>
        <v>28</v>
      </c>
      <c r="I963" s="24">
        <v>21</v>
      </c>
      <c r="J963" s="10">
        <v>52.424400000000006</v>
      </c>
      <c r="K963" s="11" t="s">
        <v>28</v>
      </c>
      <c r="L963" s="24">
        <v>1412.5</v>
      </c>
      <c r="M963" s="26">
        <v>2.31</v>
      </c>
      <c r="N963" s="9" t="s">
        <v>16</v>
      </c>
      <c r="O963" s="9" t="s">
        <v>30</v>
      </c>
      <c r="P963" s="27" t="e">
        <f t="shared" ca="1" si="7"/>
        <v>#NAME?</v>
      </c>
      <c r="Q963" s="28" t="e">
        <f ca="1"/>
        <v>#NAME?</v>
      </c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2.75">
      <c r="A964" s="9" t="s">
        <v>327</v>
      </c>
      <c r="B964" s="29" t="s">
        <v>431</v>
      </c>
      <c r="C964" s="24">
        <v>37</v>
      </c>
      <c r="D964" s="24">
        <v>169</v>
      </c>
      <c r="E964" s="24">
        <v>102</v>
      </c>
      <c r="F964" s="9" t="str">
        <v>35.7 (Obese)</v>
      </c>
      <c r="G964" s="9" t="str">
        <f t="shared" si="6"/>
        <v>Obese</v>
      </c>
      <c r="H964" s="24">
        <f ca="1">IFERROR(__xludf.DUMMYFUNCTION("""COMPUTED_VALUE"""),35.7)</f>
        <v>35.700000000000003</v>
      </c>
      <c r="I964" s="24">
        <v>21</v>
      </c>
      <c r="J964" s="10">
        <v>59.978099999999991</v>
      </c>
      <c r="K964" s="11" t="s">
        <v>18</v>
      </c>
      <c r="L964" s="24">
        <v>1896.25</v>
      </c>
      <c r="M964" s="26">
        <v>3.37</v>
      </c>
      <c r="N964" s="9" t="s">
        <v>26</v>
      </c>
      <c r="O964" s="9" t="s">
        <v>30</v>
      </c>
      <c r="P964" s="27" t="e">
        <f t="shared" ca="1" si="7"/>
        <v>#NAME?</v>
      </c>
      <c r="Q964" s="28" t="e">
        <f ca="1"/>
        <v>#NAME?</v>
      </c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2.75">
      <c r="A965" s="9" t="s">
        <v>111</v>
      </c>
      <c r="B965" s="29" t="s">
        <v>431</v>
      </c>
      <c r="C965" s="24">
        <v>49</v>
      </c>
      <c r="D965" s="24">
        <v>179</v>
      </c>
      <c r="E965" s="24">
        <v>97</v>
      </c>
      <c r="F965" s="9" t="str">
        <v>30.3 (Obese)</v>
      </c>
      <c r="G965" s="9" t="str">
        <f t="shared" si="6"/>
        <v>Obese</v>
      </c>
      <c r="H965" s="24">
        <f ca="1">IFERROR(__xludf.DUMMYFUNCTION("""COMPUTED_VALUE"""),30.3)</f>
        <v>30.3</v>
      </c>
      <c r="I965" s="24">
        <v>21</v>
      </c>
      <c r="J965" s="10">
        <v>67.286100000000005</v>
      </c>
      <c r="K965" s="11" t="s">
        <v>18</v>
      </c>
      <c r="L965" s="24">
        <v>1848.75</v>
      </c>
      <c r="M965" s="26">
        <v>3.2</v>
      </c>
      <c r="N965" s="9" t="s">
        <v>26</v>
      </c>
      <c r="O965" s="9" t="s">
        <v>63</v>
      </c>
      <c r="P965" s="27" t="e">
        <f t="shared" ca="1" si="7"/>
        <v>#NAME?</v>
      </c>
      <c r="Q965" s="28" t="e">
        <f ca="1"/>
        <v>#NAME?</v>
      </c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2.75">
      <c r="A966" s="9" t="s">
        <v>150</v>
      </c>
      <c r="B966" s="29" t="s">
        <v>431</v>
      </c>
      <c r="C966" s="24">
        <v>29</v>
      </c>
      <c r="D966" s="24">
        <v>185</v>
      </c>
      <c r="E966" s="24">
        <v>84</v>
      </c>
      <c r="F966" s="9" t="str">
        <v>24.5 (Normal)</v>
      </c>
      <c r="G966" s="9" t="str">
        <f t="shared" si="6"/>
        <v>Normal</v>
      </c>
      <c r="H966" s="24">
        <f ca="1">IFERROR(__xludf.DUMMYFUNCTION("""COMPUTED_VALUE"""),24.5)</f>
        <v>24.5</v>
      </c>
      <c r="I966" s="24">
        <v>21</v>
      </c>
      <c r="J966" s="10">
        <v>71.872500000000002</v>
      </c>
      <c r="K966" s="11" t="s">
        <v>18</v>
      </c>
      <c r="L966" s="24">
        <v>1856.25</v>
      </c>
      <c r="M966" s="26">
        <v>2.77</v>
      </c>
      <c r="N966" s="9" t="s">
        <v>39</v>
      </c>
      <c r="O966" s="9" t="s">
        <v>37</v>
      </c>
      <c r="P966" s="27" t="e">
        <f t="shared" ca="1" si="7"/>
        <v>#NAME?</v>
      </c>
      <c r="Q966" s="28" t="e">
        <f ca="1"/>
        <v>#NAME?</v>
      </c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2.75">
      <c r="A967" s="9" t="s">
        <v>349</v>
      </c>
      <c r="B967" s="29" t="s">
        <v>431</v>
      </c>
      <c r="C967" s="24">
        <v>21</v>
      </c>
      <c r="D967" s="24">
        <v>181</v>
      </c>
      <c r="E967" s="24">
        <v>63</v>
      </c>
      <c r="F967" s="9" t="str">
        <v>19.2 (Normal)</v>
      </c>
      <c r="G967" s="9" t="str">
        <f t="shared" si="6"/>
        <v>Normal</v>
      </c>
      <c r="H967" s="24">
        <f ca="1">IFERROR(__xludf.DUMMYFUNCTION("""COMPUTED_VALUE"""),19.2)</f>
        <v>19.2</v>
      </c>
      <c r="I967" s="24">
        <v>21</v>
      </c>
      <c r="J967" s="10">
        <v>68.798100000000005</v>
      </c>
      <c r="K967" s="11" t="s">
        <v>28</v>
      </c>
      <c r="L967" s="24">
        <v>1661.25</v>
      </c>
      <c r="M967" s="26">
        <v>2.08</v>
      </c>
      <c r="N967" s="9" t="s">
        <v>16</v>
      </c>
      <c r="O967" s="9" t="s">
        <v>19</v>
      </c>
      <c r="P967" s="27" t="e">
        <f t="shared" ca="1" si="7"/>
        <v>#NAME?</v>
      </c>
      <c r="Q967" s="28" t="e">
        <f ca="1"/>
        <v>#NAME?</v>
      </c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2.75">
      <c r="A968" s="9" t="s">
        <v>219</v>
      </c>
      <c r="B968" s="29" t="s">
        <v>431</v>
      </c>
      <c r="C968" s="24">
        <v>58</v>
      </c>
      <c r="D968" s="24">
        <v>179</v>
      </c>
      <c r="E968" s="24">
        <v>91</v>
      </c>
      <c r="F968" s="9" t="str">
        <v>28.4 (Obese)</v>
      </c>
      <c r="G968" s="9" t="str">
        <f t="shared" si="6"/>
        <v>Obese</v>
      </c>
      <c r="H968" s="24">
        <f ca="1">IFERROR(__xludf.DUMMYFUNCTION("""COMPUTED_VALUE"""),28.4)</f>
        <v>28.4</v>
      </c>
      <c r="I968" s="24">
        <v>21</v>
      </c>
      <c r="J968" s="10">
        <v>67.286100000000005</v>
      </c>
      <c r="K968" s="11" t="s">
        <v>4</v>
      </c>
      <c r="L968" s="24">
        <v>1743.75</v>
      </c>
      <c r="M968" s="26">
        <v>3</v>
      </c>
      <c r="N968" s="9" t="s">
        <v>34</v>
      </c>
      <c r="O968" s="9" t="s">
        <v>37</v>
      </c>
      <c r="P968" s="27" t="e">
        <f t="shared" ca="1" si="7"/>
        <v>#NAME?</v>
      </c>
      <c r="Q968" s="28" t="e">
        <f ca="1"/>
        <v>#NAME?</v>
      </c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2.75">
      <c r="A969" s="9" t="s">
        <v>239</v>
      </c>
      <c r="B969" s="29" t="s">
        <v>431</v>
      </c>
      <c r="C969" s="24">
        <v>28</v>
      </c>
      <c r="D969" s="24">
        <v>167</v>
      </c>
      <c r="E969" s="24">
        <v>60</v>
      </c>
      <c r="F969" s="9" t="str">
        <v>21.5 (Normal)</v>
      </c>
      <c r="G969" s="9" t="str">
        <f t="shared" si="6"/>
        <v>Normal</v>
      </c>
      <c r="H969" s="24">
        <f ca="1">IFERROR(__xludf.DUMMYFUNCTION("""COMPUTED_VALUE"""),21.5)</f>
        <v>21.5</v>
      </c>
      <c r="I969" s="24">
        <v>21</v>
      </c>
      <c r="J969" s="10">
        <v>58.566899999999997</v>
      </c>
      <c r="K969" s="11" t="s">
        <v>18</v>
      </c>
      <c r="L969" s="24">
        <v>1508.75</v>
      </c>
      <c r="M969" s="26">
        <v>1.98</v>
      </c>
      <c r="N969" s="9" t="s">
        <v>39</v>
      </c>
      <c r="O969" s="9" t="s">
        <v>37</v>
      </c>
      <c r="P969" s="27" t="e">
        <f t="shared" ca="1" si="7"/>
        <v>#NAME?</v>
      </c>
      <c r="Q969" s="28" t="e">
        <f ca="1"/>
        <v>#NAME?</v>
      </c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2.75">
      <c r="A970" s="9" t="s">
        <v>159</v>
      </c>
      <c r="B970" s="29" t="s">
        <v>431</v>
      </c>
      <c r="C970" s="24">
        <v>45</v>
      </c>
      <c r="D970" s="24">
        <v>177</v>
      </c>
      <c r="E970" s="24">
        <v>83</v>
      </c>
      <c r="F970" s="9" t="str">
        <v>26.5 (Overweight)</v>
      </c>
      <c r="G970" s="9" t="str">
        <f t="shared" si="6"/>
        <v>Overweight</v>
      </c>
      <c r="H970" s="24">
        <f ca="1">IFERROR(__xludf.DUMMYFUNCTION("""COMPUTED_VALUE"""),26.5)</f>
        <v>26.5</v>
      </c>
      <c r="I970" s="24">
        <v>21</v>
      </c>
      <c r="J970" s="10">
        <v>65.790900000000008</v>
      </c>
      <c r="K970" s="11" t="s">
        <v>4</v>
      </c>
      <c r="L970" s="24">
        <v>1716.25</v>
      </c>
      <c r="M970" s="26">
        <v>2.74</v>
      </c>
      <c r="N970" s="9" t="s">
        <v>26</v>
      </c>
      <c r="O970" s="9" t="s">
        <v>63</v>
      </c>
      <c r="P970" s="27" t="e">
        <f t="shared" ca="1" si="7"/>
        <v>#NAME?</v>
      </c>
      <c r="Q970" s="28" t="e">
        <f ca="1"/>
        <v>#NAME?</v>
      </c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2.75">
      <c r="A971" s="9" t="s">
        <v>239</v>
      </c>
      <c r="B971" s="29" t="s">
        <v>431</v>
      </c>
      <c r="C971" s="24">
        <v>32</v>
      </c>
      <c r="D971" s="24">
        <v>188</v>
      </c>
      <c r="E971" s="24">
        <v>51</v>
      </c>
      <c r="F971" s="9" t="str">
        <v>14.4 (Underweight)</v>
      </c>
      <c r="G971" s="9" t="str">
        <f t="shared" si="6"/>
        <v>Underweight</v>
      </c>
      <c r="H971" s="24">
        <f ca="1">IFERROR(__xludf.DUMMYFUNCTION("""COMPUTED_VALUE"""),14.4)</f>
        <v>14.4</v>
      </c>
      <c r="I971" s="24">
        <v>21</v>
      </c>
      <c r="J971" s="10">
        <v>74.222399999999993</v>
      </c>
      <c r="K971" s="11" t="s">
        <v>4</v>
      </c>
      <c r="L971" s="24">
        <v>1530</v>
      </c>
      <c r="M971" s="26">
        <v>1.68</v>
      </c>
      <c r="N971" s="9" t="s">
        <v>34</v>
      </c>
      <c r="O971" s="9" t="s">
        <v>7</v>
      </c>
      <c r="P971" s="27" t="e">
        <f t="shared" ca="1" si="7"/>
        <v>#NAME?</v>
      </c>
      <c r="Q971" s="28" t="e">
        <f ca="1"/>
        <v>#NAME?</v>
      </c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2.75">
      <c r="A972" s="9" t="s">
        <v>158</v>
      </c>
      <c r="B972" s="29" t="s">
        <v>431</v>
      </c>
      <c r="C972" s="24">
        <v>57</v>
      </c>
      <c r="D972" s="24">
        <v>155</v>
      </c>
      <c r="E972" s="24">
        <v>61</v>
      </c>
      <c r="F972" s="9" t="str">
        <v>25.4 (Overweight)</v>
      </c>
      <c r="G972" s="9" t="str">
        <f t="shared" si="6"/>
        <v>Overweight</v>
      </c>
      <c r="H972" s="24">
        <f ca="1">IFERROR(__xludf.DUMMYFUNCTION("""COMPUTED_VALUE"""),25.4)</f>
        <v>25.4</v>
      </c>
      <c r="I972" s="24">
        <v>21</v>
      </c>
      <c r="J972" s="10">
        <v>50.452500000000008</v>
      </c>
      <c r="K972" s="11" t="s">
        <v>42</v>
      </c>
      <c r="L972" s="24">
        <v>1298.75</v>
      </c>
      <c r="M972" s="26">
        <v>2.0099999999999998</v>
      </c>
      <c r="N972" s="9" t="s">
        <v>26</v>
      </c>
      <c r="O972" s="9" t="s">
        <v>37</v>
      </c>
      <c r="P972" s="27" t="e">
        <f t="shared" ca="1" si="7"/>
        <v>#NAME?</v>
      </c>
      <c r="Q972" s="28" t="e">
        <f ca="1"/>
        <v>#NAME?</v>
      </c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2.75">
      <c r="A973" s="9" t="s">
        <v>408</v>
      </c>
      <c r="B973" s="29" t="s">
        <v>431</v>
      </c>
      <c r="C973" s="24">
        <v>47</v>
      </c>
      <c r="D973" s="24">
        <v>169</v>
      </c>
      <c r="E973" s="24">
        <v>50</v>
      </c>
      <c r="F973" s="9" t="str">
        <v>17.5 (Underweight)</v>
      </c>
      <c r="G973" s="9" t="str">
        <f t="shared" si="6"/>
        <v>Underweight</v>
      </c>
      <c r="H973" s="24">
        <f ca="1">IFERROR(__xludf.DUMMYFUNCTION("""COMPUTED_VALUE"""),17.5)</f>
        <v>17.5</v>
      </c>
      <c r="I973" s="24">
        <v>21</v>
      </c>
      <c r="J973" s="10">
        <v>59.978099999999991</v>
      </c>
      <c r="K973" s="11" t="s">
        <v>18</v>
      </c>
      <c r="L973" s="24">
        <v>1326.25</v>
      </c>
      <c r="M973" s="26">
        <v>1.65</v>
      </c>
      <c r="N973" s="9" t="s">
        <v>34</v>
      </c>
      <c r="O973" s="9" t="s">
        <v>7</v>
      </c>
      <c r="P973" s="27" t="e">
        <f t="shared" ca="1" si="7"/>
        <v>#NAME?</v>
      </c>
      <c r="Q973" s="28" t="e">
        <f ca="1"/>
        <v>#NAME?</v>
      </c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2.75">
      <c r="A974" s="9" t="s">
        <v>367</v>
      </c>
      <c r="B974" s="29" t="s">
        <v>431</v>
      </c>
      <c r="C974" s="24">
        <v>45</v>
      </c>
      <c r="D974" s="24">
        <v>180</v>
      </c>
      <c r="E974" s="24">
        <v>108</v>
      </c>
      <c r="F974" s="9" t="str">
        <v>33.3 (Obese)</v>
      </c>
      <c r="G974" s="9" t="str">
        <f t="shared" si="6"/>
        <v>Obese</v>
      </c>
      <c r="H974" s="24">
        <f ca="1">IFERROR(__xludf.DUMMYFUNCTION("""COMPUTED_VALUE"""),33.3)</f>
        <v>33.299999999999997</v>
      </c>
      <c r="I974" s="24">
        <v>21</v>
      </c>
      <c r="J974" s="10">
        <v>68.040000000000006</v>
      </c>
      <c r="K974" s="11" t="s">
        <v>42</v>
      </c>
      <c r="L974" s="24">
        <v>1985</v>
      </c>
      <c r="M974" s="26">
        <v>3.56</v>
      </c>
      <c r="N974" s="9" t="s">
        <v>34</v>
      </c>
      <c r="O974" s="9" t="s">
        <v>63</v>
      </c>
      <c r="P974" s="27" t="e">
        <f t="shared" ca="1" si="7"/>
        <v>#NAME?</v>
      </c>
      <c r="Q974" s="28" t="e">
        <f ca="1"/>
        <v>#NAME?</v>
      </c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2.75">
      <c r="A975" s="9" t="s">
        <v>197</v>
      </c>
      <c r="B975" s="29" t="s">
        <v>431</v>
      </c>
      <c r="C975" s="24">
        <v>29</v>
      </c>
      <c r="D975" s="24">
        <v>187</v>
      </c>
      <c r="E975" s="24">
        <v>96</v>
      </c>
      <c r="F975" s="9" t="str">
        <v>27.5 (Overweight)</v>
      </c>
      <c r="G975" s="9" t="str">
        <f t="shared" si="6"/>
        <v>Overweight</v>
      </c>
      <c r="H975" s="24">
        <f ca="1">IFERROR(__xludf.DUMMYFUNCTION("""COMPUTED_VALUE"""),27.5)</f>
        <v>27.5</v>
      </c>
      <c r="I975" s="24">
        <v>21</v>
      </c>
      <c r="J975" s="10">
        <v>73.434900000000013</v>
      </c>
      <c r="K975" s="11" t="s">
        <v>18</v>
      </c>
      <c r="L975" s="24">
        <v>1988.75</v>
      </c>
      <c r="M975" s="26">
        <v>3.17</v>
      </c>
      <c r="N975" s="9" t="s">
        <v>34</v>
      </c>
      <c r="O975" s="9" t="s">
        <v>7</v>
      </c>
      <c r="P975" s="27" t="e">
        <f t="shared" ca="1" si="7"/>
        <v>#NAME?</v>
      </c>
      <c r="Q975" s="28" t="e">
        <f ca="1"/>
        <v>#NAME?</v>
      </c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2.75">
      <c r="A976" s="9" t="s">
        <v>100</v>
      </c>
      <c r="B976" s="29" t="s">
        <v>431</v>
      </c>
      <c r="C976" s="24">
        <v>59</v>
      </c>
      <c r="D976" s="24">
        <v>184</v>
      </c>
      <c r="E976" s="24">
        <v>56</v>
      </c>
      <c r="F976" s="9" t="str">
        <v>16.5 (Underweight)</v>
      </c>
      <c r="G976" s="9" t="str">
        <f t="shared" si="6"/>
        <v>Underweight</v>
      </c>
      <c r="H976" s="24">
        <f ca="1">IFERROR(__xludf.DUMMYFUNCTION("""COMPUTED_VALUE"""),16.5)</f>
        <v>16.5</v>
      </c>
      <c r="I976" s="24">
        <v>21</v>
      </c>
      <c r="J976" s="10">
        <v>71.0976</v>
      </c>
      <c r="K976" s="11" t="s">
        <v>18</v>
      </c>
      <c r="L976" s="24">
        <v>1420</v>
      </c>
      <c r="M976" s="26">
        <v>1.85</v>
      </c>
      <c r="N976" s="9" t="s">
        <v>39</v>
      </c>
      <c r="O976" s="9" t="s">
        <v>37</v>
      </c>
      <c r="P976" s="27" t="e">
        <f t="shared" ca="1" si="7"/>
        <v>#NAME?</v>
      </c>
      <c r="Q976" s="28" t="e">
        <f ca="1"/>
        <v>#NAME?</v>
      </c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2.75">
      <c r="A977" s="9" t="s">
        <v>167</v>
      </c>
      <c r="B977" s="29" t="s">
        <v>431</v>
      </c>
      <c r="C977" s="24">
        <v>35</v>
      </c>
      <c r="D977" s="24">
        <v>163</v>
      </c>
      <c r="E977" s="24">
        <v>93</v>
      </c>
      <c r="F977" s="9" t="str">
        <v>35.0 (Obese)</v>
      </c>
      <c r="G977" s="9" t="str">
        <f t="shared" si="6"/>
        <v>Obese</v>
      </c>
      <c r="H977" s="24">
        <f ca="1">IFERROR(__xludf.DUMMYFUNCTION("""COMPUTED_VALUE"""),35)</f>
        <v>35</v>
      </c>
      <c r="I977" s="24">
        <v>21</v>
      </c>
      <c r="J977" s="10">
        <v>55.794899999999998</v>
      </c>
      <c r="K977" s="11" t="s">
        <v>4</v>
      </c>
      <c r="L977" s="24">
        <v>1778.75</v>
      </c>
      <c r="M977" s="26">
        <v>3.07</v>
      </c>
      <c r="N977" s="9" t="s">
        <v>39</v>
      </c>
      <c r="O977" s="9" t="s">
        <v>30</v>
      </c>
      <c r="P977" s="27" t="e">
        <f t="shared" ca="1" si="7"/>
        <v>#NAME?</v>
      </c>
      <c r="Q977" s="28" t="e">
        <f ca="1"/>
        <v>#NAME?</v>
      </c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2.75">
      <c r="A978" s="9" t="s">
        <v>257</v>
      </c>
      <c r="B978" s="29" t="s">
        <v>431</v>
      </c>
      <c r="C978" s="24">
        <v>38</v>
      </c>
      <c r="D978" s="24">
        <v>184</v>
      </c>
      <c r="E978" s="24">
        <v>60</v>
      </c>
      <c r="F978" s="9" t="str">
        <v>17.7 (Underweight)</v>
      </c>
      <c r="G978" s="9" t="str">
        <f t="shared" si="6"/>
        <v>Underweight</v>
      </c>
      <c r="H978" s="24">
        <f ca="1">IFERROR(__xludf.DUMMYFUNCTION("""COMPUTED_VALUE"""),17.7)</f>
        <v>17.7</v>
      </c>
      <c r="I978" s="24">
        <v>21</v>
      </c>
      <c r="J978" s="10">
        <v>71.0976</v>
      </c>
      <c r="K978" s="11" t="s">
        <v>4</v>
      </c>
      <c r="L978" s="24">
        <v>1565</v>
      </c>
      <c r="M978" s="26">
        <v>1.98</v>
      </c>
      <c r="N978" s="9" t="s">
        <v>16</v>
      </c>
      <c r="O978" s="9" t="s">
        <v>30</v>
      </c>
      <c r="P978" s="27" t="e">
        <f t="shared" ca="1" si="7"/>
        <v>#NAME?</v>
      </c>
      <c r="Q978" s="28" t="e">
        <f ca="1"/>
        <v>#NAME?</v>
      </c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2.75">
      <c r="A979" s="9" t="s">
        <v>41</v>
      </c>
      <c r="B979" s="29" t="s">
        <v>431</v>
      </c>
      <c r="C979" s="24">
        <v>54</v>
      </c>
      <c r="D979" s="24">
        <v>189</v>
      </c>
      <c r="E979" s="24">
        <v>90</v>
      </c>
      <c r="F979" s="9" t="str">
        <v>25.2 (Overweight)</v>
      </c>
      <c r="G979" s="9" t="str">
        <f t="shared" si="6"/>
        <v>Overweight</v>
      </c>
      <c r="H979" s="24">
        <f ca="1">IFERROR(__xludf.DUMMYFUNCTION("""COMPUTED_VALUE"""),25.2)</f>
        <v>25.2</v>
      </c>
      <c r="I979" s="24">
        <v>21</v>
      </c>
      <c r="J979" s="10">
        <v>75.014099999999999</v>
      </c>
      <c r="K979" s="11" t="s">
        <v>18</v>
      </c>
      <c r="L979" s="24">
        <v>1816.25</v>
      </c>
      <c r="M979" s="26">
        <v>2.97</v>
      </c>
      <c r="N979" s="9" t="s">
        <v>26</v>
      </c>
      <c r="O979" s="9" t="s">
        <v>30</v>
      </c>
      <c r="P979" s="27" t="e">
        <f t="shared" ca="1" si="7"/>
        <v>#NAME?</v>
      </c>
      <c r="Q979" s="28" t="e">
        <f ca="1"/>
        <v>#NAME?</v>
      </c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2.75">
      <c r="A980" s="9" t="s">
        <v>70</v>
      </c>
      <c r="B980" s="29" t="s">
        <v>431</v>
      </c>
      <c r="C980" s="24">
        <v>41</v>
      </c>
      <c r="D980" s="24">
        <v>179</v>
      </c>
      <c r="E980" s="24">
        <v>62</v>
      </c>
      <c r="F980" s="9" t="str">
        <v>19.4 (Normal)</v>
      </c>
      <c r="G980" s="9" t="str">
        <f t="shared" si="6"/>
        <v>Normal</v>
      </c>
      <c r="H980" s="24">
        <f ca="1">IFERROR(__xludf.DUMMYFUNCTION("""COMPUTED_VALUE"""),19.4)</f>
        <v>19.399999999999999</v>
      </c>
      <c r="I980" s="24">
        <v>21</v>
      </c>
      <c r="J980" s="10">
        <v>67.286100000000005</v>
      </c>
      <c r="K980" s="11" t="s">
        <v>18</v>
      </c>
      <c r="L980" s="24">
        <v>1538.75</v>
      </c>
      <c r="M980" s="26">
        <v>2.0499999999999998</v>
      </c>
      <c r="N980" s="9" t="s">
        <v>34</v>
      </c>
      <c r="O980" s="9" t="s">
        <v>60</v>
      </c>
      <c r="P980" s="27" t="e">
        <f t="shared" ca="1" si="7"/>
        <v>#NAME?</v>
      </c>
      <c r="Q980" s="28" t="e">
        <f ca="1"/>
        <v>#NAME?</v>
      </c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2.75">
      <c r="A981" s="9" t="s">
        <v>225</v>
      </c>
      <c r="B981" s="29" t="s">
        <v>431</v>
      </c>
      <c r="C981" s="24">
        <v>28</v>
      </c>
      <c r="D981" s="24">
        <v>164</v>
      </c>
      <c r="E981" s="24">
        <v>85</v>
      </c>
      <c r="F981" s="9" t="str">
        <v>31.6 (Obese)</v>
      </c>
      <c r="G981" s="9" t="str">
        <f t="shared" si="6"/>
        <v>Obese</v>
      </c>
      <c r="H981" s="24">
        <f ca="1">IFERROR(__xludf.DUMMYFUNCTION("""COMPUTED_VALUE"""),31.6)</f>
        <v>31.6</v>
      </c>
      <c r="I981" s="24">
        <v>21</v>
      </c>
      <c r="J981" s="10">
        <v>56.481599999999993</v>
      </c>
      <c r="K981" s="11" t="s">
        <v>28</v>
      </c>
      <c r="L981" s="24">
        <v>1740</v>
      </c>
      <c r="M981" s="26">
        <v>2.81</v>
      </c>
      <c r="N981" s="9" t="s">
        <v>34</v>
      </c>
      <c r="O981" s="9" t="s">
        <v>37</v>
      </c>
      <c r="P981" s="27" t="e">
        <f t="shared" ca="1" si="7"/>
        <v>#NAME?</v>
      </c>
      <c r="Q981" s="28" t="e">
        <f ca="1"/>
        <v>#NAME?</v>
      </c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2.75">
      <c r="A982" s="9" t="s">
        <v>235</v>
      </c>
      <c r="B982" s="29" t="s">
        <v>431</v>
      </c>
      <c r="C982" s="24">
        <v>56</v>
      </c>
      <c r="D982" s="24">
        <v>157</v>
      </c>
      <c r="E982" s="24">
        <v>63</v>
      </c>
      <c r="F982" s="9" t="str">
        <v>25.6 (Overweight)</v>
      </c>
      <c r="G982" s="9" t="str">
        <f t="shared" si="6"/>
        <v>Overweight</v>
      </c>
      <c r="H982" s="24">
        <f ca="1">IFERROR(__xludf.DUMMYFUNCTION("""COMPUTED_VALUE"""),25.6)</f>
        <v>25.6</v>
      </c>
      <c r="I982" s="24">
        <v>21</v>
      </c>
      <c r="J982" s="10">
        <v>51.762900000000002</v>
      </c>
      <c r="K982" s="11" t="s">
        <v>42</v>
      </c>
      <c r="L982" s="24">
        <v>1336.25</v>
      </c>
      <c r="M982" s="26">
        <v>2.08</v>
      </c>
      <c r="N982" s="9" t="s">
        <v>16</v>
      </c>
      <c r="O982" s="9" t="s">
        <v>7</v>
      </c>
      <c r="P982" s="27" t="e">
        <f t="shared" ca="1" si="7"/>
        <v>#NAME?</v>
      </c>
      <c r="Q982" s="28" t="e">
        <f ca="1"/>
        <v>#NAME?</v>
      </c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2.75">
      <c r="A983" s="9" t="s">
        <v>326</v>
      </c>
      <c r="B983" s="29" t="s">
        <v>431</v>
      </c>
      <c r="C983" s="24">
        <v>43</v>
      </c>
      <c r="D983" s="24">
        <v>182</v>
      </c>
      <c r="E983" s="24">
        <v>107</v>
      </c>
      <c r="F983" s="9" t="str">
        <v>32.3 (Obese)</v>
      </c>
      <c r="G983" s="9" t="str">
        <f t="shared" si="6"/>
        <v>Obese</v>
      </c>
      <c r="H983" s="24">
        <f ca="1">IFERROR(__xludf.DUMMYFUNCTION("""COMPUTED_VALUE"""),32.3)</f>
        <v>32.299999999999997</v>
      </c>
      <c r="I983" s="24">
        <v>21</v>
      </c>
      <c r="J983" s="10">
        <v>69.560400000000001</v>
      </c>
      <c r="K983" s="11" t="s">
        <v>4</v>
      </c>
      <c r="L983" s="24">
        <v>1997.5</v>
      </c>
      <c r="M983" s="26">
        <v>3.53</v>
      </c>
      <c r="N983" s="9" t="s">
        <v>26</v>
      </c>
      <c r="O983" s="9" t="s">
        <v>37</v>
      </c>
      <c r="P983" s="27" t="e">
        <f t="shared" ca="1" si="7"/>
        <v>#NAME?</v>
      </c>
      <c r="Q983" s="28" t="e">
        <f ca="1"/>
        <v>#NAME?</v>
      </c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2.75">
      <c r="A984" s="9" t="s">
        <v>409</v>
      </c>
      <c r="B984" s="29" t="s">
        <v>431</v>
      </c>
      <c r="C984" s="24">
        <v>55</v>
      </c>
      <c r="D984" s="24">
        <v>185</v>
      </c>
      <c r="E984" s="24">
        <v>83</v>
      </c>
      <c r="F984" s="9" t="str">
        <v>24.3 (Normal)</v>
      </c>
      <c r="G984" s="9" t="str">
        <f t="shared" si="6"/>
        <v>Normal</v>
      </c>
      <c r="H984" s="24">
        <f ca="1">IFERROR(__xludf.DUMMYFUNCTION("""COMPUTED_VALUE"""),24.3)</f>
        <v>24.3</v>
      </c>
      <c r="I984" s="24">
        <v>21</v>
      </c>
      <c r="J984" s="10">
        <v>71.872500000000002</v>
      </c>
      <c r="K984" s="11" t="s">
        <v>42</v>
      </c>
      <c r="L984" s="24">
        <v>1716.25</v>
      </c>
      <c r="M984" s="26">
        <v>2.74</v>
      </c>
      <c r="N984" s="9" t="s">
        <v>34</v>
      </c>
      <c r="O984" s="9" t="s">
        <v>19</v>
      </c>
      <c r="P984" s="27" t="e">
        <f t="shared" ca="1" si="7"/>
        <v>#NAME?</v>
      </c>
      <c r="Q984" s="28" t="e">
        <f ca="1"/>
        <v>#NAME?</v>
      </c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2.75">
      <c r="A985" s="9" t="s">
        <v>106</v>
      </c>
      <c r="B985" s="29" t="s">
        <v>431</v>
      </c>
      <c r="C985" s="24">
        <v>27</v>
      </c>
      <c r="D985" s="24">
        <v>161</v>
      </c>
      <c r="E985" s="24">
        <v>104</v>
      </c>
      <c r="F985" s="9" t="str">
        <v>40.1 (Obese)</v>
      </c>
      <c r="G985" s="9" t="str">
        <f t="shared" si="6"/>
        <v>Obese</v>
      </c>
      <c r="H985" s="24">
        <f ca="1">IFERROR(__xludf.DUMMYFUNCTION("""COMPUTED_VALUE"""),40.1)</f>
        <v>40.1</v>
      </c>
      <c r="I985" s="24">
        <v>21</v>
      </c>
      <c r="J985" s="10">
        <v>54.434100000000008</v>
      </c>
      <c r="K985" s="11" t="s">
        <v>28</v>
      </c>
      <c r="L985" s="24">
        <v>1916.25</v>
      </c>
      <c r="M985" s="26">
        <v>3.43</v>
      </c>
      <c r="N985" s="9" t="s">
        <v>26</v>
      </c>
      <c r="O985" s="9" t="s">
        <v>19</v>
      </c>
      <c r="P985" s="27" t="e">
        <f t="shared" ca="1" si="7"/>
        <v>#NAME?</v>
      </c>
      <c r="Q985" s="28" t="e">
        <f ca="1"/>
        <v>#NAME?</v>
      </c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2.75">
      <c r="A986" s="9" t="s">
        <v>237</v>
      </c>
      <c r="B986" s="29" t="s">
        <v>431</v>
      </c>
      <c r="C986" s="24">
        <v>46</v>
      </c>
      <c r="D986" s="24">
        <v>160</v>
      </c>
      <c r="E986" s="24">
        <v>84</v>
      </c>
      <c r="F986" s="9" t="str">
        <v>32.8 (Obese)</v>
      </c>
      <c r="G986" s="9" t="str">
        <f t="shared" si="6"/>
        <v>Obese</v>
      </c>
      <c r="H986" s="24">
        <f ca="1">IFERROR(__xludf.DUMMYFUNCTION("""COMPUTED_VALUE"""),32.8)</f>
        <v>32.799999999999997</v>
      </c>
      <c r="I986" s="24">
        <v>21</v>
      </c>
      <c r="J986" s="10">
        <v>53.760000000000012</v>
      </c>
      <c r="K986" s="11" t="s">
        <v>42</v>
      </c>
      <c r="L986" s="24">
        <v>1615</v>
      </c>
      <c r="M986" s="26">
        <v>2.77</v>
      </c>
      <c r="N986" s="9" t="s">
        <v>34</v>
      </c>
      <c r="O986" s="9" t="s">
        <v>63</v>
      </c>
      <c r="P986" s="27" t="e">
        <f t="shared" ca="1" si="7"/>
        <v>#NAME?</v>
      </c>
      <c r="Q986" s="28" t="e">
        <f ca="1"/>
        <v>#NAME?</v>
      </c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2.75">
      <c r="A987" s="9" t="s">
        <v>163</v>
      </c>
      <c r="B987" s="29" t="s">
        <v>431</v>
      </c>
      <c r="C987" s="24">
        <v>47</v>
      </c>
      <c r="D987" s="24">
        <v>187</v>
      </c>
      <c r="E987" s="24">
        <v>52</v>
      </c>
      <c r="F987" s="9" t="str">
        <v>14.9 (Underweight)</v>
      </c>
      <c r="G987" s="9" t="str">
        <f t="shared" si="6"/>
        <v>Underweight</v>
      </c>
      <c r="H987" s="24">
        <f ca="1">IFERROR(__xludf.DUMMYFUNCTION("""COMPUTED_VALUE"""),14.9)</f>
        <v>14.9</v>
      </c>
      <c r="I987" s="24">
        <v>21</v>
      </c>
      <c r="J987" s="10">
        <v>73.434900000000013</v>
      </c>
      <c r="K987" s="11" t="s">
        <v>4</v>
      </c>
      <c r="L987" s="24">
        <v>1458.75</v>
      </c>
      <c r="M987" s="26">
        <v>1.72</v>
      </c>
      <c r="N987" s="9" t="s">
        <v>39</v>
      </c>
      <c r="O987" s="9" t="s">
        <v>7</v>
      </c>
      <c r="P987" s="27" t="e">
        <f t="shared" ca="1" si="7"/>
        <v>#NAME?</v>
      </c>
      <c r="Q987" s="28" t="e">
        <f ca="1"/>
        <v>#NAME?</v>
      </c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2.75">
      <c r="A988" s="9" t="s">
        <v>410</v>
      </c>
      <c r="B988" s="29" t="s">
        <v>431</v>
      </c>
      <c r="C988" s="24">
        <v>52</v>
      </c>
      <c r="D988" s="24">
        <v>161</v>
      </c>
      <c r="E988" s="24">
        <v>74</v>
      </c>
      <c r="F988" s="9" t="str">
        <v>28.5 (Obese)</v>
      </c>
      <c r="G988" s="9" t="str">
        <f t="shared" si="6"/>
        <v>Obese</v>
      </c>
      <c r="H988" s="24">
        <f ca="1">IFERROR(__xludf.DUMMYFUNCTION("""COMPUTED_VALUE"""),28.5)</f>
        <v>28.5</v>
      </c>
      <c r="I988" s="24">
        <v>21</v>
      </c>
      <c r="J988" s="10">
        <v>54.434100000000008</v>
      </c>
      <c r="K988" s="11" t="s">
        <v>42</v>
      </c>
      <c r="L988" s="24">
        <v>1491.25</v>
      </c>
      <c r="M988" s="26">
        <v>2.44</v>
      </c>
      <c r="N988" s="9" t="s">
        <v>34</v>
      </c>
      <c r="O988" s="9" t="s">
        <v>37</v>
      </c>
      <c r="P988" s="27" t="e">
        <f t="shared" ca="1" si="7"/>
        <v>#NAME?</v>
      </c>
      <c r="Q988" s="28" t="e">
        <f ca="1"/>
        <v>#NAME?</v>
      </c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2.75">
      <c r="A989" s="9" t="s">
        <v>411</v>
      </c>
      <c r="B989" s="29" t="s">
        <v>431</v>
      </c>
      <c r="C989" s="24">
        <v>31</v>
      </c>
      <c r="D989" s="24">
        <v>189</v>
      </c>
      <c r="E989" s="24">
        <v>58</v>
      </c>
      <c r="F989" s="9" t="str">
        <v>16.2 (Underweight)</v>
      </c>
      <c r="G989" s="9" t="str">
        <f t="shared" si="6"/>
        <v>Underweight</v>
      </c>
      <c r="H989" s="24">
        <f ca="1">IFERROR(__xludf.DUMMYFUNCTION("""COMPUTED_VALUE"""),16.2)</f>
        <v>16.2</v>
      </c>
      <c r="I989" s="24">
        <v>21</v>
      </c>
      <c r="J989" s="10">
        <v>75.014099999999999</v>
      </c>
      <c r="K989" s="11" t="s">
        <v>18</v>
      </c>
      <c r="L989" s="24">
        <v>1611.25</v>
      </c>
      <c r="M989" s="26">
        <v>1.91</v>
      </c>
      <c r="N989" s="9" t="s">
        <v>34</v>
      </c>
      <c r="O989" s="9" t="s">
        <v>37</v>
      </c>
      <c r="P989" s="27" t="e">
        <f t="shared" ca="1" si="7"/>
        <v>#NAME?</v>
      </c>
      <c r="Q989" s="28" t="e">
        <f ca="1"/>
        <v>#NAME?</v>
      </c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2.75">
      <c r="A990" s="9" t="s">
        <v>252</v>
      </c>
      <c r="B990" s="29" t="s">
        <v>431</v>
      </c>
      <c r="C990" s="24">
        <v>48</v>
      </c>
      <c r="D990" s="24">
        <v>165</v>
      </c>
      <c r="E990" s="24">
        <v>62</v>
      </c>
      <c r="F990" s="9" t="str">
        <v>22.8 (Normal)</v>
      </c>
      <c r="G990" s="9" t="str">
        <f t="shared" si="6"/>
        <v>Normal</v>
      </c>
      <c r="H990" s="24">
        <f ca="1">IFERROR(__xludf.DUMMYFUNCTION("""COMPUTED_VALUE"""),22.8)</f>
        <v>22.8</v>
      </c>
      <c r="I990" s="24">
        <v>21</v>
      </c>
      <c r="J990" s="10">
        <v>57.172499999999992</v>
      </c>
      <c r="K990" s="11" t="s">
        <v>42</v>
      </c>
      <c r="L990" s="24">
        <v>1416.25</v>
      </c>
      <c r="M990" s="26">
        <v>2.0499999999999998</v>
      </c>
      <c r="N990" s="9" t="s">
        <v>26</v>
      </c>
      <c r="O990" s="9" t="s">
        <v>7</v>
      </c>
      <c r="P990" s="27" t="e">
        <f t="shared" ca="1" si="7"/>
        <v>#NAME?</v>
      </c>
      <c r="Q990" s="28" t="e">
        <f ca="1"/>
        <v>#NAME?</v>
      </c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2.75">
      <c r="A991" s="9" t="s">
        <v>115</v>
      </c>
      <c r="B991" s="29" t="s">
        <v>431</v>
      </c>
      <c r="C991" s="24">
        <v>43</v>
      </c>
      <c r="D991" s="24">
        <v>178</v>
      </c>
      <c r="E991" s="24">
        <v>100</v>
      </c>
      <c r="F991" s="9" t="str">
        <v>31.6 (Obese)</v>
      </c>
      <c r="G991" s="9" t="str">
        <f t="shared" si="6"/>
        <v>Obese</v>
      </c>
      <c r="H991" s="24">
        <f ca="1">IFERROR(__xludf.DUMMYFUNCTION("""COMPUTED_VALUE"""),31.6)</f>
        <v>31.6</v>
      </c>
      <c r="I991" s="24">
        <v>21</v>
      </c>
      <c r="J991" s="10">
        <v>66.5364</v>
      </c>
      <c r="K991" s="11" t="s">
        <v>18</v>
      </c>
      <c r="L991" s="24">
        <v>1902.5</v>
      </c>
      <c r="M991" s="26">
        <v>3.3</v>
      </c>
      <c r="N991" s="9" t="s">
        <v>39</v>
      </c>
      <c r="O991" s="9" t="s">
        <v>60</v>
      </c>
      <c r="P991" s="27" t="e">
        <f t="shared" ca="1" si="7"/>
        <v>#NAME?</v>
      </c>
      <c r="Q991" s="28" t="e">
        <f ca="1"/>
        <v>#NAME?</v>
      </c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2.75">
      <c r="A992" s="9" t="s">
        <v>294</v>
      </c>
      <c r="B992" s="29" t="s">
        <v>431</v>
      </c>
      <c r="C992" s="24">
        <v>35</v>
      </c>
      <c r="D992" s="24">
        <v>186</v>
      </c>
      <c r="E992" s="24">
        <v>102</v>
      </c>
      <c r="F992" s="9" t="str">
        <v>29.5 (Obese)</v>
      </c>
      <c r="G992" s="9" t="str">
        <f t="shared" si="6"/>
        <v>Obese</v>
      </c>
      <c r="H992" s="24">
        <f ca="1">IFERROR(__xludf.DUMMYFUNCTION("""COMPUTED_VALUE"""),29.5)</f>
        <v>29.5</v>
      </c>
      <c r="I992" s="24">
        <v>21</v>
      </c>
      <c r="J992" s="10">
        <v>72.651600000000016</v>
      </c>
      <c r="K992" s="11" t="s">
        <v>4</v>
      </c>
      <c r="L992" s="24">
        <v>2012.5</v>
      </c>
      <c r="M992" s="26">
        <v>3.37</v>
      </c>
      <c r="N992" s="9" t="s">
        <v>16</v>
      </c>
      <c r="O992" s="9" t="s">
        <v>63</v>
      </c>
      <c r="P992" s="27" t="e">
        <f t="shared" ca="1" si="7"/>
        <v>#NAME?</v>
      </c>
      <c r="Q992" s="28" t="e">
        <f ca="1"/>
        <v>#NAME?</v>
      </c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2.75">
      <c r="A993" s="9" t="s">
        <v>107</v>
      </c>
      <c r="B993" s="29" t="s">
        <v>431</v>
      </c>
      <c r="C993" s="24">
        <v>41</v>
      </c>
      <c r="D993" s="24">
        <v>171</v>
      </c>
      <c r="E993" s="24">
        <v>60</v>
      </c>
      <c r="F993" s="9" t="str">
        <v>20.5 (Normal)</v>
      </c>
      <c r="G993" s="9" t="str">
        <f t="shared" si="6"/>
        <v>Normal</v>
      </c>
      <c r="H993" s="24">
        <f ca="1">IFERROR(__xludf.DUMMYFUNCTION("""COMPUTED_VALUE"""),20.5)</f>
        <v>20.5</v>
      </c>
      <c r="I993" s="24">
        <v>21</v>
      </c>
      <c r="J993" s="10">
        <v>61.406099999999995</v>
      </c>
      <c r="K993" s="11" t="s">
        <v>42</v>
      </c>
      <c r="L993" s="24">
        <v>1468.75</v>
      </c>
      <c r="M993" s="26">
        <v>1.98</v>
      </c>
      <c r="N993" s="9" t="s">
        <v>34</v>
      </c>
      <c r="O993" s="9" t="s">
        <v>37</v>
      </c>
      <c r="P993" s="27" t="e">
        <f t="shared" ca="1" si="7"/>
        <v>#NAME?</v>
      </c>
      <c r="Q993" s="28" t="e">
        <f ca="1"/>
        <v>#NAME?</v>
      </c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2.75">
      <c r="A994" s="9" t="s">
        <v>258</v>
      </c>
      <c r="B994" s="29" t="s">
        <v>431</v>
      </c>
      <c r="C994" s="24">
        <v>41</v>
      </c>
      <c r="D994" s="24">
        <v>157</v>
      </c>
      <c r="E994" s="24">
        <v>64</v>
      </c>
      <c r="F994" s="9" t="str">
        <v>26.0 (Overweight)</v>
      </c>
      <c r="G994" s="9" t="str">
        <f t="shared" si="6"/>
        <v>Overweight</v>
      </c>
      <c r="H994" s="24">
        <f ca="1">IFERROR(__xludf.DUMMYFUNCTION("""COMPUTED_VALUE"""),26)</f>
        <v>26</v>
      </c>
      <c r="I994" s="24">
        <v>21</v>
      </c>
      <c r="J994" s="10">
        <v>51.762900000000002</v>
      </c>
      <c r="K994" s="11" t="s">
        <v>18</v>
      </c>
      <c r="L994" s="24">
        <v>1421.25</v>
      </c>
      <c r="M994" s="26">
        <v>2.11</v>
      </c>
      <c r="N994" s="9" t="s">
        <v>39</v>
      </c>
      <c r="O994" s="9" t="s">
        <v>63</v>
      </c>
      <c r="P994" s="27" t="e">
        <f t="shared" ca="1" si="7"/>
        <v>#NAME?</v>
      </c>
      <c r="Q994" s="28" t="e">
        <f ca="1"/>
        <v>#NAME?</v>
      </c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2.75">
      <c r="A995" s="9" t="s">
        <v>59</v>
      </c>
      <c r="B995" s="29" t="s">
        <v>431</v>
      </c>
      <c r="C995" s="24">
        <v>45</v>
      </c>
      <c r="D995" s="24">
        <v>165</v>
      </c>
      <c r="E995" s="24">
        <v>52</v>
      </c>
      <c r="F995" s="9" t="str">
        <v>19.1 (Normal)</v>
      </c>
      <c r="G995" s="9" t="str">
        <f t="shared" si="6"/>
        <v>Normal</v>
      </c>
      <c r="H995" s="24">
        <f ca="1">IFERROR(__xludf.DUMMYFUNCTION("""COMPUTED_VALUE"""),19.1)</f>
        <v>19.100000000000001</v>
      </c>
      <c r="I995" s="24">
        <v>21</v>
      </c>
      <c r="J995" s="10">
        <v>57.172499999999992</v>
      </c>
      <c r="K995" s="11" t="s">
        <v>42</v>
      </c>
      <c r="L995" s="24">
        <v>1331.25</v>
      </c>
      <c r="M995" s="26">
        <v>1.72</v>
      </c>
      <c r="N995" s="9" t="s">
        <v>39</v>
      </c>
      <c r="O995" s="9" t="s">
        <v>30</v>
      </c>
      <c r="P995" s="27" t="e">
        <f t="shared" ca="1" si="7"/>
        <v>#NAME?</v>
      </c>
      <c r="Q995" s="28" t="e">
        <f ca="1"/>
        <v>#NAME?</v>
      </c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2.75">
      <c r="A996" s="9" t="s">
        <v>273</v>
      </c>
      <c r="B996" s="29" t="s">
        <v>431</v>
      </c>
      <c r="C996" s="24">
        <v>51</v>
      </c>
      <c r="D996" s="24">
        <v>188</v>
      </c>
      <c r="E996" s="24">
        <v>67</v>
      </c>
      <c r="F996" s="9" t="str">
        <v>19.0 (Normal)</v>
      </c>
      <c r="G996" s="9" t="str">
        <f t="shared" si="6"/>
        <v>Normal</v>
      </c>
      <c r="H996" s="24">
        <f ca="1">IFERROR(__xludf.DUMMYFUNCTION("""COMPUTED_VALUE"""),19)</f>
        <v>19</v>
      </c>
      <c r="I996" s="24">
        <v>21</v>
      </c>
      <c r="J996" s="10">
        <v>74.222399999999993</v>
      </c>
      <c r="K996" s="11" t="s">
        <v>18</v>
      </c>
      <c r="L996" s="24">
        <v>1595</v>
      </c>
      <c r="M996" s="26">
        <v>2.21</v>
      </c>
      <c r="N996" s="9" t="s">
        <v>39</v>
      </c>
      <c r="O996" s="9" t="s">
        <v>7</v>
      </c>
      <c r="P996" s="27" t="e">
        <f t="shared" ca="1" si="7"/>
        <v>#NAME?</v>
      </c>
      <c r="Q996" s="28" t="e">
        <f ca="1"/>
        <v>#NAME?</v>
      </c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2.75">
      <c r="A997" s="9" t="s">
        <v>105</v>
      </c>
      <c r="B997" s="29" t="s">
        <v>431</v>
      </c>
      <c r="C997" s="24">
        <v>31</v>
      </c>
      <c r="D997" s="24">
        <v>163</v>
      </c>
      <c r="E997" s="24">
        <v>81</v>
      </c>
      <c r="F997" s="9" t="str">
        <v>30.5 (Obese)</v>
      </c>
      <c r="G997" s="9" t="str">
        <f t="shared" si="6"/>
        <v>Obese</v>
      </c>
      <c r="H997" s="24">
        <f ca="1">IFERROR(__xludf.DUMMYFUNCTION("""COMPUTED_VALUE"""),30.5)</f>
        <v>30.5</v>
      </c>
      <c r="I997" s="24">
        <v>21</v>
      </c>
      <c r="J997" s="10">
        <v>55.794899999999998</v>
      </c>
      <c r="K997" s="11" t="s">
        <v>4</v>
      </c>
      <c r="L997" s="24">
        <v>1678.75</v>
      </c>
      <c r="M997" s="26">
        <v>2.67</v>
      </c>
      <c r="N997" s="9" t="s">
        <v>34</v>
      </c>
      <c r="O997" s="9" t="s">
        <v>60</v>
      </c>
      <c r="P997" s="27" t="e">
        <f t="shared" ca="1" si="7"/>
        <v>#NAME?</v>
      </c>
      <c r="Q997" s="28" t="e">
        <f ca="1"/>
        <v>#NAME?</v>
      </c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2.75">
      <c r="A998" s="9" t="s">
        <v>195</v>
      </c>
      <c r="B998" s="29" t="s">
        <v>431</v>
      </c>
      <c r="C998" s="24">
        <v>26</v>
      </c>
      <c r="D998" s="24">
        <v>175</v>
      </c>
      <c r="E998" s="24">
        <v>94</v>
      </c>
      <c r="F998" s="9" t="str">
        <v>30.7 (Obese)</v>
      </c>
      <c r="G998" s="9" t="str">
        <f t="shared" si="6"/>
        <v>Obese</v>
      </c>
      <c r="H998" s="24">
        <f ca="1">IFERROR(__xludf.DUMMYFUNCTION("""COMPUTED_VALUE"""),30.7)</f>
        <v>30.7</v>
      </c>
      <c r="I998" s="24">
        <v>21</v>
      </c>
      <c r="J998" s="10">
        <v>64.3125</v>
      </c>
      <c r="K998" s="11" t="s">
        <v>28</v>
      </c>
      <c r="L998" s="24">
        <v>1908.75</v>
      </c>
      <c r="M998" s="26">
        <v>3.1</v>
      </c>
      <c r="N998" s="9" t="s">
        <v>26</v>
      </c>
      <c r="O998" s="9" t="s">
        <v>7</v>
      </c>
      <c r="P998" s="27" t="e">
        <f t="shared" ca="1" si="7"/>
        <v>#NAME?</v>
      </c>
      <c r="Q998" s="28" t="e">
        <f ca="1"/>
        <v>#NAME?</v>
      </c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2.75">
      <c r="A999" s="9" t="s">
        <v>170</v>
      </c>
      <c r="B999" s="29" t="s">
        <v>431</v>
      </c>
      <c r="C999" s="24">
        <v>29</v>
      </c>
      <c r="D999" s="24">
        <v>176</v>
      </c>
      <c r="E999" s="24">
        <v>107</v>
      </c>
      <c r="F999" s="9" t="str">
        <v>34.5 (Obese)</v>
      </c>
      <c r="G999" s="9" t="str">
        <f t="shared" si="6"/>
        <v>Obese</v>
      </c>
      <c r="H999" s="24">
        <f ca="1">IFERROR(__xludf.DUMMYFUNCTION("""COMPUTED_VALUE"""),34.5)</f>
        <v>34.5</v>
      </c>
      <c r="I999" s="24">
        <v>21</v>
      </c>
      <c r="J999" s="10">
        <v>65.049599999999998</v>
      </c>
      <c r="K999" s="11" t="s">
        <v>4</v>
      </c>
      <c r="L999" s="24">
        <v>2030</v>
      </c>
      <c r="M999" s="26">
        <v>3.53</v>
      </c>
      <c r="N999" s="9" t="s">
        <v>26</v>
      </c>
      <c r="O999" s="9" t="s">
        <v>30</v>
      </c>
      <c r="P999" s="27" t="e">
        <f t="shared" ca="1" si="7"/>
        <v>#NAME?</v>
      </c>
      <c r="Q999" s="28" t="e">
        <f ca="1"/>
        <v>#NAME?</v>
      </c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12.75">
      <c r="A1000" s="9" t="s">
        <v>217</v>
      </c>
      <c r="B1000" s="29" t="s">
        <v>431</v>
      </c>
      <c r="C1000" s="24">
        <v>30</v>
      </c>
      <c r="D1000" s="24">
        <v>188</v>
      </c>
      <c r="E1000" s="24">
        <v>58</v>
      </c>
      <c r="F1000" s="9" t="str">
        <v>16.4 (Underweight)</v>
      </c>
      <c r="G1000" s="9" t="str">
        <f t="shared" si="6"/>
        <v>Underweight</v>
      </c>
      <c r="H1000" s="24">
        <f ca="1">IFERROR(__xludf.DUMMYFUNCTION("""COMPUTED_VALUE"""),16.4)</f>
        <v>16.399999999999999</v>
      </c>
      <c r="I1000" s="24">
        <v>21</v>
      </c>
      <c r="J1000" s="10">
        <v>74.222399999999993</v>
      </c>
      <c r="K1000" s="11" t="s">
        <v>18</v>
      </c>
      <c r="L1000" s="24">
        <v>1610</v>
      </c>
      <c r="M1000" s="26">
        <v>1.91</v>
      </c>
      <c r="N1000" s="9" t="s">
        <v>26</v>
      </c>
      <c r="O1000" s="9" t="s">
        <v>30</v>
      </c>
      <c r="P1000" s="27" t="e">
        <f t="shared" ca="1" si="7"/>
        <v>#NAME?</v>
      </c>
      <c r="Q1000" s="28" t="e">
        <f ca="1"/>
        <v>#NAME?</v>
      </c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ht="12.75">
      <c r="A1001" s="9" t="s">
        <v>412</v>
      </c>
      <c r="B1001" s="29" t="s">
        <v>431</v>
      </c>
      <c r="C1001" s="24">
        <v>59</v>
      </c>
      <c r="D1001" s="24">
        <v>185</v>
      </c>
      <c r="E1001" s="24">
        <v>106</v>
      </c>
      <c r="F1001" s="9" t="str">
        <v>31.0 (Obese)</v>
      </c>
      <c r="G1001" s="9" t="str">
        <f t="shared" si="6"/>
        <v>Obese</v>
      </c>
      <c r="H1001" s="24">
        <f ca="1">IFERROR(__xludf.DUMMYFUNCTION("""COMPUTED_VALUE"""),31)</f>
        <v>31</v>
      </c>
      <c r="I1001" s="24">
        <v>21</v>
      </c>
      <c r="J1001" s="10">
        <v>71.872500000000002</v>
      </c>
      <c r="K1001" s="11" t="s">
        <v>4</v>
      </c>
      <c r="L1001" s="24">
        <v>1926.25</v>
      </c>
      <c r="M1001" s="26">
        <v>3.5</v>
      </c>
      <c r="N1001" s="9" t="s">
        <v>39</v>
      </c>
      <c r="O1001" s="9" t="s">
        <v>63</v>
      </c>
      <c r="P1001" s="27" t="e">
        <f t="shared" ca="1" si="7"/>
        <v>#NAME?</v>
      </c>
      <c r="Q1001" s="28" t="e">
        <f ca="1"/>
        <v>#NAME?</v>
      </c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spans="1:28" ht="12.75">
      <c r="A1002" s="9" t="s">
        <v>53</v>
      </c>
      <c r="B1002" s="29" t="s">
        <v>431</v>
      </c>
      <c r="C1002" s="24">
        <v>43</v>
      </c>
      <c r="D1002" s="24">
        <v>160</v>
      </c>
      <c r="E1002" s="24">
        <v>100</v>
      </c>
      <c r="F1002" s="9" t="str">
        <v>39.1 (Obese)</v>
      </c>
      <c r="G1002" s="9" t="str">
        <f t="shared" si="6"/>
        <v>Obese</v>
      </c>
      <c r="H1002" s="24">
        <f ca="1">IFERROR(__xludf.DUMMYFUNCTION("""COMPUTED_VALUE"""),39.1)</f>
        <v>39.1</v>
      </c>
      <c r="I1002" s="24">
        <v>21</v>
      </c>
      <c r="J1002" s="10">
        <v>53.760000000000012</v>
      </c>
      <c r="K1002" s="11" t="s">
        <v>4</v>
      </c>
      <c r="L1002" s="24">
        <v>1790</v>
      </c>
      <c r="M1002" s="26">
        <v>3.3</v>
      </c>
      <c r="N1002" s="9" t="s">
        <v>16</v>
      </c>
      <c r="O1002" s="9" t="s">
        <v>7</v>
      </c>
      <c r="P1002" s="27" t="e">
        <f t="shared" ca="1" si="7"/>
        <v>#NAME?</v>
      </c>
      <c r="Q1002" s="28" t="e">
        <f ca="1"/>
        <v>#NAME?</v>
      </c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spans="1:28" ht="12.75">
      <c r="A1003" s="9" t="s">
        <v>179</v>
      </c>
      <c r="B1003" s="29" t="s">
        <v>431</v>
      </c>
      <c r="C1003" s="24">
        <v>31</v>
      </c>
      <c r="D1003" s="24">
        <v>188</v>
      </c>
      <c r="E1003" s="24">
        <v>70</v>
      </c>
      <c r="F1003" s="9" t="str">
        <v>19.8 (Normal)</v>
      </c>
      <c r="G1003" s="9" t="str">
        <f t="shared" si="6"/>
        <v>Normal</v>
      </c>
      <c r="H1003" s="24">
        <f ca="1">IFERROR(__xludf.DUMMYFUNCTION("""COMPUTED_VALUE"""),19.8)</f>
        <v>19.8</v>
      </c>
      <c r="I1003" s="24">
        <v>21</v>
      </c>
      <c r="J1003" s="10">
        <v>74.222399999999993</v>
      </c>
      <c r="K1003" s="11" t="s">
        <v>42</v>
      </c>
      <c r="L1003" s="24">
        <v>1725</v>
      </c>
      <c r="M1003" s="26">
        <v>2.31</v>
      </c>
      <c r="N1003" s="9" t="s">
        <v>16</v>
      </c>
      <c r="O1003" s="9" t="s">
        <v>7</v>
      </c>
      <c r="P1003" s="27" t="e">
        <f t="shared" ca="1" si="7"/>
        <v>#NAME?</v>
      </c>
      <c r="Q1003" s="28" t="e">
        <f ca="1"/>
        <v>#NAME?</v>
      </c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spans="1:28" ht="12.75">
      <c r="A1004" s="9"/>
      <c r="B1004" s="29"/>
      <c r="C1004" s="9"/>
      <c r="D1004" s="9"/>
      <c r="E1004" s="9"/>
      <c r="F1004" s="9" t="str">
        <v/>
      </c>
      <c r="G1004" s="9"/>
      <c r="H1004" s="9" t="str">
        <f ca="1">IFERROR(__xludf.DUMMYFUNCTION("""COMPUTED_VALUE"""),"")</f>
        <v/>
      </c>
      <c r="I1004" s="9" t="str">
        <v/>
      </c>
      <c r="J1004" s="10" t="str">
        <v/>
      </c>
      <c r="K1004" s="11"/>
      <c r="L1004" s="9" t="str">
        <v/>
      </c>
      <c r="M1004" s="9" t="str">
        <v/>
      </c>
      <c r="N1004" s="9"/>
      <c r="O1004" s="9"/>
      <c r="P1004" s="12"/>
      <c r="Q1004" s="13" t="str">
        <v/>
      </c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spans="1:28" ht="12.75">
      <c r="A1005" s="9"/>
      <c r="B1005" s="29"/>
      <c r="C1005" s="9"/>
      <c r="D1005" s="9"/>
      <c r="E1005" s="9"/>
      <c r="F1005" s="9" t="str">
        <v/>
      </c>
      <c r="G1005" s="9"/>
      <c r="H1005" s="9" t="str">
        <f ca="1">IFERROR(__xludf.DUMMYFUNCTION("""COMPUTED_VALUE"""),"")</f>
        <v/>
      </c>
      <c r="I1005" s="9" t="str">
        <v/>
      </c>
      <c r="J1005" s="10" t="str">
        <v/>
      </c>
      <c r="K1005" s="11"/>
      <c r="L1005" s="9" t="str">
        <v/>
      </c>
      <c r="M1005" s="9" t="str">
        <v/>
      </c>
      <c r="N1005" s="9"/>
      <c r="O1005" s="9"/>
      <c r="P1005" s="12"/>
      <c r="Q1005" s="13" t="str">
        <v/>
      </c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spans="1:28" ht="12.75">
      <c r="A1006" s="9"/>
      <c r="B1006" s="29"/>
      <c r="C1006" s="9"/>
      <c r="D1006" s="9"/>
      <c r="E1006" s="9"/>
      <c r="F1006" s="9" t="str">
        <v/>
      </c>
      <c r="G1006" s="9"/>
      <c r="H1006" s="9" t="str">
        <f ca="1">IFERROR(__xludf.DUMMYFUNCTION("""COMPUTED_VALUE"""),"")</f>
        <v/>
      </c>
      <c r="I1006" s="9" t="str">
        <v/>
      </c>
      <c r="J1006" s="10" t="str">
        <v/>
      </c>
      <c r="K1006" s="11"/>
      <c r="L1006" s="9" t="str">
        <v/>
      </c>
      <c r="M1006" s="9" t="str">
        <v/>
      </c>
      <c r="N1006" s="9"/>
      <c r="O1006" s="9"/>
      <c r="P1006" s="12"/>
      <c r="Q1006" s="13" t="str">
        <v/>
      </c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spans="1:28" ht="12.75">
      <c r="A1007" s="9"/>
      <c r="B1007" s="29"/>
      <c r="C1007" s="9"/>
      <c r="D1007" s="9"/>
      <c r="E1007" s="9"/>
      <c r="F1007" s="9" t="str">
        <v/>
      </c>
      <c r="G1007" s="9"/>
      <c r="H1007" s="9" t="str">
        <f ca="1">IFERROR(__xludf.DUMMYFUNCTION("""COMPUTED_VALUE"""),"")</f>
        <v/>
      </c>
      <c r="I1007" s="9" t="str">
        <v/>
      </c>
      <c r="J1007" s="10" t="str">
        <v/>
      </c>
      <c r="K1007" s="11"/>
      <c r="L1007" s="9" t="str">
        <v/>
      </c>
      <c r="M1007" s="9" t="str">
        <v/>
      </c>
      <c r="N1007" s="9"/>
      <c r="O1007" s="9"/>
      <c r="P1007" s="12"/>
      <c r="Q1007" s="13" t="str">
        <v/>
      </c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spans="1:28" ht="12.75">
      <c r="A1008" s="9"/>
      <c r="B1008" s="29"/>
      <c r="C1008" s="9"/>
      <c r="D1008" s="9"/>
      <c r="E1008" s="9"/>
      <c r="F1008" s="9" t="str">
        <v/>
      </c>
      <c r="G1008" s="9"/>
      <c r="H1008" s="9" t="str">
        <f ca="1">IFERROR(__xludf.DUMMYFUNCTION("""COMPUTED_VALUE"""),"")</f>
        <v/>
      </c>
      <c r="I1008" s="9" t="str">
        <v/>
      </c>
      <c r="J1008" s="10" t="str">
        <v/>
      </c>
      <c r="K1008" s="11"/>
      <c r="L1008" s="9" t="str">
        <v/>
      </c>
      <c r="M1008" s="9" t="str">
        <v/>
      </c>
      <c r="N1008" s="9"/>
      <c r="O1008" s="9"/>
      <c r="P1008" s="12"/>
      <c r="Q1008" s="13" t="str">
        <v/>
      </c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spans="1:28" ht="12.75">
      <c r="A1009" s="9"/>
      <c r="B1009" s="29"/>
      <c r="C1009" s="9"/>
      <c r="D1009" s="9"/>
      <c r="E1009" s="9"/>
      <c r="F1009" s="9" t="str">
        <v/>
      </c>
      <c r="G1009" s="9"/>
      <c r="H1009" s="9" t="str">
        <f ca="1">IFERROR(__xludf.DUMMYFUNCTION("""COMPUTED_VALUE"""),"")</f>
        <v/>
      </c>
      <c r="I1009" s="9" t="str">
        <v/>
      </c>
      <c r="J1009" s="10" t="str">
        <v/>
      </c>
      <c r="K1009" s="11"/>
      <c r="L1009" s="9" t="str">
        <v/>
      </c>
      <c r="M1009" s="9" t="str">
        <v/>
      </c>
      <c r="N1009" s="9"/>
      <c r="O1009" s="9"/>
      <c r="P1009" s="12"/>
      <c r="Q1009" s="13" t="str">
        <v/>
      </c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spans="1:28" ht="12.75">
      <c r="A1010" s="9"/>
      <c r="B1010" s="29"/>
      <c r="C1010" s="9"/>
      <c r="D1010" s="9"/>
      <c r="E1010" s="9"/>
      <c r="F1010" s="9" t="str">
        <v/>
      </c>
      <c r="G1010" s="9"/>
      <c r="H1010" s="9" t="str">
        <f ca="1">IFERROR(__xludf.DUMMYFUNCTION("""COMPUTED_VALUE"""),"")</f>
        <v/>
      </c>
      <c r="I1010" s="9" t="str">
        <v/>
      </c>
      <c r="J1010" s="10" t="str">
        <v/>
      </c>
      <c r="K1010" s="11"/>
      <c r="L1010" s="9" t="str">
        <v/>
      </c>
      <c r="M1010" s="9" t="str">
        <v/>
      </c>
      <c r="N1010" s="9"/>
      <c r="O1010" s="9"/>
      <c r="P1010" s="12"/>
      <c r="Q1010" s="13" t="str">
        <v/>
      </c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spans="1:28" ht="12.75">
      <c r="A1011" s="9"/>
      <c r="B1011" s="9"/>
      <c r="C1011" s="9"/>
      <c r="D1011" s="9"/>
      <c r="E1011" s="9"/>
      <c r="F1011" s="9" t="str">
        <v/>
      </c>
      <c r="G1011" s="9"/>
      <c r="H1011" s="9" t="str">
        <f ca="1">IFERROR(__xludf.DUMMYFUNCTION("""COMPUTED_VALUE"""),"")</f>
        <v/>
      </c>
      <c r="I1011" s="9" t="str">
        <v/>
      </c>
      <c r="J1011" s="10" t="str">
        <v/>
      </c>
      <c r="K1011" s="11"/>
      <c r="L1011" s="9" t="str">
        <v/>
      </c>
      <c r="M1011" s="9" t="str">
        <v/>
      </c>
      <c r="N1011" s="9"/>
      <c r="O1011" s="9"/>
      <c r="P1011" s="12"/>
      <c r="Q1011" s="13" t="str">
        <v/>
      </c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spans="1:28" ht="12.75">
      <c r="A1012" s="9"/>
      <c r="B1012" s="9"/>
      <c r="C1012" s="9"/>
      <c r="D1012" s="9"/>
      <c r="E1012" s="9"/>
      <c r="F1012" s="9" t="str">
        <v/>
      </c>
      <c r="G1012" s="9"/>
      <c r="H1012" s="9" t="str">
        <f ca="1">IFERROR(__xludf.DUMMYFUNCTION("""COMPUTED_VALUE"""),"")</f>
        <v/>
      </c>
      <c r="I1012" s="9" t="str">
        <v/>
      </c>
      <c r="J1012" s="10" t="str">
        <v/>
      </c>
      <c r="K1012" s="11"/>
      <c r="L1012" s="9" t="str">
        <v/>
      </c>
      <c r="M1012" s="9" t="str">
        <v/>
      </c>
      <c r="N1012" s="9"/>
      <c r="O1012" s="9"/>
      <c r="P1012" s="12"/>
      <c r="Q1012" s="13" t="str">
        <v/>
      </c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spans="1:28" ht="12.75">
      <c r="A1013" s="9"/>
      <c r="B1013" s="9"/>
      <c r="C1013" s="9"/>
      <c r="D1013" s="9"/>
      <c r="E1013" s="9"/>
      <c r="F1013" s="9" t="str">
        <v/>
      </c>
      <c r="G1013" s="9"/>
      <c r="H1013" s="9" t="str">
        <f ca="1">IFERROR(__xludf.DUMMYFUNCTION("""COMPUTED_VALUE"""),"")</f>
        <v/>
      </c>
      <c r="I1013" s="9" t="str">
        <v/>
      </c>
      <c r="J1013" s="10" t="str">
        <v/>
      </c>
      <c r="K1013" s="11"/>
      <c r="L1013" s="9" t="str">
        <v/>
      </c>
      <c r="M1013" s="9" t="str">
        <v/>
      </c>
      <c r="N1013" s="9"/>
      <c r="O1013" s="9"/>
      <c r="P1013" s="12"/>
      <c r="Q1013" s="13" t="str">
        <v/>
      </c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spans="1:28" ht="12.75">
      <c r="A1014" s="9"/>
      <c r="B1014" s="9"/>
      <c r="C1014" s="9"/>
      <c r="D1014" s="9"/>
      <c r="E1014" s="9"/>
      <c r="F1014" s="9" t="str">
        <v/>
      </c>
      <c r="G1014" s="9"/>
      <c r="H1014" s="9" t="str">
        <f ca="1">IFERROR(__xludf.DUMMYFUNCTION("""COMPUTED_VALUE"""),"")</f>
        <v/>
      </c>
      <c r="I1014" s="9" t="str">
        <v/>
      </c>
      <c r="J1014" s="10" t="str">
        <v/>
      </c>
      <c r="K1014" s="11"/>
      <c r="L1014" s="9" t="str">
        <v/>
      </c>
      <c r="M1014" s="9" t="str">
        <v/>
      </c>
      <c r="N1014" s="9"/>
      <c r="O1014" s="9"/>
      <c r="P1014" s="12"/>
      <c r="Q1014" s="13" t="str">
        <v/>
      </c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spans="1:28" ht="12.75">
      <c r="A1015" s="9"/>
      <c r="B1015" s="9"/>
      <c r="C1015" s="9"/>
      <c r="D1015" s="9"/>
      <c r="E1015" s="9"/>
      <c r="F1015" s="9" t="str">
        <v/>
      </c>
      <c r="G1015" s="9"/>
      <c r="H1015" s="9" t="str">
        <f ca="1">IFERROR(__xludf.DUMMYFUNCTION("""COMPUTED_VALUE"""),"")</f>
        <v/>
      </c>
      <c r="I1015" s="9" t="str">
        <v/>
      </c>
      <c r="J1015" s="10" t="str">
        <v/>
      </c>
      <c r="K1015" s="11"/>
      <c r="L1015" s="9" t="str">
        <v/>
      </c>
      <c r="M1015" s="9" t="str">
        <v/>
      </c>
      <c r="N1015" s="9"/>
      <c r="O1015" s="9"/>
      <c r="P1015" s="12"/>
      <c r="Q1015" s="13" t="str">
        <v/>
      </c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spans="1:28" ht="12.75">
      <c r="A1016" s="9"/>
      <c r="B1016" s="9"/>
      <c r="C1016" s="9"/>
      <c r="D1016" s="9"/>
      <c r="E1016" s="9"/>
      <c r="F1016" s="9" t="str">
        <v/>
      </c>
      <c r="G1016" s="9"/>
      <c r="H1016" s="9" t="str">
        <f ca="1">IFERROR(__xludf.DUMMYFUNCTION("""COMPUTED_VALUE"""),"")</f>
        <v/>
      </c>
      <c r="I1016" s="9" t="str">
        <v/>
      </c>
      <c r="J1016" s="10" t="str">
        <v/>
      </c>
      <c r="K1016" s="11"/>
      <c r="L1016" s="9" t="str">
        <v/>
      </c>
      <c r="M1016" s="9" t="str">
        <v/>
      </c>
      <c r="N1016" s="9"/>
      <c r="O1016" s="9"/>
      <c r="P1016" s="12"/>
      <c r="Q1016" s="13" t="str">
        <v/>
      </c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spans="1:28" ht="12.75">
      <c r="A1017" s="9"/>
      <c r="B1017" s="9"/>
      <c r="C1017" s="9"/>
      <c r="D1017" s="9"/>
      <c r="E1017" s="9"/>
      <c r="F1017" s="9" t="str">
        <v/>
      </c>
      <c r="G1017" s="9"/>
      <c r="H1017" s="9" t="str">
        <f ca="1">IFERROR(__xludf.DUMMYFUNCTION("""COMPUTED_VALUE"""),"")</f>
        <v/>
      </c>
      <c r="I1017" s="9" t="str">
        <v/>
      </c>
      <c r="J1017" s="10" t="str">
        <v/>
      </c>
      <c r="K1017" s="11"/>
      <c r="L1017" s="9" t="str">
        <v/>
      </c>
      <c r="M1017" s="9" t="str">
        <v/>
      </c>
      <c r="N1017" s="9"/>
      <c r="O1017" s="9"/>
      <c r="P1017" s="12"/>
      <c r="Q1017" s="13" t="str">
        <v/>
      </c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spans="1:28" ht="12.75">
      <c r="A1018" s="9"/>
      <c r="B1018" s="9"/>
      <c r="C1018" s="9"/>
      <c r="D1018" s="9"/>
      <c r="E1018" s="9"/>
      <c r="F1018" s="9" t="str">
        <v/>
      </c>
      <c r="G1018" s="9"/>
      <c r="H1018" s="9" t="str">
        <f ca="1">IFERROR(__xludf.DUMMYFUNCTION("""COMPUTED_VALUE"""),"")</f>
        <v/>
      </c>
      <c r="I1018" s="9" t="str">
        <v/>
      </c>
      <c r="J1018" s="10" t="str">
        <v/>
      </c>
      <c r="K1018" s="11"/>
      <c r="L1018" s="9" t="str">
        <v/>
      </c>
      <c r="M1018" s="9" t="str">
        <v/>
      </c>
      <c r="N1018" s="9"/>
      <c r="O1018" s="9"/>
      <c r="P1018" s="12"/>
      <c r="Q1018" s="13" t="str">
        <v/>
      </c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spans="1:28" ht="12.75">
      <c r="A1019" s="9"/>
      <c r="B1019" s="81"/>
      <c r="C1019" s="9"/>
      <c r="D1019" s="9"/>
      <c r="E1019" s="9"/>
      <c r="F1019" s="9" t="str">
        <v/>
      </c>
      <c r="G1019" s="9"/>
      <c r="H1019" s="9" t="str">
        <f ca="1">IFERROR(__xludf.DUMMYFUNCTION("""COMPUTED_VALUE"""),"")</f>
        <v/>
      </c>
      <c r="I1019" s="9" t="str">
        <v/>
      </c>
      <c r="J1019" s="10" t="str">
        <v/>
      </c>
      <c r="K1019" s="11"/>
      <c r="L1019" s="9" t="str">
        <v/>
      </c>
      <c r="M1019" s="9" t="str">
        <v/>
      </c>
      <c r="N1019" s="9"/>
      <c r="O1019" s="9"/>
      <c r="P1019" s="12"/>
      <c r="Q1019" s="13" t="str">
        <v/>
      </c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spans="1:28" ht="12.75">
      <c r="A1020" s="9"/>
      <c r="B1020" s="81"/>
      <c r="C1020" s="9"/>
      <c r="D1020" s="9"/>
      <c r="E1020" s="9"/>
      <c r="F1020" s="9" t="str">
        <v/>
      </c>
      <c r="G1020" s="9"/>
      <c r="H1020" s="9" t="str">
        <f ca="1">IFERROR(__xludf.DUMMYFUNCTION("""COMPUTED_VALUE"""),"")</f>
        <v/>
      </c>
      <c r="I1020" s="9" t="str">
        <v/>
      </c>
      <c r="J1020" s="10" t="str">
        <v/>
      </c>
      <c r="K1020" s="11"/>
      <c r="L1020" s="9" t="str">
        <v/>
      </c>
      <c r="M1020" s="9" t="str">
        <v/>
      </c>
      <c r="N1020" s="9"/>
      <c r="O1020" s="9"/>
      <c r="P1020" s="12"/>
      <c r="Q1020" s="13" t="str">
        <v/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spans="1:28" ht="12.75">
      <c r="A1021" s="9"/>
      <c r="B1021" s="81"/>
      <c r="C1021" s="9"/>
      <c r="D1021" s="9"/>
      <c r="E1021" s="9"/>
      <c r="F1021" s="9" t="str">
        <v/>
      </c>
      <c r="G1021" s="9"/>
      <c r="H1021" s="9" t="str">
        <f ca="1">IFERROR(__xludf.DUMMYFUNCTION("""COMPUTED_VALUE"""),"")</f>
        <v/>
      </c>
      <c r="I1021" s="9" t="str">
        <v/>
      </c>
      <c r="J1021" s="10" t="str">
        <v/>
      </c>
      <c r="K1021" s="11"/>
      <c r="L1021" s="9" t="str">
        <v/>
      </c>
      <c r="M1021" s="9" t="str">
        <v/>
      </c>
      <c r="N1021" s="9"/>
      <c r="O1021" s="9"/>
      <c r="P1021" s="12"/>
      <c r="Q1021" s="13" t="str">
        <v/>
      </c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spans="1:28" ht="12.75">
      <c r="A1022" s="9"/>
      <c r="B1022" s="81"/>
      <c r="C1022" s="9"/>
      <c r="D1022" s="9"/>
      <c r="E1022" s="9"/>
      <c r="F1022" s="9" t="str">
        <v/>
      </c>
      <c r="G1022" s="9"/>
      <c r="H1022" s="9" t="str">
        <f ca="1">IFERROR(__xludf.DUMMYFUNCTION("""COMPUTED_VALUE"""),"")</f>
        <v/>
      </c>
      <c r="I1022" s="9" t="str">
        <v/>
      </c>
      <c r="J1022" s="10" t="str">
        <v/>
      </c>
      <c r="K1022" s="11"/>
      <c r="L1022" s="9" t="str">
        <v/>
      </c>
      <c r="M1022" s="9" t="str">
        <v/>
      </c>
      <c r="N1022" s="9"/>
      <c r="O1022" s="9"/>
      <c r="P1022" s="12"/>
      <c r="Q1022" s="13" t="str">
        <v/>
      </c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spans="1:28" ht="12.75">
      <c r="A1023" s="9"/>
      <c r="B1023" s="81"/>
      <c r="C1023" s="9"/>
      <c r="D1023" s="9"/>
      <c r="E1023" s="9"/>
      <c r="F1023" s="9" t="str">
        <v/>
      </c>
      <c r="G1023" s="9"/>
      <c r="H1023" s="9" t="str">
        <f ca="1">IFERROR(__xludf.DUMMYFUNCTION("""COMPUTED_VALUE"""),"")</f>
        <v/>
      </c>
      <c r="I1023" s="9" t="str">
        <v/>
      </c>
      <c r="J1023" s="10" t="str">
        <v/>
      </c>
      <c r="K1023" s="11"/>
      <c r="L1023" s="9" t="str">
        <v/>
      </c>
      <c r="M1023" s="9" t="str">
        <v/>
      </c>
      <c r="N1023" s="9"/>
      <c r="O1023" s="9"/>
      <c r="P1023" s="12"/>
      <c r="Q1023" s="13" t="str">
        <v/>
      </c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spans="1:28" ht="12.75">
      <c r="A1024" s="9"/>
      <c r="B1024" s="81"/>
      <c r="C1024" s="9"/>
      <c r="D1024" s="9"/>
      <c r="E1024" s="9"/>
      <c r="F1024" s="9" t="str">
        <v/>
      </c>
      <c r="G1024" s="9"/>
      <c r="H1024" s="9" t="str">
        <f ca="1">IFERROR(__xludf.DUMMYFUNCTION("""COMPUTED_VALUE"""),"")</f>
        <v/>
      </c>
      <c r="I1024" s="9" t="str">
        <v/>
      </c>
      <c r="J1024" s="10" t="str">
        <v/>
      </c>
      <c r="K1024" s="11"/>
      <c r="L1024" s="9" t="str">
        <v/>
      </c>
      <c r="M1024" s="9" t="str">
        <v/>
      </c>
      <c r="N1024" s="9"/>
      <c r="O1024" s="9"/>
      <c r="P1024" s="12"/>
      <c r="Q1024" s="13" t="str">
        <v/>
      </c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spans="1:28" ht="12.75">
      <c r="A1025" s="9"/>
      <c r="B1025" s="81"/>
      <c r="C1025" s="9"/>
      <c r="D1025" s="9"/>
      <c r="E1025" s="9"/>
      <c r="F1025" s="9" t="str">
        <v/>
      </c>
      <c r="G1025" s="9"/>
      <c r="H1025" s="9" t="str">
        <f ca="1">IFERROR(__xludf.DUMMYFUNCTION("""COMPUTED_VALUE"""),"")</f>
        <v/>
      </c>
      <c r="I1025" s="9" t="str">
        <v/>
      </c>
      <c r="J1025" s="10" t="str">
        <v/>
      </c>
      <c r="K1025" s="11"/>
      <c r="L1025" s="9" t="str">
        <v/>
      </c>
      <c r="M1025" s="9" t="str">
        <v/>
      </c>
      <c r="N1025" s="9"/>
      <c r="O1025" s="9"/>
      <c r="P1025" s="12"/>
      <c r="Q1025" s="13" t="str">
        <v/>
      </c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spans="1:28" ht="12.75">
      <c r="A1026" s="9"/>
      <c r="B1026" s="81"/>
      <c r="C1026" s="9"/>
      <c r="D1026" s="9"/>
      <c r="E1026" s="9"/>
      <c r="F1026" s="9" t="str">
        <v/>
      </c>
      <c r="G1026" s="9"/>
      <c r="H1026" s="9" t="str">
        <f ca="1">IFERROR(__xludf.DUMMYFUNCTION("""COMPUTED_VALUE"""),"")</f>
        <v/>
      </c>
      <c r="I1026" s="9" t="str">
        <v/>
      </c>
      <c r="J1026" s="10" t="str">
        <v/>
      </c>
      <c r="K1026" s="11"/>
      <c r="L1026" s="9" t="str">
        <v/>
      </c>
      <c r="M1026" s="9" t="str">
        <v/>
      </c>
      <c r="N1026" s="9"/>
      <c r="O1026" s="9"/>
      <c r="P1026" s="12"/>
      <c r="Q1026" s="13" t="str">
        <v/>
      </c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spans="1:28" ht="12.75">
      <c r="A1027" s="9"/>
      <c r="B1027" s="81"/>
      <c r="C1027" s="9"/>
      <c r="D1027" s="9"/>
      <c r="E1027" s="9"/>
      <c r="F1027" s="9" t="str">
        <v/>
      </c>
      <c r="G1027" s="9"/>
      <c r="H1027" s="9" t="str">
        <f ca="1">IFERROR(__xludf.DUMMYFUNCTION("""COMPUTED_VALUE"""),"")</f>
        <v/>
      </c>
      <c r="I1027" s="9" t="str">
        <v/>
      </c>
      <c r="J1027" s="10" t="str">
        <v/>
      </c>
      <c r="K1027" s="11"/>
      <c r="L1027" s="9" t="str">
        <v/>
      </c>
      <c r="M1027" s="9" t="str">
        <v/>
      </c>
      <c r="N1027" s="9"/>
      <c r="O1027" s="9"/>
      <c r="P1027" s="12"/>
      <c r="Q1027" s="13" t="str">
        <v/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spans="1:28" ht="12.75">
      <c r="A1028" s="9"/>
      <c r="B1028" s="81"/>
      <c r="C1028" s="9"/>
      <c r="D1028" s="9"/>
      <c r="E1028" s="9"/>
      <c r="F1028" s="9" t="str">
        <v/>
      </c>
      <c r="G1028" s="9"/>
      <c r="H1028" s="9" t="str">
        <f ca="1">IFERROR(__xludf.DUMMYFUNCTION("""COMPUTED_VALUE"""),"")</f>
        <v/>
      </c>
      <c r="I1028" s="9" t="str">
        <v/>
      </c>
      <c r="J1028" s="10" t="str">
        <v/>
      </c>
      <c r="K1028" s="11"/>
      <c r="L1028" s="9" t="str">
        <v/>
      </c>
      <c r="M1028" s="9" t="str">
        <v/>
      </c>
      <c r="N1028" s="9"/>
      <c r="O1028" s="9"/>
      <c r="P1028" s="12"/>
      <c r="Q1028" s="13" t="str">
        <v/>
      </c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spans="1:28" ht="12.75">
      <c r="A1029" s="9"/>
      <c r="B1029" s="81"/>
      <c r="C1029" s="9"/>
      <c r="D1029" s="9"/>
      <c r="E1029" s="9"/>
      <c r="F1029" s="9" t="str">
        <v/>
      </c>
      <c r="G1029" s="9"/>
      <c r="H1029" s="9" t="str">
        <f ca="1">IFERROR(__xludf.DUMMYFUNCTION("""COMPUTED_VALUE"""),"")</f>
        <v/>
      </c>
      <c r="I1029" s="9" t="str">
        <v/>
      </c>
      <c r="J1029" s="10" t="str">
        <v/>
      </c>
      <c r="K1029" s="11"/>
      <c r="L1029" s="9" t="str">
        <v/>
      </c>
      <c r="M1029" s="9" t="str">
        <v/>
      </c>
      <c r="N1029" s="9"/>
      <c r="O1029" s="9"/>
      <c r="P1029" s="12"/>
      <c r="Q1029" s="13" t="str">
        <v/>
      </c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spans="1:28" ht="12.75">
      <c r="A1030" s="9"/>
      <c r="B1030" s="81"/>
      <c r="C1030" s="9"/>
      <c r="D1030" s="9"/>
      <c r="E1030" s="9"/>
      <c r="F1030" s="9" t="str">
        <v/>
      </c>
      <c r="G1030" s="9"/>
      <c r="H1030" s="9" t="str">
        <f ca="1">IFERROR(__xludf.DUMMYFUNCTION("""COMPUTED_VALUE"""),"")</f>
        <v/>
      </c>
      <c r="I1030" s="9" t="str">
        <v/>
      </c>
      <c r="J1030" s="10" t="str">
        <v/>
      </c>
      <c r="K1030" s="11"/>
      <c r="L1030" s="9" t="str">
        <v/>
      </c>
      <c r="M1030" s="9" t="str">
        <v/>
      </c>
      <c r="N1030" s="9"/>
      <c r="O1030" s="9"/>
      <c r="P1030" s="12"/>
      <c r="Q1030" s="13" t="str">
        <v/>
      </c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spans="1:28" ht="12.75">
      <c r="A1031" s="9"/>
      <c r="B1031" s="81"/>
      <c r="C1031" s="9"/>
      <c r="D1031" s="9"/>
      <c r="E1031" s="9"/>
      <c r="F1031" s="9" t="str">
        <v/>
      </c>
      <c r="G1031" s="9"/>
      <c r="H1031" s="9" t="str">
        <f ca="1">IFERROR(__xludf.DUMMYFUNCTION("""COMPUTED_VALUE"""),"")</f>
        <v/>
      </c>
      <c r="I1031" s="9" t="str">
        <v/>
      </c>
      <c r="J1031" s="10" t="str">
        <v/>
      </c>
      <c r="K1031" s="11"/>
      <c r="L1031" s="9" t="str">
        <v/>
      </c>
      <c r="M1031" s="9" t="str">
        <v/>
      </c>
      <c r="N1031" s="9"/>
      <c r="O1031" s="9"/>
      <c r="P1031" s="12"/>
      <c r="Q1031" s="13" t="str">
        <v/>
      </c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spans="1:28" ht="12.75">
      <c r="A1032" s="9"/>
      <c r="B1032" s="81"/>
      <c r="C1032" s="9"/>
      <c r="D1032" s="9"/>
      <c r="E1032" s="9"/>
      <c r="F1032" s="9" t="str">
        <v/>
      </c>
      <c r="G1032" s="9"/>
      <c r="H1032" s="9" t="str">
        <f ca="1">IFERROR(__xludf.DUMMYFUNCTION("""COMPUTED_VALUE"""),"")</f>
        <v/>
      </c>
      <c r="I1032" s="9" t="str">
        <v/>
      </c>
      <c r="J1032" s="10" t="str">
        <v/>
      </c>
      <c r="K1032" s="11"/>
      <c r="L1032" s="9" t="str">
        <v/>
      </c>
      <c r="M1032" s="9" t="str">
        <v/>
      </c>
      <c r="N1032" s="9"/>
      <c r="O1032" s="9"/>
      <c r="P1032" s="12"/>
      <c r="Q1032" s="13" t="str">
        <v/>
      </c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spans="1:28" ht="12.75">
      <c r="A1033" s="9"/>
      <c r="B1033" s="81"/>
      <c r="C1033" s="9"/>
      <c r="D1033" s="9"/>
      <c r="E1033" s="9"/>
      <c r="F1033" s="9" t="str">
        <v/>
      </c>
      <c r="G1033" s="9"/>
      <c r="H1033" s="9" t="str">
        <f ca="1">IFERROR(__xludf.DUMMYFUNCTION("""COMPUTED_VALUE"""),"")</f>
        <v/>
      </c>
      <c r="I1033" s="9" t="str">
        <v/>
      </c>
      <c r="J1033" s="10" t="str">
        <v/>
      </c>
      <c r="K1033" s="11"/>
      <c r="L1033" s="9" t="str">
        <v/>
      </c>
      <c r="M1033" s="9" t="str">
        <v/>
      </c>
      <c r="N1033" s="9"/>
      <c r="O1033" s="9"/>
      <c r="P1033" s="12"/>
      <c r="Q1033" s="13" t="str">
        <v/>
      </c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spans="1:28" ht="12.75">
      <c r="A1034" s="9"/>
      <c r="B1034" s="81"/>
      <c r="C1034" s="9"/>
      <c r="D1034" s="9"/>
      <c r="E1034" s="9"/>
      <c r="F1034" s="9" t="str">
        <v/>
      </c>
      <c r="G1034" s="9"/>
      <c r="H1034" s="9" t="str">
        <f ca="1">IFERROR(__xludf.DUMMYFUNCTION("""COMPUTED_VALUE"""),"")</f>
        <v/>
      </c>
      <c r="I1034" s="9" t="str">
        <v/>
      </c>
      <c r="J1034" s="10" t="str">
        <v/>
      </c>
      <c r="K1034" s="11"/>
      <c r="L1034" s="9" t="str">
        <v/>
      </c>
      <c r="M1034" s="9" t="str">
        <v/>
      </c>
      <c r="N1034" s="9"/>
      <c r="O1034" s="9"/>
      <c r="P1034" s="12"/>
      <c r="Q1034" s="13" t="str">
        <v/>
      </c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spans="1:28" ht="12.75">
      <c r="A1035" s="9"/>
      <c r="B1035" s="81"/>
      <c r="C1035" s="9"/>
      <c r="D1035" s="9"/>
      <c r="E1035" s="9"/>
      <c r="F1035" s="9" t="str">
        <v/>
      </c>
      <c r="G1035" s="9"/>
      <c r="H1035" s="9" t="str">
        <f ca="1">IFERROR(__xludf.DUMMYFUNCTION("""COMPUTED_VALUE"""),"")</f>
        <v/>
      </c>
      <c r="I1035" s="9" t="str">
        <v/>
      </c>
      <c r="J1035" s="10" t="str">
        <v/>
      </c>
      <c r="K1035" s="11"/>
      <c r="L1035" s="9" t="str">
        <v/>
      </c>
      <c r="M1035" s="9" t="str">
        <v/>
      </c>
      <c r="N1035" s="9"/>
      <c r="O1035" s="9"/>
      <c r="P1035" s="12"/>
      <c r="Q1035" s="13" t="str">
        <v/>
      </c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spans="1:28" ht="12.75">
      <c r="A1036" s="9"/>
      <c r="B1036" s="81"/>
      <c r="C1036" s="9"/>
      <c r="D1036" s="9"/>
      <c r="E1036" s="9"/>
      <c r="F1036" s="9" t="str">
        <v/>
      </c>
      <c r="G1036" s="9"/>
      <c r="H1036" s="9" t="str">
        <f ca="1">IFERROR(__xludf.DUMMYFUNCTION("""COMPUTED_VALUE"""),"")</f>
        <v/>
      </c>
      <c r="I1036" s="9" t="str">
        <v/>
      </c>
      <c r="J1036" s="10" t="str">
        <v/>
      </c>
      <c r="K1036" s="11"/>
      <c r="L1036" s="9" t="str">
        <v/>
      </c>
      <c r="M1036" s="9" t="str">
        <v/>
      </c>
      <c r="N1036" s="9"/>
      <c r="O1036" s="9"/>
      <c r="P1036" s="12"/>
      <c r="Q1036" s="13" t="str">
        <v/>
      </c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spans="1:28" ht="12.75">
      <c r="A1037" s="9"/>
      <c r="B1037" s="81"/>
      <c r="C1037" s="9"/>
      <c r="D1037" s="9"/>
      <c r="E1037" s="9"/>
      <c r="F1037" s="9" t="str">
        <v/>
      </c>
      <c r="G1037" s="9"/>
      <c r="H1037" s="9" t="str">
        <f ca="1">IFERROR(__xludf.DUMMYFUNCTION("""COMPUTED_VALUE"""),"")</f>
        <v/>
      </c>
      <c r="I1037" s="9" t="str">
        <v/>
      </c>
      <c r="J1037" s="10" t="str">
        <v/>
      </c>
      <c r="K1037" s="11"/>
      <c r="L1037" s="9" t="str">
        <v/>
      </c>
      <c r="M1037" s="9" t="str">
        <v/>
      </c>
      <c r="N1037" s="9"/>
      <c r="O1037" s="9"/>
      <c r="P1037" s="12"/>
      <c r="Q1037" s="13" t="str">
        <v/>
      </c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spans="1:28" ht="12.75">
      <c r="A1038" s="9"/>
      <c r="B1038" s="81"/>
      <c r="C1038" s="9"/>
      <c r="D1038" s="9"/>
      <c r="E1038" s="9"/>
      <c r="F1038" s="9" t="str">
        <v/>
      </c>
      <c r="G1038" s="9"/>
      <c r="H1038" s="9" t="str">
        <f ca="1">IFERROR(__xludf.DUMMYFUNCTION("""COMPUTED_VALUE"""),"")</f>
        <v/>
      </c>
      <c r="I1038" s="9" t="str">
        <v/>
      </c>
      <c r="J1038" s="10" t="str">
        <v/>
      </c>
      <c r="K1038" s="11"/>
      <c r="L1038" s="9" t="str">
        <v/>
      </c>
      <c r="M1038" s="9" t="str">
        <v/>
      </c>
      <c r="N1038" s="9"/>
      <c r="O1038" s="9"/>
      <c r="P1038" s="12"/>
      <c r="Q1038" s="13" t="str">
        <v/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spans="1:28" ht="12.75">
      <c r="A1039" s="9"/>
      <c r="B1039" s="81"/>
      <c r="C1039" s="9"/>
      <c r="D1039" s="9"/>
      <c r="E1039" s="9"/>
      <c r="F1039" s="9" t="str">
        <v/>
      </c>
      <c r="G1039" s="9"/>
      <c r="H1039" s="9" t="str">
        <f ca="1">IFERROR(__xludf.DUMMYFUNCTION("""COMPUTED_VALUE"""),"")</f>
        <v/>
      </c>
      <c r="I1039" s="9" t="str">
        <v/>
      </c>
      <c r="J1039" s="10" t="str">
        <v/>
      </c>
      <c r="K1039" s="11"/>
      <c r="L1039" s="9" t="str">
        <v/>
      </c>
      <c r="M1039" s="9" t="str">
        <v/>
      </c>
      <c r="N1039" s="9"/>
      <c r="O1039" s="9"/>
      <c r="P1039" s="12"/>
      <c r="Q1039" s="13" t="str">
        <v/>
      </c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 spans="1:28" ht="12.75">
      <c r="A1040" s="9"/>
      <c r="B1040" s="81"/>
      <c r="C1040" s="9"/>
      <c r="D1040" s="9"/>
      <c r="E1040" s="9"/>
      <c r="F1040" s="9" t="str">
        <v/>
      </c>
      <c r="G1040" s="9"/>
      <c r="H1040" s="9" t="str">
        <f ca="1">IFERROR(__xludf.DUMMYFUNCTION("""COMPUTED_VALUE"""),"")</f>
        <v/>
      </c>
      <c r="I1040" s="9" t="str">
        <v/>
      </c>
      <c r="J1040" s="10" t="str">
        <v/>
      </c>
      <c r="K1040" s="11"/>
      <c r="L1040" s="9" t="str">
        <v/>
      </c>
      <c r="M1040" s="9" t="str">
        <v/>
      </c>
      <c r="N1040" s="9"/>
      <c r="O1040" s="9"/>
      <c r="P1040" s="12"/>
      <c r="Q1040" s="13" t="str">
        <v/>
      </c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 spans="1:28" ht="12.75">
      <c r="A1041" s="9"/>
      <c r="B1041" s="81"/>
      <c r="C1041" s="9"/>
      <c r="D1041" s="9"/>
      <c r="E1041" s="9"/>
      <c r="F1041" s="9" t="str">
        <v/>
      </c>
      <c r="G1041" s="9"/>
      <c r="H1041" s="9" t="str">
        <f ca="1">IFERROR(__xludf.DUMMYFUNCTION("""COMPUTED_VALUE"""),"")</f>
        <v/>
      </c>
      <c r="I1041" s="9" t="str">
        <v/>
      </c>
      <c r="J1041" s="10" t="str">
        <v/>
      </c>
      <c r="K1041" s="11"/>
      <c r="L1041" s="9" t="str">
        <v/>
      </c>
      <c r="M1041" s="9" t="str">
        <v/>
      </c>
      <c r="N1041" s="9"/>
      <c r="O1041" s="9"/>
      <c r="P1041" s="12"/>
      <c r="Q1041" s="13" t="str">
        <v/>
      </c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 spans="1:28" ht="12.75">
      <c r="A1042" s="9"/>
      <c r="B1042" s="81"/>
      <c r="C1042" s="9"/>
      <c r="D1042" s="9"/>
      <c r="E1042" s="9"/>
      <c r="F1042" s="9" t="str">
        <v/>
      </c>
      <c r="G1042" s="9"/>
      <c r="H1042" s="9" t="str">
        <f ca="1">IFERROR(__xludf.DUMMYFUNCTION("""COMPUTED_VALUE"""),"")</f>
        <v/>
      </c>
      <c r="I1042" s="9" t="str">
        <v/>
      </c>
      <c r="J1042" s="10" t="str">
        <v/>
      </c>
      <c r="K1042" s="11"/>
      <c r="L1042" s="9" t="str">
        <v/>
      </c>
      <c r="M1042" s="9" t="str">
        <v/>
      </c>
      <c r="N1042" s="9"/>
      <c r="O1042" s="9"/>
      <c r="P1042" s="12"/>
      <c r="Q1042" s="13" t="str">
        <v/>
      </c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 spans="1:28" ht="12.75">
      <c r="A1043" s="9"/>
      <c r="B1043" s="81"/>
      <c r="C1043" s="9"/>
      <c r="D1043" s="9"/>
      <c r="E1043" s="9"/>
      <c r="F1043" s="9" t="str">
        <v/>
      </c>
      <c r="G1043" s="9"/>
      <c r="H1043" s="9" t="str">
        <f ca="1">IFERROR(__xludf.DUMMYFUNCTION("""COMPUTED_VALUE"""),"")</f>
        <v/>
      </c>
      <c r="I1043" s="9" t="str">
        <v/>
      </c>
      <c r="J1043" s="10" t="str">
        <v/>
      </c>
      <c r="K1043" s="11"/>
      <c r="L1043" s="9" t="str">
        <v/>
      </c>
      <c r="M1043" s="9" t="str">
        <v/>
      </c>
      <c r="N1043" s="9"/>
      <c r="O1043" s="9"/>
      <c r="P1043" s="12"/>
      <c r="Q1043" s="13" t="str">
        <v/>
      </c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 spans="1:28" ht="12.75">
      <c r="A1044" s="9"/>
      <c r="B1044" s="81"/>
      <c r="C1044" s="9"/>
      <c r="D1044" s="9"/>
      <c r="E1044" s="9"/>
      <c r="F1044" s="9" t="str">
        <v/>
      </c>
      <c r="G1044" s="9"/>
      <c r="H1044" s="9" t="str">
        <f ca="1">IFERROR(__xludf.DUMMYFUNCTION("""COMPUTED_VALUE"""),"")</f>
        <v/>
      </c>
      <c r="I1044" s="9" t="str">
        <v/>
      </c>
      <c r="J1044" s="10" t="str">
        <v/>
      </c>
      <c r="K1044" s="11"/>
      <c r="L1044" s="9" t="str">
        <v/>
      </c>
      <c r="M1044" s="9" t="str">
        <v/>
      </c>
      <c r="N1044" s="9"/>
      <c r="O1044" s="9"/>
      <c r="P1044" s="12"/>
      <c r="Q1044" s="13" t="str">
        <v/>
      </c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 spans="1:28" ht="12.75">
      <c r="A1045" s="9"/>
      <c r="B1045" s="81"/>
      <c r="C1045" s="9"/>
      <c r="D1045" s="9"/>
      <c r="E1045" s="9"/>
      <c r="F1045" s="9" t="str">
        <v/>
      </c>
      <c r="G1045" s="9"/>
      <c r="H1045" s="9" t="str">
        <f ca="1">IFERROR(__xludf.DUMMYFUNCTION("""COMPUTED_VALUE"""),"")</f>
        <v/>
      </c>
      <c r="I1045" s="9" t="str">
        <v/>
      </c>
      <c r="J1045" s="10" t="str">
        <v/>
      </c>
      <c r="K1045" s="11"/>
      <c r="L1045" s="9" t="str">
        <v/>
      </c>
      <c r="M1045" s="9" t="str">
        <v/>
      </c>
      <c r="N1045" s="9"/>
      <c r="O1045" s="9"/>
      <c r="P1045" s="12"/>
      <c r="Q1045" s="13" t="str">
        <v/>
      </c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 spans="1:28" ht="12.75">
      <c r="A1046" s="9"/>
      <c r="B1046" s="81"/>
      <c r="C1046" s="9"/>
      <c r="D1046" s="9"/>
      <c r="E1046" s="9"/>
      <c r="F1046" s="9" t="str">
        <v/>
      </c>
      <c r="G1046" s="9"/>
      <c r="H1046" s="9" t="str">
        <f ca="1">IFERROR(__xludf.DUMMYFUNCTION("""COMPUTED_VALUE"""),"")</f>
        <v/>
      </c>
      <c r="I1046" s="9" t="str">
        <v/>
      </c>
      <c r="J1046" s="10" t="str">
        <v/>
      </c>
      <c r="K1046" s="11"/>
      <c r="L1046" s="9" t="str">
        <v/>
      </c>
      <c r="M1046" s="9" t="str">
        <v/>
      </c>
      <c r="N1046" s="9"/>
      <c r="O1046" s="9"/>
      <c r="P1046" s="12"/>
      <c r="Q1046" s="13" t="str">
        <v/>
      </c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</sheetData>
  <dataValidations count="1">
    <dataValidation type="list" allowBlank="1" showDropDown="1" showErrorMessage="1" sqref="B3" xr:uid="{00000000-0002-0000-0100-000000000000}">
      <formula1>"Male,Female"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H46"/>
  <sheetViews>
    <sheetView workbookViewId="0"/>
  </sheetViews>
  <sheetFormatPr defaultColWidth="12.5703125" defaultRowHeight="15.75" customHeight="1"/>
  <sheetData>
    <row r="1" spans="2:8" ht="12.75">
      <c r="B1" s="96" t="s">
        <v>434</v>
      </c>
      <c r="C1" s="97"/>
      <c r="D1" s="97"/>
      <c r="E1" s="97"/>
      <c r="F1" s="97"/>
      <c r="G1" s="97"/>
    </row>
    <row r="2" spans="2:8" ht="12.75">
      <c r="B2" s="98" t="s">
        <v>435</v>
      </c>
      <c r="C2" s="97"/>
      <c r="D2" s="97"/>
      <c r="E2" s="97"/>
      <c r="F2" s="97"/>
      <c r="G2" s="97"/>
      <c r="H2" s="97"/>
    </row>
    <row r="3" spans="2:8" ht="15.75" customHeight="1">
      <c r="B3" s="97"/>
      <c r="C3" s="97"/>
      <c r="D3" s="97"/>
      <c r="E3" s="97"/>
      <c r="F3" s="97"/>
      <c r="G3" s="97"/>
      <c r="H3" s="97"/>
    </row>
    <row r="4" spans="2:8" ht="15.75" customHeight="1">
      <c r="B4" s="97"/>
      <c r="C4" s="97"/>
      <c r="D4" s="97"/>
      <c r="E4" s="97"/>
      <c r="F4" s="97"/>
      <c r="G4" s="97"/>
      <c r="H4" s="97"/>
    </row>
    <row r="5" spans="2:8" ht="15.75" customHeight="1">
      <c r="B5" s="97"/>
      <c r="C5" s="97"/>
      <c r="D5" s="97"/>
      <c r="E5" s="97"/>
      <c r="F5" s="97"/>
      <c r="G5" s="97"/>
      <c r="H5" s="97"/>
    </row>
    <row r="6" spans="2:8" ht="15.75" customHeight="1">
      <c r="B6" s="97"/>
      <c r="C6" s="97"/>
      <c r="D6" s="97"/>
      <c r="E6" s="97"/>
      <c r="F6" s="97"/>
      <c r="G6" s="97"/>
      <c r="H6" s="97"/>
    </row>
    <row r="7" spans="2:8" ht="15.75" customHeight="1">
      <c r="B7" s="97"/>
      <c r="C7" s="97"/>
      <c r="D7" s="97"/>
      <c r="E7" s="97"/>
      <c r="F7" s="97"/>
      <c r="G7" s="97"/>
      <c r="H7" s="97"/>
    </row>
    <row r="8" spans="2:8" ht="15.75" customHeight="1">
      <c r="B8" s="97"/>
      <c r="C8" s="97"/>
      <c r="D8" s="97"/>
      <c r="E8" s="97"/>
      <c r="F8" s="97"/>
      <c r="G8" s="97"/>
      <c r="H8" s="97"/>
    </row>
    <row r="9" spans="2:8" ht="15.75" customHeight="1">
      <c r="B9" s="97"/>
      <c r="C9" s="97"/>
      <c r="D9" s="97"/>
      <c r="E9" s="97"/>
      <c r="F9" s="97"/>
      <c r="G9" s="97"/>
      <c r="H9" s="97"/>
    </row>
    <row r="10" spans="2:8" ht="15.75" customHeight="1">
      <c r="B10" s="97"/>
      <c r="C10" s="97"/>
      <c r="D10" s="97"/>
      <c r="E10" s="97"/>
      <c r="F10" s="97"/>
      <c r="G10" s="97"/>
      <c r="H10" s="97"/>
    </row>
    <row r="11" spans="2:8" ht="15.75" customHeight="1">
      <c r="B11" s="97"/>
      <c r="C11" s="97"/>
      <c r="D11" s="97"/>
      <c r="E11" s="97"/>
      <c r="F11" s="97"/>
      <c r="G11" s="97"/>
      <c r="H11" s="97"/>
    </row>
    <row r="12" spans="2:8" ht="15.75" customHeight="1">
      <c r="B12" s="97"/>
      <c r="C12" s="97"/>
      <c r="D12" s="97"/>
      <c r="E12" s="97"/>
      <c r="F12" s="97"/>
      <c r="G12" s="97"/>
      <c r="H12" s="97"/>
    </row>
    <row r="13" spans="2:8" ht="15.75" customHeight="1">
      <c r="B13" s="97"/>
      <c r="C13" s="97"/>
      <c r="D13" s="97"/>
      <c r="E13" s="97"/>
      <c r="F13" s="97"/>
      <c r="G13" s="97"/>
      <c r="H13" s="97"/>
    </row>
    <row r="14" spans="2:8" ht="15.75" customHeight="1">
      <c r="B14" s="97"/>
      <c r="C14" s="97"/>
      <c r="D14" s="97"/>
      <c r="E14" s="97"/>
      <c r="F14" s="97"/>
      <c r="G14" s="97"/>
      <c r="H14" s="97"/>
    </row>
    <row r="15" spans="2:8" ht="15.75" customHeight="1">
      <c r="B15" s="97"/>
      <c r="C15" s="97"/>
      <c r="D15" s="97"/>
      <c r="E15" s="97"/>
      <c r="F15" s="97"/>
      <c r="G15" s="97"/>
      <c r="H15" s="97"/>
    </row>
    <row r="16" spans="2:8" ht="15.75" customHeight="1">
      <c r="B16" s="97"/>
      <c r="C16" s="97"/>
      <c r="D16" s="97"/>
      <c r="E16" s="97"/>
      <c r="F16" s="97"/>
      <c r="G16" s="97"/>
      <c r="H16" s="97"/>
    </row>
    <row r="17" spans="2:8" ht="15.75" customHeight="1">
      <c r="B17" s="97"/>
      <c r="C17" s="97"/>
      <c r="D17" s="97"/>
      <c r="E17" s="97"/>
      <c r="F17" s="97"/>
      <c r="G17" s="97"/>
      <c r="H17" s="97"/>
    </row>
    <row r="18" spans="2:8" ht="15.75" customHeight="1">
      <c r="B18" s="97"/>
      <c r="C18" s="97"/>
      <c r="D18" s="97"/>
      <c r="E18" s="97"/>
      <c r="F18" s="97"/>
      <c r="G18" s="97"/>
      <c r="H18" s="97"/>
    </row>
    <row r="19" spans="2:8" ht="15.75" customHeight="1">
      <c r="B19" s="97"/>
      <c r="C19" s="97"/>
      <c r="D19" s="97"/>
      <c r="E19" s="97"/>
      <c r="F19" s="97"/>
      <c r="G19" s="97"/>
      <c r="H19" s="97"/>
    </row>
    <row r="20" spans="2:8" ht="15.75" customHeight="1">
      <c r="B20" s="97"/>
      <c r="C20" s="97"/>
      <c r="D20" s="97"/>
      <c r="E20" s="97"/>
      <c r="F20" s="97"/>
      <c r="G20" s="97"/>
      <c r="H20" s="97"/>
    </row>
    <row r="21" spans="2:8" ht="15.75" customHeight="1">
      <c r="B21" s="97"/>
      <c r="C21" s="97"/>
      <c r="D21" s="97"/>
      <c r="E21" s="97"/>
      <c r="F21" s="97"/>
      <c r="G21" s="97"/>
      <c r="H21" s="97"/>
    </row>
    <row r="22" spans="2:8" ht="15.75" customHeight="1">
      <c r="B22" s="97"/>
      <c r="C22" s="97"/>
      <c r="D22" s="97"/>
      <c r="E22" s="97"/>
      <c r="F22" s="97"/>
      <c r="G22" s="97"/>
      <c r="H22" s="97"/>
    </row>
    <row r="23" spans="2:8" ht="15.75" customHeight="1">
      <c r="B23" s="97"/>
      <c r="C23" s="97"/>
      <c r="D23" s="97"/>
      <c r="E23" s="97"/>
      <c r="F23" s="97"/>
      <c r="G23" s="97"/>
      <c r="H23" s="97"/>
    </row>
    <row r="24" spans="2:8" ht="15.75" customHeight="1">
      <c r="B24" s="97"/>
      <c r="C24" s="97"/>
      <c r="D24" s="97"/>
      <c r="E24" s="97"/>
      <c r="F24" s="97"/>
      <c r="G24" s="97"/>
      <c r="H24" s="97"/>
    </row>
    <row r="25" spans="2:8" ht="15.75" customHeight="1">
      <c r="B25" s="97"/>
      <c r="C25" s="97"/>
      <c r="D25" s="97"/>
      <c r="E25" s="97"/>
      <c r="F25" s="97"/>
      <c r="G25" s="97"/>
      <c r="H25" s="97"/>
    </row>
    <row r="26" spans="2:8" ht="15.75" customHeight="1">
      <c r="B26" s="97"/>
      <c r="C26" s="97"/>
      <c r="D26" s="97"/>
      <c r="E26" s="97"/>
      <c r="F26" s="97"/>
      <c r="G26" s="97"/>
      <c r="H26" s="97"/>
    </row>
    <row r="27" spans="2:8" ht="15.75" customHeight="1">
      <c r="B27" s="97"/>
      <c r="C27" s="97"/>
      <c r="D27" s="97"/>
      <c r="E27" s="97"/>
      <c r="F27" s="97"/>
      <c r="G27" s="97"/>
      <c r="H27" s="97"/>
    </row>
    <row r="28" spans="2:8" ht="15.75" customHeight="1">
      <c r="B28" s="97"/>
      <c r="C28" s="97"/>
      <c r="D28" s="97"/>
      <c r="E28" s="97"/>
      <c r="F28" s="97"/>
      <c r="G28" s="97"/>
      <c r="H28" s="97"/>
    </row>
    <row r="29" spans="2:8" ht="15.75" customHeight="1">
      <c r="B29" s="97"/>
      <c r="C29" s="97"/>
      <c r="D29" s="97"/>
      <c r="E29" s="97"/>
      <c r="F29" s="97"/>
      <c r="G29" s="97"/>
      <c r="H29" s="97"/>
    </row>
    <row r="30" spans="2:8" ht="15.75" customHeight="1">
      <c r="B30" s="97"/>
      <c r="C30" s="97"/>
      <c r="D30" s="97"/>
      <c r="E30" s="97"/>
      <c r="F30" s="97"/>
      <c r="G30" s="97"/>
      <c r="H30" s="97"/>
    </row>
    <row r="31" spans="2:8" ht="15.75" customHeight="1">
      <c r="B31" s="97"/>
      <c r="C31" s="97"/>
      <c r="D31" s="97"/>
      <c r="E31" s="97"/>
      <c r="F31" s="97"/>
      <c r="G31" s="97"/>
      <c r="H31" s="97"/>
    </row>
    <row r="32" spans="2:8" ht="15.75" customHeight="1">
      <c r="B32" s="97"/>
      <c r="C32" s="97"/>
      <c r="D32" s="97"/>
      <c r="E32" s="97"/>
      <c r="F32" s="97"/>
      <c r="G32" s="97"/>
      <c r="H32" s="97"/>
    </row>
    <row r="33" spans="2:8" ht="15.75" customHeight="1">
      <c r="B33" s="97"/>
      <c r="C33" s="97"/>
      <c r="D33" s="97"/>
      <c r="E33" s="97"/>
      <c r="F33" s="97"/>
      <c r="G33" s="97"/>
      <c r="H33" s="97"/>
    </row>
    <row r="34" spans="2:8" ht="15.75" customHeight="1">
      <c r="B34" s="97"/>
      <c r="C34" s="97"/>
      <c r="D34" s="97"/>
      <c r="E34" s="97"/>
      <c r="F34" s="97"/>
      <c r="G34" s="97"/>
      <c r="H34" s="97"/>
    </row>
    <row r="35" spans="2:8" ht="15.75" customHeight="1">
      <c r="B35" s="97"/>
      <c r="C35" s="97"/>
      <c r="D35" s="97"/>
      <c r="E35" s="97"/>
      <c r="F35" s="97"/>
      <c r="G35" s="97"/>
      <c r="H35" s="97"/>
    </row>
    <row r="36" spans="2:8" ht="15.75" customHeight="1">
      <c r="B36" s="97"/>
      <c r="C36" s="97"/>
      <c r="D36" s="97"/>
      <c r="E36" s="97"/>
      <c r="F36" s="97"/>
      <c r="G36" s="97"/>
      <c r="H36" s="97"/>
    </row>
    <row r="37" spans="2:8" ht="15.75" customHeight="1">
      <c r="B37" s="97"/>
      <c r="C37" s="97"/>
      <c r="D37" s="97"/>
      <c r="E37" s="97"/>
      <c r="F37" s="97"/>
      <c r="G37" s="97"/>
      <c r="H37" s="97"/>
    </row>
    <row r="38" spans="2:8" ht="15.75" customHeight="1">
      <c r="B38" s="97"/>
      <c r="C38" s="97"/>
      <c r="D38" s="97"/>
      <c r="E38" s="97"/>
      <c r="F38" s="97"/>
      <c r="G38" s="97"/>
      <c r="H38" s="97"/>
    </row>
    <row r="39" spans="2:8" ht="15.75" customHeight="1">
      <c r="B39" s="97"/>
      <c r="C39" s="97"/>
      <c r="D39" s="97"/>
      <c r="E39" s="97"/>
      <c r="F39" s="97"/>
      <c r="G39" s="97"/>
      <c r="H39" s="97"/>
    </row>
    <row r="40" spans="2:8" ht="15.75" customHeight="1">
      <c r="B40" s="97"/>
      <c r="C40" s="97"/>
      <c r="D40" s="97"/>
      <c r="E40" s="97"/>
      <c r="F40" s="97"/>
      <c r="G40" s="97"/>
      <c r="H40" s="97"/>
    </row>
    <row r="41" spans="2:8" ht="15.75" customHeight="1">
      <c r="B41" s="97"/>
      <c r="C41" s="97"/>
      <c r="D41" s="97"/>
      <c r="E41" s="97"/>
      <c r="F41" s="97"/>
      <c r="G41" s="97"/>
      <c r="H41" s="97"/>
    </row>
    <row r="42" spans="2:8" ht="15.75" customHeight="1">
      <c r="B42" s="97"/>
      <c r="C42" s="97"/>
      <c r="D42" s="97"/>
      <c r="E42" s="97"/>
      <c r="F42" s="97"/>
      <c r="G42" s="97"/>
      <c r="H42" s="97"/>
    </row>
    <row r="43" spans="2:8" ht="15.75" customHeight="1">
      <c r="B43" s="97"/>
      <c r="C43" s="97"/>
      <c r="D43" s="97"/>
      <c r="E43" s="97"/>
      <c r="F43" s="97"/>
      <c r="G43" s="97"/>
      <c r="H43" s="97"/>
    </row>
    <row r="44" spans="2:8" ht="15.75" customHeight="1">
      <c r="B44" s="97"/>
      <c r="C44" s="97"/>
      <c r="D44" s="97"/>
      <c r="E44" s="97"/>
      <c r="F44" s="97"/>
      <c r="G44" s="97"/>
      <c r="H44" s="97"/>
    </row>
    <row r="45" spans="2:8" ht="15.75" customHeight="1">
      <c r="B45" s="97"/>
      <c r="C45" s="97"/>
      <c r="D45" s="97"/>
      <c r="E45" s="97"/>
      <c r="F45" s="97"/>
      <c r="G45" s="97"/>
      <c r="H45" s="97"/>
    </row>
    <row r="46" spans="2:8" ht="15.75" customHeight="1">
      <c r="B46" s="97"/>
      <c r="C46" s="97"/>
      <c r="D46" s="97"/>
      <c r="E46" s="97"/>
      <c r="F46" s="97"/>
      <c r="G46" s="97"/>
      <c r="H46" s="97"/>
    </row>
  </sheetData>
  <mergeCells count="2">
    <mergeCell ref="B1:G1"/>
    <mergeCell ref="B2:H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Q58"/>
  <sheetViews>
    <sheetView workbookViewId="0"/>
  </sheetViews>
  <sheetFormatPr defaultColWidth="12.5703125" defaultRowHeight="15.75" customHeight="1"/>
  <cols>
    <col min="1" max="1" width="26" customWidth="1"/>
    <col min="2" max="2" width="16.5703125" customWidth="1"/>
    <col min="3" max="3" width="53.42578125" customWidth="1"/>
    <col min="5" max="5" width="14.28515625" customWidth="1"/>
    <col min="8" max="8" width="67.5703125" customWidth="1"/>
    <col min="13" max="13" width="78.140625" customWidth="1"/>
  </cols>
  <sheetData>
    <row r="2" spans="1:17" ht="12.75">
      <c r="A2" s="82" t="s">
        <v>436</v>
      </c>
      <c r="B2" s="82" t="s">
        <v>418</v>
      </c>
      <c r="C2" s="83" t="s">
        <v>437</v>
      </c>
      <c r="D2" s="84" t="s">
        <v>438</v>
      </c>
      <c r="E2" s="84" t="s">
        <v>439</v>
      </c>
      <c r="F2" s="84" t="s">
        <v>440</v>
      </c>
      <c r="G2" s="84" t="s">
        <v>441</v>
      </c>
      <c r="H2" s="85" t="s">
        <v>442</v>
      </c>
      <c r="I2" s="86" t="s">
        <v>438</v>
      </c>
      <c r="J2" s="86" t="s">
        <v>439</v>
      </c>
      <c r="K2" s="86" t="s">
        <v>440</v>
      </c>
      <c r="L2" s="86" t="s">
        <v>441</v>
      </c>
      <c r="M2" s="85" t="s">
        <v>443</v>
      </c>
      <c r="N2" s="86" t="s">
        <v>438</v>
      </c>
      <c r="O2" s="86" t="s">
        <v>439</v>
      </c>
      <c r="P2" s="86" t="s">
        <v>440</v>
      </c>
      <c r="Q2" s="86" t="s">
        <v>441</v>
      </c>
    </row>
    <row r="3" spans="1:17" ht="20.25" customHeight="1">
      <c r="A3" s="99" t="s">
        <v>16</v>
      </c>
      <c r="B3" s="87" t="s">
        <v>444</v>
      </c>
      <c r="C3" s="88" t="s">
        <v>445</v>
      </c>
      <c r="D3" s="88" t="s">
        <v>446</v>
      </c>
      <c r="E3" s="89" t="s">
        <v>447</v>
      </c>
      <c r="F3" s="89" t="s">
        <v>448</v>
      </c>
      <c r="G3" s="89" t="s">
        <v>448</v>
      </c>
      <c r="H3" s="88" t="s">
        <v>449</v>
      </c>
      <c r="I3" s="6" t="s">
        <v>450</v>
      </c>
      <c r="J3" s="6" t="s">
        <v>451</v>
      </c>
      <c r="K3" s="6" t="s">
        <v>447</v>
      </c>
      <c r="L3" s="6" t="s">
        <v>452</v>
      </c>
      <c r="M3" s="6" t="s">
        <v>453</v>
      </c>
      <c r="N3" s="6" t="s">
        <v>454</v>
      </c>
      <c r="O3" s="6" t="s">
        <v>455</v>
      </c>
      <c r="P3" s="6" t="s">
        <v>456</v>
      </c>
      <c r="Q3" s="6" t="s">
        <v>448</v>
      </c>
    </row>
    <row r="4" spans="1:17" ht="20.25" customHeight="1">
      <c r="A4" s="100"/>
      <c r="B4" s="87" t="s">
        <v>457</v>
      </c>
      <c r="C4" s="6" t="s">
        <v>458</v>
      </c>
      <c r="D4" s="6" t="s">
        <v>446</v>
      </c>
      <c r="E4" s="6" t="s">
        <v>447</v>
      </c>
      <c r="F4" s="6" t="s">
        <v>459</v>
      </c>
      <c r="G4" s="6" t="s">
        <v>460</v>
      </c>
      <c r="H4" s="6" t="s">
        <v>461</v>
      </c>
      <c r="I4" s="6" t="s">
        <v>462</v>
      </c>
      <c r="J4" s="6" t="s">
        <v>463</v>
      </c>
      <c r="K4" s="6" t="s">
        <v>447</v>
      </c>
      <c r="L4" s="6" t="s">
        <v>464</v>
      </c>
      <c r="M4" s="6" t="s">
        <v>465</v>
      </c>
      <c r="N4" s="6" t="s">
        <v>466</v>
      </c>
      <c r="O4" s="6" t="s">
        <v>451</v>
      </c>
      <c r="P4" s="6" t="s">
        <v>467</v>
      </c>
      <c r="Q4" s="6" t="s">
        <v>468</v>
      </c>
    </row>
    <row r="5" spans="1:17" ht="12.75">
      <c r="A5" s="100"/>
      <c r="B5" s="87" t="s">
        <v>469</v>
      </c>
      <c r="C5" s="6" t="s">
        <v>470</v>
      </c>
      <c r="D5" s="6" t="s">
        <v>471</v>
      </c>
      <c r="E5" s="6" t="s">
        <v>468</v>
      </c>
      <c r="F5" s="6" t="s">
        <v>472</v>
      </c>
      <c r="G5" s="6" t="s">
        <v>473</v>
      </c>
      <c r="H5" s="6" t="s">
        <v>474</v>
      </c>
      <c r="I5" s="6" t="s">
        <v>475</v>
      </c>
      <c r="J5" s="6" t="s">
        <v>455</v>
      </c>
      <c r="K5" s="6" t="s">
        <v>476</v>
      </c>
      <c r="L5" s="6" t="s">
        <v>448</v>
      </c>
      <c r="M5" s="6" t="s">
        <v>477</v>
      </c>
      <c r="N5" s="6" t="s">
        <v>478</v>
      </c>
      <c r="O5" s="6" t="s">
        <v>456</v>
      </c>
      <c r="P5" s="6" t="s">
        <v>479</v>
      </c>
      <c r="Q5" s="6" t="s">
        <v>460</v>
      </c>
    </row>
    <row r="6" spans="1:17" ht="12.75">
      <c r="A6" s="101"/>
      <c r="B6" s="87" t="s">
        <v>480</v>
      </c>
      <c r="C6" s="6" t="s">
        <v>481</v>
      </c>
      <c r="D6" s="6" t="s">
        <v>482</v>
      </c>
      <c r="E6" s="6" t="s">
        <v>468</v>
      </c>
      <c r="F6" s="6" t="s">
        <v>483</v>
      </c>
      <c r="G6" s="6" t="s">
        <v>483</v>
      </c>
      <c r="H6" s="6" t="s">
        <v>484</v>
      </c>
      <c r="I6" s="6" t="s">
        <v>485</v>
      </c>
      <c r="J6" s="6" t="s">
        <v>486</v>
      </c>
      <c r="K6" s="6" t="s">
        <v>479</v>
      </c>
      <c r="L6" s="6" t="s">
        <v>487</v>
      </c>
      <c r="M6" s="6" t="s">
        <v>488</v>
      </c>
      <c r="N6" s="6" t="s">
        <v>485</v>
      </c>
      <c r="O6" s="6" t="s">
        <v>447</v>
      </c>
      <c r="P6" s="6" t="s">
        <v>452</v>
      </c>
      <c r="Q6" s="6" t="s">
        <v>472</v>
      </c>
    </row>
    <row r="7" spans="1:17" ht="12.75">
      <c r="A7" s="99" t="s">
        <v>39</v>
      </c>
      <c r="B7" s="87" t="s">
        <v>444</v>
      </c>
      <c r="C7" s="6" t="s">
        <v>489</v>
      </c>
      <c r="D7" s="6" t="s">
        <v>485</v>
      </c>
      <c r="E7" s="6" t="s">
        <v>447</v>
      </c>
      <c r="F7" s="6" t="s">
        <v>468</v>
      </c>
      <c r="G7" s="6" t="s">
        <v>448</v>
      </c>
      <c r="H7" s="6" t="s">
        <v>490</v>
      </c>
      <c r="I7" s="6" t="s">
        <v>491</v>
      </c>
      <c r="J7" s="6" t="s">
        <v>455</v>
      </c>
      <c r="K7" s="6" t="s">
        <v>456</v>
      </c>
      <c r="L7" s="6" t="s">
        <v>468</v>
      </c>
      <c r="M7" s="6" t="s">
        <v>492</v>
      </c>
      <c r="N7" s="6" t="s">
        <v>493</v>
      </c>
      <c r="O7" s="6" t="s">
        <v>456</v>
      </c>
      <c r="P7" s="6" t="s">
        <v>494</v>
      </c>
      <c r="Q7" s="6" t="s">
        <v>468</v>
      </c>
    </row>
    <row r="8" spans="1:17" ht="12.75">
      <c r="A8" s="100"/>
      <c r="B8" s="87" t="s">
        <v>457</v>
      </c>
      <c r="C8" s="6" t="s">
        <v>495</v>
      </c>
      <c r="D8" s="6" t="s">
        <v>496</v>
      </c>
      <c r="E8" s="6" t="s">
        <v>447</v>
      </c>
      <c r="F8" s="6" t="s">
        <v>467</v>
      </c>
      <c r="G8" s="6" t="s">
        <v>479</v>
      </c>
      <c r="H8" s="6" t="s">
        <v>497</v>
      </c>
      <c r="I8" s="6" t="s">
        <v>498</v>
      </c>
      <c r="J8" s="6" t="s">
        <v>499</v>
      </c>
      <c r="K8" s="6" t="s">
        <v>456</v>
      </c>
      <c r="L8" s="6" t="s">
        <v>452</v>
      </c>
      <c r="M8" s="6" t="s">
        <v>500</v>
      </c>
      <c r="N8" s="6" t="s">
        <v>501</v>
      </c>
      <c r="O8" s="6" t="s">
        <v>502</v>
      </c>
      <c r="P8" s="6" t="s">
        <v>467</v>
      </c>
      <c r="Q8" s="6" t="s">
        <v>468</v>
      </c>
    </row>
    <row r="9" spans="1:17" ht="12.75">
      <c r="A9" s="100"/>
      <c r="B9" s="87" t="s">
        <v>469</v>
      </c>
      <c r="C9" s="6" t="s">
        <v>503</v>
      </c>
      <c r="D9" s="6" t="s">
        <v>504</v>
      </c>
      <c r="E9" s="6" t="s">
        <v>460</v>
      </c>
      <c r="F9" s="6" t="s">
        <v>468</v>
      </c>
      <c r="G9" s="6" t="s">
        <v>460</v>
      </c>
      <c r="H9" s="6" t="s">
        <v>505</v>
      </c>
      <c r="I9" s="6" t="s">
        <v>478</v>
      </c>
      <c r="J9" s="6" t="s">
        <v>447</v>
      </c>
      <c r="K9" s="6" t="s">
        <v>447</v>
      </c>
      <c r="L9" s="6" t="s">
        <v>506</v>
      </c>
      <c r="M9" s="6" t="s">
        <v>507</v>
      </c>
      <c r="N9" s="6" t="s">
        <v>478</v>
      </c>
      <c r="O9" s="6" t="s">
        <v>456</v>
      </c>
      <c r="P9" s="6" t="s">
        <v>467</v>
      </c>
      <c r="Q9" s="6" t="s">
        <v>487</v>
      </c>
    </row>
    <row r="10" spans="1:17" ht="12.75">
      <c r="A10" s="101"/>
      <c r="B10" s="87" t="s">
        <v>480</v>
      </c>
      <c r="C10" s="6" t="s">
        <v>508</v>
      </c>
      <c r="D10" s="6" t="s">
        <v>482</v>
      </c>
      <c r="E10" s="6" t="s">
        <v>509</v>
      </c>
      <c r="F10" s="6" t="s">
        <v>472</v>
      </c>
      <c r="G10" s="6" t="s">
        <v>472</v>
      </c>
      <c r="H10" s="6" t="s">
        <v>510</v>
      </c>
      <c r="I10" s="6" t="s">
        <v>511</v>
      </c>
      <c r="J10" s="6" t="s">
        <v>447</v>
      </c>
      <c r="K10" s="6" t="s">
        <v>447</v>
      </c>
      <c r="L10" s="6" t="s">
        <v>506</v>
      </c>
      <c r="M10" s="6" t="s">
        <v>512</v>
      </c>
      <c r="N10" s="6" t="s">
        <v>513</v>
      </c>
      <c r="O10" s="6" t="s">
        <v>452</v>
      </c>
      <c r="P10" s="6" t="s">
        <v>448</v>
      </c>
      <c r="Q10" s="6" t="s">
        <v>509</v>
      </c>
    </row>
    <row r="11" spans="1:17" ht="12.75">
      <c r="A11" s="99" t="s">
        <v>34</v>
      </c>
      <c r="B11" s="90" t="s">
        <v>444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</row>
    <row r="12" spans="1:17" ht="12.75">
      <c r="A12" s="100"/>
      <c r="B12" s="87" t="s">
        <v>457</v>
      </c>
      <c r="C12" s="6" t="s">
        <v>514</v>
      </c>
      <c r="D12" s="6" t="s">
        <v>515</v>
      </c>
      <c r="E12" s="6" t="s">
        <v>516</v>
      </c>
      <c r="F12" s="6" t="s">
        <v>483</v>
      </c>
      <c r="G12" s="6" t="s">
        <v>517</v>
      </c>
      <c r="H12" s="6" t="s">
        <v>518</v>
      </c>
      <c r="I12" s="6" t="s">
        <v>519</v>
      </c>
      <c r="J12" s="6" t="s">
        <v>456</v>
      </c>
      <c r="K12" s="6" t="s">
        <v>447</v>
      </c>
      <c r="L12" s="6" t="s">
        <v>506</v>
      </c>
      <c r="M12" s="6" t="s">
        <v>520</v>
      </c>
      <c r="N12" s="6" t="s">
        <v>521</v>
      </c>
      <c r="O12" s="6" t="s">
        <v>456</v>
      </c>
      <c r="P12" s="6" t="s">
        <v>452</v>
      </c>
      <c r="Q12" s="6" t="s">
        <v>472</v>
      </c>
    </row>
    <row r="13" spans="1:17" ht="12.75">
      <c r="A13" s="100"/>
      <c r="B13" s="87" t="s">
        <v>469</v>
      </c>
      <c r="C13" s="6" t="s">
        <v>522</v>
      </c>
      <c r="D13" s="6" t="s">
        <v>515</v>
      </c>
      <c r="E13" s="6" t="s">
        <v>460</v>
      </c>
      <c r="F13" s="6" t="s">
        <v>483</v>
      </c>
      <c r="G13" s="6" t="s">
        <v>523</v>
      </c>
      <c r="H13" s="6" t="s">
        <v>524</v>
      </c>
      <c r="I13" s="6" t="s">
        <v>525</v>
      </c>
      <c r="J13" s="6" t="s">
        <v>486</v>
      </c>
      <c r="K13" s="6" t="s">
        <v>452</v>
      </c>
      <c r="L13" s="6" t="s">
        <v>487</v>
      </c>
      <c r="M13" s="6" t="s">
        <v>526</v>
      </c>
      <c r="N13" s="6" t="s">
        <v>478</v>
      </c>
      <c r="O13" s="6" t="s">
        <v>494</v>
      </c>
      <c r="P13" s="6" t="s">
        <v>447</v>
      </c>
      <c r="Q13" s="6" t="s">
        <v>509</v>
      </c>
    </row>
    <row r="14" spans="1:17" ht="12.75">
      <c r="A14" s="101"/>
      <c r="B14" s="87" t="s">
        <v>480</v>
      </c>
      <c r="C14" s="6" t="s">
        <v>527</v>
      </c>
      <c r="D14" s="6" t="s">
        <v>528</v>
      </c>
      <c r="E14" s="6" t="s">
        <v>487</v>
      </c>
      <c r="F14" s="6" t="s">
        <v>523</v>
      </c>
      <c r="G14" s="6" t="s">
        <v>529</v>
      </c>
      <c r="H14" s="6" t="s">
        <v>530</v>
      </c>
      <c r="I14" s="6" t="s">
        <v>446</v>
      </c>
      <c r="J14" s="6" t="s">
        <v>467</v>
      </c>
      <c r="K14" s="6" t="s">
        <v>468</v>
      </c>
      <c r="L14" s="6" t="s">
        <v>509</v>
      </c>
      <c r="M14" s="6" t="s">
        <v>531</v>
      </c>
      <c r="N14" s="6" t="s">
        <v>532</v>
      </c>
      <c r="O14" s="6" t="s">
        <v>467</v>
      </c>
      <c r="P14" s="6" t="s">
        <v>467</v>
      </c>
      <c r="Q14" s="6" t="s">
        <v>472</v>
      </c>
    </row>
    <row r="15" spans="1:17" ht="12.75">
      <c r="A15" s="99" t="s">
        <v>533</v>
      </c>
      <c r="B15" s="87" t="s">
        <v>444</v>
      </c>
      <c r="C15" s="6" t="s">
        <v>481</v>
      </c>
      <c r="D15" s="6" t="s">
        <v>534</v>
      </c>
      <c r="E15" s="6" t="s">
        <v>448</v>
      </c>
      <c r="F15" s="6" t="s">
        <v>535</v>
      </c>
      <c r="G15" s="6" t="s">
        <v>523</v>
      </c>
      <c r="H15" s="6" t="s">
        <v>536</v>
      </c>
      <c r="I15" s="6" t="s">
        <v>525</v>
      </c>
      <c r="J15" s="6" t="s">
        <v>467</v>
      </c>
      <c r="K15" s="6" t="s">
        <v>467</v>
      </c>
      <c r="L15" s="6" t="s">
        <v>506</v>
      </c>
      <c r="M15" s="6" t="s">
        <v>537</v>
      </c>
      <c r="N15" s="6" t="s">
        <v>478</v>
      </c>
      <c r="O15" s="6" t="s">
        <v>447</v>
      </c>
      <c r="P15" s="6" t="s">
        <v>476</v>
      </c>
      <c r="Q15" s="6" t="s">
        <v>487</v>
      </c>
    </row>
    <row r="16" spans="1:17" ht="12.75">
      <c r="A16" s="100"/>
      <c r="B16" s="87" t="s">
        <v>457</v>
      </c>
      <c r="C16" s="6" t="s">
        <v>538</v>
      </c>
      <c r="D16" s="6" t="s">
        <v>515</v>
      </c>
      <c r="E16" s="6" t="s">
        <v>460</v>
      </c>
      <c r="F16" s="6" t="s">
        <v>483</v>
      </c>
      <c r="G16" s="6" t="s">
        <v>517</v>
      </c>
      <c r="H16" s="6" t="s">
        <v>539</v>
      </c>
      <c r="I16" s="6" t="s">
        <v>519</v>
      </c>
      <c r="J16" s="6" t="s">
        <v>456</v>
      </c>
      <c r="K16" s="6" t="s">
        <v>479</v>
      </c>
      <c r="L16" s="6" t="s">
        <v>460</v>
      </c>
      <c r="M16" s="6" t="s">
        <v>540</v>
      </c>
      <c r="N16" s="6" t="s">
        <v>541</v>
      </c>
      <c r="O16" s="6" t="s">
        <v>456</v>
      </c>
      <c r="P16" s="6" t="s">
        <v>467</v>
      </c>
      <c r="Q16" s="6" t="s">
        <v>460</v>
      </c>
    </row>
    <row r="17" spans="1:17" ht="12.75">
      <c r="A17" s="100"/>
      <c r="B17" s="87" t="s">
        <v>469</v>
      </c>
      <c r="C17" s="6" t="s">
        <v>542</v>
      </c>
      <c r="D17" s="6" t="s">
        <v>515</v>
      </c>
      <c r="E17" s="6" t="s">
        <v>460</v>
      </c>
      <c r="F17" s="6" t="s">
        <v>483</v>
      </c>
      <c r="G17" s="6" t="s">
        <v>523</v>
      </c>
      <c r="H17" s="6" t="s">
        <v>543</v>
      </c>
      <c r="I17" s="6" t="s">
        <v>519</v>
      </c>
      <c r="J17" s="6" t="s">
        <v>447</v>
      </c>
      <c r="K17" s="6" t="s">
        <v>479</v>
      </c>
      <c r="L17" s="6" t="s">
        <v>448</v>
      </c>
      <c r="M17" s="6" t="s">
        <v>544</v>
      </c>
      <c r="N17" s="6" t="s">
        <v>532</v>
      </c>
      <c r="O17" s="6" t="s">
        <v>467</v>
      </c>
      <c r="P17" s="6" t="s">
        <v>467</v>
      </c>
      <c r="Q17" s="6" t="s">
        <v>460</v>
      </c>
    </row>
    <row r="18" spans="1:17" ht="12.75">
      <c r="A18" s="101"/>
      <c r="B18" s="87" t="s">
        <v>480</v>
      </c>
      <c r="C18" s="6" t="s">
        <v>481</v>
      </c>
      <c r="D18" s="6" t="s">
        <v>515</v>
      </c>
      <c r="E18" s="6" t="s">
        <v>460</v>
      </c>
      <c r="F18" s="6" t="s">
        <v>483</v>
      </c>
      <c r="G18" s="6" t="s">
        <v>517</v>
      </c>
      <c r="H18" s="6" t="s">
        <v>545</v>
      </c>
      <c r="I18" s="6" t="s">
        <v>485</v>
      </c>
      <c r="J18" s="6" t="s">
        <v>467</v>
      </c>
      <c r="K18" s="6" t="s">
        <v>452</v>
      </c>
      <c r="L18" s="6" t="s">
        <v>472</v>
      </c>
      <c r="M18" s="6" t="s">
        <v>546</v>
      </c>
      <c r="N18" s="6" t="s">
        <v>525</v>
      </c>
      <c r="O18" s="6" t="s">
        <v>467</v>
      </c>
      <c r="P18" s="6" t="s">
        <v>452</v>
      </c>
      <c r="Q18" s="6" t="s">
        <v>487</v>
      </c>
    </row>
    <row r="23" spans="1:17" ht="12.75">
      <c r="A23" s="82" t="s">
        <v>436</v>
      </c>
      <c r="B23" s="82" t="s">
        <v>418</v>
      </c>
      <c r="C23" s="83" t="s">
        <v>437</v>
      </c>
      <c r="D23" s="84" t="s">
        <v>438</v>
      </c>
      <c r="E23" s="84" t="s">
        <v>439</v>
      </c>
      <c r="F23" s="84" t="s">
        <v>440</v>
      </c>
      <c r="G23" s="84" t="s">
        <v>441</v>
      </c>
      <c r="H23" s="85" t="s">
        <v>442</v>
      </c>
      <c r="I23" s="86" t="s">
        <v>438</v>
      </c>
      <c r="J23" s="86" t="s">
        <v>439</v>
      </c>
      <c r="K23" s="86" t="s">
        <v>440</v>
      </c>
      <c r="L23" s="86" t="s">
        <v>441</v>
      </c>
      <c r="M23" s="85" t="s">
        <v>443</v>
      </c>
      <c r="N23" s="86" t="s">
        <v>438</v>
      </c>
      <c r="O23" s="86" t="s">
        <v>439</v>
      </c>
      <c r="P23" s="86" t="s">
        <v>440</v>
      </c>
      <c r="Q23" s="86" t="s">
        <v>441</v>
      </c>
    </row>
    <row r="24" spans="1:17" ht="15">
      <c r="A24" s="99" t="s">
        <v>16</v>
      </c>
      <c r="B24" s="87" t="s">
        <v>444</v>
      </c>
      <c r="C24" s="6" t="s">
        <v>547</v>
      </c>
      <c r="D24" s="6" t="s">
        <v>446</v>
      </c>
      <c r="E24" s="92" t="s">
        <v>447</v>
      </c>
      <c r="F24" s="92" t="s">
        <v>448</v>
      </c>
      <c r="G24" s="92" t="s">
        <v>448</v>
      </c>
      <c r="H24" s="6" t="s">
        <v>548</v>
      </c>
      <c r="I24" s="6" t="s">
        <v>450</v>
      </c>
      <c r="J24" s="6" t="s">
        <v>451</v>
      </c>
      <c r="K24" s="6" t="s">
        <v>447</v>
      </c>
      <c r="L24" s="6" t="s">
        <v>452</v>
      </c>
      <c r="M24" s="6" t="s">
        <v>549</v>
      </c>
      <c r="N24" s="6" t="s">
        <v>454</v>
      </c>
      <c r="O24" s="6" t="s">
        <v>455</v>
      </c>
      <c r="P24" s="6" t="s">
        <v>456</v>
      </c>
      <c r="Q24" s="6" t="s">
        <v>448</v>
      </c>
    </row>
    <row r="25" spans="1:17" ht="12.75">
      <c r="A25" s="100"/>
      <c r="B25" s="87" t="s">
        <v>457</v>
      </c>
      <c r="C25" s="6" t="s">
        <v>550</v>
      </c>
      <c r="D25" s="6" t="s">
        <v>446</v>
      </c>
      <c r="E25" s="6" t="s">
        <v>447</v>
      </c>
      <c r="F25" s="6" t="s">
        <v>459</v>
      </c>
      <c r="G25" s="6" t="s">
        <v>460</v>
      </c>
      <c r="H25" s="6" t="s">
        <v>551</v>
      </c>
      <c r="I25" s="6">
        <v>670</v>
      </c>
      <c r="J25" s="6" t="s">
        <v>463</v>
      </c>
      <c r="K25" s="6" t="s">
        <v>447</v>
      </c>
      <c r="L25" s="6" t="s">
        <v>464</v>
      </c>
      <c r="M25" s="6" t="s">
        <v>552</v>
      </c>
      <c r="N25" s="6" t="s">
        <v>466</v>
      </c>
      <c r="O25" s="6" t="s">
        <v>451</v>
      </c>
      <c r="P25" s="6" t="s">
        <v>467</v>
      </c>
      <c r="Q25" s="6" t="s">
        <v>468</v>
      </c>
    </row>
    <row r="26" spans="1:17" ht="12.75">
      <c r="A26" s="100"/>
      <c r="B26" s="87" t="s">
        <v>469</v>
      </c>
      <c r="C26" s="6" t="s">
        <v>553</v>
      </c>
      <c r="D26" s="6" t="s">
        <v>471</v>
      </c>
      <c r="E26" s="6" t="s">
        <v>468</v>
      </c>
      <c r="F26" s="6" t="s">
        <v>472</v>
      </c>
      <c r="G26" s="6" t="s">
        <v>473</v>
      </c>
      <c r="H26" s="6" t="s">
        <v>554</v>
      </c>
      <c r="I26" s="6" t="s">
        <v>475</v>
      </c>
      <c r="J26" s="6" t="s">
        <v>455</v>
      </c>
      <c r="K26" s="6" t="s">
        <v>476</v>
      </c>
      <c r="L26" s="6" t="s">
        <v>448</v>
      </c>
      <c r="M26" s="6" t="s">
        <v>555</v>
      </c>
      <c r="N26" s="6" t="s">
        <v>478</v>
      </c>
      <c r="O26" s="6" t="s">
        <v>456</v>
      </c>
      <c r="P26" s="6" t="s">
        <v>479</v>
      </c>
      <c r="Q26" s="6" t="s">
        <v>460</v>
      </c>
    </row>
    <row r="27" spans="1:17" ht="12.75">
      <c r="A27" s="101"/>
      <c r="B27" s="87" t="s">
        <v>480</v>
      </c>
      <c r="C27" s="6" t="s">
        <v>556</v>
      </c>
      <c r="D27" s="6" t="s">
        <v>482</v>
      </c>
      <c r="E27" s="6" t="s">
        <v>468</v>
      </c>
      <c r="F27" s="6" t="s">
        <v>483</v>
      </c>
      <c r="G27" s="6" t="s">
        <v>483</v>
      </c>
      <c r="H27" s="6" t="s">
        <v>557</v>
      </c>
      <c r="I27" s="6" t="s">
        <v>485</v>
      </c>
      <c r="J27" s="6" t="s">
        <v>486</v>
      </c>
      <c r="K27" s="6" t="s">
        <v>479</v>
      </c>
      <c r="L27" s="6" t="s">
        <v>487</v>
      </c>
      <c r="M27" s="6" t="s">
        <v>558</v>
      </c>
      <c r="N27" s="6" t="s">
        <v>485</v>
      </c>
      <c r="O27" s="6" t="s">
        <v>447</v>
      </c>
      <c r="P27" s="6" t="s">
        <v>452</v>
      </c>
      <c r="Q27" s="6" t="s">
        <v>472</v>
      </c>
    </row>
    <row r="28" spans="1:17" ht="12.75">
      <c r="A28" s="99" t="s">
        <v>39</v>
      </c>
      <c r="B28" s="87" t="s">
        <v>444</v>
      </c>
      <c r="C28" s="6" t="s">
        <v>559</v>
      </c>
      <c r="D28" s="6" t="s">
        <v>485</v>
      </c>
      <c r="E28" s="6" t="s">
        <v>447</v>
      </c>
      <c r="F28" s="6" t="s">
        <v>468</v>
      </c>
      <c r="G28" s="6" t="s">
        <v>448</v>
      </c>
      <c r="H28" s="6" t="s">
        <v>560</v>
      </c>
      <c r="I28" s="6" t="s">
        <v>491</v>
      </c>
      <c r="J28" s="6" t="s">
        <v>455</v>
      </c>
      <c r="K28" s="6" t="s">
        <v>456</v>
      </c>
      <c r="L28" s="6" t="s">
        <v>468</v>
      </c>
      <c r="M28" s="6" t="s">
        <v>561</v>
      </c>
      <c r="N28" s="6" t="s">
        <v>493</v>
      </c>
      <c r="O28" s="6" t="s">
        <v>456</v>
      </c>
      <c r="P28" s="6" t="s">
        <v>494</v>
      </c>
      <c r="Q28" s="6" t="s">
        <v>468</v>
      </c>
    </row>
    <row r="29" spans="1:17" ht="12.75">
      <c r="A29" s="100"/>
      <c r="B29" s="87" t="s">
        <v>457</v>
      </c>
      <c r="C29" s="6" t="s">
        <v>562</v>
      </c>
      <c r="D29" s="6" t="s">
        <v>496</v>
      </c>
      <c r="E29" s="6" t="s">
        <v>447</v>
      </c>
      <c r="F29" s="6" t="s">
        <v>467</v>
      </c>
      <c r="G29" s="6" t="s">
        <v>479</v>
      </c>
      <c r="H29" s="6" t="s">
        <v>563</v>
      </c>
      <c r="I29" s="6" t="s">
        <v>498</v>
      </c>
      <c r="J29" s="6" t="s">
        <v>499</v>
      </c>
      <c r="K29" s="6" t="s">
        <v>456</v>
      </c>
      <c r="L29" s="6" t="s">
        <v>452</v>
      </c>
      <c r="M29" s="6" t="s">
        <v>564</v>
      </c>
      <c r="N29" s="6" t="s">
        <v>501</v>
      </c>
      <c r="O29" s="6" t="s">
        <v>502</v>
      </c>
      <c r="P29" s="6" t="s">
        <v>467</v>
      </c>
      <c r="Q29" s="6" t="s">
        <v>468</v>
      </c>
    </row>
    <row r="30" spans="1:17" ht="12.75">
      <c r="A30" s="100"/>
      <c r="B30" s="87" t="s">
        <v>469</v>
      </c>
      <c r="C30" s="6" t="s">
        <v>565</v>
      </c>
      <c r="D30" s="6" t="s">
        <v>504</v>
      </c>
      <c r="E30" s="6" t="s">
        <v>460</v>
      </c>
      <c r="F30" s="6" t="s">
        <v>468</v>
      </c>
      <c r="G30" s="6" t="s">
        <v>460</v>
      </c>
      <c r="H30" s="6" t="s">
        <v>566</v>
      </c>
      <c r="I30" s="6" t="s">
        <v>478</v>
      </c>
      <c r="J30" s="6" t="s">
        <v>447</v>
      </c>
      <c r="K30" s="6" t="s">
        <v>447</v>
      </c>
      <c r="L30" s="6" t="s">
        <v>506</v>
      </c>
      <c r="M30" s="6" t="s">
        <v>567</v>
      </c>
      <c r="N30" s="6" t="s">
        <v>478</v>
      </c>
      <c r="O30" s="6" t="s">
        <v>456</v>
      </c>
      <c r="P30" s="6" t="s">
        <v>467</v>
      </c>
      <c r="Q30" s="6" t="s">
        <v>487</v>
      </c>
    </row>
    <row r="31" spans="1:17" ht="12.75">
      <c r="A31" s="101"/>
      <c r="B31" s="87" t="s">
        <v>480</v>
      </c>
      <c r="C31" s="6" t="s">
        <v>568</v>
      </c>
      <c r="D31" s="6" t="s">
        <v>482</v>
      </c>
      <c r="E31" s="6" t="s">
        <v>509</v>
      </c>
      <c r="F31" s="6" t="s">
        <v>472</v>
      </c>
      <c r="G31" s="6" t="s">
        <v>472</v>
      </c>
      <c r="H31" s="6" t="s">
        <v>569</v>
      </c>
      <c r="I31" s="6" t="s">
        <v>511</v>
      </c>
      <c r="J31" s="6" t="s">
        <v>447</v>
      </c>
      <c r="K31" s="6" t="s">
        <v>447</v>
      </c>
      <c r="L31" s="6" t="s">
        <v>506</v>
      </c>
      <c r="M31" s="6" t="s">
        <v>570</v>
      </c>
      <c r="N31" s="6" t="s">
        <v>513</v>
      </c>
      <c r="O31" s="6" t="s">
        <v>452</v>
      </c>
      <c r="P31" s="6" t="s">
        <v>448</v>
      </c>
      <c r="Q31" s="6" t="s">
        <v>509</v>
      </c>
    </row>
    <row r="32" spans="1:17" ht="12.75">
      <c r="A32" s="99" t="s">
        <v>34</v>
      </c>
      <c r="B32" s="90" t="s">
        <v>444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</row>
    <row r="33" spans="1:17" ht="12.75">
      <c r="A33" s="100"/>
      <c r="B33" s="87" t="s">
        <v>457</v>
      </c>
      <c r="C33" s="6" t="s">
        <v>571</v>
      </c>
      <c r="D33" s="6" t="s">
        <v>515</v>
      </c>
      <c r="E33" s="6" t="s">
        <v>516</v>
      </c>
      <c r="F33" s="6" t="s">
        <v>483</v>
      </c>
      <c r="G33" s="6" t="s">
        <v>517</v>
      </c>
      <c r="H33" s="6" t="s">
        <v>572</v>
      </c>
      <c r="I33" s="6" t="s">
        <v>519</v>
      </c>
      <c r="J33" s="6" t="s">
        <v>456</v>
      </c>
      <c r="K33" s="6" t="s">
        <v>447</v>
      </c>
      <c r="L33" s="6" t="s">
        <v>506</v>
      </c>
      <c r="M33" s="6" t="s">
        <v>573</v>
      </c>
      <c r="N33" s="6" t="s">
        <v>521</v>
      </c>
      <c r="O33" s="6" t="s">
        <v>456</v>
      </c>
      <c r="P33" s="6" t="s">
        <v>452</v>
      </c>
      <c r="Q33" s="6" t="s">
        <v>472</v>
      </c>
    </row>
    <row r="34" spans="1:17" ht="12.75">
      <c r="A34" s="100"/>
      <c r="B34" s="87" t="s">
        <v>469</v>
      </c>
      <c r="C34" s="6" t="s">
        <v>574</v>
      </c>
      <c r="D34" s="6" t="s">
        <v>515</v>
      </c>
      <c r="E34" s="6" t="s">
        <v>460</v>
      </c>
      <c r="F34" s="6" t="s">
        <v>483</v>
      </c>
      <c r="G34" s="6" t="s">
        <v>523</v>
      </c>
      <c r="H34" s="6" t="s">
        <v>575</v>
      </c>
      <c r="I34" s="6" t="s">
        <v>525</v>
      </c>
      <c r="J34" s="6" t="s">
        <v>486</v>
      </c>
      <c r="K34" s="6" t="s">
        <v>452</v>
      </c>
      <c r="L34" s="6" t="s">
        <v>487</v>
      </c>
      <c r="M34" s="6" t="s">
        <v>576</v>
      </c>
      <c r="N34" s="6" t="s">
        <v>478</v>
      </c>
      <c r="O34" s="6" t="s">
        <v>494</v>
      </c>
      <c r="P34" s="6" t="s">
        <v>447</v>
      </c>
      <c r="Q34" s="6" t="s">
        <v>509</v>
      </c>
    </row>
    <row r="35" spans="1:17" ht="12.75">
      <c r="A35" s="101"/>
      <c r="B35" s="87" t="s">
        <v>480</v>
      </c>
      <c r="C35" s="6" t="s">
        <v>577</v>
      </c>
      <c r="D35" s="6" t="s">
        <v>528</v>
      </c>
      <c r="E35" s="6" t="s">
        <v>487</v>
      </c>
      <c r="F35" s="6" t="s">
        <v>523</v>
      </c>
      <c r="G35" s="6" t="s">
        <v>529</v>
      </c>
      <c r="H35" s="6" t="s">
        <v>578</v>
      </c>
      <c r="I35" s="6" t="s">
        <v>446</v>
      </c>
      <c r="J35" s="6" t="s">
        <v>467</v>
      </c>
      <c r="K35" s="6" t="s">
        <v>468</v>
      </c>
      <c r="L35" s="6" t="s">
        <v>509</v>
      </c>
      <c r="M35" s="6" t="s">
        <v>579</v>
      </c>
      <c r="N35" s="6" t="s">
        <v>532</v>
      </c>
      <c r="O35" s="6" t="s">
        <v>467</v>
      </c>
      <c r="P35" s="6" t="s">
        <v>467</v>
      </c>
      <c r="Q35" s="6" t="s">
        <v>472</v>
      </c>
    </row>
    <row r="36" spans="1:17" ht="12.75">
      <c r="A36" s="99" t="s">
        <v>533</v>
      </c>
      <c r="B36" s="87" t="s">
        <v>444</v>
      </c>
      <c r="C36" s="6" t="s">
        <v>556</v>
      </c>
      <c r="D36" s="6" t="s">
        <v>534</v>
      </c>
      <c r="E36" s="6" t="s">
        <v>448</v>
      </c>
      <c r="F36" s="6" t="s">
        <v>535</v>
      </c>
      <c r="G36" s="6" t="s">
        <v>523</v>
      </c>
      <c r="H36" s="6" t="s">
        <v>580</v>
      </c>
      <c r="I36" s="6" t="s">
        <v>525</v>
      </c>
      <c r="J36" s="6" t="s">
        <v>467</v>
      </c>
      <c r="K36" s="6" t="s">
        <v>467</v>
      </c>
      <c r="L36" s="6" t="s">
        <v>506</v>
      </c>
      <c r="M36" s="6" t="s">
        <v>581</v>
      </c>
      <c r="N36" s="6" t="s">
        <v>478</v>
      </c>
      <c r="O36" s="6" t="s">
        <v>447</v>
      </c>
      <c r="P36" s="6" t="s">
        <v>476</v>
      </c>
      <c r="Q36" s="6" t="s">
        <v>487</v>
      </c>
    </row>
    <row r="37" spans="1:17" ht="12.75">
      <c r="A37" s="100"/>
      <c r="B37" s="87" t="s">
        <v>457</v>
      </c>
      <c r="C37" s="6" t="s">
        <v>582</v>
      </c>
      <c r="D37" s="6" t="s">
        <v>515</v>
      </c>
      <c r="E37" s="6" t="s">
        <v>460</v>
      </c>
      <c r="F37" s="6" t="s">
        <v>483</v>
      </c>
      <c r="G37" s="6" t="s">
        <v>517</v>
      </c>
      <c r="H37" s="6" t="s">
        <v>583</v>
      </c>
      <c r="I37" s="6" t="s">
        <v>519</v>
      </c>
      <c r="J37" s="6" t="s">
        <v>456</v>
      </c>
      <c r="K37" s="6" t="s">
        <v>479</v>
      </c>
      <c r="L37" s="6" t="s">
        <v>460</v>
      </c>
      <c r="M37" s="6" t="s">
        <v>584</v>
      </c>
      <c r="N37" s="6" t="s">
        <v>541</v>
      </c>
      <c r="O37" s="6" t="s">
        <v>456</v>
      </c>
      <c r="P37" s="6" t="s">
        <v>467</v>
      </c>
      <c r="Q37" s="6" t="s">
        <v>460</v>
      </c>
    </row>
    <row r="38" spans="1:17" ht="12.75">
      <c r="A38" s="100"/>
      <c r="B38" s="87" t="s">
        <v>469</v>
      </c>
      <c r="C38" s="6" t="s">
        <v>585</v>
      </c>
      <c r="D38" s="6" t="s">
        <v>515</v>
      </c>
      <c r="E38" s="6" t="s">
        <v>460</v>
      </c>
      <c r="F38" s="6" t="s">
        <v>483</v>
      </c>
      <c r="G38" s="6" t="s">
        <v>523</v>
      </c>
      <c r="H38" s="6" t="s">
        <v>586</v>
      </c>
      <c r="I38" s="6" t="s">
        <v>519</v>
      </c>
      <c r="J38" s="6" t="s">
        <v>447</v>
      </c>
      <c r="K38" s="6" t="s">
        <v>479</v>
      </c>
      <c r="L38" s="6" t="s">
        <v>448</v>
      </c>
      <c r="M38" s="6" t="s">
        <v>587</v>
      </c>
      <c r="N38" s="6" t="s">
        <v>532</v>
      </c>
      <c r="O38" s="6" t="s">
        <v>467</v>
      </c>
      <c r="P38" s="6" t="s">
        <v>467</v>
      </c>
      <c r="Q38" s="6" t="s">
        <v>460</v>
      </c>
    </row>
    <row r="39" spans="1:17" ht="12.75">
      <c r="A39" s="101"/>
      <c r="B39" s="87" t="s">
        <v>480</v>
      </c>
      <c r="C39" s="6" t="s">
        <v>556</v>
      </c>
      <c r="D39" s="6" t="s">
        <v>515</v>
      </c>
      <c r="E39" s="6" t="s">
        <v>460</v>
      </c>
      <c r="F39" s="6" t="s">
        <v>483</v>
      </c>
      <c r="G39" s="6" t="s">
        <v>517</v>
      </c>
      <c r="H39" s="6" t="s">
        <v>588</v>
      </c>
      <c r="I39" s="6" t="s">
        <v>485</v>
      </c>
      <c r="J39" s="6" t="s">
        <v>467</v>
      </c>
      <c r="K39" s="6" t="s">
        <v>452</v>
      </c>
      <c r="L39" s="6" t="s">
        <v>472</v>
      </c>
      <c r="M39" s="6" t="s">
        <v>589</v>
      </c>
      <c r="N39" s="6" t="s">
        <v>525</v>
      </c>
      <c r="O39" s="6" t="s">
        <v>467</v>
      </c>
      <c r="P39" s="6" t="s">
        <v>452</v>
      </c>
      <c r="Q39" s="6" t="s">
        <v>487</v>
      </c>
    </row>
    <row r="42" spans="1:17" ht="12.75">
      <c r="A42" s="82" t="s">
        <v>427</v>
      </c>
      <c r="B42" s="82" t="s">
        <v>418</v>
      </c>
      <c r="C42" s="83" t="s">
        <v>437</v>
      </c>
      <c r="D42" s="84" t="s">
        <v>438</v>
      </c>
      <c r="E42" s="84" t="s">
        <v>439</v>
      </c>
      <c r="F42" s="84" t="s">
        <v>440</v>
      </c>
      <c r="G42" s="84" t="s">
        <v>441</v>
      </c>
      <c r="H42" s="85" t="s">
        <v>442</v>
      </c>
      <c r="I42" s="86" t="s">
        <v>438</v>
      </c>
      <c r="J42" s="86" t="s">
        <v>439</v>
      </c>
      <c r="K42" s="86" t="s">
        <v>440</v>
      </c>
      <c r="L42" s="86" t="s">
        <v>441</v>
      </c>
      <c r="M42" s="85" t="s">
        <v>443</v>
      </c>
      <c r="N42" s="86" t="s">
        <v>438</v>
      </c>
      <c r="O42" s="86" t="s">
        <v>439</v>
      </c>
      <c r="P42" s="86" t="s">
        <v>440</v>
      </c>
      <c r="Q42" s="86" t="s">
        <v>441</v>
      </c>
    </row>
    <row r="43" spans="1:17" ht="15">
      <c r="A43" s="99" t="s">
        <v>7</v>
      </c>
      <c r="B43" s="87" t="s">
        <v>444</v>
      </c>
      <c r="C43" s="6" t="s">
        <v>547</v>
      </c>
      <c r="D43" s="6" t="s">
        <v>446</v>
      </c>
      <c r="E43" s="92" t="s">
        <v>447</v>
      </c>
      <c r="F43" s="92" t="s">
        <v>448</v>
      </c>
      <c r="G43" s="92" t="s">
        <v>448</v>
      </c>
      <c r="H43" s="6" t="s">
        <v>548</v>
      </c>
      <c r="I43" s="6" t="s">
        <v>450</v>
      </c>
      <c r="J43" s="6" t="s">
        <v>451</v>
      </c>
      <c r="K43" s="6" t="s">
        <v>447</v>
      </c>
      <c r="L43" s="6" t="s">
        <v>452</v>
      </c>
      <c r="M43" s="6" t="s">
        <v>549</v>
      </c>
      <c r="N43" s="6" t="s">
        <v>454</v>
      </c>
      <c r="O43" s="6" t="s">
        <v>455</v>
      </c>
      <c r="P43" s="6" t="s">
        <v>456</v>
      </c>
      <c r="Q43" s="6" t="s">
        <v>448</v>
      </c>
    </row>
    <row r="44" spans="1:17" ht="12.75">
      <c r="A44" s="100"/>
      <c r="B44" s="87" t="s">
        <v>457</v>
      </c>
      <c r="C44" s="6" t="s">
        <v>550</v>
      </c>
      <c r="D44" s="6" t="s">
        <v>446</v>
      </c>
      <c r="E44" s="6" t="s">
        <v>447</v>
      </c>
      <c r="F44" s="6" t="s">
        <v>459</v>
      </c>
      <c r="G44" s="6" t="s">
        <v>460</v>
      </c>
      <c r="H44" s="6" t="s">
        <v>551</v>
      </c>
      <c r="I44" s="6" t="s">
        <v>462</v>
      </c>
      <c r="J44" s="6" t="s">
        <v>463</v>
      </c>
      <c r="K44" s="6" t="s">
        <v>447</v>
      </c>
      <c r="L44" s="6" t="s">
        <v>464</v>
      </c>
      <c r="M44" s="6" t="s">
        <v>552</v>
      </c>
      <c r="N44" s="6" t="s">
        <v>466</v>
      </c>
      <c r="O44" s="6" t="s">
        <v>451</v>
      </c>
      <c r="P44" s="6" t="s">
        <v>467</v>
      </c>
      <c r="Q44" s="6" t="s">
        <v>468</v>
      </c>
    </row>
    <row r="45" spans="1:17" ht="12.75">
      <c r="A45" s="100"/>
      <c r="B45" s="87" t="s">
        <v>469</v>
      </c>
      <c r="C45" s="6" t="s">
        <v>553</v>
      </c>
      <c r="D45" s="6" t="s">
        <v>471</v>
      </c>
      <c r="E45" s="6" t="s">
        <v>468</v>
      </c>
      <c r="F45" s="6" t="s">
        <v>472</v>
      </c>
      <c r="G45" s="6" t="s">
        <v>473</v>
      </c>
      <c r="H45" s="6" t="s">
        <v>554</v>
      </c>
      <c r="I45" s="6" t="s">
        <v>475</v>
      </c>
      <c r="J45" s="6" t="s">
        <v>455</v>
      </c>
      <c r="K45" s="6" t="s">
        <v>476</v>
      </c>
      <c r="L45" s="6" t="s">
        <v>448</v>
      </c>
      <c r="M45" s="6" t="s">
        <v>555</v>
      </c>
      <c r="N45" s="6" t="s">
        <v>478</v>
      </c>
      <c r="O45" s="6" t="s">
        <v>456</v>
      </c>
      <c r="P45" s="6" t="s">
        <v>479</v>
      </c>
      <c r="Q45" s="6" t="s">
        <v>460</v>
      </c>
    </row>
    <row r="46" spans="1:17" ht="12.75">
      <c r="A46" s="101"/>
      <c r="B46" s="87" t="s">
        <v>480</v>
      </c>
      <c r="C46" s="6" t="s">
        <v>556</v>
      </c>
      <c r="D46" s="6" t="s">
        <v>482</v>
      </c>
      <c r="E46" s="6" t="s">
        <v>468</v>
      </c>
      <c r="F46" s="6" t="s">
        <v>483</v>
      </c>
      <c r="G46" s="6" t="s">
        <v>483</v>
      </c>
      <c r="H46" s="6" t="s">
        <v>557</v>
      </c>
      <c r="I46" s="6" t="s">
        <v>485</v>
      </c>
      <c r="J46" s="6" t="s">
        <v>486</v>
      </c>
      <c r="K46" s="6" t="s">
        <v>479</v>
      </c>
      <c r="L46" s="6" t="s">
        <v>487</v>
      </c>
      <c r="M46" s="6" t="s">
        <v>558</v>
      </c>
      <c r="N46" s="6" t="s">
        <v>485</v>
      </c>
      <c r="O46" s="6" t="s">
        <v>447</v>
      </c>
      <c r="P46" s="6" t="s">
        <v>452</v>
      </c>
      <c r="Q46" s="6" t="s">
        <v>472</v>
      </c>
    </row>
    <row r="47" spans="1:17" ht="12.75">
      <c r="A47" s="99" t="s">
        <v>63</v>
      </c>
      <c r="B47" s="87" t="s">
        <v>444</v>
      </c>
      <c r="C47" s="6" t="s">
        <v>559</v>
      </c>
      <c r="D47" s="6" t="s">
        <v>485</v>
      </c>
      <c r="E47" s="6" t="s">
        <v>447</v>
      </c>
      <c r="F47" s="6" t="s">
        <v>468</v>
      </c>
      <c r="G47" s="6" t="s">
        <v>448</v>
      </c>
      <c r="H47" s="6" t="s">
        <v>560</v>
      </c>
      <c r="I47" s="6" t="s">
        <v>491</v>
      </c>
      <c r="J47" s="6" t="s">
        <v>455</v>
      </c>
      <c r="K47" s="6" t="s">
        <v>456</v>
      </c>
      <c r="L47" s="6" t="s">
        <v>468</v>
      </c>
      <c r="M47" s="6" t="s">
        <v>561</v>
      </c>
      <c r="N47" s="6" t="s">
        <v>493</v>
      </c>
      <c r="O47" s="6" t="s">
        <v>456</v>
      </c>
      <c r="P47" s="6" t="s">
        <v>494</v>
      </c>
      <c r="Q47" s="6" t="s">
        <v>468</v>
      </c>
    </row>
    <row r="48" spans="1:17" ht="12.75">
      <c r="A48" s="100"/>
      <c r="B48" s="87" t="s">
        <v>457</v>
      </c>
      <c r="C48" s="6" t="s">
        <v>562</v>
      </c>
      <c r="D48" s="6" t="s">
        <v>496</v>
      </c>
      <c r="E48" s="6" t="s">
        <v>447</v>
      </c>
      <c r="F48" s="6" t="s">
        <v>467</v>
      </c>
      <c r="G48" s="6" t="s">
        <v>479</v>
      </c>
      <c r="H48" s="6" t="s">
        <v>563</v>
      </c>
      <c r="I48" s="6" t="s">
        <v>498</v>
      </c>
      <c r="J48" s="6" t="s">
        <v>499</v>
      </c>
      <c r="K48" s="6" t="s">
        <v>456</v>
      </c>
      <c r="L48" s="6" t="s">
        <v>452</v>
      </c>
      <c r="M48" s="6" t="s">
        <v>564</v>
      </c>
      <c r="N48" s="6" t="s">
        <v>501</v>
      </c>
      <c r="O48" s="6" t="s">
        <v>502</v>
      </c>
      <c r="P48" s="6" t="s">
        <v>467</v>
      </c>
      <c r="Q48" s="6" t="s">
        <v>468</v>
      </c>
    </row>
    <row r="49" spans="1:17" ht="12.75">
      <c r="A49" s="100"/>
      <c r="B49" s="87" t="s">
        <v>469</v>
      </c>
      <c r="C49" s="6" t="s">
        <v>565</v>
      </c>
      <c r="D49" s="6" t="s">
        <v>504</v>
      </c>
      <c r="E49" s="6" t="s">
        <v>460</v>
      </c>
      <c r="F49" s="6" t="s">
        <v>468</v>
      </c>
      <c r="G49" s="6" t="s">
        <v>460</v>
      </c>
      <c r="H49" s="6" t="s">
        <v>566</v>
      </c>
      <c r="I49" s="6" t="s">
        <v>478</v>
      </c>
      <c r="J49" s="6" t="s">
        <v>447</v>
      </c>
      <c r="K49" s="6" t="s">
        <v>447</v>
      </c>
      <c r="L49" s="6" t="s">
        <v>506</v>
      </c>
      <c r="M49" s="6" t="s">
        <v>567</v>
      </c>
      <c r="N49" s="6" t="s">
        <v>478</v>
      </c>
      <c r="O49" s="6" t="s">
        <v>456</v>
      </c>
      <c r="P49" s="6" t="s">
        <v>467</v>
      </c>
      <c r="Q49" s="6" t="s">
        <v>487</v>
      </c>
    </row>
    <row r="50" spans="1:17" ht="12.75">
      <c r="A50" s="101"/>
      <c r="B50" s="87" t="s">
        <v>480</v>
      </c>
      <c r="C50" s="6" t="s">
        <v>568</v>
      </c>
      <c r="D50" s="6" t="s">
        <v>482</v>
      </c>
      <c r="E50" s="6" t="s">
        <v>509</v>
      </c>
      <c r="F50" s="6" t="s">
        <v>472</v>
      </c>
      <c r="G50" s="6" t="s">
        <v>472</v>
      </c>
      <c r="H50" s="6" t="s">
        <v>569</v>
      </c>
      <c r="I50" s="6" t="s">
        <v>511</v>
      </c>
      <c r="J50" s="6" t="s">
        <v>447</v>
      </c>
      <c r="K50" s="6" t="s">
        <v>447</v>
      </c>
      <c r="L50" s="6" t="s">
        <v>506</v>
      </c>
      <c r="M50" s="6" t="s">
        <v>570</v>
      </c>
      <c r="N50" s="6" t="s">
        <v>513</v>
      </c>
      <c r="O50" s="6" t="s">
        <v>452</v>
      </c>
      <c r="P50" s="6" t="s">
        <v>448</v>
      </c>
      <c r="Q50" s="6" t="s">
        <v>509</v>
      </c>
    </row>
    <row r="51" spans="1:17" ht="12.75">
      <c r="A51" s="99" t="s">
        <v>60</v>
      </c>
      <c r="B51" s="90" t="s">
        <v>444</v>
      </c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</row>
    <row r="52" spans="1:17" ht="12.75">
      <c r="A52" s="100"/>
      <c r="B52" s="87" t="s">
        <v>457</v>
      </c>
      <c r="C52" s="6" t="s">
        <v>571</v>
      </c>
      <c r="D52" s="6" t="s">
        <v>515</v>
      </c>
      <c r="E52" s="6" t="s">
        <v>516</v>
      </c>
      <c r="F52" s="6" t="s">
        <v>483</v>
      </c>
      <c r="G52" s="6" t="s">
        <v>517</v>
      </c>
      <c r="H52" s="6" t="s">
        <v>572</v>
      </c>
      <c r="I52" s="6" t="s">
        <v>519</v>
      </c>
      <c r="J52" s="6" t="s">
        <v>456</v>
      </c>
      <c r="K52" s="6" t="s">
        <v>447</v>
      </c>
      <c r="L52" s="6" t="s">
        <v>506</v>
      </c>
      <c r="M52" s="6" t="s">
        <v>573</v>
      </c>
      <c r="N52" s="6" t="s">
        <v>521</v>
      </c>
      <c r="O52" s="6" t="s">
        <v>456</v>
      </c>
      <c r="P52" s="6" t="s">
        <v>452</v>
      </c>
      <c r="Q52" s="6" t="s">
        <v>472</v>
      </c>
    </row>
    <row r="53" spans="1:17" ht="12.75">
      <c r="A53" s="100"/>
      <c r="B53" s="87" t="s">
        <v>469</v>
      </c>
      <c r="C53" s="6" t="s">
        <v>574</v>
      </c>
      <c r="D53" s="6" t="s">
        <v>515</v>
      </c>
      <c r="E53" s="6" t="s">
        <v>460</v>
      </c>
      <c r="F53" s="6" t="s">
        <v>483</v>
      </c>
      <c r="G53" s="6" t="s">
        <v>523</v>
      </c>
      <c r="H53" s="6" t="s">
        <v>575</v>
      </c>
      <c r="I53" s="6" t="s">
        <v>525</v>
      </c>
      <c r="J53" s="6" t="s">
        <v>486</v>
      </c>
      <c r="K53" s="6" t="s">
        <v>452</v>
      </c>
      <c r="L53" s="6" t="s">
        <v>487</v>
      </c>
      <c r="M53" s="6" t="s">
        <v>576</v>
      </c>
      <c r="N53" s="6" t="s">
        <v>478</v>
      </c>
      <c r="O53" s="6" t="s">
        <v>494</v>
      </c>
      <c r="P53" s="6" t="s">
        <v>447</v>
      </c>
      <c r="Q53" s="6" t="s">
        <v>509</v>
      </c>
    </row>
    <row r="54" spans="1:17" ht="12.75">
      <c r="A54" s="101"/>
      <c r="B54" s="87" t="s">
        <v>480</v>
      </c>
      <c r="C54" s="6" t="s">
        <v>577</v>
      </c>
      <c r="D54" s="6" t="s">
        <v>528</v>
      </c>
      <c r="E54" s="6" t="s">
        <v>487</v>
      </c>
      <c r="F54" s="6" t="s">
        <v>523</v>
      </c>
      <c r="G54" s="6" t="s">
        <v>529</v>
      </c>
      <c r="H54" s="6" t="s">
        <v>578</v>
      </c>
      <c r="I54" s="6" t="s">
        <v>446</v>
      </c>
      <c r="J54" s="6" t="s">
        <v>467</v>
      </c>
      <c r="K54" s="6" t="s">
        <v>468</v>
      </c>
      <c r="L54" s="6" t="s">
        <v>509</v>
      </c>
      <c r="M54" s="6" t="s">
        <v>579</v>
      </c>
      <c r="N54" s="6" t="s">
        <v>532</v>
      </c>
      <c r="O54" s="6" t="s">
        <v>467</v>
      </c>
      <c r="P54" s="6" t="s">
        <v>467</v>
      </c>
      <c r="Q54" s="6" t="s">
        <v>472</v>
      </c>
    </row>
    <row r="55" spans="1:17" ht="12.75">
      <c r="A55" s="99" t="s">
        <v>19</v>
      </c>
      <c r="B55" s="87" t="s">
        <v>444</v>
      </c>
      <c r="C55" s="6" t="s">
        <v>556</v>
      </c>
      <c r="D55" s="6" t="s">
        <v>534</v>
      </c>
      <c r="E55" s="6" t="s">
        <v>448</v>
      </c>
      <c r="F55" s="6" t="s">
        <v>535</v>
      </c>
      <c r="G55" s="6" t="s">
        <v>523</v>
      </c>
      <c r="H55" s="6" t="s">
        <v>580</v>
      </c>
      <c r="I55" s="6" t="s">
        <v>525</v>
      </c>
      <c r="J55" s="6" t="s">
        <v>467</v>
      </c>
      <c r="K55" s="6" t="s">
        <v>467</v>
      </c>
      <c r="L55" s="6" t="s">
        <v>506</v>
      </c>
      <c r="M55" s="6" t="s">
        <v>581</v>
      </c>
      <c r="N55" s="6" t="s">
        <v>478</v>
      </c>
      <c r="O55" s="6" t="s">
        <v>447</v>
      </c>
      <c r="P55" s="6" t="s">
        <v>476</v>
      </c>
      <c r="Q55" s="6" t="s">
        <v>487</v>
      </c>
    </row>
    <row r="56" spans="1:17" ht="12.75">
      <c r="A56" s="100"/>
      <c r="B56" s="87" t="s">
        <v>457</v>
      </c>
      <c r="C56" s="6" t="s">
        <v>582</v>
      </c>
      <c r="D56" s="6" t="s">
        <v>515</v>
      </c>
      <c r="E56" s="6" t="s">
        <v>460</v>
      </c>
      <c r="F56" s="6" t="s">
        <v>483</v>
      </c>
      <c r="G56" s="6" t="s">
        <v>517</v>
      </c>
      <c r="H56" s="6" t="s">
        <v>583</v>
      </c>
      <c r="I56" s="6" t="s">
        <v>519</v>
      </c>
      <c r="J56" s="6" t="s">
        <v>456</v>
      </c>
      <c r="K56" s="6" t="s">
        <v>479</v>
      </c>
      <c r="L56" s="6" t="s">
        <v>460</v>
      </c>
      <c r="M56" s="6" t="s">
        <v>584</v>
      </c>
      <c r="N56" s="6" t="s">
        <v>541</v>
      </c>
      <c r="O56" s="6" t="s">
        <v>456</v>
      </c>
      <c r="P56" s="6" t="s">
        <v>467</v>
      </c>
      <c r="Q56" s="6" t="s">
        <v>460</v>
      </c>
    </row>
    <row r="57" spans="1:17" ht="12.75">
      <c r="A57" s="100"/>
      <c r="B57" s="87" t="s">
        <v>469</v>
      </c>
      <c r="C57" s="6" t="s">
        <v>585</v>
      </c>
      <c r="D57" s="6" t="s">
        <v>515</v>
      </c>
      <c r="E57" s="6" t="s">
        <v>460</v>
      </c>
      <c r="F57" s="6" t="s">
        <v>483</v>
      </c>
      <c r="G57" s="6" t="s">
        <v>523</v>
      </c>
      <c r="H57" s="6" t="s">
        <v>586</v>
      </c>
      <c r="I57" s="6" t="s">
        <v>519</v>
      </c>
      <c r="J57" s="6" t="s">
        <v>447</v>
      </c>
      <c r="K57" s="6" t="s">
        <v>479</v>
      </c>
      <c r="L57" s="6" t="s">
        <v>448</v>
      </c>
      <c r="M57" s="6" t="s">
        <v>587</v>
      </c>
      <c r="N57" s="6" t="s">
        <v>532</v>
      </c>
      <c r="O57" s="6" t="s">
        <v>467</v>
      </c>
      <c r="P57" s="6" t="s">
        <v>467</v>
      </c>
      <c r="Q57" s="6" t="s">
        <v>460</v>
      </c>
    </row>
    <row r="58" spans="1:17" ht="12.75">
      <c r="A58" s="101"/>
      <c r="B58" s="87" t="s">
        <v>480</v>
      </c>
      <c r="C58" s="6" t="s">
        <v>556</v>
      </c>
      <c r="D58" s="6" t="s">
        <v>515</v>
      </c>
      <c r="E58" s="6" t="s">
        <v>460</v>
      </c>
      <c r="F58" s="6" t="s">
        <v>483</v>
      </c>
      <c r="G58" s="6" t="s">
        <v>517</v>
      </c>
      <c r="H58" s="6" t="s">
        <v>588</v>
      </c>
      <c r="I58" s="6" t="s">
        <v>485</v>
      </c>
      <c r="J58" s="6" t="s">
        <v>467</v>
      </c>
      <c r="K58" s="6" t="s">
        <v>452</v>
      </c>
      <c r="L58" s="6" t="s">
        <v>472</v>
      </c>
      <c r="M58" s="6" t="s">
        <v>589</v>
      </c>
      <c r="N58" s="6" t="s">
        <v>525</v>
      </c>
      <c r="O58" s="6" t="s">
        <v>467</v>
      </c>
      <c r="P58" s="6" t="s">
        <v>452</v>
      </c>
      <c r="Q58" s="6" t="s">
        <v>487</v>
      </c>
    </row>
  </sheetData>
  <mergeCells count="12">
    <mergeCell ref="A28:A31"/>
    <mergeCell ref="A32:A35"/>
    <mergeCell ref="A3:A6"/>
    <mergeCell ref="A7:A10"/>
    <mergeCell ref="A11:A14"/>
    <mergeCell ref="A15:A18"/>
    <mergeCell ref="A24:A27"/>
    <mergeCell ref="A36:A39"/>
    <mergeCell ref="A43:A46"/>
    <mergeCell ref="A47:A50"/>
    <mergeCell ref="A51:A54"/>
    <mergeCell ref="A55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Generated_Questionnaire_Respons</vt:lpstr>
      <vt:lpstr>{dont change} bmi water tdee</vt:lpstr>
      <vt:lpstr>CODE</vt:lpstr>
      <vt:lpstr>MEAL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shelim muslim</cp:lastModifiedBy>
  <dcterms:modified xsi:type="dcterms:W3CDTF">2025-07-23T04:32:55Z</dcterms:modified>
</cp:coreProperties>
</file>