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45" yWindow="0" windowWidth="20865" windowHeight="16320" firstSheet="1" activeTab="6"/>
  </bookViews>
  <sheets>
    <sheet name="lincoln" sheetId="1" r:id="rId1"/>
    <sheet name="amtrak-njt" sheetId="2" r:id="rId2"/>
    <sheet name="uptown-path" sheetId="3" r:id="rId3"/>
    <sheet name="holland" sheetId="5" r:id="rId4"/>
    <sheet name="downtown-path" sheetId="4" r:id="rId5"/>
    <sheet name="ferry" sheetId="6" r:id="rId6"/>
    <sheet name="sector" sheetId="7" r:id="rId7"/>
    <sheet name="rail" sheetId="8" r:id="rId8"/>
    <sheet name="total" sheetId="9" r:id="rId9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9" l="1"/>
  <c r="D10" i="9"/>
  <c r="B10" i="9"/>
  <c r="D2" i="9"/>
  <c r="D3" i="9"/>
  <c r="D4" i="9"/>
  <c r="D5" i="9"/>
  <c r="D6" i="9"/>
  <c r="D7" i="9"/>
  <c r="D8" i="9"/>
  <c r="C2" i="9"/>
  <c r="C3" i="9"/>
  <c r="C4" i="9"/>
  <c r="C5" i="9"/>
  <c r="C6" i="9"/>
  <c r="C7" i="9"/>
  <c r="C8" i="9"/>
  <c r="B2" i="9"/>
  <c r="B3" i="9"/>
  <c r="B4" i="9"/>
  <c r="B5" i="9"/>
  <c r="B6" i="9"/>
  <c r="B7" i="9"/>
  <c r="B8" i="9"/>
  <c r="Z55" i="2"/>
  <c r="Y55" i="2"/>
  <c r="AE55" i="2"/>
  <c r="T55" i="2"/>
  <c r="S55" i="2"/>
  <c r="AD55" i="2"/>
  <c r="Q55" i="2"/>
  <c r="P55" i="2"/>
  <c r="AC55" i="2"/>
  <c r="Z54" i="2"/>
  <c r="Y54" i="2"/>
  <c r="AE54" i="2"/>
  <c r="T54" i="2"/>
  <c r="S54" i="2"/>
  <c r="AD54" i="2"/>
  <c r="Q54" i="2"/>
  <c r="P54" i="2"/>
  <c r="AC54" i="2"/>
  <c r="Z53" i="2"/>
  <c r="Y53" i="2"/>
  <c r="AE53" i="2"/>
  <c r="T53" i="2"/>
  <c r="S53" i="2"/>
  <c r="AD53" i="2"/>
  <c r="Q53" i="2"/>
  <c r="P53" i="2"/>
  <c r="AC53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29" i="2"/>
  <c r="H7" i="8"/>
  <c r="H6" i="8"/>
  <c r="I7" i="8"/>
  <c r="I6" i="8"/>
  <c r="J14" i="8"/>
  <c r="J13" i="8"/>
  <c r="I8" i="8"/>
  <c r="K8" i="8"/>
  <c r="J16" i="8"/>
  <c r="M15" i="8"/>
  <c r="J15" i="8"/>
  <c r="G15" i="8"/>
  <c r="F8" i="8"/>
  <c r="E8" i="8"/>
  <c r="B23" i="7"/>
  <c r="B59" i="7"/>
  <c r="C23" i="7"/>
  <c r="C59" i="7"/>
  <c r="D23" i="7"/>
  <c r="D59" i="7"/>
  <c r="E11" i="7"/>
  <c r="E23" i="7"/>
  <c r="E59" i="7"/>
  <c r="F11" i="7"/>
  <c r="F23" i="7"/>
  <c r="F59" i="7"/>
  <c r="G11" i="7"/>
  <c r="G23" i="7"/>
  <c r="G59" i="7"/>
  <c r="H11" i="7"/>
  <c r="H23" i="7"/>
  <c r="H59" i="7"/>
  <c r="I11" i="7"/>
  <c r="I23" i="7"/>
  <c r="I59" i="7"/>
  <c r="J11" i="7"/>
  <c r="J23" i="7"/>
  <c r="J59" i="7"/>
  <c r="K59" i="7"/>
  <c r="L59" i="7"/>
  <c r="M59" i="7"/>
  <c r="N23" i="7"/>
  <c r="N59" i="7"/>
  <c r="O23" i="7"/>
  <c r="O59" i="7"/>
  <c r="P23" i="7"/>
  <c r="P59" i="7"/>
  <c r="Q59" i="7"/>
  <c r="R59" i="7"/>
  <c r="S59" i="7"/>
  <c r="J17" i="4"/>
  <c r="I17" i="4"/>
  <c r="H17" i="4"/>
  <c r="J17" i="3"/>
  <c r="I17" i="3"/>
  <c r="H17" i="3"/>
  <c r="P24" i="2"/>
  <c r="W55" i="2"/>
  <c r="P25" i="2"/>
  <c r="P17" i="2"/>
  <c r="J24" i="2"/>
  <c r="W54" i="2"/>
  <c r="J25" i="2"/>
  <c r="J17" i="2"/>
  <c r="I24" i="2"/>
  <c r="V54" i="2"/>
  <c r="I25" i="2"/>
  <c r="I17" i="2"/>
  <c r="X54" i="2"/>
  <c r="H25" i="2"/>
  <c r="X55" i="2"/>
  <c r="N25" i="2"/>
  <c r="V55" i="2"/>
  <c r="O25" i="2"/>
  <c r="W53" i="2"/>
  <c r="D25" i="2"/>
  <c r="V53" i="2"/>
  <c r="C25" i="2"/>
  <c r="X53" i="2"/>
  <c r="B25" i="2"/>
  <c r="R54" i="2"/>
  <c r="U54" i="2"/>
  <c r="H24" i="2"/>
  <c r="R55" i="2"/>
  <c r="U55" i="2"/>
  <c r="N24" i="2"/>
  <c r="O24" i="2"/>
  <c r="D54" i="2"/>
  <c r="G54" i="2"/>
  <c r="H20" i="2"/>
  <c r="I53" i="2"/>
  <c r="D21" i="2"/>
  <c r="H53" i="2"/>
  <c r="C21" i="2"/>
  <c r="C24" i="2"/>
  <c r="B53" i="2"/>
  <c r="E53" i="2"/>
  <c r="C20" i="2"/>
  <c r="J53" i="2"/>
  <c r="B21" i="2"/>
  <c r="R53" i="2"/>
  <c r="U53" i="2"/>
  <c r="B24" i="2"/>
  <c r="D24" i="2"/>
  <c r="AA55" i="2"/>
  <c r="AA54" i="2"/>
  <c r="AA53" i="2"/>
  <c r="S18" i="7"/>
  <c r="R18" i="7"/>
  <c r="Q18" i="7"/>
  <c r="G18" i="7"/>
  <c r="G54" i="7"/>
  <c r="F18" i="7"/>
  <c r="E18" i="7"/>
  <c r="E54" i="7"/>
  <c r="M30" i="7"/>
  <c r="J18" i="7"/>
  <c r="I18" i="7"/>
  <c r="I54" i="7"/>
  <c r="H18" i="7"/>
  <c r="H54" i="7"/>
  <c r="B18" i="7"/>
  <c r="C18" i="7"/>
  <c r="C54" i="7"/>
  <c r="D18" i="7"/>
  <c r="G19" i="7"/>
  <c r="F19" i="7"/>
  <c r="E19" i="7"/>
  <c r="S55" i="7"/>
  <c r="J19" i="7"/>
  <c r="I19" i="7"/>
  <c r="I55" i="7"/>
  <c r="H19" i="7"/>
  <c r="D19" i="7"/>
  <c r="C19" i="7"/>
  <c r="C55" i="7"/>
  <c r="B19" i="7"/>
  <c r="E8" i="7"/>
  <c r="H8" i="7"/>
  <c r="Q20" i="7"/>
  <c r="Q56" i="7"/>
  <c r="H20" i="7"/>
  <c r="E20" i="7"/>
  <c r="B20" i="7"/>
  <c r="B56" i="7"/>
  <c r="C20" i="7"/>
  <c r="F20" i="7"/>
  <c r="I20" i="7"/>
  <c r="R20" i="7"/>
  <c r="R56" i="7"/>
  <c r="O8" i="7"/>
  <c r="I8" i="7"/>
  <c r="F8" i="7"/>
  <c r="F56" i="7"/>
  <c r="D20" i="7"/>
  <c r="D56" i="7"/>
  <c r="G20" i="7"/>
  <c r="G8" i="7"/>
  <c r="G56" i="7"/>
  <c r="J8" i="7"/>
  <c r="J20" i="7"/>
  <c r="J56" i="7"/>
  <c r="S20" i="7"/>
  <c r="S56" i="7"/>
  <c r="B21" i="7"/>
  <c r="B57" i="7"/>
  <c r="E21" i="7"/>
  <c r="H21" i="7"/>
  <c r="Q21" i="7"/>
  <c r="Q57" i="7"/>
  <c r="H9" i="7"/>
  <c r="H57" i="7"/>
  <c r="E9" i="7"/>
  <c r="F9" i="7"/>
  <c r="I9" i="7"/>
  <c r="R21" i="7"/>
  <c r="R57" i="7"/>
  <c r="I21" i="7"/>
  <c r="F21" i="7"/>
  <c r="C21" i="7"/>
  <c r="S21" i="7"/>
  <c r="S57" i="7"/>
  <c r="J21" i="7"/>
  <c r="J9" i="7"/>
  <c r="J57" i="7"/>
  <c r="G21" i="7"/>
  <c r="D21" i="7"/>
  <c r="G9" i="7"/>
  <c r="N10" i="7"/>
  <c r="N58" i="7"/>
  <c r="E10" i="7"/>
  <c r="H10" i="7"/>
  <c r="H22" i="7"/>
  <c r="B22" i="7"/>
  <c r="B58" i="7"/>
  <c r="E22" i="7"/>
  <c r="Q22" i="7"/>
  <c r="R22" i="7"/>
  <c r="R58" i="7"/>
  <c r="F22" i="7"/>
  <c r="I22" i="7"/>
  <c r="C22" i="7"/>
  <c r="C58" i="7"/>
  <c r="F10" i="7"/>
  <c r="I10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D54" i="7"/>
  <c r="F54" i="7"/>
  <c r="J54" i="7"/>
  <c r="K54" i="7"/>
  <c r="L54" i="7"/>
  <c r="M54" i="7"/>
  <c r="N54" i="7"/>
  <c r="O54" i="7"/>
  <c r="P54" i="7"/>
  <c r="Q54" i="7"/>
  <c r="R54" i="7"/>
  <c r="S54" i="7"/>
  <c r="D55" i="7"/>
  <c r="E55" i="7"/>
  <c r="F55" i="7"/>
  <c r="G55" i="7"/>
  <c r="H55" i="7"/>
  <c r="J55" i="7"/>
  <c r="K55" i="7"/>
  <c r="L55" i="7"/>
  <c r="M55" i="7"/>
  <c r="N55" i="7"/>
  <c r="O55" i="7"/>
  <c r="P55" i="7"/>
  <c r="Q55" i="7"/>
  <c r="R55" i="7"/>
  <c r="C56" i="7"/>
  <c r="K56" i="7"/>
  <c r="L56" i="7"/>
  <c r="M56" i="7"/>
  <c r="N56" i="7"/>
  <c r="O56" i="7"/>
  <c r="P56" i="7"/>
  <c r="C57" i="7"/>
  <c r="D57" i="7"/>
  <c r="E57" i="7"/>
  <c r="K57" i="7"/>
  <c r="L57" i="7"/>
  <c r="M57" i="7"/>
  <c r="N57" i="7"/>
  <c r="O57" i="7"/>
  <c r="P57" i="7"/>
  <c r="E58" i="7"/>
  <c r="J10" i="7"/>
  <c r="J22" i="7"/>
  <c r="J58" i="7"/>
  <c r="K58" i="7"/>
  <c r="L58" i="7"/>
  <c r="M58" i="7"/>
  <c r="O58" i="7"/>
  <c r="P58" i="7"/>
  <c r="Q58" i="7"/>
  <c r="B52" i="7"/>
  <c r="B53" i="7"/>
  <c r="B54" i="7"/>
  <c r="B55" i="7"/>
  <c r="S22" i="7"/>
  <c r="S58" i="7"/>
  <c r="G22" i="7"/>
  <c r="D22" i="7"/>
  <c r="D58" i="7"/>
  <c r="G10" i="7"/>
  <c r="G58" i="7"/>
  <c r="F58" i="7"/>
  <c r="G57" i="7"/>
  <c r="H58" i="7"/>
  <c r="H56" i="7"/>
  <c r="F57" i="7"/>
  <c r="E56" i="7"/>
  <c r="I56" i="7"/>
  <c r="I57" i="7"/>
  <c r="I58" i="7"/>
  <c r="M9" i="8"/>
  <c r="M8" i="8"/>
  <c r="M7" i="8"/>
  <c r="M6" i="8"/>
  <c r="J9" i="8"/>
  <c r="J8" i="8"/>
  <c r="J7" i="8"/>
  <c r="J6" i="8"/>
  <c r="G7" i="8"/>
  <c r="G8" i="8"/>
  <c r="G9" i="8"/>
  <c r="G6" i="8"/>
  <c r="K10" i="8"/>
  <c r="L10" i="8"/>
  <c r="H10" i="8"/>
  <c r="I10" i="8"/>
  <c r="E10" i="8"/>
  <c r="F10" i="8"/>
  <c r="F53" i="2"/>
  <c r="C53" i="2"/>
  <c r="D20" i="2"/>
  <c r="H55" i="2"/>
  <c r="O21" i="2"/>
  <c r="B55" i="2"/>
  <c r="E55" i="2"/>
  <c r="O20" i="2"/>
  <c r="H54" i="2"/>
  <c r="I21" i="2"/>
  <c r="B54" i="2"/>
  <c r="E54" i="2"/>
  <c r="I20" i="2"/>
  <c r="I55" i="2"/>
  <c r="P21" i="2"/>
  <c r="C55" i="2"/>
  <c r="F55" i="2"/>
  <c r="P20" i="2"/>
  <c r="I54" i="2"/>
  <c r="J21" i="2"/>
  <c r="C54" i="2"/>
  <c r="F54" i="2"/>
  <c r="J20" i="2"/>
  <c r="L55" i="2"/>
  <c r="L54" i="2"/>
  <c r="L53" i="2"/>
  <c r="K55" i="2"/>
  <c r="K54" i="2"/>
  <c r="K53" i="2"/>
  <c r="D53" i="2"/>
  <c r="G53" i="2"/>
  <c r="B20" i="2"/>
  <c r="M55" i="2"/>
  <c r="M54" i="2"/>
  <c r="J55" i="2"/>
  <c r="N21" i="2"/>
  <c r="J54" i="2"/>
  <c r="H21" i="2"/>
  <c r="G55" i="2"/>
  <c r="D55" i="2"/>
  <c r="N20" i="2"/>
  <c r="M53" i="2"/>
  <c r="G4" i="1"/>
  <c r="G4" i="5"/>
  <c r="S5" i="1"/>
  <c r="M5" i="1"/>
  <c r="G5" i="1"/>
  <c r="S5" i="5"/>
  <c r="M5" i="5"/>
  <c r="G5" i="5"/>
  <c r="I6" i="2"/>
  <c r="J6" i="4"/>
  <c r="I6" i="4"/>
  <c r="J6" i="3"/>
  <c r="I6" i="3"/>
  <c r="J7" i="2"/>
  <c r="I7" i="2"/>
  <c r="J7" i="3"/>
  <c r="I7" i="3"/>
  <c r="J7" i="4"/>
  <c r="I7" i="4"/>
  <c r="J8" i="2"/>
  <c r="I8" i="2"/>
  <c r="J8" i="3"/>
  <c r="I8" i="3"/>
  <c r="J8" i="4"/>
  <c r="I8" i="4"/>
  <c r="J9" i="2"/>
  <c r="I9" i="2"/>
  <c r="J9" i="3"/>
  <c r="I9" i="3"/>
  <c r="J9" i="4"/>
  <c r="I9" i="4"/>
  <c r="J10" i="2"/>
  <c r="I10" i="2"/>
  <c r="J10" i="4"/>
  <c r="I10" i="4"/>
  <c r="J10" i="3"/>
  <c r="I10" i="3"/>
  <c r="J11" i="2"/>
  <c r="I11" i="2"/>
  <c r="J11" i="4"/>
  <c r="I11" i="4"/>
  <c r="J11" i="3"/>
  <c r="I11" i="3"/>
  <c r="J12" i="2"/>
  <c r="I12" i="2"/>
  <c r="J12" i="4"/>
  <c r="I12" i="4"/>
  <c r="J12" i="3"/>
  <c r="I12" i="3"/>
  <c r="J13" i="2"/>
  <c r="I13" i="2"/>
  <c r="J13" i="4"/>
  <c r="I13" i="4"/>
  <c r="J13" i="3"/>
  <c r="I13" i="3"/>
  <c r="J14" i="3"/>
  <c r="I14" i="3"/>
  <c r="J14" i="4"/>
  <c r="I14" i="4"/>
  <c r="J14" i="2"/>
  <c r="I14" i="2"/>
  <c r="J15" i="4"/>
  <c r="I15" i="4"/>
  <c r="J15" i="3"/>
  <c r="I15" i="3"/>
  <c r="J15" i="2"/>
  <c r="I15" i="2"/>
  <c r="J16" i="2"/>
  <c r="I16" i="2"/>
  <c r="J16" i="3"/>
  <c r="I16" i="3"/>
  <c r="I16" i="4"/>
  <c r="J16" i="4"/>
</calcChain>
</file>

<file path=xl/sharedStrings.xml><?xml version="1.0" encoding="utf-8"?>
<sst xmlns="http://schemas.openxmlformats.org/spreadsheetml/2006/main" count="358" uniqueCount="73">
  <si>
    <t>people</t>
  </si>
  <si>
    <t>trains</t>
  </si>
  <si>
    <t>rail cars</t>
  </si>
  <si>
    <t>buses</t>
  </si>
  <si>
    <t>ferries</t>
  </si>
  <si>
    <t>vehicles</t>
  </si>
  <si>
    <t>24-hour</t>
  </si>
  <si>
    <t>peak period</t>
  </si>
  <si>
    <t>peak hour</t>
  </si>
  <si>
    <t>ferry</t>
  </si>
  <si>
    <t>auto</t>
  </si>
  <si>
    <t>bus</t>
  </si>
  <si>
    <t>lincoln</t>
  </si>
  <si>
    <t>amtrak/njt</t>
  </si>
  <si>
    <t>uptown-path</t>
  </si>
  <si>
    <t>holland</t>
  </si>
  <si>
    <t>downtown-path</t>
  </si>
  <si>
    <t>north</t>
  </si>
  <si>
    <t>east</t>
  </si>
  <si>
    <t>west</t>
  </si>
  <si>
    <t>7-10a</t>
  </si>
  <si>
    <t>8-9a</t>
  </si>
  <si>
    <t>path</t>
  </si>
  <si>
    <t>rail</t>
  </si>
  <si>
    <t>subway</t>
  </si>
  <si>
    <t>NJT</t>
  </si>
  <si>
    <t>Amtrak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</si>
  <si>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</si>
  <si>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</si>
  <si>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</si>
  <si>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</si>
  <si>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</si>
  <si>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</si>
  <si>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</si>
  <si>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</si>
  <si>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</si>
  <si>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</si>
  <si>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</si>
  <si>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</si>
  <si>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</si>
  <si>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>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</si>
  <si>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</si>
  <si>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</si>
  <si>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</si>
  <si>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</si>
  <si>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</si>
  <si>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</si>
  <si>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</si>
  <si>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</si>
  <si>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</si>
  <si>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</si>
  <si>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njt-nec/njcl</t>
  </si>
  <si>
    <t>njt-midtown direct</t>
  </si>
  <si>
    <t>amtrak</t>
  </si>
  <si>
    <t>total</t>
  </si>
  <si>
    <t>24hr</t>
  </si>
  <si>
    <t>amibpp</t>
  </si>
  <si>
    <t>amibph</t>
  </si>
  <si>
    <t>24 hour</t>
  </si>
  <si>
    <t>Cars</t>
  </si>
  <si>
    <t>Trains</t>
  </si>
  <si>
    <t>Ppl/train</t>
  </si>
  <si>
    <t>PATH</t>
  </si>
  <si>
    <t>Uptown</t>
  </si>
  <si>
    <t>Downtown</t>
  </si>
  <si>
    <t>PSNY &amp; HRTs</t>
  </si>
  <si>
    <t>TOTAL</t>
  </si>
  <si>
    <t>period</t>
  </si>
  <si>
    <t>hour</t>
  </si>
  <si>
    <t>south (SI)</t>
  </si>
  <si>
    <t>njt-mtd</t>
  </si>
  <si>
    <t>cars per train</t>
  </si>
  <si>
    <t>amtrak-njt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</si>
</sst>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Proxima Nova Rg"/>
      <family val="2"/>
    </font>
    <font>
      <sz val="11"/>
      <color theme="1"/>
      <name val="Proxima Nova Rg"/>
      <family val="2"/>
    </font>
    <font>
      <b/>
      <sz val="11"/>
      <color theme="1"/>
      <name val="Proxima Nova Rg"/>
      <family val="3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0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2" borderId="2" xfId="0" applyNumberFormat="1" applyFill="1" applyBorder="1"/>
    <xf numFmtId="3" fontId="0" fillId="2" borderId="0" xfId="0" applyNumberFormat="1" applyFill="1" applyBorder="1"/>
    <xf numFmtId="3" fontId="0" fillId="2" borderId="7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0" borderId="6" xfId="0" applyBorder="1"/>
    <xf numFmtId="0" fontId="0" fillId="0" borderId="12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2" borderId="2" xfId="0" applyNumberFormat="1" applyFill="1" applyBorder="1" applyProtection="1">
      <protection locked="0"/>
    </xf>
    <xf numFmtId="3" fontId="0" fillId="0" borderId="2" xfId="0" applyNumberFormat="1" applyBorder="1" applyProtection="1">
      <protection locked="0"/>
    </xf>
    <xf numFmtId="3" fontId="0" fillId="0" borderId="3" xfId="0" applyNumberFormat="1" applyBorder="1" applyProtection="1">
      <protection locked="0"/>
    </xf>
    <xf numFmtId="0" fontId="0" fillId="0" borderId="13" xfId="0" applyBorder="1" applyProtection="1">
      <protection locked="0"/>
    </xf>
    <xf numFmtId="3" fontId="0" fillId="0" borderId="4" xfId="0" applyNumberFormat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3" fontId="0" fillId="0" borderId="0" xfId="0" applyNumberFormat="1" applyBorder="1" applyProtection="1">
      <protection locked="0"/>
    </xf>
    <xf numFmtId="3" fontId="0" fillId="0" borderId="5" xfId="0" applyNumberFormat="1" applyBorder="1" applyProtection="1">
      <protection locked="0"/>
    </xf>
    <xf numFmtId="3" fontId="0" fillId="0" borderId="6" xfId="0" applyNumberFormat="1" applyBorder="1" applyProtection="1">
      <protection locked="0"/>
    </xf>
    <xf numFmtId="3" fontId="0" fillId="2" borderId="7" xfId="0" applyNumberFormat="1" applyFill="1" applyBorder="1" applyProtection="1">
      <protection locked="0"/>
    </xf>
    <xf numFmtId="3" fontId="0" fillId="0" borderId="7" xfId="0" applyNumberFormat="1" applyBorder="1" applyProtection="1">
      <protection locked="0"/>
    </xf>
    <xf numFmtId="3" fontId="0" fillId="0" borderId="8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16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9" fontId="0" fillId="2" borderId="0" xfId="1" applyFont="1" applyFill="1" applyBorder="1"/>
    <xf numFmtId="9" fontId="0" fillId="2" borderId="7" xfId="1" applyFont="1" applyFill="1" applyBorder="1"/>
    <xf numFmtId="3" fontId="0" fillId="3" borderId="1" xfId="0" applyNumberFormat="1" applyFill="1" applyBorder="1"/>
    <xf numFmtId="3" fontId="0" fillId="3" borderId="2" xfId="0" applyNumberFormat="1" applyFill="1" applyBorder="1"/>
    <xf numFmtId="0" fontId="2" fillId="0" borderId="0" xfId="0" applyFont="1" applyBorder="1"/>
    <xf numFmtId="0" fontId="2" fillId="0" borderId="0" xfId="0" applyFont="1"/>
    <xf numFmtId="3" fontId="0" fillId="0" borderId="4" xfId="0" quotePrefix="1" applyNumberFormat="1" applyBorder="1" applyProtection="1">
      <protection locked="0"/>
    </xf>
    <xf numFmtId="3" fontId="0" fillId="0" borderId="0" xfId="0" quotePrefix="1" applyNumberFormat="1" applyBorder="1" applyProtection="1">
      <protection locked="0"/>
    </xf>
    <xf numFmtId="0" fontId="0" fillId="0" borderId="15" xfId="0" applyBorder="1"/>
    <xf numFmtId="0" fontId="5" fillId="0" borderId="11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3" fontId="3" fillId="0" borderId="8" xfId="0" applyNumberFormat="1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3" fontId="3" fillId="0" borderId="15" xfId="0" applyNumberFormat="1" applyFont="1" applyBorder="1" applyAlignment="1">
      <alignment vertical="center" wrapText="1"/>
    </xf>
    <xf numFmtId="3" fontId="3" fillId="0" borderId="14" xfId="0" applyNumberFormat="1" applyFont="1" applyBorder="1" applyAlignment="1">
      <alignment vertical="center" wrapText="1"/>
    </xf>
    <xf numFmtId="3" fontId="5" fillId="0" borderId="8" xfId="0" applyNumberFormat="1" applyFont="1" applyBorder="1" applyAlignment="1">
      <alignment vertical="center" wrapText="1"/>
    </xf>
    <xf numFmtId="1" fontId="5" fillId="0" borderId="8" xfId="0" applyNumberFormat="1" applyFont="1" applyBorder="1" applyAlignment="1">
      <alignment vertical="center" wrapText="1"/>
    </xf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3" borderId="4" xfId="0" applyNumberFormat="1" applyFill="1" applyBorder="1"/>
    <xf numFmtId="3" fontId="0" fillId="3" borderId="0" xfId="0" applyNumberFormat="1" applyFill="1" applyBorder="1"/>
    <xf numFmtId="3" fontId="0" fillId="3" borderId="5" xfId="0" applyNumberFormat="1" applyFill="1" applyBorder="1"/>
    <xf numFmtId="2" fontId="0" fillId="0" borderId="0" xfId="0" applyNumberFormat="1"/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RPA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FDB924"/>
      </a:accent1>
      <a:accent2>
        <a:srgbClr val="EE3124"/>
      </a:accent2>
      <a:accent3>
        <a:srgbClr val="4FB3CF"/>
      </a:accent3>
      <a:accent4>
        <a:srgbClr val="262626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35"/>
  <sheetViews>
    <sheetView workbookViewId="0">
      <selection activeCell="B20" sqref="B20"/>
    </sheetView>
  </sheetViews>
  <sheetFormatPr defaultColWidth="8.6640625" defaultRowHeight="14.25" x14ac:dyDescent="0.2"/>
  <sheetData>
    <row r="1" spans="1:19" ht="15" thickBot="1" x14ac:dyDescent="0.25">
      <c r="A1" s="56" t="s">
        <v>12</v>
      </c>
    </row>
    <row r="2" spans="1:19" ht="15" thickBot="1" x14ac:dyDescent="0.25">
      <c r="A2" s="29"/>
      <c r="B2" s="75" t="s">
        <v>6</v>
      </c>
      <c r="C2" s="76"/>
      <c r="D2" s="76"/>
      <c r="E2" s="76"/>
      <c r="F2" s="76"/>
      <c r="G2" s="77"/>
      <c r="H2" s="75" t="s">
        <v>7</v>
      </c>
      <c r="I2" s="76"/>
      <c r="J2" s="76"/>
      <c r="K2" s="76"/>
      <c r="L2" s="76"/>
      <c r="M2" s="77"/>
      <c r="N2" s="75" t="s">
        <v>8</v>
      </c>
      <c r="O2" s="76"/>
      <c r="P2" s="76"/>
      <c r="Q2" s="76"/>
      <c r="R2" s="76"/>
      <c r="S2" s="77"/>
    </row>
    <row r="3" spans="1:19" ht="15" thickBot="1" x14ac:dyDescent="0.25">
      <c r="A3" s="30"/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3" t="s">
        <v>5</v>
      </c>
      <c r="H3" s="31" t="s">
        <v>0</v>
      </c>
      <c r="I3" s="32" t="s">
        <v>1</v>
      </c>
      <c r="J3" s="32" t="s">
        <v>2</v>
      </c>
      <c r="K3" s="32" t="s">
        <v>3</v>
      </c>
      <c r="L3" s="32" t="s">
        <v>4</v>
      </c>
      <c r="M3" s="33" t="s">
        <v>5</v>
      </c>
      <c r="N3" s="31" t="s">
        <v>0</v>
      </c>
      <c r="O3" s="32" t="s">
        <v>1</v>
      </c>
      <c r="P3" s="32" t="s">
        <v>2</v>
      </c>
      <c r="Q3" s="32" t="s">
        <v>3</v>
      </c>
      <c r="R3" s="32" t="s">
        <v>4</v>
      </c>
      <c r="S3" s="33" t="s">
        <v>5</v>
      </c>
    </row>
    <row r="4" spans="1:19" x14ac:dyDescent="0.2">
      <c r="A4" s="29">
        <v>1963</v>
      </c>
      <c r="B4" s="34">
        <v>181000</v>
      </c>
      <c r="C4" s="35"/>
      <c r="D4" s="35"/>
      <c r="E4" s="36">
        <v>4200</v>
      </c>
      <c r="F4" s="35"/>
      <c r="G4" s="37">
        <f>41500-E4</f>
        <v>37300</v>
      </c>
      <c r="H4" s="34">
        <v>68000</v>
      </c>
      <c r="I4" s="35"/>
      <c r="J4" s="35"/>
      <c r="K4" s="36"/>
      <c r="L4" s="35"/>
      <c r="M4" s="37"/>
      <c r="N4" s="34">
        <v>35000</v>
      </c>
      <c r="O4" s="35"/>
      <c r="P4" s="35"/>
      <c r="Q4" s="36"/>
      <c r="R4" s="35"/>
      <c r="S4" s="37"/>
    </row>
    <row r="5" spans="1:19" x14ac:dyDescent="0.2">
      <c r="A5" s="3">
        <v>1971</v>
      </c>
      <c r="B5" s="39">
        <v>177259</v>
      </c>
      <c r="C5" s="40"/>
      <c r="D5" s="40"/>
      <c r="E5" s="41">
        <v>4287</v>
      </c>
      <c r="F5" s="40"/>
      <c r="G5" s="42">
        <f>46668-E5</f>
        <v>42381</v>
      </c>
      <c r="H5" s="39">
        <v>76964</v>
      </c>
      <c r="I5" s="40"/>
      <c r="J5" s="40"/>
      <c r="K5" s="41">
        <v>1439</v>
      </c>
      <c r="L5" s="40"/>
      <c r="M5" s="42">
        <f>12685-K5</f>
        <v>11246</v>
      </c>
      <c r="N5" s="39">
        <v>37437</v>
      </c>
      <c r="O5" s="40"/>
      <c r="P5" s="40"/>
      <c r="Q5" s="41">
        <v>713</v>
      </c>
      <c r="R5" s="40"/>
      <c r="S5" s="42">
        <f>4474-Q5</f>
        <v>3761</v>
      </c>
    </row>
    <row r="6" spans="1:19" x14ac:dyDescent="0.2">
      <c r="A6" s="38">
        <v>1980</v>
      </c>
      <c r="B6" s="39">
        <v>168400</v>
      </c>
      <c r="C6" s="40"/>
      <c r="D6" s="40"/>
      <c r="E6" s="41">
        <v>3640</v>
      </c>
      <c r="F6" s="40"/>
      <c r="G6" s="42">
        <v>48200</v>
      </c>
      <c r="H6" s="39">
        <v>79500</v>
      </c>
      <c r="I6" s="40"/>
      <c r="J6" s="40"/>
      <c r="K6" s="41">
        <v>1400</v>
      </c>
      <c r="L6" s="40"/>
      <c r="M6" s="42">
        <v>12370</v>
      </c>
      <c r="N6" s="39">
        <v>38000</v>
      </c>
      <c r="O6" s="40"/>
      <c r="P6" s="40"/>
      <c r="Q6" s="41">
        <v>710</v>
      </c>
      <c r="R6" s="40"/>
      <c r="S6" s="42">
        <v>4070</v>
      </c>
    </row>
    <row r="7" spans="1:19" x14ac:dyDescent="0.2">
      <c r="A7" s="38">
        <v>1990</v>
      </c>
      <c r="B7" s="39">
        <v>198150</v>
      </c>
      <c r="C7" s="40"/>
      <c r="D7" s="40"/>
      <c r="E7" s="41">
        <v>5133</v>
      </c>
      <c r="F7" s="40"/>
      <c r="G7" s="42">
        <v>53915</v>
      </c>
      <c r="H7" s="39">
        <v>88828</v>
      </c>
      <c r="I7" s="40"/>
      <c r="J7" s="40"/>
      <c r="K7" s="41">
        <v>1852</v>
      </c>
      <c r="L7" s="40"/>
      <c r="M7" s="42">
        <v>12641</v>
      </c>
      <c r="N7" s="39">
        <v>38609</v>
      </c>
      <c r="O7" s="40"/>
      <c r="P7" s="40"/>
      <c r="Q7" s="41">
        <v>816</v>
      </c>
      <c r="R7" s="40"/>
      <c r="S7" s="42">
        <v>4168</v>
      </c>
    </row>
    <row r="8" spans="1:19" x14ac:dyDescent="0.2">
      <c r="A8" s="38">
        <v>2000</v>
      </c>
      <c r="B8" s="39">
        <v>245904</v>
      </c>
      <c r="C8" s="40"/>
      <c r="D8" s="40"/>
      <c r="E8" s="41">
        <v>6243</v>
      </c>
      <c r="F8" s="40"/>
      <c r="G8" s="42">
        <v>56273</v>
      </c>
      <c r="H8" s="39">
        <v>113912</v>
      </c>
      <c r="I8" s="40"/>
      <c r="J8" s="40"/>
      <c r="K8" s="41">
        <v>2237</v>
      </c>
      <c r="L8" s="40"/>
      <c r="M8" s="42">
        <v>12633</v>
      </c>
      <c r="N8" s="39">
        <v>46250</v>
      </c>
      <c r="O8" s="40"/>
      <c r="P8" s="40"/>
      <c r="Q8" s="41">
        <v>941</v>
      </c>
      <c r="R8" s="40"/>
      <c r="S8" s="42">
        <v>3829</v>
      </c>
    </row>
    <row r="9" spans="1:19" x14ac:dyDescent="0.2">
      <c r="A9" s="38">
        <v>2005</v>
      </c>
      <c r="B9" s="39">
        <v>237592</v>
      </c>
      <c r="C9" s="40"/>
      <c r="D9" s="40"/>
      <c r="E9" s="41">
        <v>6539</v>
      </c>
      <c r="F9" s="40"/>
      <c r="G9" s="42">
        <v>54921</v>
      </c>
      <c r="H9" s="39">
        <v>91901</v>
      </c>
      <c r="I9" s="40"/>
      <c r="J9" s="40"/>
      <c r="K9" s="41">
        <v>2201</v>
      </c>
      <c r="L9" s="40"/>
      <c r="M9" s="42">
        <v>11632</v>
      </c>
      <c r="N9" s="39">
        <v>36033</v>
      </c>
      <c r="O9" s="40"/>
      <c r="P9" s="40"/>
      <c r="Q9" s="41">
        <v>899</v>
      </c>
      <c r="R9" s="40"/>
      <c r="S9" s="42">
        <v>3533</v>
      </c>
    </row>
    <row r="10" spans="1:19" x14ac:dyDescent="0.2">
      <c r="A10" s="38">
        <v>2006</v>
      </c>
      <c r="B10" s="39">
        <v>240825</v>
      </c>
      <c r="C10" s="40"/>
      <c r="D10" s="40"/>
      <c r="E10" s="41">
        <v>6615</v>
      </c>
      <c r="F10" s="40"/>
      <c r="G10" s="42">
        <v>55197</v>
      </c>
      <c r="H10" s="39">
        <v>93631</v>
      </c>
      <c r="I10" s="40"/>
      <c r="J10" s="40"/>
      <c r="K10" s="41">
        <v>2257</v>
      </c>
      <c r="L10" s="40"/>
      <c r="M10" s="42">
        <v>11360</v>
      </c>
      <c r="N10" s="39">
        <v>36839</v>
      </c>
      <c r="O10" s="40"/>
      <c r="P10" s="40"/>
      <c r="Q10" s="41">
        <v>924</v>
      </c>
      <c r="R10" s="40"/>
      <c r="S10" s="42">
        <v>3488</v>
      </c>
    </row>
    <row r="11" spans="1:19" x14ac:dyDescent="0.2">
      <c r="A11" s="38">
        <v>2007</v>
      </c>
      <c r="B11" s="39">
        <v>243321</v>
      </c>
      <c r="C11" s="40"/>
      <c r="D11" s="40"/>
      <c r="E11" s="41">
        <v>6740</v>
      </c>
      <c r="F11" s="40"/>
      <c r="G11" s="42">
        <v>54879</v>
      </c>
      <c r="H11" s="39">
        <v>95014</v>
      </c>
      <c r="I11" s="40"/>
      <c r="J11" s="40"/>
      <c r="K11" s="41">
        <v>2304</v>
      </c>
      <c r="L11" s="40"/>
      <c r="M11" s="42">
        <v>11457</v>
      </c>
      <c r="N11" s="39">
        <v>37787</v>
      </c>
      <c r="O11" s="40"/>
      <c r="P11" s="40"/>
      <c r="Q11" s="41">
        <v>948</v>
      </c>
      <c r="R11" s="40"/>
      <c r="S11" s="42">
        <v>3572</v>
      </c>
    </row>
    <row r="12" spans="1:19" x14ac:dyDescent="0.2">
      <c r="A12" s="38">
        <v>2008</v>
      </c>
      <c r="B12" s="39">
        <v>240834</v>
      </c>
      <c r="C12" s="40"/>
      <c r="D12" s="40"/>
      <c r="E12" s="41">
        <v>6870</v>
      </c>
      <c r="F12" s="40"/>
      <c r="G12" s="42">
        <v>49738</v>
      </c>
      <c r="H12" s="39">
        <v>94137</v>
      </c>
      <c r="I12" s="40"/>
      <c r="J12" s="40"/>
      <c r="K12" s="41">
        <v>2304</v>
      </c>
      <c r="L12" s="40"/>
      <c r="M12" s="42">
        <v>10585</v>
      </c>
      <c r="N12" s="39">
        <v>38837</v>
      </c>
      <c r="O12" s="40"/>
      <c r="P12" s="40"/>
      <c r="Q12" s="41">
        <v>948</v>
      </c>
      <c r="R12" s="40"/>
      <c r="S12" s="42">
        <v>3502</v>
      </c>
    </row>
    <row r="13" spans="1:19" x14ac:dyDescent="0.2">
      <c r="A13" s="38">
        <v>2009</v>
      </c>
      <c r="B13" s="39">
        <v>230977</v>
      </c>
      <c r="C13" s="40"/>
      <c r="D13" s="40"/>
      <c r="E13" s="41">
        <v>6877</v>
      </c>
      <c r="F13" s="40"/>
      <c r="G13" s="42">
        <v>43493</v>
      </c>
      <c r="H13" s="39">
        <v>91098</v>
      </c>
      <c r="I13" s="40"/>
      <c r="J13" s="40"/>
      <c r="K13" s="41">
        <v>2287</v>
      </c>
      <c r="L13" s="40"/>
      <c r="M13" s="42">
        <v>8772</v>
      </c>
      <c r="N13" s="39">
        <v>36391</v>
      </c>
      <c r="O13" s="40"/>
      <c r="P13" s="40"/>
      <c r="Q13" s="41">
        <v>945</v>
      </c>
      <c r="R13" s="40"/>
      <c r="S13" s="42">
        <v>2627</v>
      </c>
    </row>
    <row r="14" spans="1:19" x14ac:dyDescent="0.2">
      <c r="A14" s="38">
        <v>2010</v>
      </c>
      <c r="B14" s="39">
        <v>242997</v>
      </c>
      <c r="C14" s="40"/>
      <c r="D14" s="40"/>
      <c r="E14" s="41">
        <v>6954</v>
      </c>
      <c r="F14" s="40"/>
      <c r="G14" s="42">
        <v>50879</v>
      </c>
      <c r="H14" s="39">
        <v>94978</v>
      </c>
      <c r="I14" s="40"/>
      <c r="J14" s="40"/>
      <c r="K14" s="41">
        <v>2317</v>
      </c>
      <c r="L14" s="40"/>
      <c r="M14" s="42">
        <v>11241</v>
      </c>
      <c r="N14" s="39">
        <v>35853</v>
      </c>
      <c r="O14" s="40"/>
      <c r="P14" s="40"/>
      <c r="Q14" s="41">
        <v>885</v>
      </c>
      <c r="R14" s="40"/>
      <c r="S14" s="42">
        <v>3754</v>
      </c>
    </row>
    <row r="15" spans="1:19" x14ac:dyDescent="0.2">
      <c r="A15" s="38">
        <v>2011</v>
      </c>
      <c r="B15" s="39">
        <v>230792</v>
      </c>
      <c r="C15" s="40"/>
      <c r="D15" s="40"/>
      <c r="E15" s="41">
        <v>6872</v>
      </c>
      <c r="F15" s="40"/>
      <c r="G15" s="42">
        <v>46387</v>
      </c>
      <c r="H15" s="39">
        <v>93137</v>
      </c>
      <c r="I15" s="40"/>
      <c r="J15" s="40"/>
      <c r="K15" s="41">
        <v>2274</v>
      </c>
      <c r="L15" s="40"/>
      <c r="M15" s="42">
        <v>10492</v>
      </c>
      <c r="N15" s="39">
        <v>36076</v>
      </c>
      <c r="O15" s="40"/>
      <c r="P15" s="40"/>
      <c r="Q15" s="41">
        <v>891</v>
      </c>
      <c r="R15" s="40"/>
      <c r="S15" s="42">
        <v>3299</v>
      </c>
    </row>
    <row r="16" spans="1:19" s="4" customFormat="1" x14ac:dyDescent="0.2">
      <c r="A16" s="38">
        <v>2012</v>
      </c>
      <c r="B16" s="39">
        <v>233933</v>
      </c>
      <c r="C16" s="40"/>
      <c r="D16" s="40"/>
      <c r="E16" s="41">
        <v>6873</v>
      </c>
      <c r="F16" s="40"/>
      <c r="G16" s="42">
        <v>46201</v>
      </c>
      <c r="H16" s="39">
        <v>96952</v>
      </c>
      <c r="I16" s="40"/>
      <c r="J16" s="40"/>
      <c r="K16" s="41">
        <v>2394</v>
      </c>
      <c r="L16" s="40"/>
      <c r="M16" s="42">
        <v>9877</v>
      </c>
      <c r="N16" s="39">
        <v>36364</v>
      </c>
      <c r="O16" s="40"/>
      <c r="P16" s="40"/>
      <c r="Q16" s="41">
        <v>922</v>
      </c>
      <c r="R16" s="40"/>
      <c r="S16" s="42">
        <v>2709</v>
      </c>
    </row>
    <row r="17" spans="1:21" ht="15" thickBot="1" x14ac:dyDescent="0.25">
      <c r="A17" s="30">
        <v>2013</v>
      </c>
      <c r="B17" s="43">
        <v>235912</v>
      </c>
      <c r="C17" s="44"/>
      <c r="D17" s="44"/>
      <c r="E17" s="45">
        <v>6905</v>
      </c>
      <c r="F17" s="44"/>
      <c r="G17" s="46">
        <v>45621</v>
      </c>
      <c r="H17" s="43">
        <v>101554</v>
      </c>
      <c r="I17" s="44"/>
      <c r="J17" s="44"/>
      <c r="K17" s="45">
        <v>2438</v>
      </c>
      <c r="L17" s="44"/>
      <c r="M17" s="46">
        <v>10528</v>
      </c>
      <c r="N17" s="43">
        <v>40807</v>
      </c>
      <c r="O17" s="44"/>
      <c r="P17" s="44"/>
      <c r="Q17" s="45">
        <v>1026</v>
      </c>
      <c r="R17" s="44"/>
      <c r="S17" s="46">
        <v>3349</v>
      </c>
    </row>
    <row r="18" spans="1:21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21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21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</row>
    <row r="21" spans="1:21" x14ac:dyDescent="0.2">
      <c r="A21" s="48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21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21" x14ac:dyDescent="0.2">
      <c r="A23" s="47"/>
      <c r="B23" s="47"/>
      <c r="C23" s="48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21" x14ac:dyDescent="0.2">
      <c r="A24" s="47"/>
      <c r="B24" s="47"/>
      <c r="C24" s="48"/>
      <c r="D24" s="47"/>
      <c r="E24" s="47"/>
      <c r="F24" s="47"/>
      <c r="G24" s="47"/>
      <c r="H24" s="47"/>
      <c r="I24" s="47"/>
      <c r="J24" s="47"/>
      <c r="K24" s="47"/>
      <c r="L24" s="47"/>
      <c r="P24" s="47"/>
      <c r="Q24" s="47"/>
      <c r="R24" s="47"/>
      <c r="S24" s="47"/>
      <c r="T24" s="47"/>
      <c r="U24" s="47"/>
    </row>
    <row r="25" spans="1:21" x14ac:dyDescent="0.2">
      <c r="A25" s="47"/>
      <c r="B25" s="47"/>
      <c r="F25" s="47"/>
      <c r="G25" s="49"/>
      <c r="H25" s="50"/>
      <c r="I25" s="47"/>
    </row>
    <row r="26" spans="1:21" x14ac:dyDescent="0.2">
      <c r="F26" s="1"/>
      <c r="G26" s="1"/>
      <c r="H26" s="1"/>
      <c r="I26" s="1"/>
    </row>
    <row r="27" spans="1:21" x14ac:dyDescent="0.2">
      <c r="F27" s="1"/>
      <c r="G27" s="1"/>
      <c r="H27" s="1"/>
      <c r="I27" s="1"/>
    </row>
    <row r="28" spans="1:21" x14ac:dyDescent="0.2">
      <c r="F28" s="1"/>
      <c r="G28" s="1"/>
      <c r="H28" s="1"/>
      <c r="I28" s="1"/>
    </row>
    <row r="29" spans="1:21" x14ac:dyDescent="0.2">
      <c r="F29" s="1"/>
      <c r="G29" s="1"/>
      <c r="H29" s="1"/>
      <c r="I29" s="1"/>
    </row>
    <row r="30" spans="1:21" x14ac:dyDescent="0.2">
      <c r="F30" s="1"/>
      <c r="G30" s="1"/>
      <c r="H30" s="1"/>
      <c r="I30" s="1"/>
    </row>
    <row r="31" spans="1:21" x14ac:dyDescent="0.2">
      <c r="F31" s="1"/>
      <c r="G31" s="1"/>
      <c r="H31" s="1"/>
      <c r="I31" s="1"/>
      <c r="J31" s="1"/>
      <c r="K31" s="1"/>
      <c r="L31" s="1"/>
      <c r="M31" s="1"/>
      <c r="N31" s="1"/>
    </row>
    <row r="32" spans="1:21" x14ac:dyDescent="0.2">
      <c r="F32" s="1"/>
      <c r="G32" s="1"/>
      <c r="H32" s="1"/>
      <c r="I32" s="1"/>
      <c r="J32" s="1"/>
      <c r="K32" s="1"/>
      <c r="L32" s="1"/>
      <c r="M32" s="1"/>
      <c r="N32" s="1"/>
    </row>
    <row r="33" spans="6:14" x14ac:dyDescent="0.2">
      <c r="F33" s="1"/>
      <c r="G33" s="1"/>
      <c r="H33" s="1"/>
      <c r="I33" s="1"/>
      <c r="J33" s="1"/>
      <c r="K33" s="1"/>
      <c r="L33" s="1"/>
      <c r="M33" s="1"/>
      <c r="N33" s="1"/>
    </row>
    <row r="34" spans="6:14" x14ac:dyDescent="0.2">
      <c r="F34" s="1"/>
      <c r="G34" s="1"/>
      <c r="H34" s="1"/>
      <c r="I34" s="1"/>
      <c r="J34" s="1"/>
      <c r="K34" s="1"/>
      <c r="L34" s="1"/>
      <c r="M34" s="1"/>
      <c r="N34" s="1"/>
    </row>
    <row r="35" spans="6:14" x14ac:dyDescent="0.2">
      <c r="F35" s="1"/>
      <c r="G35" s="1"/>
      <c r="H35" s="1"/>
      <c r="I35" s="1"/>
      <c r="J35" s="1"/>
      <c r="K35" s="1"/>
      <c r="L35" s="1"/>
      <c r="M35" s="1"/>
      <c r="N35" s="1"/>
    </row>
  </sheetData>
  <mergeCells count="3">
    <mergeCell ref="B2:G2"/>
    <mergeCell ref="H2:M2"/>
    <mergeCell ref="N2:S2"/>
  </mergeCells>
  <pageMargins left="0.7" right="0.7" top="0.75" bottom="0.75" header="0.3" footer="0.3"/>
  <pageSetup scale="60" fitToHeight="0" orientation="landscape"/>
  <ignoredErrors>
    <ignoredError sqref="G4:G5 M5 S5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zoomScale="85" zoomScaleNormal="85" zoomScalePageLayoutView="85" workbookViewId="0">
      <selection activeCell="X22" sqref="X22"/>
    </sheetView>
  </sheetViews>
  <sheetFormatPr defaultColWidth="8.6640625" defaultRowHeight="14.25" x14ac:dyDescent="0.2"/>
  <sheetData>
    <row r="1" spans="1:19" ht="15" thickBot="1" x14ac:dyDescent="0.25">
      <c r="A1" s="56" t="s">
        <v>13</v>
      </c>
    </row>
    <row r="2" spans="1:19" ht="15" thickBot="1" x14ac:dyDescent="0.25">
      <c r="A2" s="11"/>
      <c r="B2" s="81" t="s">
        <v>6</v>
      </c>
      <c r="C2" s="82"/>
      <c r="D2" s="82"/>
      <c r="E2" s="82"/>
      <c r="F2" s="82"/>
      <c r="G2" s="83"/>
      <c r="H2" s="81" t="s">
        <v>7</v>
      </c>
      <c r="I2" s="82"/>
      <c r="J2" s="82"/>
      <c r="K2" s="82"/>
      <c r="L2" s="82"/>
      <c r="M2" s="83"/>
      <c r="N2" s="81" t="s">
        <v>8</v>
      </c>
      <c r="O2" s="82"/>
      <c r="P2" s="82"/>
      <c r="Q2" s="82"/>
      <c r="R2" s="82"/>
      <c r="S2" s="83"/>
    </row>
    <row r="3" spans="1:19" ht="15" thickBot="1" x14ac:dyDescent="0.25">
      <c r="A3" s="13"/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10" t="s">
        <v>5</v>
      </c>
      <c r="H3" s="8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10" t="s">
        <v>5</v>
      </c>
      <c r="N3" s="8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</row>
    <row r="4" spans="1:19" x14ac:dyDescent="0.2">
      <c r="A4" s="2">
        <v>1963</v>
      </c>
      <c r="B4" s="14">
        <v>21000</v>
      </c>
      <c r="C4" s="15"/>
      <c r="D4" s="15"/>
      <c r="E4" s="22"/>
      <c r="F4" s="22"/>
      <c r="G4" s="25"/>
      <c r="H4" s="14">
        <v>11000</v>
      </c>
      <c r="I4" s="15"/>
      <c r="J4" s="15"/>
      <c r="K4" s="22"/>
      <c r="L4" s="22"/>
      <c r="M4" s="25"/>
      <c r="N4" s="14">
        <v>7000</v>
      </c>
      <c r="O4" s="15"/>
      <c r="P4" s="15"/>
      <c r="Q4" s="22"/>
      <c r="R4" s="22"/>
      <c r="S4" s="25"/>
    </row>
    <row r="5" spans="1:19" x14ac:dyDescent="0.2">
      <c r="A5" s="3">
        <v>1971</v>
      </c>
      <c r="B5" s="17">
        <v>23709</v>
      </c>
      <c r="C5" s="18"/>
      <c r="D5" s="18"/>
      <c r="E5" s="23"/>
      <c r="F5" s="23"/>
      <c r="G5" s="26"/>
      <c r="H5" s="17">
        <v>15190</v>
      </c>
      <c r="I5" s="18"/>
      <c r="J5" s="18"/>
      <c r="K5" s="23"/>
      <c r="L5" s="23"/>
      <c r="M5" s="26"/>
      <c r="N5" s="17">
        <v>8928</v>
      </c>
      <c r="O5" s="18"/>
      <c r="P5" s="18">
        <v>134</v>
      </c>
      <c r="Q5" s="23"/>
      <c r="R5" s="23"/>
      <c r="S5" s="26"/>
    </row>
    <row r="6" spans="1:19" x14ac:dyDescent="0.2">
      <c r="A6" s="3">
        <v>1980</v>
      </c>
      <c r="B6" s="17">
        <v>28867</v>
      </c>
      <c r="C6" s="18">
        <v>97</v>
      </c>
      <c r="D6" s="18">
        <v>687</v>
      </c>
      <c r="E6" s="23"/>
      <c r="F6" s="23"/>
      <c r="G6" s="26"/>
      <c r="H6" s="17">
        <v>16431</v>
      </c>
      <c r="I6" s="18">
        <f>8+14+8</f>
        <v>30</v>
      </c>
      <c r="J6" s="18">
        <v>232</v>
      </c>
      <c r="K6" s="23"/>
      <c r="L6" s="23"/>
      <c r="M6" s="26"/>
      <c r="N6" s="17">
        <v>8994</v>
      </c>
      <c r="O6" s="18">
        <v>14</v>
      </c>
      <c r="P6" s="18">
        <v>124</v>
      </c>
      <c r="Q6" s="23"/>
      <c r="R6" s="23"/>
      <c r="S6" s="26"/>
    </row>
    <row r="7" spans="1:19" x14ac:dyDescent="0.2">
      <c r="A7" s="3">
        <v>1990</v>
      </c>
      <c r="B7" s="17">
        <v>35533</v>
      </c>
      <c r="C7" s="18">
        <v>122</v>
      </c>
      <c r="D7" s="18">
        <v>881</v>
      </c>
      <c r="E7" s="23"/>
      <c r="F7" s="23"/>
      <c r="G7" s="26"/>
      <c r="H7" s="17">
        <v>21396</v>
      </c>
      <c r="I7" s="18">
        <f>12+14+10</f>
        <v>36</v>
      </c>
      <c r="J7" s="18">
        <f>118+125+59</f>
        <v>302</v>
      </c>
      <c r="K7" s="23"/>
      <c r="L7" s="23"/>
      <c r="M7" s="26"/>
      <c r="N7" s="17">
        <v>10236</v>
      </c>
      <c r="O7" s="18">
        <v>14</v>
      </c>
      <c r="P7" s="18">
        <v>125</v>
      </c>
      <c r="Q7" s="23"/>
      <c r="R7" s="23"/>
      <c r="S7" s="26"/>
    </row>
    <row r="8" spans="1:19" x14ac:dyDescent="0.2">
      <c r="A8" s="3">
        <v>2000</v>
      </c>
      <c r="B8" s="17">
        <v>62098</v>
      </c>
      <c r="C8" s="18">
        <v>187</v>
      </c>
      <c r="D8" s="18">
        <v>1436</v>
      </c>
      <c r="E8" s="23"/>
      <c r="F8" s="23"/>
      <c r="G8" s="26"/>
      <c r="H8" s="17">
        <v>35518</v>
      </c>
      <c r="I8" s="18">
        <f>22+22+13</f>
        <v>57</v>
      </c>
      <c r="J8" s="18">
        <f>181+214+86</f>
        <v>481</v>
      </c>
      <c r="K8" s="23"/>
      <c r="L8" s="23"/>
      <c r="M8" s="26"/>
      <c r="N8" s="17">
        <v>18224</v>
      </c>
      <c r="O8" s="18">
        <v>22</v>
      </c>
      <c r="P8" s="18">
        <v>214</v>
      </c>
      <c r="Q8" s="23"/>
      <c r="R8" s="23"/>
      <c r="S8" s="26"/>
    </row>
    <row r="9" spans="1:19" x14ac:dyDescent="0.2">
      <c r="A9" s="3">
        <v>2005</v>
      </c>
      <c r="B9" s="17">
        <v>72364</v>
      </c>
      <c r="C9" s="18">
        <v>199</v>
      </c>
      <c r="D9" s="18">
        <v>1595</v>
      </c>
      <c r="E9" s="23"/>
      <c r="F9" s="23"/>
      <c r="G9" s="26"/>
      <c r="H9" s="17">
        <v>42644</v>
      </c>
      <c r="I9" s="18">
        <f>23+21+21</f>
        <v>65</v>
      </c>
      <c r="J9" s="18">
        <f>209+196+167</f>
        <v>572</v>
      </c>
      <c r="K9" s="23"/>
      <c r="L9" s="23"/>
      <c r="M9" s="26"/>
      <c r="N9" s="17">
        <v>16871</v>
      </c>
      <c r="O9" s="18">
        <v>21</v>
      </c>
      <c r="P9" s="18">
        <v>196</v>
      </c>
      <c r="Q9" s="23"/>
      <c r="R9" s="23"/>
      <c r="S9" s="26"/>
    </row>
    <row r="10" spans="1:19" x14ac:dyDescent="0.2">
      <c r="A10" s="3">
        <v>2006</v>
      </c>
      <c r="B10" s="17">
        <v>80945</v>
      </c>
      <c r="C10" s="18">
        <v>212</v>
      </c>
      <c r="D10" s="18">
        <v>1633</v>
      </c>
      <c r="E10" s="23"/>
      <c r="F10" s="23"/>
      <c r="G10" s="26"/>
      <c r="H10" s="17">
        <v>44655</v>
      </c>
      <c r="I10" s="18">
        <f>22+22+17</f>
        <v>61</v>
      </c>
      <c r="J10" s="18">
        <f>179+183+128</f>
        <v>490</v>
      </c>
      <c r="K10" s="23"/>
      <c r="L10" s="23"/>
      <c r="M10" s="26"/>
      <c r="N10" s="17">
        <v>19869</v>
      </c>
      <c r="O10" s="18">
        <v>22</v>
      </c>
      <c r="P10" s="18">
        <v>183</v>
      </c>
      <c r="Q10" s="23"/>
      <c r="R10" s="23"/>
      <c r="S10" s="26"/>
    </row>
    <row r="11" spans="1:19" x14ac:dyDescent="0.2">
      <c r="A11" s="3">
        <v>2007</v>
      </c>
      <c r="B11" s="17">
        <v>81934</v>
      </c>
      <c r="C11" s="18">
        <v>212</v>
      </c>
      <c r="D11" s="18">
        <v>1670</v>
      </c>
      <c r="E11" s="23"/>
      <c r="F11" s="23"/>
      <c r="G11" s="26"/>
      <c r="H11" s="17">
        <v>45528</v>
      </c>
      <c r="I11" s="18">
        <f>22+21+17</f>
        <v>60</v>
      </c>
      <c r="J11" s="18">
        <f>181+201+126</f>
        <v>508</v>
      </c>
      <c r="K11" s="23"/>
      <c r="L11" s="23"/>
      <c r="M11" s="26"/>
      <c r="N11" s="17">
        <v>18716</v>
      </c>
      <c r="O11" s="18">
        <v>21</v>
      </c>
      <c r="P11" s="18">
        <v>201</v>
      </c>
      <c r="Q11" s="23"/>
      <c r="R11" s="23"/>
      <c r="S11" s="26"/>
    </row>
    <row r="12" spans="1:19" x14ac:dyDescent="0.2">
      <c r="A12" s="3">
        <v>2008</v>
      </c>
      <c r="B12" s="17">
        <v>82533</v>
      </c>
      <c r="C12" s="18">
        <v>226</v>
      </c>
      <c r="D12" s="18">
        <v>1817</v>
      </c>
      <c r="E12" s="23"/>
      <c r="F12" s="23"/>
      <c r="G12" s="26"/>
      <c r="H12" s="17">
        <v>34003</v>
      </c>
      <c r="I12" s="18">
        <f>21+25+17</f>
        <v>63</v>
      </c>
      <c r="J12" s="18">
        <f>174+229+135</f>
        <v>538</v>
      </c>
      <c r="K12" s="23"/>
      <c r="L12" s="23"/>
      <c r="M12" s="26"/>
      <c r="N12" s="17">
        <v>19790</v>
      </c>
      <c r="O12" s="18">
        <v>25</v>
      </c>
      <c r="P12" s="18">
        <v>229</v>
      </c>
      <c r="Q12" s="23"/>
      <c r="R12" s="23"/>
      <c r="S12" s="26"/>
    </row>
    <row r="13" spans="1:19" x14ac:dyDescent="0.2">
      <c r="A13" s="3">
        <v>2009</v>
      </c>
      <c r="B13" s="17">
        <v>83152</v>
      </c>
      <c r="C13" s="18">
        <v>219</v>
      </c>
      <c r="D13" s="18">
        <v>1786</v>
      </c>
      <c r="E13" s="23"/>
      <c r="F13" s="23"/>
      <c r="G13" s="26"/>
      <c r="H13" s="17">
        <v>44833</v>
      </c>
      <c r="I13" s="18">
        <f>20+26+20</f>
        <v>66</v>
      </c>
      <c r="J13" s="18">
        <f>167+237+164</f>
        <v>568</v>
      </c>
      <c r="K13" s="23"/>
      <c r="L13" s="23"/>
      <c r="M13" s="26"/>
      <c r="N13" s="17">
        <v>20800</v>
      </c>
      <c r="O13" s="18">
        <v>26</v>
      </c>
      <c r="P13" s="18">
        <v>237</v>
      </c>
      <c r="Q13" s="23"/>
      <c r="R13" s="23"/>
      <c r="S13" s="26"/>
    </row>
    <row r="14" spans="1:19" x14ac:dyDescent="0.2">
      <c r="A14" s="3">
        <v>2010</v>
      </c>
      <c r="B14" s="17">
        <v>82890</v>
      </c>
      <c r="C14" s="18">
        <v>224</v>
      </c>
      <c r="D14" s="18">
        <v>1824</v>
      </c>
      <c r="E14" s="23"/>
      <c r="F14" s="23"/>
      <c r="G14" s="26"/>
      <c r="H14" s="17">
        <v>43134</v>
      </c>
      <c r="I14" s="18">
        <f>21+25+18</f>
        <v>64</v>
      </c>
      <c r="J14" s="18">
        <f>177+227+141</f>
        <v>545</v>
      </c>
      <c r="K14" s="23"/>
      <c r="L14" s="23"/>
      <c r="M14" s="26"/>
      <c r="N14" s="17">
        <v>18131</v>
      </c>
      <c r="O14" s="18">
        <v>25</v>
      </c>
      <c r="P14" s="18">
        <v>227</v>
      </c>
      <c r="Q14" s="23"/>
      <c r="R14" s="23"/>
      <c r="S14" s="26"/>
    </row>
    <row r="15" spans="1:19" x14ac:dyDescent="0.2">
      <c r="A15" s="3">
        <v>2011</v>
      </c>
      <c r="B15" s="17">
        <v>81586</v>
      </c>
      <c r="C15" s="18">
        <v>221</v>
      </c>
      <c r="D15" s="18">
        <v>1786</v>
      </c>
      <c r="E15" s="23"/>
      <c r="F15" s="23"/>
      <c r="G15" s="26"/>
      <c r="H15" s="17">
        <v>44796</v>
      </c>
      <c r="I15" s="18">
        <f>20+26+19</f>
        <v>65</v>
      </c>
      <c r="J15" s="18">
        <f>169+221+152</f>
        <v>542</v>
      </c>
      <c r="K15" s="23"/>
      <c r="L15" s="23"/>
      <c r="M15" s="26"/>
      <c r="N15" s="17">
        <v>21011</v>
      </c>
      <c r="O15" s="18">
        <v>26</v>
      </c>
      <c r="P15" s="18">
        <v>221</v>
      </c>
      <c r="Q15" s="23"/>
      <c r="R15" s="23"/>
      <c r="S15" s="26"/>
    </row>
    <row r="16" spans="1:19" s="4" customFormat="1" x14ac:dyDescent="0.2">
      <c r="A16" s="3">
        <v>2012</v>
      </c>
      <c r="B16" s="17">
        <v>81860</v>
      </c>
      <c r="C16" s="18">
        <v>222</v>
      </c>
      <c r="D16" s="18">
        <v>1790</v>
      </c>
      <c r="E16" s="23"/>
      <c r="F16" s="23"/>
      <c r="G16" s="26"/>
      <c r="H16" s="17">
        <v>45210</v>
      </c>
      <c r="I16" s="18">
        <f>20+26+20</f>
        <v>66</v>
      </c>
      <c r="J16" s="18">
        <f>169+219+158</f>
        <v>546</v>
      </c>
      <c r="K16" s="23"/>
      <c r="L16" s="23"/>
      <c r="M16" s="26"/>
      <c r="N16" s="17">
        <v>21115</v>
      </c>
      <c r="O16" s="18">
        <v>26</v>
      </c>
      <c r="P16" s="18">
        <v>219</v>
      </c>
      <c r="Q16" s="23"/>
      <c r="R16" s="23"/>
      <c r="S16" s="26"/>
    </row>
    <row r="17" spans="1:31" ht="15" thickBot="1" x14ac:dyDescent="0.25">
      <c r="A17" s="28">
        <v>2013</v>
      </c>
      <c r="B17" s="5">
        <v>85869</v>
      </c>
      <c r="C17" s="20">
        <v>218</v>
      </c>
      <c r="D17" s="20">
        <v>1755</v>
      </c>
      <c r="E17" s="24"/>
      <c r="F17" s="24"/>
      <c r="G17" s="27"/>
      <c r="H17" s="5">
        <v>46040</v>
      </c>
      <c r="I17" s="20">
        <f>I24+I25</f>
        <v>62</v>
      </c>
      <c r="J17" s="20">
        <f>J24+J25</f>
        <v>513</v>
      </c>
      <c r="K17" s="24"/>
      <c r="L17" s="24"/>
      <c r="M17" s="27"/>
      <c r="N17" s="5">
        <v>22671</v>
      </c>
      <c r="O17" s="20">
        <v>26</v>
      </c>
      <c r="P17" s="20">
        <f>P24+P25</f>
        <v>218</v>
      </c>
      <c r="Q17" s="24"/>
      <c r="R17" s="24"/>
      <c r="S17" s="27"/>
    </row>
    <row r="18" spans="1:31" x14ac:dyDescent="0.2">
      <c r="H18" s="1"/>
    </row>
    <row r="19" spans="1:31" x14ac:dyDescent="0.2">
      <c r="A19">
        <v>2012</v>
      </c>
      <c r="H19" s="1"/>
    </row>
    <row r="20" spans="1:31" x14ac:dyDescent="0.2">
      <c r="A20" t="s">
        <v>25</v>
      </c>
      <c r="B20" s="1">
        <f>D53+G53</f>
        <v>71602</v>
      </c>
      <c r="C20" s="1">
        <f>B53+E53</f>
        <v>171</v>
      </c>
      <c r="D20" s="1">
        <f>C53+F53</f>
        <v>1465</v>
      </c>
      <c r="H20" s="1">
        <f>D54+G54</f>
        <v>43071</v>
      </c>
      <c r="I20" s="1">
        <f>B54+E54</f>
        <v>57</v>
      </c>
      <c r="J20" s="1">
        <f>C54+F54</f>
        <v>488</v>
      </c>
      <c r="N20" s="1">
        <f>D55+G55</f>
        <v>19790</v>
      </c>
      <c r="O20" s="1">
        <f>B55+E55</f>
        <v>21</v>
      </c>
      <c r="P20" s="1">
        <f>C55+F55</f>
        <v>186</v>
      </c>
    </row>
    <row r="21" spans="1:31" x14ac:dyDescent="0.2">
      <c r="A21" t="s">
        <v>26</v>
      </c>
      <c r="B21" s="1">
        <f>J53</f>
        <v>10258</v>
      </c>
      <c r="C21" s="1">
        <f>H53</f>
        <v>51</v>
      </c>
      <c r="D21" s="1">
        <f>I53</f>
        <v>325</v>
      </c>
      <c r="H21" s="1">
        <f>J54</f>
        <v>2139</v>
      </c>
      <c r="I21" s="1">
        <f>H54</f>
        <v>9</v>
      </c>
      <c r="J21" s="1">
        <f>I54</f>
        <v>58</v>
      </c>
      <c r="N21" s="1">
        <f>J55</f>
        <v>1325</v>
      </c>
      <c r="O21" s="1">
        <f>H55</f>
        <v>5</v>
      </c>
      <c r="P21" s="1">
        <f>I55</f>
        <v>33</v>
      </c>
      <c r="U21" s="1"/>
      <c r="V21" s="1"/>
      <c r="W21" s="1"/>
    </row>
    <row r="22" spans="1:31" x14ac:dyDescent="0.2">
      <c r="U22" s="1"/>
      <c r="V22" s="1"/>
      <c r="W22" s="1"/>
    </row>
    <row r="23" spans="1:31" x14ac:dyDescent="0.2">
      <c r="A23">
        <v>2013</v>
      </c>
    </row>
    <row r="24" spans="1:31" x14ac:dyDescent="0.2">
      <c r="A24" t="s">
        <v>25</v>
      </c>
      <c r="B24" s="1">
        <f>R53+U53</f>
        <v>75305</v>
      </c>
      <c r="C24" s="1">
        <f>P53+S53</f>
        <v>166</v>
      </c>
      <c r="D24" s="1">
        <f>Q53+T53</f>
        <v>1424</v>
      </c>
      <c r="H24" s="1">
        <f>R54+U54</f>
        <v>44063</v>
      </c>
      <c r="I24" s="1">
        <f>P54+S54</f>
        <v>53</v>
      </c>
      <c r="J24" s="1">
        <f>Q54+T54</f>
        <v>455</v>
      </c>
      <c r="N24" s="1">
        <f>R55+U55</f>
        <v>21500</v>
      </c>
      <c r="O24" s="1">
        <f>P55+S55</f>
        <v>21</v>
      </c>
      <c r="P24" s="1">
        <f>Q55+T55</f>
        <v>185</v>
      </c>
    </row>
    <row r="25" spans="1:31" x14ac:dyDescent="0.2">
      <c r="A25" t="s">
        <v>26</v>
      </c>
      <c r="B25" s="1">
        <f>X53</f>
        <v>10564</v>
      </c>
      <c r="C25" s="1">
        <f>V53</f>
        <v>52</v>
      </c>
      <c r="D25" s="1">
        <f>W53</f>
        <v>331</v>
      </c>
      <c r="H25" s="1">
        <f>X54</f>
        <v>1977</v>
      </c>
      <c r="I25" s="1">
        <f>V54</f>
        <v>9</v>
      </c>
      <c r="J25" s="1">
        <f>W54</f>
        <v>58</v>
      </c>
      <c r="N25" s="1">
        <f>X55</f>
        <v>1171</v>
      </c>
      <c r="O25" s="1">
        <f>V55</f>
        <v>5</v>
      </c>
      <c r="P25" s="1">
        <f>W55</f>
        <v>33</v>
      </c>
    </row>
    <row r="27" spans="1:31" ht="15" thickBot="1" x14ac:dyDescent="0.25">
      <c r="A27">
        <v>2012</v>
      </c>
      <c r="L27" s="47"/>
      <c r="O27">
        <v>2013</v>
      </c>
      <c r="Z27" s="47"/>
      <c r="AC27" t="s">
        <v>71</v>
      </c>
    </row>
    <row r="28" spans="1:31" ht="15" thickBot="1" x14ac:dyDescent="0.25">
      <c r="A28" s="59"/>
      <c r="B28" s="78" t="s">
        <v>51</v>
      </c>
      <c r="C28" s="79"/>
      <c r="D28" s="80"/>
      <c r="E28" s="78" t="s">
        <v>52</v>
      </c>
      <c r="F28" s="79"/>
      <c r="G28" s="80"/>
      <c r="H28" s="78" t="s">
        <v>53</v>
      </c>
      <c r="I28" s="79"/>
      <c r="J28" s="80"/>
      <c r="K28" s="78" t="s">
        <v>54</v>
      </c>
      <c r="L28" s="79"/>
      <c r="M28" s="80"/>
      <c r="O28" s="59"/>
      <c r="P28" s="78" t="s">
        <v>51</v>
      </c>
      <c r="Q28" s="79"/>
      <c r="R28" s="80"/>
      <c r="S28" s="78" t="s">
        <v>52</v>
      </c>
      <c r="T28" s="79"/>
      <c r="U28" s="80"/>
      <c r="V28" s="78" t="s">
        <v>53</v>
      </c>
      <c r="W28" s="79"/>
      <c r="X28" s="80"/>
      <c r="Y28" s="78" t="s">
        <v>54</v>
      </c>
      <c r="Z28" s="79"/>
      <c r="AA28" s="80"/>
      <c r="AC28" t="s">
        <v>51</v>
      </c>
      <c r="AD28" t="s">
        <v>70</v>
      </c>
      <c r="AE28" t="s">
        <v>53</v>
      </c>
    </row>
    <row r="29" spans="1:31" x14ac:dyDescent="0.2">
      <c r="A29" s="12" t="s">
        <v>27</v>
      </c>
      <c r="B29" s="17">
        <v>3</v>
      </c>
      <c r="C29" s="18">
        <v>25</v>
      </c>
      <c r="D29" s="42">
        <v>445</v>
      </c>
      <c r="E29" s="57">
        <v>2</v>
      </c>
      <c r="F29" s="58">
        <v>17</v>
      </c>
      <c r="G29" s="42">
        <v>34</v>
      </c>
      <c r="H29" s="57">
        <v>1</v>
      </c>
      <c r="I29" s="58">
        <v>7</v>
      </c>
      <c r="J29" s="42">
        <v>133</v>
      </c>
      <c r="K29" s="57">
        <v>6</v>
      </c>
      <c r="L29" s="58">
        <v>49</v>
      </c>
      <c r="M29" s="42">
        <v>612</v>
      </c>
      <c r="O29" s="12" t="s">
        <v>27</v>
      </c>
      <c r="P29" s="17">
        <v>3</v>
      </c>
      <c r="Q29" s="18">
        <v>25</v>
      </c>
      <c r="R29" s="42">
        <v>318</v>
      </c>
      <c r="S29" s="57">
        <v>2</v>
      </c>
      <c r="T29" s="58">
        <v>17</v>
      </c>
      <c r="U29" s="42">
        <v>34</v>
      </c>
      <c r="V29" s="57">
        <v>1</v>
      </c>
      <c r="W29" s="58">
        <v>7</v>
      </c>
      <c r="X29" s="42">
        <v>145</v>
      </c>
      <c r="Y29" s="57">
        <v>6</v>
      </c>
      <c r="Z29" s="58">
        <v>49</v>
      </c>
      <c r="AA29" s="42">
        <v>497</v>
      </c>
      <c r="AC29" s="74">
        <f>Q29/P29</f>
        <v>8.3333333333333339</v>
      </c>
      <c r="AD29" s="74">
        <f>T29/S29</f>
        <v>8.5</v>
      </c>
      <c r="AE29" s="74">
        <f>Z29/Y29</f>
        <v>8.1666666666666661</v>
      </c>
    </row>
    <row r="30" spans="1:31" x14ac:dyDescent="0.2">
      <c r="A30" s="12" t="s">
        <v>28</v>
      </c>
      <c r="B30" s="17">
        <v>2</v>
      </c>
      <c r="C30" s="18">
        <v>18</v>
      </c>
      <c r="D30" s="42">
        <v>533</v>
      </c>
      <c r="E30" s="17">
        <v>0</v>
      </c>
      <c r="F30" s="18">
        <v>0</v>
      </c>
      <c r="G30" s="19">
        <v>0</v>
      </c>
      <c r="H30" s="17">
        <v>1</v>
      </c>
      <c r="I30" s="18">
        <v>5</v>
      </c>
      <c r="J30" s="19">
        <v>130</v>
      </c>
      <c r="K30" s="17">
        <v>3</v>
      </c>
      <c r="L30" s="18">
        <v>23</v>
      </c>
      <c r="M30" s="19">
        <v>663</v>
      </c>
      <c r="O30" s="12" t="s">
        <v>28</v>
      </c>
      <c r="P30" s="17">
        <v>2</v>
      </c>
      <c r="Q30" s="18">
        <v>18</v>
      </c>
      <c r="R30" s="42">
        <v>107</v>
      </c>
      <c r="S30" s="17">
        <v>0</v>
      </c>
      <c r="T30" s="18">
        <v>0</v>
      </c>
      <c r="U30" s="19">
        <v>0</v>
      </c>
      <c r="V30" s="17">
        <v>1</v>
      </c>
      <c r="W30" s="18">
        <v>5</v>
      </c>
      <c r="X30" s="19">
        <v>120</v>
      </c>
      <c r="Y30" s="17">
        <v>3</v>
      </c>
      <c r="Z30" s="18">
        <v>23</v>
      </c>
      <c r="AA30" s="19">
        <v>227</v>
      </c>
      <c r="AC30" s="74">
        <f t="shared" ref="AC30:AC52" si="0">Q30/P30</f>
        <v>9</v>
      </c>
      <c r="AD30" s="74" t="e">
        <f t="shared" ref="AD30:AD52" si="1">T30/S30</f>
        <v>#DIV/0!</v>
      </c>
      <c r="AE30" s="74">
        <f t="shared" ref="AE30:AE52" si="2">Z30/Y30</f>
        <v>7.666666666666667</v>
      </c>
    </row>
    <row r="31" spans="1:31" x14ac:dyDescent="0.2">
      <c r="A31" s="12" t="s">
        <v>29</v>
      </c>
      <c r="B31" s="17">
        <v>2</v>
      </c>
      <c r="C31" s="18">
        <v>17</v>
      </c>
      <c r="D31" s="42">
        <v>70</v>
      </c>
      <c r="E31" s="17">
        <v>0</v>
      </c>
      <c r="F31" s="18">
        <v>0</v>
      </c>
      <c r="G31" s="19">
        <v>0</v>
      </c>
      <c r="H31" s="17">
        <v>0</v>
      </c>
      <c r="I31" s="18">
        <v>0</v>
      </c>
      <c r="J31" s="19">
        <v>0</v>
      </c>
      <c r="K31" s="17">
        <v>2</v>
      </c>
      <c r="L31" s="18">
        <v>17</v>
      </c>
      <c r="M31" s="19">
        <v>70</v>
      </c>
      <c r="O31" s="12" t="s">
        <v>29</v>
      </c>
      <c r="P31" s="17">
        <v>2</v>
      </c>
      <c r="Q31" s="18">
        <v>17</v>
      </c>
      <c r="R31" s="42">
        <v>106</v>
      </c>
      <c r="S31" s="17">
        <v>0</v>
      </c>
      <c r="T31" s="18">
        <v>0</v>
      </c>
      <c r="U31" s="19">
        <v>0</v>
      </c>
      <c r="V31" s="17">
        <v>0</v>
      </c>
      <c r="W31" s="18">
        <v>0</v>
      </c>
      <c r="X31" s="19">
        <v>0</v>
      </c>
      <c r="Y31" s="17">
        <v>2</v>
      </c>
      <c r="Z31" s="18">
        <v>17</v>
      </c>
      <c r="AA31" s="19">
        <v>106</v>
      </c>
      <c r="AC31" s="74">
        <f t="shared" si="0"/>
        <v>8.5</v>
      </c>
      <c r="AD31" s="74" t="e">
        <f t="shared" si="1"/>
        <v>#DIV/0!</v>
      </c>
      <c r="AE31" s="74">
        <f t="shared" si="2"/>
        <v>8.5</v>
      </c>
    </row>
    <row r="32" spans="1:31" x14ac:dyDescent="0.2">
      <c r="A32" s="12" t="s">
        <v>30</v>
      </c>
      <c r="B32" s="17">
        <v>0</v>
      </c>
      <c r="C32" s="18">
        <v>0</v>
      </c>
      <c r="D32" s="19">
        <v>0</v>
      </c>
      <c r="E32" s="17">
        <v>0</v>
      </c>
      <c r="F32" s="18">
        <v>0</v>
      </c>
      <c r="G32" s="19">
        <v>0</v>
      </c>
      <c r="H32" s="17">
        <v>0</v>
      </c>
      <c r="I32" s="18">
        <v>0</v>
      </c>
      <c r="J32" s="19">
        <v>0</v>
      </c>
      <c r="K32" s="17">
        <v>0</v>
      </c>
      <c r="L32" s="18">
        <v>0</v>
      </c>
      <c r="M32" s="19">
        <v>0</v>
      </c>
      <c r="O32" s="12" t="s">
        <v>30</v>
      </c>
      <c r="P32" s="17">
        <v>0</v>
      </c>
      <c r="Q32" s="18">
        <v>0</v>
      </c>
      <c r="R32" s="19">
        <v>0</v>
      </c>
      <c r="S32" s="17">
        <v>0</v>
      </c>
      <c r="T32" s="18">
        <v>0</v>
      </c>
      <c r="U32" s="19">
        <v>0</v>
      </c>
      <c r="V32" s="17">
        <v>0</v>
      </c>
      <c r="W32" s="18">
        <v>0</v>
      </c>
      <c r="X32" s="19">
        <v>0</v>
      </c>
      <c r="Y32" s="17">
        <v>0</v>
      </c>
      <c r="Z32" s="18">
        <v>0</v>
      </c>
      <c r="AA32" s="19">
        <v>0</v>
      </c>
      <c r="AC32" s="74" t="e">
        <f t="shared" si="0"/>
        <v>#DIV/0!</v>
      </c>
      <c r="AD32" s="74" t="e">
        <f t="shared" si="1"/>
        <v>#DIV/0!</v>
      </c>
      <c r="AE32" s="74" t="e">
        <f t="shared" si="2"/>
        <v>#DIV/0!</v>
      </c>
    </row>
    <row r="33" spans="1:31" x14ac:dyDescent="0.2">
      <c r="A33" s="12" t="s">
        <v>31</v>
      </c>
      <c r="B33" s="17">
        <v>0</v>
      </c>
      <c r="C33" s="18">
        <v>0</v>
      </c>
      <c r="D33" s="19">
        <v>0</v>
      </c>
      <c r="E33" s="17">
        <v>0</v>
      </c>
      <c r="F33" s="18">
        <v>0</v>
      </c>
      <c r="G33" s="19">
        <v>0</v>
      </c>
      <c r="H33" s="17">
        <v>0</v>
      </c>
      <c r="I33" s="18">
        <v>0</v>
      </c>
      <c r="J33" s="19">
        <v>0</v>
      </c>
      <c r="K33" s="17">
        <v>0</v>
      </c>
      <c r="L33" s="18">
        <v>0</v>
      </c>
      <c r="M33" s="19">
        <v>0</v>
      </c>
      <c r="O33" s="12" t="s">
        <v>31</v>
      </c>
      <c r="P33" s="17">
        <v>0</v>
      </c>
      <c r="Q33" s="18">
        <v>0</v>
      </c>
      <c r="R33" s="19">
        <v>0</v>
      </c>
      <c r="S33" s="17">
        <v>0</v>
      </c>
      <c r="T33" s="18">
        <v>0</v>
      </c>
      <c r="U33" s="19">
        <v>0</v>
      </c>
      <c r="V33" s="17">
        <v>0</v>
      </c>
      <c r="W33" s="18">
        <v>0</v>
      </c>
      <c r="X33" s="19">
        <v>0</v>
      </c>
      <c r="Y33" s="17">
        <v>0</v>
      </c>
      <c r="Z33" s="18">
        <v>0</v>
      </c>
      <c r="AA33" s="19">
        <v>0</v>
      </c>
      <c r="AC33" s="74" t="e">
        <f t="shared" si="0"/>
        <v>#DIV/0!</v>
      </c>
      <c r="AD33" s="74" t="e">
        <f t="shared" si="1"/>
        <v>#DIV/0!</v>
      </c>
      <c r="AE33" s="74" t="e">
        <f t="shared" si="2"/>
        <v>#DIV/0!</v>
      </c>
    </row>
    <row r="34" spans="1:31" x14ac:dyDescent="0.2">
      <c r="A34" s="12" t="s">
        <v>32</v>
      </c>
      <c r="B34" s="17">
        <v>4</v>
      </c>
      <c r="C34" s="18">
        <v>34</v>
      </c>
      <c r="D34" s="19">
        <v>768</v>
      </c>
      <c r="E34" s="17">
        <v>2</v>
      </c>
      <c r="F34" s="18">
        <v>17</v>
      </c>
      <c r="G34" s="19">
        <v>301</v>
      </c>
      <c r="H34" s="17">
        <v>0</v>
      </c>
      <c r="I34" s="18">
        <v>0</v>
      </c>
      <c r="J34" s="19">
        <v>0</v>
      </c>
      <c r="K34" s="17">
        <v>6</v>
      </c>
      <c r="L34" s="18">
        <v>51</v>
      </c>
      <c r="M34" s="19">
        <v>1069</v>
      </c>
      <c r="O34" s="12" t="s">
        <v>32</v>
      </c>
      <c r="P34" s="17">
        <v>4</v>
      </c>
      <c r="Q34" s="18">
        <v>34</v>
      </c>
      <c r="R34" s="19">
        <v>759</v>
      </c>
      <c r="S34" s="17">
        <v>2</v>
      </c>
      <c r="T34" s="18">
        <v>17</v>
      </c>
      <c r="U34" s="19">
        <v>300</v>
      </c>
      <c r="V34" s="17">
        <v>0</v>
      </c>
      <c r="W34" s="18">
        <v>0</v>
      </c>
      <c r="X34" s="19">
        <v>0</v>
      </c>
      <c r="Y34" s="17">
        <v>6</v>
      </c>
      <c r="Z34" s="18">
        <v>51</v>
      </c>
      <c r="AA34" s="19">
        <v>1059</v>
      </c>
      <c r="AB34" s="1"/>
      <c r="AC34" s="74">
        <f t="shared" si="0"/>
        <v>8.5</v>
      </c>
      <c r="AD34" s="74">
        <f t="shared" si="1"/>
        <v>8.5</v>
      </c>
      <c r="AE34" s="74">
        <f t="shared" si="2"/>
        <v>8.5</v>
      </c>
    </row>
    <row r="35" spans="1:31" x14ac:dyDescent="0.2">
      <c r="A35" s="12" t="s">
        <v>33</v>
      </c>
      <c r="B35" s="17">
        <v>8</v>
      </c>
      <c r="C35" s="18">
        <v>75</v>
      </c>
      <c r="D35" s="19">
        <v>2895</v>
      </c>
      <c r="E35" s="17">
        <v>4</v>
      </c>
      <c r="F35" s="18">
        <v>33</v>
      </c>
      <c r="G35" s="19">
        <v>1399</v>
      </c>
      <c r="H35" s="17">
        <v>2</v>
      </c>
      <c r="I35" s="18">
        <v>13</v>
      </c>
      <c r="J35" s="19">
        <v>192</v>
      </c>
      <c r="K35" s="17">
        <v>14</v>
      </c>
      <c r="L35" s="18">
        <v>121</v>
      </c>
      <c r="M35" s="19">
        <v>4486</v>
      </c>
      <c r="O35" s="12" t="s">
        <v>33</v>
      </c>
      <c r="P35" s="17">
        <v>7</v>
      </c>
      <c r="Q35" s="18">
        <v>67</v>
      </c>
      <c r="R35" s="19">
        <v>2545</v>
      </c>
      <c r="S35" s="17">
        <v>4</v>
      </c>
      <c r="T35" s="18">
        <v>33</v>
      </c>
      <c r="U35" s="19">
        <v>2065</v>
      </c>
      <c r="V35" s="17">
        <v>2</v>
      </c>
      <c r="W35" s="18">
        <v>13</v>
      </c>
      <c r="X35" s="19">
        <v>222</v>
      </c>
      <c r="Y35" s="17">
        <v>13</v>
      </c>
      <c r="Z35" s="18">
        <v>113</v>
      </c>
      <c r="AA35" s="19">
        <v>4832</v>
      </c>
      <c r="AB35" s="1"/>
      <c r="AC35" s="74">
        <f t="shared" si="0"/>
        <v>9.5714285714285712</v>
      </c>
      <c r="AD35" s="74">
        <f t="shared" si="1"/>
        <v>8.25</v>
      </c>
      <c r="AE35" s="74">
        <f t="shared" si="2"/>
        <v>8.6923076923076916</v>
      </c>
    </row>
    <row r="36" spans="1:31" x14ac:dyDescent="0.2">
      <c r="A36" s="12" t="s">
        <v>34</v>
      </c>
      <c r="B36" s="17">
        <v>13</v>
      </c>
      <c r="C36" s="18">
        <v>113</v>
      </c>
      <c r="D36" s="19">
        <v>7851</v>
      </c>
      <c r="E36" s="17">
        <v>5</v>
      </c>
      <c r="F36" s="18">
        <v>44</v>
      </c>
      <c r="G36" s="19">
        <v>4222</v>
      </c>
      <c r="H36" s="17">
        <v>2</v>
      </c>
      <c r="I36" s="18">
        <v>12</v>
      </c>
      <c r="J36" s="19">
        <v>277</v>
      </c>
      <c r="K36" s="17">
        <v>20</v>
      </c>
      <c r="L36" s="18">
        <v>169</v>
      </c>
      <c r="M36" s="19">
        <v>12350</v>
      </c>
      <c r="O36" s="12" t="s">
        <v>34</v>
      </c>
      <c r="P36" s="17">
        <v>13</v>
      </c>
      <c r="Q36" s="18">
        <v>113</v>
      </c>
      <c r="R36" s="19">
        <v>9484</v>
      </c>
      <c r="S36" s="17">
        <v>4</v>
      </c>
      <c r="T36" s="18">
        <v>35</v>
      </c>
      <c r="U36" s="19">
        <v>3783</v>
      </c>
      <c r="V36" s="17">
        <v>2</v>
      </c>
      <c r="W36" s="18">
        <v>12</v>
      </c>
      <c r="X36" s="19">
        <v>296</v>
      </c>
      <c r="Y36" s="17">
        <v>19</v>
      </c>
      <c r="Z36" s="18">
        <v>160</v>
      </c>
      <c r="AA36" s="19">
        <v>13563</v>
      </c>
      <c r="AB36" s="1"/>
      <c r="AC36" s="74">
        <f t="shared" si="0"/>
        <v>8.6923076923076916</v>
      </c>
      <c r="AD36" s="74">
        <f t="shared" si="1"/>
        <v>8.75</v>
      </c>
      <c r="AE36" s="74">
        <f t="shared" si="2"/>
        <v>8.4210526315789469</v>
      </c>
    </row>
    <row r="37" spans="1:31" x14ac:dyDescent="0.2">
      <c r="A37" s="12" t="s">
        <v>35</v>
      </c>
      <c r="B37" s="17">
        <v>14</v>
      </c>
      <c r="C37" s="18">
        <v>124</v>
      </c>
      <c r="D37" s="19">
        <v>12832</v>
      </c>
      <c r="E37" s="17">
        <v>7</v>
      </c>
      <c r="F37" s="18">
        <v>62</v>
      </c>
      <c r="G37" s="19">
        <v>6958</v>
      </c>
      <c r="H37" s="17">
        <v>5</v>
      </c>
      <c r="I37" s="18">
        <v>33</v>
      </c>
      <c r="J37" s="19">
        <v>1325</v>
      </c>
      <c r="K37" s="17">
        <v>26</v>
      </c>
      <c r="L37" s="18">
        <v>219</v>
      </c>
      <c r="M37" s="19">
        <v>21115</v>
      </c>
      <c r="O37" s="12" t="s">
        <v>35</v>
      </c>
      <c r="P37" s="17">
        <v>13</v>
      </c>
      <c r="Q37" s="18">
        <v>114</v>
      </c>
      <c r="R37" s="19">
        <v>12855</v>
      </c>
      <c r="S37" s="17">
        <v>8</v>
      </c>
      <c r="T37" s="18">
        <v>71</v>
      </c>
      <c r="U37" s="19">
        <v>8645</v>
      </c>
      <c r="V37" s="17">
        <v>5</v>
      </c>
      <c r="W37" s="18">
        <v>33</v>
      </c>
      <c r="X37" s="19">
        <v>1171</v>
      </c>
      <c r="Y37" s="17">
        <v>26</v>
      </c>
      <c r="Z37" s="18">
        <v>218</v>
      </c>
      <c r="AA37" s="19">
        <v>22671</v>
      </c>
      <c r="AB37" s="1"/>
      <c r="AC37" s="74">
        <f t="shared" si="0"/>
        <v>8.7692307692307701</v>
      </c>
      <c r="AD37" s="74">
        <f t="shared" si="1"/>
        <v>8.875</v>
      </c>
      <c r="AE37" s="74">
        <f t="shared" si="2"/>
        <v>8.384615384615385</v>
      </c>
    </row>
    <row r="38" spans="1:31" x14ac:dyDescent="0.2">
      <c r="A38" s="12" t="s">
        <v>36</v>
      </c>
      <c r="B38" s="17">
        <v>14</v>
      </c>
      <c r="C38" s="18">
        <v>113</v>
      </c>
      <c r="D38" s="19">
        <v>8109</v>
      </c>
      <c r="E38" s="17">
        <v>4</v>
      </c>
      <c r="F38" s="18">
        <v>32</v>
      </c>
      <c r="G38" s="19">
        <v>3099</v>
      </c>
      <c r="H38" s="17">
        <v>2</v>
      </c>
      <c r="I38" s="18">
        <v>13</v>
      </c>
      <c r="J38" s="19">
        <v>537</v>
      </c>
      <c r="K38" s="17">
        <v>20</v>
      </c>
      <c r="L38" s="18">
        <v>158</v>
      </c>
      <c r="M38" s="19">
        <v>11745</v>
      </c>
      <c r="O38" s="12" t="s">
        <v>36</v>
      </c>
      <c r="P38" s="17">
        <v>11</v>
      </c>
      <c r="Q38" s="18">
        <v>90</v>
      </c>
      <c r="R38" s="19">
        <v>6049</v>
      </c>
      <c r="S38" s="17">
        <v>4</v>
      </c>
      <c r="T38" s="18">
        <v>32</v>
      </c>
      <c r="U38" s="19">
        <v>3247</v>
      </c>
      <c r="V38" s="17">
        <v>2</v>
      </c>
      <c r="W38" s="18">
        <v>13</v>
      </c>
      <c r="X38" s="19">
        <v>510</v>
      </c>
      <c r="Y38" s="17">
        <v>17</v>
      </c>
      <c r="Z38" s="18">
        <v>135</v>
      </c>
      <c r="AA38" s="19">
        <v>9806</v>
      </c>
      <c r="AB38" s="1"/>
      <c r="AC38" s="74">
        <f t="shared" si="0"/>
        <v>8.1818181818181817</v>
      </c>
      <c r="AD38" s="74">
        <f t="shared" si="1"/>
        <v>8</v>
      </c>
      <c r="AE38" s="74">
        <f t="shared" si="2"/>
        <v>7.9411764705882355</v>
      </c>
    </row>
    <row r="39" spans="1:31" x14ac:dyDescent="0.2">
      <c r="A39" s="12" t="s">
        <v>37</v>
      </c>
      <c r="B39" s="17">
        <v>6</v>
      </c>
      <c r="C39" s="18">
        <v>45</v>
      </c>
      <c r="D39" s="19">
        <v>2387</v>
      </c>
      <c r="E39" s="17">
        <v>3</v>
      </c>
      <c r="F39" s="18">
        <v>23</v>
      </c>
      <c r="G39" s="19">
        <v>938</v>
      </c>
      <c r="H39" s="17">
        <v>2</v>
      </c>
      <c r="I39" s="18">
        <v>14</v>
      </c>
      <c r="J39" s="19">
        <v>570</v>
      </c>
      <c r="K39" s="17">
        <v>11</v>
      </c>
      <c r="L39" s="18">
        <v>82</v>
      </c>
      <c r="M39" s="19">
        <v>3895</v>
      </c>
      <c r="O39" s="12" t="s">
        <v>37</v>
      </c>
      <c r="P39" s="17">
        <v>6</v>
      </c>
      <c r="Q39" s="18">
        <v>45</v>
      </c>
      <c r="R39" s="19">
        <v>2681</v>
      </c>
      <c r="S39" s="17">
        <v>3</v>
      </c>
      <c r="T39" s="18">
        <v>23</v>
      </c>
      <c r="U39" s="19">
        <v>1182</v>
      </c>
      <c r="V39" s="17">
        <v>2</v>
      </c>
      <c r="W39" s="18">
        <v>14</v>
      </c>
      <c r="X39" s="19">
        <v>587</v>
      </c>
      <c r="Y39" s="17">
        <v>11</v>
      </c>
      <c r="Z39" s="18">
        <v>82</v>
      </c>
      <c r="AA39" s="19">
        <v>4450</v>
      </c>
      <c r="AB39" s="1"/>
      <c r="AC39" s="74">
        <f t="shared" si="0"/>
        <v>7.5</v>
      </c>
      <c r="AD39" s="74">
        <f t="shared" si="1"/>
        <v>7.666666666666667</v>
      </c>
      <c r="AE39" s="74">
        <f t="shared" si="2"/>
        <v>7.4545454545454541</v>
      </c>
    </row>
    <row r="40" spans="1:31" x14ac:dyDescent="0.2">
      <c r="A40" s="12" t="s">
        <v>38</v>
      </c>
      <c r="B40" s="17">
        <v>3</v>
      </c>
      <c r="C40" s="18">
        <v>29</v>
      </c>
      <c r="D40" s="19">
        <v>1306</v>
      </c>
      <c r="E40" s="17">
        <v>3</v>
      </c>
      <c r="F40" s="18">
        <v>25</v>
      </c>
      <c r="G40" s="19">
        <v>692</v>
      </c>
      <c r="H40" s="17">
        <v>4</v>
      </c>
      <c r="I40" s="18">
        <v>25</v>
      </c>
      <c r="J40" s="19">
        <v>774</v>
      </c>
      <c r="K40" s="17">
        <v>10</v>
      </c>
      <c r="L40" s="18">
        <v>79</v>
      </c>
      <c r="M40" s="19">
        <v>2772</v>
      </c>
      <c r="O40" s="12" t="s">
        <v>38</v>
      </c>
      <c r="P40" s="17">
        <v>3</v>
      </c>
      <c r="Q40" s="18">
        <v>29</v>
      </c>
      <c r="R40" s="19">
        <v>1758</v>
      </c>
      <c r="S40" s="17">
        <v>3</v>
      </c>
      <c r="T40" s="18">
        <v>25</v>
      </c>
      <c r="U40" s="19">
        <v>744</v>
      </c>
      <c r="V40" s="17">
        <v>4</v>
      </c>
      <c r="W40" s="18">
        <v>25</v>
      </c>
      <c r="X40" s="19">
        <v>835</v>
      </c>
      <c r="Y40" s="17">
        <v>10</v>
      </c>
      <c r="Z40" s="18">
        <v>79</v>
      </c>
      <c r="AA40" s="19">
        <v>3337</v>
      </c>
      <c r="AB40" s="1"/>
      <c r="AC40" s="74">
        <f t="shared" si="0"/>
        <v>9.6666666666666661</v>
      </c>
      <c r="AD40" s="74">
        <f t="shared" si="1"/>
        <v>8.3333333333333339</v>
      </c>
      <c r="AE40" s="74">
        <f t="shared" si="2"/>
        <v>7.9</v>
      </c>
    </row>
    <row r="41" spans="1:31" x14ac:dyDescent="0.2">
      <c r="A41" s="12" t="s">
        <v>39</v>
      </c>
      <c r="B41" s="17">
        <v>3</v>
      </c>
      <c r="C41" s="18">
        <v>27</v>
      </c>
      <c r="D41" s="19">
        <v>862</v>
      </c>
      <c r="E41" s="17">
        <v>2</v>
      </c>
      <c r="F41" s="18">
        <v>16</v>
      </c>
      <c r="G41" s="19">
        <v>477</v>
      </c>
      <c r="H41" s="17">
        <v>4</v>
      </c>
      <c r="I41" s="18">
        <v>26</v>
      </c>
      <c r="J41" s="19">
        <v>915</v>
      </c>
      <c r="K41" s="17">
        <v>9</v>
      </c>
      <c r="L41" s="18">
        <v>69</v>
      </c>
      <c r="M41" s="19">
        <v>2254</v>
      </c>
      <c r="O41" s="12" t="s">
        <v>39</v>
      </c>
      <c r="P41" s="17">
        <v>3</v>
      </c>
      <c r="Q41" s="18">
        <v>27</v>
      </c>
      <c r="R41" s="19">
        <v>1314</v>
      </c>
      <c r="S41" s="17">
        <v>2</v>
      </c>
      <c r="T41" s="18">
        <v>16</v>
      </c>
      <c r="U41" s="19">
        <v>440</v>
      </c>
      <c r="V41" s="17">
        <v>4</v>
      </c>
      <c r="W41" s="18">
        <v>26</v>
      </c>
      <c r="X41" s="19">
        <v>878</v>
      </c>
      <c r="Y41" s="17">
        <v>9</v>
      </c>
      <c r="Z41" s="18">
        <v>69</v>
      </c>
      <c r="AA41" s="19">
        <v>2632</v>
      </c>
      <c r="AB41" s="1"/>
      <c r="AC41" s="74">
        <f t="shared" si="0"/>
        <v>9</v>
      </c>
      <c r="AD41" s="74">
        <f t="shared" si="1"/>
        <v>8</v>
      </c>
      <c r="AE41" s="74">
        <f t="shared" si="2"/>
        <v>7.666666666666667</v>
      </c>
    </row>
    <row r="42" spans="1:31" x14ac:dyDescent="0.2">
      <c r="A42" s="12" t="s">
        <v>40</v>
      </c>
      <c r="B42" s="17">
        <v>3</v>
      </c>
      <c r="C42" s="18">
        <v>26</v>
      </c>
      <c r="D42" s="19">
        <v>1107</v>
      </c>
      <c r="E42" s="17">
        <v>2</v>
      </c>
      <c r="F42" s="18">
        <v>15</v>
      </c>
      <c r="G42" s="19">
        <v>465</v>
      </c>
      <c r="H42" s="17">
        <v>2</v>
      </c>
      <c r="I42" s="18">
        <v>12</v>
      </c>
      <c r="J42" s="19">
        <v>387</v>
      </c>
      <c r="K42" s="17">
        <v>7</v>
      </c>
      <c r="L42" s="18">
        <v>53</v>
      </c>
      <c r="M42" s="19">
        <v>1959</v>
      </c>
      <c r="O42" s="12" t="s">
        <v>40</v>
      </c>
      <c r="P42" s="17">
        <v>3</v>
      </c>
      <c r="Q42" s="18">
        <v>26</v>
      </c>
      <c r="R42" s="19">
        <v>1057</v>
      </c>
      <c r="S42" s="17">
        <v>2</v>
      </c>
      <c r="T42" s="18">
        <v>15</v>
      </c>
      <c r="U42" s="19">
        <v>406</v>
      </c>
      <c r="V42" s="17">
        <v>2</v>
      </c>
      <c r="W42" s="18">
        <v>12</v>
      </c>
      <c r="X42" s="19">
        <v>402</v>
      </c>
      <c r="Y42" s="17">
        <v>7</v>
      </c>
      <c r="Z42" s="18">
        <v>53</v>
      </c>
      <c r="AA42" s="19">
        <v>1865</v>
      </c>
      <c r="AB42" s="1"/>
      <c r="AC42" s="74">
        <f t="shared" si="0"/>
        <v>8.6666666666666661</v>
      </c>
      <c r="AD42" s="74">
        <f t="shared" si="1"/>
        <v>7.5</v>
      </c>
      <c r="AE42" s="74">
        <f t="shared" si="2"/>
        <v>7.5714285714285712</v>
      </c>
    </row>
    <row r="43" spans="1:31" x14ac:dyDescent="0.2">
      <c r="A43" s="12" t="s">
        <v>41</v>
      </c>
      <c r="B43" s="17">
        <v>3</v>
      </c>
      <c r="C43" s="18">
        <v>27</v>
      </c>
      <c r="D43" s="19">
        <v>994</v>
      </c>
      <c r="E43" s="17">
        <v>2</v>
      </c>
      <c r="F43" s="18">
        <v>16</v>
      </c>
      <c r="G43" s="19">
        <v>392</v>
      </c>
      <c r="H43" s="17">
        <v>4</v>
      </c>
      <c r="I43" s="18">
        <v>25</v>
      </c>
      <c r="J43" s="19">
        <v>627</v>
      </c>
      <c r="K43" s="17">
        <v>9</v>
      </c>
      <c r="L43" s="18">
        <v>68</v>
      </c>
      <c r="M43" s="19">
        <v>2013</v>
      </c>
      <c r="O43" s="12" t="s">
        <v>41</v>
      </c>
      <c r="P43" s="17">
        <v>3</v>
      </c>
      <c r="Q43" s="18">
        <v>27</v>
      </c>
      <c r="R43" s="19">
        <v>1168</v>
      </c>
      <c r="S43" s="17">
        <v>2</v>
      </c>
      <c r="T43" s="18">
        <v>16</v>
      </c>
      <c r="U43" s="19">
        <v>362</v>
      </c>
      <c r="V43" s="17">
        <v>4</v>
      </c>
      <c r="W43" s="18">
        <v>25</v>
      </c>
      <c r="X43" s="19">
        <v>732</v>
      </c>
      <c r="Y43" s="17">
        <v>9</v>
      </c>
      <c r="Z43" s="18">
        <v>68</v>
      </c>
      <c r="AA43" s="19">
        <v>2262</v>
      </c>
      <c r="AB43" s="1"/>
      <c r="AC43" s="74">
        <f t="shared" si="0"/>
        <v>9</v>
      </c>
      <c r="AD43" s="74">
        <f t="shared" si="1"/>
        <v>8</v>
      </c>
      <c r="AE43" s="74">
        <f t="shared" si="2"/>
        <v>7.5555555555555554</v>
      </c>
    </row>
    <row r="44" spans="1:31" x14ac:dyDescent="0.2">
      <c r="A44" s="12" t="s">
        <v>42</v>
      </c>
      <c r="B44" s="17">
        <v>3</v>
      </c>
      <c r="C44" s="18">
        <v>25</v>
      </c>
      <c r="D44" s="19">
        <v>1009</v>
      </c>
      <c r="E44" s="17">
        <v>2</v>
      </c>
      <c r="F44" s="18">
        <v>16</v>
      </c>
      <c r="G44" s="19">
        <v>285</v>
      </c>
      <c r="H44" s="17">
        <v>3</v>
      </c>
      <c r="I44" s="18">
        <v>19</v>
      </c>
      <c r="J44" s="19">
        <v>670</v>
      </c>
      <c r="K44" s="17">
        <v>8</v>
      </c>
      <c r="L44" s="18">
        <v>60</v>
      </c>
      <c r="M44" s="19">
        <v>1964</v>
      </c>
      <c r="O44" s="12" t="s">
        <v>42</v>
      </c>
      <c r="P44" s="17">
        <v>4</v>
      </c>
      <c r="Q44" s="18">
        <v>33</v>
      </c>
      <c r="R44" s="19">
        <v>1345</v>
      </c>
      <c r="S44" s="17">
        <v>2</v>
      </c>
      <c r="T44" s="18">
        <v>16</v>
      </c>
      <c r="U44" s="19">
        <v>325</v>
      </c>
      <c r="V44" s="17">
        <v>3</v>
      </c>
      <c r="W44" s="18">
        <v>19</v>
      </c>
      <c r="X44" s="19">
        <v>699</v>
      </c>
      <c r="Y44" s="17">
        <v>9</v>
      </c>
      <c r="Z44" s="18">
        <v>68</v>
      </c>
      <c r="AA44" s="19">
        <v>2369</v>
      </c>
      <c r="AB44" s="1"/>
      <c r="AC44" s="74">
        <f t="shared" si="0"/>
        <v>8.25</v>
      </c>
      <c r="AD44" s="74">
        <f t="shared" si="1"/>
        <v>8</v>
      </c>
      <c r="AE44" s="74">
        <f t="shared" si="2"/>
        <v>7.5555555555555554</v>
      </c>
    </row>
    <row r="45" spans="1:31" x14ac:dyDescent="0.2">
      <c r="A45" s="12" t="s">
        <v>43</v>
      </c>
      <c r="B45" s="17">
        <v>4</v>
      </c>
      <c r="C45" s="18">
        <v>30</v>
      </c>
      <c r="D45" s="19">
        <v>1457</v>
      </c>
      <c r="E45" s="17">
        <v>2</v>
      </c>
      <c r="F45" s="18">
        <v>17</v>
      </c>
      <c r="G45" s="19">
        <v>358</v>
      </c>
      <c r="H45" s="17">
        <v>3</v>
      </c>
      <c r="I45" s="18">
        <v>18</v>
      </c>
      <c r="J45" s="19">
        <v>686</v>
      </c>
      <c r="K45" s="17">
        <v>9</v>
      </c>
      <c r="L45" s="18">
        <v>65</v>
      </c>
      <c r="M45" s="19">
        <v>2501</v>
      </c>
      <c r="O45" s="12" t="s">
        <v>43</v>
      </c>
      <c r="P45" s="17">
        <v>3</v>
      </c>
      <c r="Q45" s="18">
        <v>22</v>
      </c>
      <c r="R45" s="19">
        <v>1070</v>
      </c>
      <c r="S45" s="17">
        <v>2</v>
      </c>
      <c r="T45" s="18">
        <v>17</v>
      </c>
      <c r="U45" s="19">
        <v>371</v>
      </c>
      <c r="V45" s="17">
        <v>3</v>
      </c>
      <c r="W45" s="18">
        <v>18</v>
      </c>
      <c r="X45" s="19">
        <v>737</v>
      </c>
      <c r="Y45" s="17">
        <v>8</v>
      </c>
      <c r="Z45" s="18">
        <v>57</v>
      </c>
      <c r="AA45" s="19">
        <v>2178</v>
      </c>
      <c r="AB45" s="1"/>
      <c r="AC45" s="74">
        <f t="shared" si="0"/>
        <v>7.333333333333333</v>
      </c>
      <c r="AD45" s="74">
        <f t="shared" si="1"/>
        <v>8.5</v>
      </c>
      <c r="AE45" s="74">
        <f t="shared" si="2"/>
        <v>7.125</v>
      </c>
    </row>
    <row r="46" spans="1:31" x14ac:dyDescent="0.2">
      <c r="A46" s="12" t="s">
        <v>44</v>
      </c>
      <c r="B46" s="17">
        <v>5</v>
      </c>
      <c r="C46" s="18">
        <v>48</v>
      </c>
      <c r="D46" s="19">
        <v>2199</v>
      </c>
      <c r="E46" s="17">
        <v>4</v>
      </c>
      <c r="F46" s="18">
        <v>33</v>
      </c>
      <c r="G46" s="19">
        <v>599</v>
      </c>
      <c r="H46" s="17">
        <v>2</v>
      </c>
      <c r="I46" s="18">
        <v>14</v>
      </c>
      <c r="J46" s="19">
        <v>675</v>
      </c>
      <c r="K46" s="17">
        <v>11</v>
      </c>
      <c r="L46" s="18">
        <v>95</v>
      </c>
      <c r="M46" s="19">
        <v>3473</v>
      </c>
      <c r="O46" s="12" t="s">
        <v>44</v>
      </c>
      <c r="P46" s="17">
        <v>5</v>
      </c>
      <c r="Q46" s="18">
        <v>48</v>
      </c>
      <c r="R46" s="19">
        <v>2402</v>
      </c>
      <c r="S46" s="17">
        <v>4</v>
      </c>
      <c r="T46" s="18">
        <v>33</v>
      </c>
      <c r="U46" s="19">
        <v>935</v>
      </c>
      <c r="V46" s="17">
        <v>2</v>
      </c>
      <c r="W46" s="18">
        <v>14</v>
      </c>
      <c r="X46" s="19">
        <v>699</v>
      </c>
      <c r="Y46" s="17">
        <v>11</v>
      </c>
      <c r="Z46" s="18">
        <v>95</v>
      </c>
      <c r="AA46" s="19">
        <v>4036</v>
      </c>
      <c r="AB46" s="1"/>
      <c r="AC46" s="74">
        <f t="shared" si="0"/>
        <v>9.6</v>
      </c>
      <c r="AD46" s="74">
        <f t="shared" si="1"/>
        <v>8.25</v>
      </c>
      <c r="AE46" s="74">
        <f t="shared" si="2"/>
        <v>8.6363636363636367</v>
      </c>
    </row>
    <row r="47" spans="1:31" x14ac:dyDescent="0.2">
      <c r="A47" s="12" t="s">
        <v>45</v>
      </c>
      <c r="B47" s="17">
        <v>6</v>
      </c>
      <c r="C47" s="18">
        <v>55</v>
      </c>
      <c r="D47" s="19">
        <v>1465</v>
      </c>
      <c r="E47" s="17">
        <v>2</v>
      </c>
      <c r="F47" s="18">
        <v>16</v>
      </c>
      <c r="G47" s="19">
        <v>632</v>
      </c>
      <c r="H47" s="17">
        <v>3</v>
      </c>
      <c r="I47" s="18">
        <v>19</v>
      </c>
      <c r="J47" s="19">
        <v>797</v>
      </c>
      <c r="K47" s="17">
        <v>11</v>
      </c>
      <c r="L47" s="18">
        <v>90</v>
      </c>
      <c r="M47" s="19">
        <v>2894</v>
      </c>
      <c r="O47" s="12" t="s">
        <v>45</v>
      </c>
      <c r="P47" s="17">
        <v>6</v>
      </c>
      <c r="Q47" s="18">
        <v>55</v>
      </c>
      <c r="R47" s="19">
        <v>1841</v>
      </c>
      <c r="S47" s="17">
        <v>2</v>
      </c>
      <c r="T47" s="18">
        <v>16</v>
      </c>
      <c r="U47" s="19">
        <v>542</v>
      </c>
      <c r="V47" s="17">
        <v>3</v>
      </c>
      <c r="W47" s="18">
        <v>19</v>
      </c>
      <c r="X47" s="19">
        <v>805</v>
      </c>
      <c r="Y47" s="17">
        <v>11</v>
      </c>
      <c r="Z47" s="18">
        <v>90</v>
      </c>
      <c r="AA47" s="19">
        <v>3188</v>
      </c>
      <c r="AB47" s="1"/>
      <c r="AC47" s="74">
        <f t="shared" si="0"/>
        <v>9.1666666666666661</v>
      </c>
      <c r="AD47" s="74">
        <f t="shared" si="1"/>
        <v>8</v>
      </c>
      <c r="AE47" s="74">
        <f t="shared" si="2"/>
        <v>8.1818181818181817</v>
      </c>
    </row>
    <row r="48" spans="1:31" x14ac:dyDescent="0.2">
      <c r="A48" s="12" t="s">
        <v>46</v>
      </c>
      <c r="B48" s="17">
        <v>5</v>
      </c>
      <c r="C48" s="18">
        <v>43</v>
      </c>
      <c r="D48" s="19">
        <v>1350</v>
      </c>
      <c r="E48" s="17">
        <v>3</v>
      </c>
      <c r="F48" s="18">
        <v>22</v>
      </c>
      <c r="G48" s="19">
        <v>543</v>
      </c>
      <c r="H48" s="17">
        <v>3</v>
      </c>
      <c r="I48" s="18">
        <v>21</v>
      </c>
      <c r="J48" s="19">
        <v>646</v>
      </c>
      <c r="K48" s="17">
        <v>11</v>
      </c>
      <c r="L48" s="18">
        <v>86</v>
      </c>
      <c r="M48" s="19">
        <v>2539</v>
      </c>
      <c r="O48" s="12" t="s">
        <v>46</v>
      </c>
      <c r="P48" s="17">
        <v>5</v>
      </c>
      <c r="Q48" s="18">
        <v>43</v>
      </c>
      <c r="R48" s="19">
        <v>1413</v>
      </c>
      <c r="S48" s="17">
        <v>3</v>
      </c>
      <c r="T48" s="18">
        <v>22</v>
      </c>
      <c r="U48" s="19">
        <v>818</v>
      </c>
      <c r="V48" s="17">
        <v>3</v>
      </c>
      <c r="W48" s="18">
        <v>21</v>
      </c>
      <c r="X48" s="19">
        <v>658</v>
      </c>
      <c r="Y48" s="17">
        <v>11</v>
      </c>
      <c r="Z48" s="18">
        <v>86</v>
      </c>
      <c r="AA48" s="19">
        <v>2889</v>
      </c>
      <c r="AB48" s="1"/>
      <c r="AC48" s="74">
        <f t="shared" si="0"/>
        <v>8.6</v>
      </c>
      <c r="AD48" s="74">
        <f t="shared" si="1"/>
        <v>7.333333333333333</v>
      </c>
      <c r="AE48" s="74">
        <f t="shared" si="2"/>
        <v>7.8181818181818183</v>
      </c>
    </row>
    <row r="49" spans="1:31" x14ac:dyDescent="0.2">
      <c r="A49" s="12" t="s">
        <v>47</v>
      </c>
      <c r="B49" s="17">
        <v>5</v>
      </c>
      <c r="C49" s="18">
        <v>46</v>
      </c>
      <c r="D49" s="19">
        <v>743</v>
      </c>
      <c r="E49" s="17">
        <v>2</v>
      </c>
      <c r="F49" s="18">
        <v>15</v>
      </c>
      <c r="G49" s="19">
        <v>116</v>
      </c>
      <c r="H49" s="17">
        <v>2</v>
      </c>
      <c r="I49" s="18">
        <v>12</v>
      </c>
      <c r="J49" s="19">
        <v>260</v>
      </c>
      <c r="K49" s="17">
        <v>9</v>
      </c>
      <c r="L49" s="18">
        <v>73</v>
      </c>
      <c r="M49" s="19">
        <v>1119</v>
      </c>
      <c r="O49" s="12" t="s">
        <v>47</v>
      </c>
      <c r="P49" s="17">
        <v>5</v>
      </c>
      <c r="Q49" s="18">
        <v>46</v>
      </c>
      <c r="R49" s="19">
        <v>984</v>
      </c>
      <c r="S49" s="17">
        <v>2</v>
      </c>
      <c r="T49" s="18">
        <v>15</v>
      </c>
      <c r="U49" s="19">
        <v>189</v>
      </c>
      <c r="V49" s="17">
        <v>2</v>
      </c>
      <c r="W49" s="18">
        <v>12</v>
      </c>
      <c r="X49" s="19">
        <v>376</v>
      </c>
      <c r="Y49" s="17">
        <v>9</v>
      </c>
      <c r="Z49" s="18">
        <v>73</v>
      </c>
      <c r="AA49" s="19">
        <v>1549</v>
      </c>
      <c r="AB49" s="1"/>
      <c r="AC49" s="74">
        <f t="shared" si="0"/>
        <v>9.1999999999999993</v>
      </c>
      <c r="AD49" s="74">
        <f t="shared" si="1"/>
        <v>7.5</v>
      </c>
      <c r="AE49" s="74">
        <f t="shared" si="2"/>
        <v>8.1111111111111107</v>
      </c>
    </row>
    <row r="50" spans="1:31" x14ac:dyDescent="0.2">
      <c r="A50" s="12" t="s">
        <v>48</v>
      </c>
      <c r="B50" s="17">
        <v>3</v>
      </c>
      <c r="C50" s="18">
        <v>26</v>
      </c>
      <c r="D50" s="19">
        <v>550</v>
      </c>
      <c r="E50" s="17">
        <v>3</v>
      </c>
      <c r="F50" s="18">
        <v>27</v>
      </c>
      <c r="G50" s="19">
        <v>329</v>
      </c>
      <c r="H50" s="17">
        <v>4</v>
      </c>
      <c r="I50" s="18">
        <v>25</v>
      </c>
      <c r="J50" s="19">
        <v>427</v>
      </c>
      <c r="K50" s="17">
        <v>10</v>
      </c>
      <c r="L50" s="18">
        <v>78</v>
      </c>
      <c r="M50" s="19">
        <v>1306</v>
      </c>
      <c r="O50" s="12" t="s">
        <v>48</v>
      </c>
      <c r="P50" s="17">
        <v>3</v>
      </c>
      <c r="Q50" s="18">
        <v>26</v>
      </c>
      <c r="R50" s="19">
        <v>506</v>
      </c>
      <c r="S50" s="17">
        <v>3</v>
      </c>
      <c r="T50" s="18">
        <v>27</v>
      </c>
      <c r="U50" s="19">
        <v>271</v>
      </c>
      <c r="V50" s="17">
        <v>4</v>
      </c>
      <c r="W50" s="18">
        <v>25</v>
      </c>
      <c r="X50" s="19">
        <v>405</v>
      </c>
      <c r="Y50" s="17">
        <v>10</v>
      </c>
      <c r="Z50" s="18">
        <v>78</v>
      </c>
      <c r="AA50" s="19">
        <v>1182</v>
      </c>
      <c r="AB50" s="1"/>
      <c r="AC50" s="74">
        <f t="shared" si="0"/>
        <v>8.6666666666666661</v>
      </c>
      <c r="AD50" s="74">
        <f t="shared" si="1"/>
        <v>9</v>
      </c>
      <c r="AE50" s="74">
        <f t="shared" si="2"/>
        <v>7.8</v>
      </c>
    </row>
    <row r="51" spans="1:31" x14ac:dyDescent="0.2">
      <c r="A51" s="12" t="s">
        <v>49</v>
      </c>
      <c r="B51" s="17">
        <v>4</v>
      </c>
      <c r="C51" s="18">
        <v>40</v>
      </c>
      <c r="D51" s="19">
        <v>517</v>
      </c>
      <c r="E51" s="17">
        <v>2</v>
      </c>
      <c r="F51" s="18">
        <v>15</v>
      </c>
      <c r="G51" s="19">
        <v>167</v>
      </c>
      <c r="H51" s="17">
        <v>1</v>
      </c>
      <c r="I51" s="18">
        <v>7</v>
      </c>
      <c r="J51" s="19">
        <v>201</v>
      </c>
      <c r="K51" s="17">
        <v>7</v>
      </c>
      <c r="L51" s="18">
        <v>62</v>
      </c>
      <c r="M51" s="19">
        <v>885</v>
      </c>
      <c r="O51" s="12" t="s">
        <v>49</v>
      </c>
      <c r="P51" s="17">
        <v>4</v>
      </c>
      <c r="Q51" s="18">
        <v>40</v>
      </c>
      <c r="R51" s="19">
        <v>621</v>
      </c>
      <c r="S51" s="17">
        <v>2</v>
      </c>
      <c r="T51" s="18">
        <v>15</v>
      </c>
      <c r="U51" s="19">
        <v>128</v>
      </c>
      <c r="V51" s="17">
        <v>2</v>
      </c>
      <c r="W51" s="18">
        <v>13</v>
      </c>
      <c r="X51" s="19">
        <v>252</v>
      </c>
      <c r="Y51" s="17">
        <v>8</v>
      </c>
      <c r="Z51" s="18">
        <v>68</v>
      </c>
      <c r="AA51" s="19">
        <v>1001</v>
      </c>
      <c r="AB51" s="1"/>
      <c r="AC51" s="74">
        <f t="shared" si="0"/>
        <v>10</v>
      </c>
      <c r="AD51" s="74">
        <f t="shared" si="1"/>
        <v>7.5</v>
      </c>
      <c r="AE51" s="74">
        <f t="shared" si="2"/>
        <v>8.5</v>
      </c>
    </row>
    <row r="52" spans="1:31" ht="15" thickBot="1" x14ac:dyDescent="0.25">
      <c r="A52" s="12" t="s">
        <v>50</v>
      </c>
      <c r="B52" s="17">
        <v>1</v>
      </c>
      <c r="C52" s="18">
        <v>10</v>
      </c>
      <c r="D52" s="19">
        <v>113</v>
      </c>
      <c r="E52" s="17">
        <v>1</v>
      </c>
      <c r="F52" s="18">
        <v>8</v>
      </c>
      <c r="G52" s="19">
        <v>34</v>
      </c>
      <c r="H52" s="17">
        <v>1</v>
      </c>
      <c r="I52" s="18">
        <v>5</v>
      </c>
      <c r="J52" s="19">
        <v>29</v>
      </c>
      <c r="K52" s="17">
        <v>3</v>
      </c>
      <c r="L52" s="18">
        <v>23</v>
      </c>
      <c r="M52" s="19">
        <v>176</v>
      </c>
      <c r="O52" s="12" t="s">
        <v>50</v>
      </c>
      <c r="P52" s="17">
        <v>1</v>
      </c>
      <c r="Q52" s="18">
        <v>10</v>
      </c>
      <c r="R52" s="19">
        <v>111</v>
      </c>
      <c r="S52" s="17">
        <v>1</v>
      </c>
      <c r="T52" s="18">
        <v>8</v>
      </c>
      <c r="U52" s="19">
        <v>24</v>
      </c>
      <c r="V52" s="17">
        <v>1</v>
      </c>
      <c r="W52" s="18">
        <v>5</v>
      </c>
      <c r="X52" s="19">
        <v>35</v>
      </c>
      <c r="Y52" s="17">
        <v>3</v>
      </c>
      <c r="Z52" s="18">
        <v>23</v>
      </c>
      <c r="AA52" s="19">
        <v>170</v>
      </c>
      <c r="AC52" s="74">
        <f t="shared" si="0"/>
        <v>10</v>
      </c>
      <c r="AD52" s="74">
        <f t="shared" si="1"/>
        <v>8</v>
      </c>
      <c r="AE52" s="74">
        <f t="shared" si="2"/>
        <v>7.666666666666667</v>
      </c>
    </row>
    <row r="53" spans="1:31" x14ac:dyDescent="0.2">
      <c r="A53" s="11" t="s">
        <v>55</v>
      </c>
      <c r="B53" s="14">
        <f t="shared" ref="B53:M53" si="3">SUM(B29:B52)</f>
        <v>114</v>
      </c>
      <c r="C53" s="15">
        <f t="shared" si="3"/>
        <v>996</v>
      </c>
      <c r="D53" s="16">
        <f t="shared" si="3"/>
        <v>49562</v>
      </c>
      <c r="E53" s="14">
        <f t="shared" si="3"/>
        <v>57</v>
      </c>
      <c r="F53" s="15">
        <f t="shared" si="3"/>
        <v>469</v>
      </c>
      <c r="G53" s="16">
        <f t="shared" si="3"/>
        <v>22040</v>
      </c>
      <c r="H53" s="14">
        <f t="shared" si="3"/>
        <v>51</v>
      </c>
      <c r="I53" s="15">
        <f t="shared" si="3"/>
        <v>325</v>
      </c>
      <c r="J53" s="16">
        <f t="shared" si="3"/>
        <v>10258</v>
      </c>
      <c r="K53" s="14">
        <f t="shared" si="3"/>
        <v>222</v>
      </c>
      <c r="L53" s="15">
        <f t="shared" si="3"/>
        <v>1790</v>
      </c>
      <c r="M53" s="16">
        <f t="shared" si="3"/>
        <v>81860</v>
      </c>
      <c r="O53" s="11" t="s">
        <v>55</v>
      </c>
      <c r="P53" s="14">
        <f t="shared" ref="P53:AA53" si="4">SUM(P29:P52)</f>
        <v>109</v>
      </c>
      <c r="Q53" s="15">
        <f t="shared" si="4"/>
        <v>955</v>
      </c>
      <c r="R53" s="16">
        <f t="shared" si="4"/>
        <v>50494</v>
      </c>
      <c r="S53" s="14">
        <f t="shared" si="4"/>
        <v>57</v>
      </c>
      <c r="T53" s="15">
        <f t="shared" si="4"/>
        <v>469</v>
      </c>
      <c r="U53" s="16">
        <f t="shared" si="4"/>
        <v>24811</v>
      </c>
      <c r="V53" s="14">
        <f t="shared" si="4"/>
        <v>52</v>
      </c>
      <c r="W53" s="15">
        <f t="shared" si="4"/>
        <v>331</v>
      </c>
      <c r="X53" s="16">
        <f t="shared" si="4"/>
        <v>10564</v>
      </c>
      <c r="Y53" s="14">
        <f t="shared" si="4"/>
        <v>218</v>
      </c>
      <c r="Z53" s="15">
        <f t="shared" si="4"/>
        <v>1755</v>
      </c>
      <c r="AA53" s="16">
        <f t="shared" si="4"/>
        <v>85869</v>
      </c>
      <c r="AC53" s="74">
        <f t="shared" ref="AC53:AC55" si="5">Q53/P53</f>
        <v>8.761467889908257</v>
      </c>
      <c r="AD53" s="74">
        <f t="shared" ref="AD53:AD55" si="6">T53/S53</f>
        <v>8.2280701754385959</v>
      </c>
      <c r="AE53" s="74">
        <f t="shared" ref="AE53:AE55" si="7">Z53/Y53</f>
        <v>8.0504587155963296</v>
      </c>
    </row>
    <row r="54" spans="1:31" x14ac:dyDescent="0.2">
      <c r="A54" s="12" t="s">
        <v>56</v>
      </c>
      <c r="B54" s="17">
        <f t="shared" ref="B54:M54" si="8">B36+B37+B38</f>
        <v>41</v>
      </c>
      <c r="C54" s="18">
        <f t="shared" si="8"/>
        <v>350</v>
      </c>
      <c r="D54" s="19">
        <f t="shared" si="8"/>
        <v>28792</v>
      </c>
      <c r="E54" s="17">
        <f t="shared" si="8"/>
        <v>16</v>
      </c>
      <c r="F54" s="18">
        <f t="shared" si="8"/>
        <v>138</v>
      </c>
      <c r="G54" s="19">
        <f t="shared" si="8"/>
        <v>14279</v>
      </c>
      <c r="H54" s="17">
        <f t="shared" si="8"/>
        <v>9</v>
      </c>
      <c r="I54" s="18">
        <f t="shared" si="8"/>
        <v>58</v>
      </c>
      <c r="J54" s="19">
        <f t="shared" si="8"/>
        <v>2139</v>
      </c>
      <c r="K54" s="17">
        <f t="shared" si="8"/>
        <v>66</v>
      </c>
      <c r="L54" s="18">
        <f t="shared" si="8"/>
        <v>546</v>
      </c>
      <c r="M54" s="19">
        <f t="shared" si="8"/>
        <v>45210</v>
      </c>
      <c r="O54" s="12" t="s">
        <v>56</v>
      </c>
      <c r="P54" s="17">
        <f t="shared" ref="P54:AA54" si="9">P36+P37+P38</f>
        <v>37</v>
      </c>
      <c r="Q54" s="18">
        <f t="shared" si="9"/>
        <v>317</v>
      </c>
      <c r="R54" s="19">
        <f t="shared" si="9"/>
        <v>28388</v>
      </c>
      <c r="S54" s="17">
        <f t="shared" si="9"/>
        <v>16</v>
      </c>
      <c r="T54" s="18">
        <f t="shared" si="9"/>
        <v>138</v>
      </c>
      <c r="U54" s="19">
        <f t="shared" si="9"/>
        <v>15675</v>
      </c>
      <c r="V54" s="17">
        <f t="shared" si="9"/>
        <v>9</v>
      </c>
      <c r="W54" s="18">
        <f t="shared" si="9"/>
        <v>58</v>
      </c>
      <c r="X54" s="19">
        <f t="shared" si="9"/>
        <v>1977</v>
      </c>
      <c r="Y54" s="17">
        <f t="shared" si="9"/>
        <v>62</v>
      </c>
      <c r="Z54" s="18">
        <f t="shared" si="9"/>
        <v>513</v>
      </c>
      <c r="AA54" s="19">
        <f t="shared" si="9"/>
        <v>46040</v>
      </c>
      <c r="AC54" s="74">
        <f t="shared" si="5"/>
        <v>8.5675675675675684</v>
      </c>
      <c r="AD54" s="74">
        <f t="shared" si="6"/>
        <v>8.625</v>
      </c>
      <c r="AE54" s="74">
        <f t="shared" si="7"/>
        <v>8.2741935483870961</v>
      </c>
    </row>
    <row r="55" spans="1:31" ht="15" thickBot="1" x14ac:dyDescent="0.25">
      <c r="A55" s="13" t="s">
        <v>57</v>
      </c>
      <c r="B55" s="5">
        <f t="shared" ref="B55:M55" si="10">B37</f>
        <v>14</v>
      </c>
      <c r="C55" s="20">
        <f t="shared" si="10"/>
        <v>124</v>
      </c>
      <c r="D55" s="21">
        <f t="shared" si="10"/>
        <v>12832</v>
      </c>
      <c r="E55" s="5">
        <f t="shared" si="10"/>
        <v>7</v>
      </c>
      <c r="F55" s="20">
        <f t="shared" si="10"/>
        <v>62</v>
      </c>
      <c r="G55" s="21">
        <f t="shared" si="10"/>
        <v>6958</v>
      </c>
      <c r="H55" s="5">
        <f t="shared" si="10"/>
        <v>5</v>
      </c>
      <c r="I55" s="20">
        <f t="shared" si="10"/>
        <v>33</v>
      </c>
      <c r="J55" s="21">
        <f t="shared" si="10"/>
        <v>1325</v>
      </c>
      <c r="K55" s="5">
        <f t="shared" si="10"/>
        <v>26</v>
      </c>
      <c r="L55" s="20">
        <f t="shared" si="10"/>
        <v>219</v>
      </c>
      <c r="M55" s="21">
        <f t="shared" si="10"/>
        <v>21115</v>
      </c>
      <c r="O55" s="13" t="s">
        <v>57</v>
      </c>
      <c r="P55" s="5">
        <f t="shared" ref="P55:AA55" si="11">P37</f>
        <v>13</v>
      </c>
      <c r="Q55" s="20">
        <f t="shared" si="11"/>
        <v>114</v>
      </c>
      <c r="R55" s="21">
        <f t="shared" si="11"/>
        <v>12855</v>
      </c>
      <c r="S55" s="5">
        <f t="shared" si="11"/>
        <v>8</v>
      </c>
      <c r="T55" s="20">
        <f t="shared" si="11"/>
        <v>71</v>
      </c>
      <c r="U55" s="21">
        <f t="shared" si="11"/>
        <v>8645</v>
      </c>
      <c r="V55" s="5">
        <f t="shared" si="11"/>
        <v>5</v>
      </c>
      <c r="W55" s="20">
        <f t="shared" si="11"/>
        <v>33</v>
      </c>
      <c r="X55" s="21">
        <f t="shared" si="11"/>
        <v>1171</v>
      </c>
      <c r="Y55" s="5">
        <f t="shared" si="11"/>
        <v>26</v>
      </c>
      <c r="Z55" s="20">
        <f t="shared" si="11"/>
        <v>218</v>
      </c>
      <c r="AA55" s="21">
        <f t="shared" si="11"/>
        <v>22671</v>
      </c>
      <c r="AC55" s="74">
        <f t="shared" si="5"/>
        <v>8.7692307692307701</v>
      </c>
      <c r="AD55" s="74">
        <f t="shared" si="6"/>
        <v>8.875</v>
      </c>
      <c r="AE55" s="74">
        <f t="shared" si="7"/>
        <v>8.384615384615385</v>
      </c>
    </row>
  </sheetData>
  <mergeCells count="11">
    <mergeCell ref="V28:X28"/>
    <mergeCell ref="Y28:AA28"/>
    <mergeCell ref="B2:G2"/>
    <mergeCell ref="H2:M2"/>
    <mergeCell ref="N2:S2"/>
    <mergeCell ref="K28:M28"/>
    <mergeCell ref="H28:J28"/>
    <mergeCell ref="E28:G28"/>
    <mergeCell ref="B28:D28"/>
    <mergeCell ref="P28:R28"/>
    <mergeCell ref="S28:U28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N17" sqref="N17"/>
    </sheetView>
  </sheetViews>
  <sheetFormatPr defaultColWidth="8.6640625" defaultRowHeight="14.25" x14ac:dyDescent="0.2"/>
  <sheetData>
    <row r="1" spans="1:19" ht="15" thickBot="1" x14ac:dyDescent="0.25">
      <c r="A1" s="56" t="s">
        <v>14</v>
      </c>
    </row>
    <row r="2" spans="1:19" ht="15" thickBot="1" x14ac:dyDescent="0.25">
      <c r="A2" s="11"/>
      <c r="B2" s="81" t="s">
        <v>6</v>
      </c>
      <c r="C2" s="82"/>
      <c r="D2" s="82"/>
      <c r="E2" s="82"/>
      <c r="F2" s="82"/>
      <c r="G2" s="83"/>
      <c r="H2" s="81" t="s">
        <v>7</v>
      </c>
      <c r="I2" s="82"/>
      <c r="J2" s="82"/>
      <c r="K2" s="82"/>
      <c r="L2" s="82"/>
      <c r="M2" s="83"/>
      <c r="N2" s="81" t="s">
        <v>8</v>
      </c>
      <c r="O2" s="82"/>
      <c r="P2" s="82"/>
      <c r="Q2" s="82"/>
      <c r="R2" s="82"/>
      <c r="S2" s="83"/>
    </row>
    <row r="3" spans="1:19" ht="15" thickBot="1" x14ac:dyDescent="0.25">
      <c r="A3" s="13"/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10" t="s">
        <v>5</v>
      </c>
      <c r="H3" s="8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10" t="s">
        <v>5</v>
      </c>
      <c r="N3" s="8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</row>
    <row r="4" spans="1:19" x14ac:dyDescent="0.2">
      <c r="A4" s="11">
        <v>1963</v>
      </c>
      <c r="B4" s="53">
        <v>19000</v>
      </c>
      <c r="C4" s="15"/>
      <c r="D4" s="15"/>
      <c r="E4" s="22"/>
      <c r="F4" s="22"/>
      <c r="G4" s="25"/>
      <c r="H4" s="14"/>
      <c r="I4" s="15"/>
      <c r="J4" s="15"/>
      <c r="K4" s="22"/>
      <c r="L4" s="22"/>
      <c r="M4" s="25"/>
      <c r="N4" s="14"/>
      <c r="O4" s="15"/>
      <c r="P4" s="15"/>
      <c r="Q4" s="22"/>
      <c r="R4" s="22"/>
      <c r="S4" s="25"/>
    </row>
    <row r="5" spans="1:19" x14ac:dyDescent="0.2">
      <c r="A5" s="3">
        <v>1971</v>
      </c>
      <c r="B5" s="17">
        <v>25000</v>
      </c>
      <c r="C5" s="18"/>
      <c r="D5" s="18"/>
      <c r="E5" s="23"/>
      <c r="F5" s="23"/>
      <c r="G5" s="26"/>
      <c r="H5" s="17">
        <v>16675</v>
      </c>
      <c r="I5" s="18"/>
      <c r="J5" s="18"/>
      <c r="K5" s="23"/>
      <c r="L5" s="23"/>
      <c r="M5" s="26"/>
      <c r="N5" s="17">
        <v>10900</v>
      </c>
      <c r="O5" s="18"/>
      <c r="P5" s="18">
        <v>110</v>
      </c>
      <c r="Q5" s="23"/>
      <c r="R5" s="23"/>
      <c r="S5" s="26"/>
    </row>
    <row r="6" spans="1:19" x14ac:dyDescent="0.2">
      <c r="A6" s="12">
        <v>1980</v>
      </c>
      <c r="B6" s="17">
        <v>30255</v>
      </c>
      <c r="C6" s="18">
        <v>246</v>
      </c>
      <c r="D6" s="18">
        <v>1284</v>
      </c>
      <c r="E6" s="23"/>
      <c r="F6" s="23"/>
      <c r="G6" s="26"/>
      <c r="H6" s="17">
        <v>16982</v>
      </c>
      <c r="I6" s="18">
        <f>15+20+16</f>
        <v>51</v>
      </c>
      <c r="J6" s="18">
        <f>83+110+85</f>
        <v>278</v>
      </c>
      <c r="K6" s="23"/>
      <c r="L6" s="23"/>
      <c r="M6" s="26"/>
      <c r="N6" s="17">
        <v>8800</v>
      </c>
      <c r="O6" s="18">
        <v>20</v>
      </c>
      <c r="P6" s="18">
        <v>110</v>
      </c>
      <c r="Q6" s="23"/>
      <c r="R6" s="23"/>
      <c r="S6" s="26"/>
    </row>
    <row r="7" spans="1:19" x14ac:dyDescent="0.2">
      <c r="A7" s="12">
        <v>1990</v>
      </c>
      <c r="B7" s="17">
        <v>39840</v>
      </c>
      <c r="C7" s="18">
        <v>229</v>
      </c>
      <c r="D7" s="18">
        <v>1603</v>
      </c>
      <c r="E7" s="23"/>
      <c r="F7" s="23"/>
      <c r="G7" s="26"/>
      <c r="H7" s="17">
        <v>24428</v>
      </c>
      <c r="I7" s="18">
        <f>18+20+12</f>
        <v>50</v>
      </c>
      <c r="J7" s="18">
        <f>126+140+84</f>
        <v>350</v>
      </c>
      <c r="K7" s="23"/>
      <c r="L7" s="23"/>
      <c r="M7" s="26"/>
      <c r="N7" s="17">
        <v>12260</v>
      </c>
      <c r="O7" s="18">
        <v>20</v>
      </c>
      <c r="P7" s="18">
        <v>140</v>
      </c>
      <c r="Q7" s="23"/>
      <c r="R7" s="23"/>
      <c r="S7" s="26"/>
    </row>
    <row r="8" spans="1:19" x14ac:dyDescent="0.2">
      <c r="A8" s="12">
        <v>2000</v>
      </c>
      <c r="B8" s="17">
        <v>47986</v>
      </c>
      <c r="C8" s="18">
        <v>259</v>
      </c>
      <c r="D8" s="18">
        <v>1813</v>
      </c>
      <c r="E8" s="23"/>
      <c r="F8" s="23"/>
      <c r="G8" s="26"/>
      <c r="H8" s="17">
        <v>20219</v>
      </c>
      <c r="I8" s="18">
        <f>17+26+17</f>
        <v>60</v>
      </c>
      <c r="J8" s="18">
        <f>119+182+119</f>
        <v>420</v>
      </c>
      <c r="K8" s="23"/>
      <c r="L8" s="23"/>
      <c r="M8" s="26"/>
      <c r="N8" s="17">
        <v>11094</v>
      </c>
      <c r="O8" s="18">
        <v>26</v>
      </c>
      <c r="P8" s="18">
        <v>182</v>
      </c>
      <c r="Q8" s="23"/>
      <c r="R8" s="23"/>
      <c r="S8" s="26"/>
    </row>
    <row r="9" spans="1:19" x14ac:dyDescent="0.2">
      <c r="A9" s="12">
        <v>2005</v>
      </c>
      <c r="B9" s="17">
        <v>53289</v>
      </c>
      <c r="C9" s="18">
        <v>261</v>
      </c>
      <c r="D9" s="18">
        <v>1827</v>
      </c>
      <c r="E9" s="23"/>
      <c r="F9" s="23"/>
      <c r="G9" s="26"/>
      <c r="H9" s="17">
        <v>15989</v>
      </c>
      <c r="I9" s="18">
        <f>16+23+21</f>
        <v>60</v>
      </c>
      <c r="J9" s="18">
        <f>112+161+147</f>
        <v>420</v>
      </c>
      <c r="K9" s="23"/>
      <c r="L9" s="23"/>
      <c r="M9" s="26"/>
      <c r="N9" s="17">
        <v>7302</v>
      </c>
      <c r="O9" s="18">
        <v>23</v>
      </c>
      <c r="P9" s="18">
        <v>161</v>
      </c>
      <c r="Q9" s="23"/>
      <c r="R9" s="23"/>
      <c r="S9" s="26"/>
    </row>
    <row r="10" spans="1:19" x14ac:dyDescent="0.2">
      <c r="A10" s="12">
        <v>2006</v>
      </c>
      <c r="B10" s="17">
        <v>59475</v>
      </c>
      <c r="C10" s="18">
        <v>261</v>
      </c>
      <c r="D10" s="18">
        <v>1827</v>
      </c>
      <c r="E10" s="23"/>
      <c r="F10" s="23"/>
      <c r="G10" s="26"/>
      <c r="H10" s="17">
        <v>17845</v>
      </c>
      <c r="I10" s="18">
        <f>16+23+21</f>
        <v>60</v>
      </c>
      <c r="J10" s="18">
        <f>112+161+147</f>
        <v>420</v>
      </c>
      <c r="K10" s="23"/>
      <c r="L10" s="23"/>
      <c r="M10" s="26"/>
      <c r="N10" s="17">
        <v>8149</v>
      </c>
      <c r="O10" s="18">
        <v>23</v>
      </c>
      <c r="P10" s="18">
        <v>161</v>
      </c>
      <c r="Q10" s="23"/>
      <c r="R10" s="23"/>
      <c r="S10" s="26"/>
    </row>
    <row r="11" spans="1:19" x14ac:dyDescent="0.2">
      <c r="A11" s="12">
        <v>2007</v>
      </c>
      <c r="B11" s="17">
        <v>64018</v>
      </c>
      <c r="C11" s="18">
        <v>261</v>
      </c>
      <c r="D11" s="18">
        <v>1827</v>
      </c>
      <c r="E11" s="23"/>
      <c r="F11" s="23"/>
      <c r="G11" s="26"/>
      <c r="H11" s="17">
        <v>19207</v>
      </c>
      <c r="I11" s="18">
        <f>16+24+20</f>
        <v>60</v>
      </c>
      <c r="J11" s="18">
        <f>112+168+140</f>
        <v>420</v>
      </c>
      <c r="K11" s="23"/>
      <c r="L11" s="23"/>
      <c r="M11" s="26"/>
      <c r="N11" s="17">
        <v>8772</v>
      </c>
      <c r="O11" s="18">
        <v>24</v>
      </c>
      <c r="P11" s="18">
        <v>168</v>
      </c>
      <c r="Q11" s="23"/>
      <c r="R11" s="23"/>
      <c r="S11" s="26"/>
    </row>
    <row r="12" spans="1:19" x14ac:dyDescent="0.2">
      <c r="A12" s="12">
        <v>2008</v>
      </c>
      <c r="B12" s="17">
        <v>63053</v>
      </c>
      <c r="C12" s="18">
        <v>261</v>
      </c>
      <c r="D12" s="18">
        <v>1827</v>
      </c>
      <c r="E12" s="23"/>
      <c r="F12" s="23"/>
      <c r="G12" s="26"/>
      <c r="H12" s="17">
        <v>32686</v>
      </c>
      <c r="I12" s="18">
        <f>16+24+20</f>
        <v>60</v>
      </c>
      <c r="J12" s="18">
        <f>112+168+140</f>
        <v>420</v>
      </c>
      <c r="K12" s="23"/>
      <c r="L12" s="23"/>
      <c r="M12" s="26"/>
      <c r="N12" s="17">
        <v>15062</v>
      </c>
      <c r="O12" s="18">
        <v>24</v>
      </c>
      <c r="P12" s="18">
        <v>168</v>
      </c>
      <c r="Q12" s="23"/>
      <c r="R12" s="23"/>
      <c r="S12" s="26"/>
    </row>
    <row r="13" spans="1:19" x14ac:dyDescent="0.2">
      <c r="A13" s="12">
        <v>2009</v>
      </c>
      <c r="B13" s="17">
        <v>58761</v>
      </c>
      <c r="C13" s="18">
        <v>260</v>
      </c>
      <c r="D13" s="18">
        <v>1820</v>
      </c>
      <c r="E13" s="23"/>
      <c r="F13" s="23"/>
      <c r="G13" s="26"/>
      <c r="H13" s="17">
        <v>29379</v>
      </c>
      <c r="I13" s="18">
        <f>20+24+16</f>
        <v>60</v>
      </c>
      <c r="J13" s="18">
        <f>140+168+112</f>
        <v>420</v>
      </c>
      <c r="K13" s="23"/>
      <c r="L13" s="23"/>
      <c r="M13" s="26"/>
      <c r="N13" s="17">
        <v>14290</v>
      </c>
      <c r="O13" s="18">
        <v>24</v>
      </c>
      <c r="P13" s="18">
        <v>168</v>
      </c>
      <c r="Q13" s="23"/>
      <c r="R13" s="23"/>
      <c r="S13" s="26"/>
    </row>
    <row r="14" spans="1:19" x14ac:dyDescent="0.2">
      <c r="A14" s="12">
        <v>2010</v>
      </c>
      <c r="B14" s="17">
        <v>61488</v>
      </c>
      <c r="C14" s="18">
        <v>259</v>
      </c>
      <c r="D14" s="18">
        <v>1813</v>
      </c>
      <c r="E14" s="23"/>
      <c r="F14" s="23"/>
      <c r="G14" s="26"/>
      <c r="H14" s="17">
        <v>31321</v>
      </c>
      <c r="I14" s="18">
        <f>16+24+20</f>
        <v>60</v>
      </c>
      <c r="J14" s="18">
        <f>112+168+140</f>
        <v>420</v>
      </c>
      <c r="K14" s="23"/>
      <c r="L14" s="23"/>
      <c r="M14" s="26"/>
      <c r="N14" s="17">
        <v>15414</v>
      </c>
      <c r="O14" s="18">
        <v>24</v>
      </c>
      <c r="P14" s="18">
        <v>168</v>
      </c>
      <c r="Q14" s="23"/>
      <c r="R14" s="23"/>
      <c r="S14" s="26"/>
    </row>
    <row r="15" spans="1:19" x14ac:dyDescent="0.2">
      <c r="A15" s="12">
        <v>2011</v>
      </c>
      <c r="B15" s="17">
        <v>61476</v>
      </c>
      <c r="C15" s="18">
        <v>257</v>
      </c>
      <c r="D15" s="18">
        <v>1799</v>
      </c>
      <c r="E15" s="23"/>
      <c r="F15" s="23"/>
      <c r="G15" s="26"/>
      <c r="H15" s="17">
        <v>31967</v>
      </c>
      <c r="I15" s="18">
        <f>16+23+17</f>
        <v>56</v>
      </c>
      <c r="J15" s="18">
        <f>112+161+119</f>
        <v>392</v>
      </c>
      <c r="K15" s="23"/>
      <c r="L15" s="23"/>
      <c r="M15" s="26"/>
      <c r="N15" s="17">
        <v>15667</v>
      </c>
      <c r="O15" s="18">
        <v>23</v>
      </c>
      <c r="P15" s="18">
        <v>161</v>
      </c>
      <c r="Q15" s="23"/>
      <c r="R15" s="23"/>
      <c r="S15" s="26"/>
    </row>
    <row r="16" spans="1:19" s="4" customFormat="1" x14ac:dyDescent="0.2">
      <c r="A16" s="12">
        <v>2012</v>
      </c>
      <c r="B16" s="17">
        <v>61662</v>
      </c>
      <c r="C16" s="18">
        <v>259</v>
      </c>
      <c r="D16" s="18">
        <v>1813</v>
      </c>
      <c r="E16" s="23"/>
      <c r="F16" s="23"/>
      <c r="G16" s="26"/>
      <c r="H16" s="17">
        <v>29638</v>
      </c>
      <c r="I16" s="18">
        <f>20+24+16</f>
        <v>60</v>
      </c>
      <c r="J16" s="18">
        <f>140+168+112</f>
        <v>420</v>
      </c>
      <c r="K16" s="23"/>
      <c r="L16" s="23"/>
      <c r="M16" s="26"/>
      <c r="N16" s="17">
        <v>11811</v>
      </c>
      <c r="O16" s="18">
        <v>24</v>
      </c>
      <c r="P16" s="18">
        <v>168</v>
      </c>
      <c r="Q16" s="23"/>
      <c r="R16" s="23"/>
      <c r="S16" s="26"/>
    </row>
    <row r="17" spans="1:20" ht="15" thickBot="1" x14ac:dyDescent="0.25">
      <c r="A17" s="13">
        <v>2013</v>
      </c>
      <c r="B17" s="5">
        <v>61952</v>
      </c>
      <c r="C17" s="20">
        <v>257</v>
      </c>
      <c r="D17" s="20">
        <v>1799</v>
      </c>
      <c r="E17" s="24"/>
      <c r="F17" s="24"/>
      <c r="G17" s="27"/>
      <c r="H17" s="5">
        <f>9254+15747+7063</f>
        <v>32064</v>
      </c>
      <c r="I17" s="20">
        <f>20+24+16</f>
        <v>60</v>
      </c>
      <c r="J17" s="20">
        <f>140+168+112</f>
        <v>420</v>
      </c>
      <c r="K17" s="24"/>
      <c r="L17" s="24"/>
      <c r="M17" s="27"/>
      <c r="N17" s="5">
        <v>15747</v>
      </c>
      <c r="O17" s="20">
        <v>24</v>
      </c>
      <c r="P17" s="20">
        <v>168</v>
      </c>
      <c r="Q17" s="24"/>
      <c r="R17" s="24"/>
      <c r="S17" s="27"/>
    </row>
    <row r="18" spans="1:20" x14ac:dyDescent="0.2">
      <c r="H18" s="1"/>
    </row>
    <row r="19" spans="1:20" x14ac:dyDescent="0.2">
      <c r="H19" s="1"/>
    </row>
    <row r="24" spans="1:20" x14ac:dyDescent="0.2">
      <c r="K24" s="47"/>
    </row>
    <row r="25" spans="1:20" x14ac:dyDescent="0.2">
      <c r="K25" s="47"/>
      <c r="L25" s="49"/>
      <c r="M25" s="50"/>
      <c r="N25" s="47"/>
      <c r="O25" s="49"/>
      <c r="P25" s="50"/>
      <c r="Q25" s="47"/>
      <c r="R25" s="49"/>
      <c r="S25" s="50"/>
      <c r="T25" s="47"/>
    </row>
    <row r="26" spans="1:20" x14ac:dyDescent="0.2">
      <c r="K26" s="47"/>
    </row>
    <row r="27" spans="1:20" x14ac:dyDescent="0.2">
      <c r="K27" s="47"/>
    </row>
  </sheetData>
  <mergeCells count="3">
    <mergeCell ref="B2:G2"/>
    <mergeCell ref="H2:M2"/>
    <mergeCell ref="N2:S2"/>
  </mergeCells>
  <pageMargins left="0.7" right="0.7" top="0.75" bottom="0.75" header="0.3" footer="0.3"/>
  <ignoredErrors>
    <ignoredError sqref="I13:J1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L35" sqref="L35"/>
    </sheetView>
  </sheetViews>
  <sheetFormatPr defaultColWidth="8.6640625" defaultRowHeight="14.25" x14ac:dyDescent="0.2"/>
  <sheetData>
    <row r="1" spans="1:19" ht="15" thickBot="1" x14ac:dyDescent="0.25">
      <c r="A1" s="56" t="s">
        <v>15</v>
      </c>
    </row>
    <row r="2" spans="1:19" ht="15" thickBot="1" x14ac:dyDescent="0.25">
      <c r="A2" s="11"/>
      <c r="B2" s="81" t="s">
        <v>6</v>
      </c>
      <c r="C2" s="82"/>
      <c r="D2" s="82"/>
      <c r="E2" s="82"/>
      <c r="F2" s="82"/>
      <c r="G2" s="83"/>
      <c r="H2" s="81" t="s">
        <v>7</v>
      </c>
      <c r="I2" s="82"/>
      <c r="J2" s="82"/>
      <c r="K2" s="82"/>
      <c r="L2" s="82"/>
      <c r="M2" s="83"/>
      <c r="N2" s="81" t="s">
        <v>8</v>
      </c>
      <c r="O2" s="82"/>
      <c r="P2" s="82"/>
      <c r="Q2" s="82"/>
      <c r="R2" s="82"/>
      <c r="S2" s="83"/>
    </row>
    <row r="3" spans="1:19" ht="15" thickBot="1" x14ac:dyDescent="0.25">
      <c r="A3" s="13"/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10" t="s">
        <v>5</v>
      </c>
      <c r="H3" s="8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10" t="s">
        <v>5</v>
      </c>
      <c r="N3" s="8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</row>
    <row r="4" spans="1:19" x14ac:dyDescent="0.2">
      <c r="A4" s="11">
        <v>1963</v>
      </c>
      <c r="B4" s="14">
        <v>51000</v>
      </c>
      <c r="C4" s="22"/>
      <c r="D4" s="22"/>
      <c r="E4" s="54">
        <v>100</v>
      </c>
      <c r="F4" s="22"/>
      <c r="G4" s="16">
        <f>30200-E4</f>
        <v>30100</v>
      </c>
      <c r="H4" s="14">
        <v>8000</v>
      </c>
      <c r="I4" s="22"/>
      <c r="J4" s="22"/>
      <c r="K4" s="15"/>
      <c r="L4" s="22"/>
      <c r="M4" s="16"/>
      <c r="N4" s="14">
        <v>3000</v>
      </c>
      <c r="O4" s="22"/>
      <c r="P4" s="22"/>
      <c r="Q4" s="15"/>
      <c r="R4" s="22"/>
      <c r="S4" s="16"/>
    </row>
    <row r="5" spans="1:19" x14ac:dyDescent="0.2">
      <c r="A5" s="3">
        <v>1971</v>
      </c>
      <c r="B5" s="17">
        <v>46121</v>
      </c>
      <c r="C5" s="23"/>
      <c r="D5" s="23"/>
      <c r="E5" s="18">
        <v>86</v>
      </c>
      <c r="F5" s="23"/>
      <c r="G5" s="19">
        <f>28457+E5</f>
        <v>28543</v>
      </c>
      <c r="H5" s="17">
        <v>8443</v>
      </c>
      <c r="I5" s="23"/>
      <c r="J5" s="23"/>
      <c r="K5" s="18">
        <v>26</v>
      </c>
      <c r="L5" s="23"/>
      <c r="M5" s="19">
        <f>5681-K5</f>
        <v>5655</v>
      </c>
      <c r="N5" s="17">
        <v>3053</v>
      </c>
      <c r="O5" s="23"/>
      <c r="P5" s="23"/>
      <c r="Q5" s="18">
        <v>10</v>
      </c>
      <c r="R5" s="23"/>
      <c r="S5" s="19">
        <f>1973-Q5</f>
        <v>1963</v>
      </c>
    </row>
    <row r="6" spans="1:19" x14ac:dyDescent="0.2">
      <c r="A6" s="12">
        <v>1980</v>
      </c>
      <c r="B6" s="17">
        <v>49900</v>
      </c>
      <c r="C6" s="23"/>
      <c r="D6" s="23"/>
      <c r="E6" s="18">
        <v>20</v>
      </c>
      <c r="F6" s="23"/>
      <c r="G6" s="19">
        <v>31080</v>
      </c>
      <c r="H6" s="17">
        <v>10500</v>
      </c>
      <c r="I6" s="23"/>
      <c r="J6" s="23"/>
      <c r="K6" s="18">
        <v>10</v>
      </c>
      <c r="L6" s="23"/>
      <c r="M6" s="19">
        <v>6520</v>
      </c>
      <c r="N6" s="17">
        <v>3700</v>
      </c>
      <c r="O6" s="23"/>
      <c r="P6" s="23"/>
      <c r="Q6" s="18">
        <v>0</v>
      </c>
      <c r="R6" s="23"/>
      <c r="S6" s="19">
        <v>2280</v>
      </c>
    </row>
    <row r="7" spans="1:19" x14ac:dyDescent="0.2">
      <c r="A7" s="12">
        <v>1990</v>
      </c>
      <c r="B7" s="17">
        <v>66195</v>
      </c>
      <c r="C7" s="23"/>
      <c r="D7" s="23"/>
      <c r="E7" s="18">
        <v>327</v>
      </c>
      <c r="F7" s="23"/>
      <c r="G7" s="19">
        <v>41435</v>
      </c>
      <c r="H7" s="17">
        <v>15857</v>
      </c>
      <c r="I7" s="23"/>
      <c r="J7" s="23"/>
      <c r="K7" s="18">
        <v>130</v>
      </c>
      <c r="L7" s="23"/>
      <c r="M7" s="19">
        <v>8075</v>
      </c>
      <c r="N7" s="17">
        <v>5694</v>
      </c>
      <c r="O7" s="23"/>
      <c r="P7" s="23"/>
      <c r="Q7" s="18">
        <v>45</v>
      </c>
      <c r="R7" s="23"/>
      <c r="S7" s="19">
        <v>2693</v>
      </c>
    </row>
    <row r="8" spans="1:19" x14ac:dyDescent="0.2">
      <c r="A8" s="12">
        <v>2000</v>
      </c>
      <c r="B8" s="17">
        <v>90642</v>
      </c>
      <c r="C8" s="23"/>
      <c r="D8" s="23"/>
      <c r="E8" s="18">
        <v>349</v>
      </c>
      <c r="F8" s="23"/>
      <c r="G8" s="19">
        <v>49137</v>
      </c>
      <c r="H8" s="17">
        <v>27984</v>
      </c>
      <c r="I8" s="23"/>
      <c r="J8" s="23"/>
      <c r="K8" s="18">
        <v>136</v>
      </c>
      <c r="L8" s="23"/>
      <c r="M8" s="19">
        <v>8264</v>
      </c>
      <c r="N8" s="17">
        <v>8858</v>
      </c>
      <c r="O8" s="23"/>
      <c r="P8" s="23"/>
      <c r="Q8" s="18">
        <v>61</v>
      </c>
      <c r="R8" s="23"/>
      <c r="S8" s="19">
        <v>2628</v>
      </c>
    </row>
    <row r="9" spans="1:19" x14ac:dyDescent="0.2">
      <c r="A9" s="12">
        <v>2005</v>
      </c>
      <c r="B9" s="17">
        <v>74284</v>
      </c>
      <c r="C9" s="23"/>
      <c r="D9" s="23"/>
      <c r="E9" s="18">
        <v>779</v>
      </c>
      <c r="F9" s="23"/>
      <c r="G9" s="19">
        <v>46189</v>
      </c>
      <c r="H9" s="17">
        <v>16476</v>
      </c>
      <c r="I9" s="23"/>
      <c r="J9" s="23"/>
      <c r="K9" s="18">
        <v>175</v>
      </c>
      <c r="L9" s="23"/>
      <c r="M9" s="19">
        <v>8788</v>
      </c>
      <c r="N9" s="17">
        <v>6043</v>
      </c>
      <c r="O9" s="23"/>
      <c r="P9" s="23"/>
      <c r="Q9" s="18">
        <v>72</v>
      </c>
      <c r="R9" s="23"/>
      <c r="S9" s="19">
        <v>2932</v>
      </c>
    </row>
    <row r="10" spans="1:19" x14ac:dyDescent="0.2">
      <c r="A10" s="12">
        <v>2006</v>
      </c>
      <c r="B10" s="17">
        <v>75427</v>
      </c>
      <c r="C10" s="23"/>
      <c r="D10" s="23"/>
      <c r="E10" s="18">
        <v>773</v>
      </c>
      <c r="F10" s="23"/>
      <c r="G10" s="19">
        <v>47388</v>
      </c>
      <c r="H10" s="17">
        <v>15883</v>
      </c>
      <c r="I10" s="23"/>
      <c r="J10" s="23"/>
      <c r="K10" s="18">
        <v>162</v>
      </c>
      <c r="L10" s="23"/>
      <c r="M10" s="19">
        <v>8700</v>
      </c>
      <c r="N10" s="17">
        <v>5854</v>
      </c>
      <c r="O10" s="23"/>
      <c r="P10" s="23"/>
      <c r="Q10" s="18">
        <v>65</v>
      </c>
      <c r="R10" s="23"/>
      <c r="S10" s="19">
        <v>2976</v>
      </c>
    </row>
    <row r="11" spans="1:19" x14ac:dyDescent="0.2">
      <c r="A11" s="12">
        <v>2007</v>
      </c>
      <c r="B11" s="17">
        <v>75585</v>
      </c>
      <c r="C11" s="23"/>
      <c r="D11" s="23"/>
      <c r="E11" s="18">
        <v>789</v>
      </c>
      <c r="F11" s="23"/>
      <c r="G11" s="19">
        <v>47437</v>
      </c>
      <c r="H11" s="17">
        <v>16092</v>
      </c>
      <c r="I11" s="23"/>
      <c r="J11" s="23"/>
      <c r="K11" s="18">
        <v>165</v>
      </c>
      <c r="L11" s="23"/>
      <c r="M11" s="19">
        <v>8813</v>
      </c>
      <c r="N11" s="17">
        <v>5817</v>
      </c>
      <c r="O11" s="23"/>
      <c r="P11" s="23"/>
      <c r="Q11" s="18">
        <v>65</v>
      </c>
      <c r="R11" s="23"/>
      <c r="S11" s="19">
        <v>2945</v>
      </c>
    </row>
    <row r="12" spans="1:19" x14ac:dyDescent="0.2">
      <c r="A12" s="12">
        <v>2008</v>
      </c>
      <c r="B12" s="17">
        <v>70769</v>
      </c>
      <c r="C12" s="23"/>
      <c r="D12" s="23"/>
      <c r="E12" s="18">
        <v>757</v>
      </c>
      <c r="F12" s="23"/>
      <c r="G12" s="19">
        <v>43768</v>
      </c>
      <c r="H12" s="17">
        <v>15622</v>
      </c>
      <c r="I12" s="23"/>
      <c r="J12" s="23"/>
      <c r="K12" s="18">
        <v>165</v>
      </c>
      <c r="L12" s="23"/>
      <c r="M12" s="19">
        <v>8321</v>
      </c>
      <c r="N12" s="17">
        <v>5551</v>
      </c>
      <c r="O12" s="23"/>
      <c r="P12" s="23"/>
      <c r="Q12" s="18">
        <v>65</v>
      </c>
      <c r="R12" s="23"/>
      <c r="S12" s="19">
        <v>2726</v>
      </c>
    </row>
    <row r="13" spans="1:19" x14ac:dyDescent="0.2">
      <c r="A13" s="12">
        <v>2009</v>
      </c>
      <c r="B13" s="17">
        <v>71875</v>
      </c>
      <c r="C13" s="23"/>
      <c r="D13" s="23"/>
      <c r="E13" s="18">
        <v>810</v>
      </c>
      <c r="F13" s="23"/>
      <c r="G13" s="19">
        <v>43991</v>
      </c>
      <c r="H13" s="17">
        <v>16187</v>
      </c>
      <c r="I13" s="23"/>
      <c r="J13" s="23"/>
      <c r="K13" s="18">
        <v>171</v>
      </c>
      <c r="L13" s="23"/>
      <c r="M13" s="19">
        <v>8648</v>
      </c>
      <c r="N13" s="17">
        <v>5873</v>
      </c>
      <c r="O13" s="23"/>
      <c r="P13" s="23"/>
      <c r="Q13" s="18">
        <v>70</v>
      </c>
      <c r="R13" s="23"/>
      <c r="S13" s="19">
        <v>2846</v>
      </c>
    </row>
    <row r="14" spans="1:19" x14ac:dyDescent="0.2">
      <c r="A14" s="12">
        <v>2010</v>
      </c>
      <c r="B14" s="17">
        <v>76532</v>
      </c>
      <c r="C14" s="23"/>
      <c r="D14" s="23"/>
      <c r="E14" s="18">
        <v>884</v>
      </c>
      <c r="F14" s="23"/>
      <c r="G14" s="19">
        <v>46881</v>
      </c>
      <c r="H14" s="17">
        <v>15859</v>
      </c>
      <c r="I14" s="23"/>
      <c r="J14" s="23"/>
      <c r="K14" s="18">
        <v>153</v>
      </c>
      <c r="L14" s="23"/>
      <c r="M14" s="19">
        <v>8960</v>
      </c>
      <c r="N14" s="17">
        <v>5497</v>
      </c>
      <c r="O14" s="23"/>
      <c r="P14" s="23"/>
      <c r="Q14" s="18">
        <v>55</v>
      </c>
      <c r="R14" s="23"/>
      <c r="S14" s="19">
        <v>2968</v>
      </c>
    </row>
    <row r="15" spans="1:19" x14ac:dyDescent="0.2">
      <c r="A15" s="12">
        <v>2011</v>
      </c>
      <c r="B15" s="17">
        <v>70692</v>
      </c>
      <c r="C15" s="23"/>
      <c r="D15" s="23"/>
      <c r="E15" s="18">
        <v>792</v>
      </c>
      <c r="F15" s="23"/>
      <c r="G15" s="19">
        <v>42327</v>
      </c>
      <c r="H15" s="17">
        <v>14995</v>
      </c>
      <c r="I15" s="23"/>
      <c r="J15" s="23"/>
      <c r="K15" s="18">
        <v>162</v>
      </c>
      <c r="L15" s="23"/>
      <c r="M15" s="19">
        <v>8155</v>
      </c>
      <c r="N15" s="17">
        <v>5393</v>
      </c>
      <c r="O15" s="23"/>
      <c r="P15" s="23"/>
      <c r="Q15" s="18">
        <v>61</v>
      </c>
      <c r="R15" s="23"/>
      <c r="S15" s="19">
        <v>2754</v>
      </c>
    </row>
    <row r="16" spans="1:19" s="4" customFormat="1" x14ac:dyDescent="0.2">
      <c r="A16" s="12">
        <v>2012</v>
      </c>
      <c r="B16" s="17">
        <v>73451</v>
      </c>
      <c r="C16" s="23"/>
      <c r="D16" s="23"/>
      <c r="E16" s="18">
        <v>781</v>
      </c>
      <c r="F16" s="23"/>
      <c r="G16" s="19">
        <v>44285</v>
      </c>
      <c r="H16" s="17">
        <v>15579</v>
      </c>
      <c r="I16" s="23"/>
      <c r="J16" s="23"/>
      <c r="K16" s="18">
        <v>175</v>
      </c>
      <c r="L16" s="23"/>
      <c r="M16" s="19">
        <v>8279</v>
      </c>
      <c r="N16" s="17">
        <v>5632</v>
      </c>
      <c r="O16" s="23"/>
      <c r="P16" s="23"/>
      <c r="Q16" s="18">
        <v>71</v>
      </c>
      <c r="R16" s="23"/>
      <c r="S16" s="19">
        <v>2672</v>
      </c>
    </row>
    <row r="17" spans="1:21" ht="15" thickBot="1" x14ac:dyDescent="0.25">
      <c r="A17" s="13">
        <v>2013</v>
      </c>
      <c r="B17" s="5">
        <v>71108</v>
      </c>
      <c r="C17" s="24"/>
      <c r="D17" s="24"/>
      <c r="E17" s="20">
        <v>683</v>
      </c>
      <c r="F17" s="24"/>
      <c r="G17" s="21">
        <v>43892</v>
      </c>
      <c r="H17" s="5">
        <v>15915</v>
      </c>
      <c r="I17" s="24"/>
      <c r="J17" s="24"/>
      <c r="K17" s="20">
        <v>181</v>
      </c>
      <c r="L17" s="24"/>
      <c r="M17" s="21">
        <v>8283</v>
      </c>
      <c r="N17" s="5">
        <v>5415</v>
      </c>
      <c r="O17" s="24"/>
      <c r="P17" s="24"/>
      <c r="Q17" s="20">
        <v>60</v>
      </c>
      <c r="R17" s="24"/>
      <c r="S17" s="21">
        <v>2853</v>
      </c>
    </row>
    <row r="18" spans="1:21" x14ac:dyDescent="0.2">
      <c r="H18" s="1"/>
    </row>
    <row r="24" spans="1:21" x14ac:dyDescent="0.2">
      <c r="K24" s="47"/>
      <c r="L24" s="47"/>
      <c r="M24" s="47"/>
      <c r="N24" s="47"/>
      <c r="O24" s="47"/>
      <c r="P24" s="47"/>
    </row>
    <row r="25" spans="1:21" x14ac:dyDescent="0.2">
      <c r="C25" s="48"/>
      <c r="I25" s="50"/>
      <c r="J25" s="47"/>
      <c r="K25" s="49"/>
      <c r="L25" s="50"/>
      <c r="M25" s="47"/>
      <c r="N25" s="49"/>
      <c r="O25" s="50"/>
      <c r="P25" s="47"/>
    </row>
    <row r="26" spans="1:21" x14ac:dyDescent="0.2">
      <c r="L26" s="47"/>
    </row>
    <row r="27" spans="1:21" x14ac:dyDescent="0.2">
      <c r="L27" s="47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"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"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"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"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">
      <c r="M32" s="1"/>
      <c r="N32" s="1"/>
      <c r="O32" s="1"/>
      <c r="P32" s="1"/>
      <c r="Q32" s="1"/>
      <c r="R32" s="1"/>
      <c r="S32" s="1"/>
      <c r="T32" s="1"/>
      <c r="U32" s="1"/>
    </row>
    <row r="33" spans="13:21" x14ac:dyDescent="0.2">
      <c r="M33" s="1"/>
      <c r="N33" s="1"/>
      <c r="O33" s="1"/>
      <c r="P33" s="1"/>
      <c r="Q33" s="1"/>
      <c r="R33" s="1"/>
      <c r="S33" s="1"/>
      <c r="T33" s="1"/>
      <c r="U33" s="1"/>
    </row>
    <row r="34" spans="13:21" x14ac:dyDescent="0.2">
      <c r="M34" s="1"/>
      <c r="N34" s="1"/>
      <c r="O34" s="1"/>
      <c r="P34" s="1"/>
      <c r="Q34" s="1"/>
      <c r="R34" s="1"/>
      <c r="S34" s="1"/>
      <c r="T34" s="1"/>
      <c r="U34" s="1"/>
    </row>
    <row r="35" spans="13:21" x14ac:dyDescent="0.2">
      <c r="M35" s="1"/>
      <c r="N35" s="1"/>
      <c r="O35" s="1"/>
      <c r="P35" s="1"/>
      <c r="Q35" s="1"/>
      <c r="R35" s="1"/>
      <c r="S35" s="1"/>
      <c r="T35" s="1"/>
      <c r="U35" s="1"/>
    </row>
    <row r="36" spans="13:21" x14ac:dyDescent="0.2">
      <c r="M36" s="1"/>
      <c r="N36" s="1"/>
      <c r="O36" s="1"/>
      <c r="P36" s="1"/>
      <c r="Q36" s="1"/>
      <c r="R36" s="1"/>
      <c r="S36" s="1"/>
      <c r="T36" s="1"/>
      <c r="U36" s="1"/>
    </row>
    <row r="37" spans="13:21" x14ac:dyDescent="0.2">
      <c r="M37" s="1"/>
      <c r="N37" s="1"/>
      <c r="O37" s="1"/>
      <c r="P37" s="1"/>
      <c r="Q37" s="1"/>
      <c r="R37" s="1"/>
      <c r="S37" s="1"/>
      <c r="T37" s="1"/>
      <c r="U37" s="1"/>
    </row>
  </sheetData>
  <mergeCells count="3">
    <mergeCell ref="B2:G2"/>
    <mergeCell ref="H2:M2"/>
    <mergeCell ref="N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E27" sqref="E27:I30"/>
    </sheetView>
  </sheetViews>
  <sheetFormatPr defaultColWidth="8.6640625" defaultRowHeight="14.25" x14ac:dyDescent="0.2"/>
  <sheetData>
    <row r="1" spans="1:19" ht="15" thickBot="1" x14ac:dyDescent="0.25">
      <c r="A1" s="56" t="s">
        <v>16</v>
      </c>
    </row>
    <row r="2" spans="1:19" ht="15" thickBot="1" x14ac:dyDescent="0.25">
      <c r="A2" s="11"/>
      <c r="B2" s="81" t="s">
        <v>6</v>
      </c>
      <c r="C2" s="82"/>
      <c r="D2" s="82"/>
      <c r="E2" s="82"/>
      <c r="F2" s="82"/>
      <c r="G2" s="83"/>
      <c r="H2" s="81" t="s">
        <v>7</v>
      </c>
      <c r="I2" s="82"/>
      <c r="J2" s="82"/>
      <c r="K2" s="82"/>
      <c r="L2" s="82"/>
      <c r="M2" s="83"/>
      <c r="N2" s="81" t="s">
        <v>8</v>
      </c>
      <c r="O2" s="82"/>
      <c r="P2" s="82"/>
      <c r="Q2" s="82"/>
      <c r="R2" s="82"/>
      <c r="S2" s="83"/>
    </row>
    <row r="3" spans="1:19" ht="15" thickBot="1" x14ac:dyDescent="0.25">
      <c r="A3" s="13"/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10" t="s">
        <v>5</v>
      </c>
      <c r="H3" s="8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10" t="s">
        <v>5</v>
      </c>
      <c r="N3" s="8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</row>
    <row r="4" spans="1:19" x14ac:dyDescent="0.2">
      <c r="A4" s="2">
        <v>1963</v>
      </c>
      <c r="B4" s="53">
        <v>33000</v>
      </c>
      <c r="C4" s="15"/>
      <c r="D4" s="15"/>
      <c r="E4" s="22"/>
      <c r="F4" s="22"/>
      <c r="G4" s="25"/>
      <c r="H4" s="14"/>
      <c r="I4" s="15"/>
      <c r="J4" s="15"/>
      <c r="K4" s="22"/>
      <c r="L4" s="22"/>
      <c r="M4" s="25"/>
      <c r="N4" s="14"/>
      <c r="O4" s="15"/>
      <c r="P4" s="15"/>
      <c r="Q4" s="22"/>
      <c r="R4" s="22"/>
      <c r="S4" s="25"/>
    </row>
    <row r="5" spans="1:19" x14ac:dyDescent="0.2">
      <c r="A5" s="3">
        <v>1971</v>
      </c>
      <c r="B5" s="17">
        <v>43852</v>
      </c>
      <c r="C5" s="18"/>
      <c r="D5" s="18"/>
      <c r="E5" s="23"/>
      <c r="F5" s="23"/>
      <c r="G5" s="26"/>
      <c r="H5" s="17">
        <v>33470</v>
      </c>
      <c r="I5" s="18"/>
      <c r="J5" s="18"/>
      <c r="K5" s="23"/>
      <c r="L5" s="23"/>
      <c r="M5" s="26"/>
      <c r="N5" s="17">
        <v>21870</v>
      </c>
      <c r="O5" s="18"/>
      <c r="P5" s="18">
        <v>222</v>
      </c>
      <c r="Q5" s="23"/>
      <c r="R5" s="23"/>
      <c r="S5" s="26"/>
    </row>
    <row r="6" spans="1:19" x14ac:dyDescent="0.2">
      <c r="A6" s="3">
        <v>1980</v>
      </c>
      <c r="B6" s="17">
        <v>49163</v>
      </c>
      <c r="C6" s="18">
        <v>300</v>
      </c>
      <c r="D6" s="18">
        <v>1653</v>
      </c>
      <c r="E6" s="23"/>
      <c r="F6" s="23"/>
      <c r="G6" s="26"/>
      <c r="H6" s="17">
        <v>37108</v>
      </c>
      <c r="I6" s="18">
        <f>19+38+21</f>
        <v>78</v>
      </c>
      <c r="J6" s="18">
        <f>133+266+147</f>
        <v>546</v>
      </c>
      <c r="K6" s="23"/>
      <c r="L6" s="23"/>
      <c r="M6" s="26"/>
      <c r="N6" s="17">
        <v>22392</v>
      </c>
      <c r="O6" s="18">
        <v>38</v>
      </c>
      <c r="P6" s="18">
        <v>266</v>
      </c>
      <c r="Q6" s="23"/>
      <c r="R6" s="23"/>
      <c r="S6" s="26"/>
    </row>
    <row r="7" spans="1:19" x14ac:dyDescent="0.2">
      <c r="A7" s="3">
        <v>1990</v>
      </c>
      <c r="B7" s="17">
        <v>63399</v>
      </c>
      <c r="C7" s="18">
        <v>296</v>
      </c>
      <c r="D7" s="18">
        <v>2368</v>
      </c>
      <c r="E7" s="23"/>
      <c r="F7" s="23"/>
      <c r="G7" s="26"/>
      <c r="H7" s="17">
        <v>41712</v>
      </c>
      <c r="I7" s="18">
        <f>29+33+15</f>
        <v>77</v>
      </c>
      <c r="J7" s="18">
        <f>232+264+120</f>
        <v>616</v>
      </c>
      <c r="K7" s="23"/>
      <c r="L7" s="23"/>
      <c r="M7" s="26"/>
      <c r="N7" s="17">
        <v>21410</v>
      </c>
      <c r="O7" s="18">
        <v>33</v>
      </c>
      <c r="P7" s="18">
        <v>264</v>
      </c>
      <c r="Q7" s="23"/>
      <c r="R7" s="23"/>
      <c r="S7" s="26"/>
    </row>
    <row r="8" spans="1:19" x14ac:dyDescent="0.2">
      <c r="A8" s="3">
        <v>2000</v>
      </c>
      <c r="B8" s="17">
        <v>74398</v>
      </c>
      <c r="C8" s="18">
        <v>363</v>
      </c>
      <c r="D8" s="18">
        <v>2726</v>
      </c>
      <c r="E8" s="23"/>
      <c r="F8" s="23"/>
      <c r="G8" s="26"/>
      <c r="H8" s="17">
        <v>46824</v>
      </c>
      <c r="I8" s="18">
        <f>32+38+27</f>
        <v>97</v>
      </c>
      <c r="J8" s="18">
        <f>241+286+202</f>
        <v>729</v>
      </c>
      <c r="K8" s="23"/>
      <c r="L8" s="23"/>
      <c r="M8" s="26"/>
      <c r="N8" s="17">
        <v>22313</v>
      </c>
      <c r="O8" s="18">
        <v>38</v>
      </c>
      <c r="P8" s="18">
        <v>286</v>
      </c>
      <c r="Q8" s="23"/>
      <c r="R8" s="23"/>
      <c r="S8" s="26"/>
    </row>
    <row r="9" spans="1:19" x14ac:dyDescent="0.2">
      <c r="A9" s="3">
        <v>2005</v>
      </c>
      <c r="B9" s="17">
        <v>36047</v>
      </c>
      <c r="C9" s="18">
        <v>254</v>
      </c>
      <c r="D9" s="18">
        <v>1778</v>
      </c>
      <c r="E9" s="23"/>
      <c r="F9" s="23"/>
      <c r="G9" s="26"/>
      <c r="H9" s="17">
        <v>10815</v>
      </c>
      <c r="I9" s="18">
        <f>19+23+18</f>
        <v>60</v>
      </c>
      <c r="J9" s="18">
        <f>133+161+126</f>
        <v>420</v>
      </c>
      <c r="K9" s="23"/>
      <c r="L9" s="23"/>
      <c r="M9" s="26"/>
      <c r="N9" s="17">
        <v>4939</v>
      </c>
      <c r="O9" s="18">
        <v>23</v>
      </c>
      <c r="P9" s="18">
        <v>161</v>
      </c>
      <c r="Q9" s="23"/>
      <c r="R9" s="23"/>
      <c r="S9" s="26"/>
    </row>
    <row r="10" spans="1:19" x14ac:dyDescent="0.2">
      <c r="A10" s="3">
        <v>2006</v>
      </c>
      <c r="B10" s="17">
        <v>40228</v>
      </c>
      <c r="C10" s="18">
        <v>254</v>
      </c>
      <c r="D10" s="18">
        <v>1778</v>
      </c>
      <c r="E10" s="23"/>
      <c r="F10" s="23"/>
      <c r="G10" s="26"/>
      <c r="H10" s="17">
        <v>12068</v>
      </c>
      <c r="I10" s="18">
        <f>20+24+20</f>
        <v>64</v>
      </c>
      <c r="J10" s="18">
        <f>140+168+140</f>
        <v>448</v>
      </c>
      <c r="K10" s="23"/>
      <c r="L10" s="23"/>
      <c r="M10" s="26"/>
      <c r="N10" s="17">
        <v>5511</v>
      </c>
      <c r="O10" s="18">
        <v>24</v>
      </c>
      <c r="P10" s="18">
        <v>168</v>
      </c>
      <c r="Q10" s="23"/>
      <c r="R10" s="23"/>
      <c r="S10" s="26"/>
    </row>
    <row r="11" spans="1:19" x14ac:dyDescent="0.2">
      <c r="A11" s="3">
        <v>2007</v>
      </c>
      <c r="B11" s="17">
        <v>42940</v>
      </c>
      <c r="C11" s="18">
        <v>259</v>
      </c>
      <c r="D11" s="18">
        <v>1813</v>
      </c>
      <c r="E11" s="23"/>
      <c r="F11" s="23"/>
      <c r="G11" s="26"/>
      <c r="H11" s="17">
        <v>12883</v>
      </c>
      <c r="I11" s="18">
        <f>20+25+20</f>
        <v>65</v>
      </c>
      <c r="J11" s="18">
        <f>140+175+140</f>
        <v>455</v>
      </c>
      <c r="K11" s="23"/>
      <c r="L11" s="23"/>
      <c r="M11" s="26"/>
      <c r="N11" s="17">
        <v>5883</v>
      </c>
      <c r="O11" s="18">
        <v>25</v>
      </c>
      <c r="P11" s="18">
        <v>175</v>
      </c>
      <c r="Q11" s="23"/>
      <c r="R11" s="23"/>
      <c r="S11" s="26"/>
    </row>
    <row r="12" spans="1:19" x14ac:dyDescent="0.2">
      <c r="A12" s="3">
        <v>2008</v>
      </c>
      <c r="B12" s="17">
        <v>53523</v>
      </c>
      <c r="C12" s="18">
        <v>259</v>
      </c>
      <c r="D12" s="18">
        <v>1813</v>
      </c>
      <c r="E12" s="23"/>
      <c r="F12" s="23"/>
      <c r="G12" s="26"/>
      <c r="H12" s="17">
        <v>30347</v>
      </c>
      <c r="I12" s="18">
        <f>20+25+20</f>
        <v>65</v>
      </c>
      <c r="J12" s="18">
        <f>140+175+140</f>
        <v>455</v>
      </c>
      <c r="K12" s="23"/>
      <c r="L12" s="23"/>
      <c r="M12" s="26"/>
      <c r="N12" s="17">
        <v>14067</v>
      </c>
      <c r="O12" s="18">
        <v>25</v>
      </c>
      <c r="P12" s="18">
        <v>175</v>
      </c>
      <c r="Q12" s="23"/>
      <c r="R12" s="23"/>
      <c r="S12" s="26"/>
    </row>
    <row r="13" spans="1:19" x14ac:dyDescent="0.2">
      <c r="A13" s="3">
        <v>2009</v>
      </c>
      <c r="B13" s="17">
        <v>52269</v>
      </c>
      <c r="C13" s="18">
        <v>253</v>
      </c>
      <c r="D13" s="18">
        <v>1771</v>
      </c>
      <c r="E13" s="23"/>
      <c r="F13" s="23"/>
      <c r="G13" s="26"/>
      <c r="H13" s="17">
        <v>23708</v>
      </c>
      <c r="I13" s="18">
        <f>22+24+17</f>
        <v>63</v>
      </c>
      <c r="J13" s="18">
        <f>154+168+119</f>
        <v>441</v>
      </c>
      <c r="K13" s="23"/>
      <c r="L13" s="23"/>
      <c r="M13" s="26"/>
      <c r="N13" s="17">
        <v>11331</v>
      </c>
      <c r="O13" s="18">
        <v>24</v>
      </c>
      <c r="P13" s="18">
        <v>168</v>
      </c>
      <c r="Q13" s="23"/>
      <c r="R13" s="23"/>
      <c r="S13" s="26"/>
    </row>
    <row r="14" spans="1:19" x14ac:dyDescent="0.2">
      <c r="A14" s="3">
        <v>2010</v>
      </c>
      <c r="B14" s="17">
        <v>54446</v>
      </c>
      <c r="C14" s="18">
        <v>257</v>
      </c>
      <c r="D14" s="18">
        <v>1799</v>
      </c>
      <c r="E14" s="23"/>
      <c r="F14" s="23"/>
      <c r="G14" s="26"/>
      <c r="H14" s="17">
        <v>24315</v>
      </c>
      <c r="I14" s="18">
        <f>20+25+21</f>
        <v>66</v>
      </c>
      <c r="J14" s="18">
        <f>140+175+147</f>
        <v>462</v>
      </c>
      <c r="K14" s="23"/>
      <c r="L14" s="23"/>
      <c r="M14" s="26"/>
      <c r="N14" s="17">
        <v>11660</v>
      </c>
      <c r="O14" s="18">
        <v>25</v>
      </c>
      <c r="P14" s="18">
        <v>175</v>
      </c>
      <c r="Q14" s="23"/>
      <c r="R14" s="23"/>
      <c r="S14" s="26"/>
    </row>
    <row r="15" spans="1:19" x14ac:dyDescent="0.2">
      <c r="A15" s="3">
        <v>2011</v>
      </c>
      <c r="B15" s="17">
        <v>53868</v>
      </c>
      <c r="C15" s="18">
        <v>257</v>
      </c>
      <c r="D15" s="18">
        <v>2056</v>
      </c>
      <c r="E15" s="23"/>
      <c r="F15" s="23"/>
      <c r="G15" s="26"/>
      <c r="H15" s="17">
        <v>24654</v>
      </c>
      <c r="I15" s="18">
        <f>20+25+21</f>
        <v>66</v>
      </c>
      <c r="J15" s="18">
        <f>160+200+168</f>
        <v>528</v>
      </c>
      <c r="K15" s="23"/>
      <c r="L15" s="23"/>
      <c r="M15" s="26"/>
      <c r="N15" s="17">
        <v>11639</v>
      </c>
      <c r="O15" s="18">
        <v>25</v>
      </c>
      <c r="P15" s="18">
        <v>200</v>
      </c>
      <c r="Q15" s="23"/>
      <c r="R15" s="23"/>
      <c r="S15" s="26"/>
    </row>
    <row r="16" spans="1:19" s="4" customFormat="1" x14ac:dyDescent="0.2">
      <c r="A16" s="3">
        <v>2012</v>
      </c>
      <c r="B16" s="17">
        <v>57672</v>
      </c>
      <c r="C16" s="18">
        <v>250</v>
      </c>
      <c r="D16" s="18">
        <v>2000</v>
      </c>
      <c r="E16" s="23"/>
      <c r="F16" s="23"/>
      <c r="G16" s="26"/>
      <c r="H16" s="17">
        <v>32603</v>
      </c>
      <c r="I16" s="18">
        <f>22+24+17</f>
        <v>63</v>
      </c>
      <c r="J16" s="18">
        <f>176+192+136</f>
        <v>504</v>
      </c>
      <c r="K16" s="23"/>
      <c r="L16" s="23"/>
      <c r="M16" s="26"/>
      <c r="N16" s="17">
        <v>15232</v>
      </c>
      <c r="O16" s="18">
        <v>24</v>
      </c>
      <c r="P16" s="18">
        <v>192</v>
      </c>
      <c r="Q16" s="23"/>
      <c r="R16" s="23"/>
      <c r="S16" s="26"/>
    </row>
    <row r="17" spans="1:20" ht="15" thickBot="1" x14ac:dyDescent="0.25">
      <c r="A17" s="28">
        <v>2013</v>
      </c>
      <c r="B17" s="5">
        <v>54287</v>
      </c>
      <c r="C17" s="20">
        <v>248</v>
      </c>
      <c r="D17" s="20">
        <v>1984</v>
      </c>
      <c r="E17" s="24"/>
      <c r="F17" s="24"/>
      <c r="G17" s="27"/>
      <c r="H17" s="5">
        <f>9004+13254+6290</f>
        <v>28548</v>
      </c>
      <c r="I17" s="20">
        <f>22+24+17</f>
        <v>63</v>
      </c>
      <c r="J17" s="20">
        <f>176+192+136</f>
        <v>504</v>
      </c>
      <c r="K17" s="24"/>
      <c r="L17" s="24"/>
      <c r="M17" s="27"/>
      <c r="N17" s="5">
        <v>13254</v>
      </c>
      <c r="O17" s="20">
        <v>24</v>
      </c>
      <c r="P17" s="20">
        <v>192</v>
      </c>
      <c r="Q17" s="24"/>
      <c r="R17" s="24"/>
      <c r="S17" s="27"/>
    </row>
    <row r="24" spans="1:20" x14ac:dyDescent="0.2">
      <c r="K24" s="47"/>
    </row>
    <row r="25" spans="1:20" x14ac:dyDescent="0.2">
      <c r="K25" s="47"/>
      <c r="L25" s="49"/>
      <c r="M25" s="50"/>
      <c r="N25" s="47"/>
      <c r="O25" s="49"/>
      <c r="P25" s="50"/>
      <c r="Q25" s="47"/>
      <c r="R25" s="49"/>
      <c r="S25" s="50"/>
      <c r="T25" s="47"/>
    </row>
    <row r="26" spans="1:20" x14ac:dyDescent="0.2">
      <c r="K26" s="47"/>
    </row>
    <row r="27" spans="1:20" x14ac:dyDescent="0.2">
      <c r="F27" s="47"/>
    </row>
  </sheetData>
  <mergeCells count="3">
    <mergeCell ref="B2:G2"/>
    <mergeCell ref="H2:M2"/>
    <mergeCell ref="N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H26" sqref="H26"/>
    </sheetView>
  </sheetViews>
  <sheetFormatPr defaultColWidth="8.6640625" defaultRowHeight="14.25" x14ac:dyDescent="0.2"/>
  <sheetData>
    <row r="1" spans="1:19" ht="15" thickBot="1" x14ac:dyDescent="0.25">
      <c r="A1" s="56" t="s">
        <v>9</v>
      </c>
    </row>
    <row r="2" spans="1:19" ht="15" thickBot="1" x14ac:dyDescent="0.25">
      <c r="A2" s="11"/>
      <c r="B2" s="81" t="s">
        <v>6</v>
      </c>
      <c r="C2" s="82"/>
      <c r="D2" s="82"/>
      <c r="E2" s="82"/>
      <c r="F2" s="82"/>
      <c r="G2" s="83"/>
      <c r="H2" s="81" t="s">
        <v>7</v>
      </c>
      <c r="I2" s="82"/>
      <c r="J2" s="82"/>
      <c r="K2" s="82"/>
      <c r="L2" s="82"/>
      <c r="M2" s="83"/>
      <c r="N2" s="81" t="s">
        <v>8</v>
      </c>
      <c r="O2" s="82"/>
      <c r="P2" s="82"/>
      <c r="Q2" s="82"/>
      <c r="R2" s="82"/>
      <c r="S2" s="83"/>
    </row>
    <row r="3" spans="1:19" ht="15" thickBot="1" x14ac:dyDescent="0.25">
      <c r="A3" s="13"/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10" t="s">
        <v>5</v>
      </c>
      <c r="H3" s="8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10" t="s">
        <v>5</v>
      </c>
      <c r="N3" s="8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</row>
    <row r="4" spans="1:19" x14ac:dyDescent="0.2">
      <c r="A4" s="2">
        <v>1963</v>
      </c>
      <c r="B4" s="14">
        <v>20000</v>
      </c>
      <c r="C4" s="22"/>
      <c r="D4" s="22"/>
      <c r="E4" s="22"/>
      <c r="F4" s="15"/>
      <c r="G4" s="25"/>
      <c r="H4" s="14"/>
      <c r="I4" s="51"/>
      <c r="J4" s="22"/>
      <c r="K4" s="22"/>
      <c r="L4" s="15"/>
      <c r="M4" s="25"/>
      <c r="N4" s="14"/>
      <c r="O4" s="51"/>
      <c r="P4" s="51"/>
      <c r="Q4" s="22"/>
      <c r="R4" s="15"/>
      <c r="S4" s="25"/>
    </row>
    <row r="5" spans="1:19" x14ac:dyDescent="0.2">
      <c r="A5" s="3">
        <v>1971</v>
      </c>
      <c r="B5" s="17">
        <v>0</v>
      </c>
      <c r="C5" s="23"/>
      <c r="D5" s="23"/>
      <c r="E5" s="23"/>
      <c r="F5" s="18"/>
      <c r="G5" s="26"/>
      <c r="H5" s="17"/>
      <c r="I5" s="23"/>
      <c r="J5" s="23"/>
      <c r="K5" s="23"/>
      <c r="L5" s="18"/>
      <c r="M5" s="26"/>
      <c r="N5" s="17"/>
      <c r="O5" s="23"/>
      <c r="P5" s="23"/>
      <c r="Q5" s="23"/>
      <c r="R5" s="18"/>
      <c r="S5" s="26"/>
    </row>
    <row r="6" spans="1:19" x14ac:dyDescent="0.2">
      <c r="A6" s="3">
        <v>1980</v>
      </c>
      <c r="B6" s="17">
        <v>0</v>
      </c>
      <c r="C6" s="23"/>
      <c r="D6" s="23"/>
      <c r="E6" s="23"/>
      <c r="F6" s="18"/>
      <c r="G6" s="26"/>
      <c r="H6" s="17"/>
      <c r="I6" s="23"/>
      <c r="J6" s="23"/>
      <c r="K6" s="23"/>
      <c r="L6" s="18"/>
      <c r="M6" s="26"/>
      <c r="N6" s="17"/>
      <c r="O6" s="23"/>
      <c r="P6" s="23"/>
      <c r="Q6" s="23"/>
      <c r="R6" s="18"/>
      <c r="S6" s="26"/>
    </row>
    <row r="7" spans="1:19" x14ac:dyDescent="0.2">
      <c r="A7" s="3">
        <v>1990</v>
      </c>
      <c r="B7" s="17">
        <v>7263</v>
      </c>
      <c r="C7" s="23"/>
      <c r="D7" s="23"/>
      <c r="E7" s="23"/>
      <c r="F7" s="18"/>
      <c r="G7" s="26"/>
      <c r="H7" s="17">
        <v>5934</v>
      </c>
      <c r="I7" s="51"/>
      <c r="J7" s="23"/>
      <c r="K7" s="23"/>
      <c r="L7" s="18"/>
      <c r="M7" s="26"/>
      <c r="N7" s="17">
        <v>2687</v>
      </c>
      <c r="O7" s="51"/>
      <c r="P7" s="51"/>
      <c r="Q7" s="23"/>
      <c r="R7" s="18"/>
      <c r="S7" s="26"/>
    </row>
    <row r="8" spans="1:19" x14ac:dyDescent="0.2">
      <c r="A8" s="3">
        <v>2000</v>
      </c>
      <c r="B8" s="17">
        <v>15924</v>
      </c>
      <c r="C8" s="23"/>
      <c r="D8" s="23"/>
      <c r="E8" s="23"/>
      <c r="F8" s="18"/>
      <c r="G8" s="26"/>
      <c r="H8" s="17">
        <v>11029</v>
      </c>
      <c r="I8" s="51"/>
      <c r="J8" s="23"/>
      <c r="K8" s="23"/>
      <c r="L8" s="18"/>
      <c r="M8" s="26"/>
      <c r="N8" s="17">
        <v>5216</v>
      </c>
      <c r="O8" s="51"/>
      <c r="P8" s="51"/>
      <c r="Q8" s="23"/>
      <c r="R8" s="18"/>
      <c r="S8" s="26"/>
    </row>
    <row r="9" spans="1:19" x14ac:dyDescent="0.2">
      <c r="A9" s="3">
        <v>2005</v>
      </c>
      <c r="B9" s="17">
        <v>19319</v>
      </c>
      <c r="C9" s="23"/>
      <c r="D9" s="23"/>
      <c r="E9" s="23"/>
      <c r="F9" s="18"/>
      <c r="G9" s="26"/>
      <c r="H9" s="17">
        <v>12059</v>
      </c>
      <c r="I9" s="51"/>
      <c r="J9" s="23"/>
      <c r="K9" s="23"/>
      <c r="L9" s="18"/>
      <c r="M9" s="26"/>
      <c r="N9" s="17">
        <v>5275</v>
      </c>
      <c r="O9" s="51"/>
      <c r="P9" s="51"/>
      <c r="Q9" s="23"/>
      <c r="R9" s="18"/>
      <c r="S9" s="26"/>
    </row>
    <row r="10" spans="1:19" x14ac:dyDescent="0.2">
      <c r="A10" s="3">
        <v>2006</v>
      </c>
      <c r="B10" s="17">
        <v>18490</v>
      </c>
      <c r="C10" s="23"/>
      <c r="D10" s="23"/>
      <c r="E10" s="23"/>
      <c r="F10" s="18"/>
      <c r="G10" s="26"/>
      <c r="H10" s="17">
        <v>11404</v>
      </c>
      <c r="I10" s="51"/>
      <c r="J10" s="23"/>
      <c r="K10" s="23"/>
      <c r="L10" s="18"/>
      <c r="M10" s="26"/>
      <c r="N10" s="17">
        <v>5051</v>
      </c>
      <c r="O10" s="51"/>
      <c r="P10" s="51"/>
      <c r="Q10" s="23"/>
      <c r="R10" s="18"/>
      <c r="S10" s="26"/>
    </row>
    <row r="11" spans="1:19" x14ac:dyDescent="0.2">
      <c r="A11" s="3">
        <v>2007</v>
      </c>
      <c r="B11" s="17">
        <v>18925</v>
      </c>
      <c r="C11" s="23"/>
      <c r="D11" s="23"/>
      <c r="E11" s="23"/>
      <c r="F11" s="18"/>
      <c r="G11" s="26"/>
      <c r="H11" s="17">
        <v>11034</v>
      </c>
      <c r="I11" s="51"/>
      <c r="J11" s="23"/>
      <c r="K11" s="23"/>
      <c r="L11" s="18"/>
      <c r="M11" s="26"/>
      <c r="N11" s="17">
        <v>4584</v>
      </c>
      <c r="O11" s="51"/>
      <c r="P11" s="51"/>
      <c r="Q11" s="23"/>
      <c r="R11" s="18"/>
      <c r="S11" s="26"/>
    </row>
    <row r="12" spans="1:19" x14ac:dyDescent="0.2">
      <c r="A12" s="3">
        <v>2008</v>
      </c>
      <c r="B12" s="17">
        <v>17269</v>
      </c>
      <c r="C12" s="23"/>
      <c r="D12" s="23"/>
      <c r="E12" s="23"/>
      <c r="F12" s="18"/>
      <c r="G12" s="26"/>
      <c r="H12" s="17">
        <v>10902</v>
      </c>
      <c r="I12" s="51"/>
      <c r="J12" s="23"/>
      <c r="K12" s="23"/>
      <c r="L12" s="18"/>
      <c r="M12" s="26"/>
      <c r="N12" s="17">
        <v>5046</v>
      </c>
      <c r="O12" s="51"/>
      <c r="P12" s="51"/>
      <c r="Q12" s="23"/>
      <c r="R12" s="18"/>
      <c r="S12" s="26"/>
    </row>
    <row r="13" spans="1:19" x14ac:dyDescent="0.2">
      <c r="A13" s="3">
        <v>2009</v>
      </c>
      <c r="B13" s="17">
        <v>16300</v>
      </c>
      <c r="C13" s="23"/>
      <c r="D13" s="23"/>
      <c r="E13" s="23"/>
      <c r="F13" s="18"/>
      <c r="G13" s="26"/>
      <c r="H13" s="17">
        <v>10157</v>
      </c>
      <c r="I13" s="51"/>
      <c r="J13" s="23"/>
      <c r="K13" s="23"/>
      <c r="L13" s="18"/>
      <c r="M13" s="26"/>
      <c r="N13" s="17">
        <v>4794</v>
      </c>
      <c r="O13" s="51"/>
      <c r="P13" s="51"/>
      <c r="Q13" s="23"/>
      <c r="R13" s="18"/>
      <c r="S13" s="26"/>
    </row>
    <row r="14" spans="1:19" x14ac:dyDescent="0.2">
      <c r="A14" s="3">
        <v>2010</v>
      </c>
      <c r="B14" s="17">
        <v>18954</v>
      </c>
      <c r="C14" s="23"/>
      <c r="D14" s="23"/>
      <c r="E14" s="23"/>
      <c r="F14" s="18"/>
      <c r="G14" s="26"/>
      <c r="H14" s="17">
        <v>11290</v>
      </c>
      <c r="I14" s="51"/>
      <c r="J14" s="23"/>
      <c r="K14" s="23"/>
      <c r="L14" s="18"/>
      <c r="M14" s="26"/>
      <c r="N14" s="17">
        <v>5259</v>
      </c>
      <c r="O14" s="51"/>
      <c r="P14" s="51"/>
      <c r="Q14" s="23"/>
      <c r="R14" s="18"/>
      <c r="S14" s="26"/>
    </row>
    <row r="15" spans="1:19" x14ac:dyDescent="0.2">
      <c r="A15" s="3">
        <v>2011</v>
      </c>
      <c r="B15" s="17">
        <v>19368</v>
      </c>
      <c r="C15" s="23"/>
      <c r="D15" s="23"/>
      <c r="E15" s="23"/>
      <c r="F15" s="18"/>
      <c r="G15" s="26"/>
      <c r="H15" s="17">
        <v>12500</v>
      </c>
      <c r="I15" s="51"/>
      <c r="J15" s="23"/>
      <c r="K15" s="23"/>
      <c r="L15" s="18"/>
      <c r="M15" s="26"/>
      <c r="N15" s="17">
        <v>6100</v>
      </c>
      <c r="O15" s="51"/>
      <c r="P15" s="51"/>
      <c r="Q15" s="23"/>
      <c r="R15" s="18"/>
      <c r="S15" s="26"/>
    </row>
    <row r="16" spans="1:19" s="4" customFormat="1" x14ac:dyDescent="0.2">
      <c r="A16" s="3">
        <v>2012</v>
      </c>
      <c r="B16" s="17">
        <v>15367</v>
      </c>
      <c r="C16" s="23"/>
      <c r="D16" s="23"/>
      <c r="E16" s="23"/>
      <c r="F16" s="18"/>
      <c r="G16" s="26"/>
      <c r="H16" s="17">
        <v>9735</v>
      </c>
      <c r="I16" s="51"/>
      <c r="J16" s="23"/>
      <c r="K16" s="23"/>
      <c r="L16" s="18"/>
      <c r="M16" s="26"/>
      <c r="N16" s="17">
        <v>4582</v>
      </c>
      <c r="O16" s="51"/>
      <c r="P16" s="51"/>
      <c r="Q16" s="23"/>
      <c r="R16" s="18"/>
      <c r="S16" s="26"/>
    </row>
    <row r="17" spans="1:19" ht="15" thickBot="1" x14ac:dyDescent="0.25">
      <c r="A17" s="28">
        <v>2013</v>
      </c>
      <c r="B17" s="5">
        <v>14930</v>
      </c>
      <c r="C17" s="24"/>
      <c r="D17" s="24"/>
      <c r="E17" s="24"/>
      <c r="F17" s="20"/>
      <c r="G17" s="27"/>
      <c r="H17" s="5">
        <v>9334</v>
      </c>
      <c r="I17" s="52"/>
      <c r="J17" s="24"/>
      <c r="K17" s="24"/>
      <c r="L17" s="20"/>
      <c r="M17" s="27"/>
      <c r="N17" s="5">
        <v>4606</v>
      </c>
      <c r="O17" s="52"/>
      <c r="P17" s="52"/>
      <c r="Q17" s="24"/>
      <c r="R17" s="20"/>
      <c r="S17" s="27"/>
    </row>
  </sheetData>
  <mergeCells count="3">
    <mergeCell ref="B2:G2"/>
    <mergeCell ref="H2:M2"/>
    <mergeCell ref="N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T24" sqref="T24"/>
    </sheetView>
  </sheetViews>
  <sheetFormatPr defaultColWidth="8.6640625" defaultRowHeight="14.25" x14ac:dyDescent="0.2"/>
  <sheetData>
    <row r="1" spans="1:19" s="4" customFormat="1" ht="15" thickBot="1" x14ac:dyDescent="0.25">
      <c r="A1" s="55" t="s">
        <v>17</v>
      </c>
    </row>
    <row r="2" spans="1:19" s="4" customFormat="1" x14ac:dyDescent="0.2">
      <c r="A2" s="11"/>
      <c r="B2" s="84" t="s">
        <v>10</v>
      </c>
      <c r="C2" s="85"/>
      <c r="D2" s="86"/>
      <c r="E2" s="84" t="s">
        <v>11</v>
      </c>
      <c r="F2" s="85"/>
      <c r="G2" s="86"/>
      <c r="H2" s="84" t="s">
        <v>24</v>
      </c>
      <c r="I2" s="85"/>
      <c r="J2" s="86"/>
      <c r="K2" s="84" t="s">
        <v>22</v>
      </c>
      <c r="L2" s="85"/>
      <c r="M2" s="86"/>
      <c r="N2" s="84" t="s">
        <v>23</v>
      </c>
      <c r="O2" s="85"/>
      <c r="P2" s="86"/>
      <c r="Q2" s="84" t="s">
        <v>9</v>
      </c>
      <c r="R2" s="85"/>
      <c r="S2" s="86"/>
    </row>
    <row r="3" spans="1:19" ht="15" thickBot="1" x14ac:dyDescent="0.25">
      <c r="A3" s="13"/>
      <c r="B3" s="28" t="s">
        <v>6</v>
      </c>
      <c r="C3" s="6" t="s">
        <v>20</v>
      </c>
      <c r="D3" s="7" t="s">
        <v>21</v>
      </c>
      <c r="E3" s="28" t="s">
        <v>6</v>
      </c>
      <c r="F3" s="6" t="s">
        <v>20</v>
      </c>
      <c r="G3" s="7" t="s">
        <v>21</v>
      </c>
      <c r="H3" s="28" t="s">
        <v>6</v>
      </c>
      <c r="I3" s="6" t="s">
        <v>20</v>
      </c>
      <c r="J3" s="7" t="s">
        <v>21</v>
      </c>
      <c r="K3" s="28" t="s">
        <v>6</v>
      </c>
      <c r="L3" s="6" t="s">
        <v>20</v>
      </c>
      <c r="M3" s="7" t="s">
        <v>21</v>
      </c>
      <c r="N3" s="28" t="s">
        <v>6</v>
      </c>
      <c r="O3" s="6" t="s">
        <v>20</v>
      </c>
      <c r="P3" s="7" t="s">
        <v>21</v>
      </c>
      <c r="Q3" s="28" t="s">
        <v>6</v>
      </c>
      <c r="R3" s="6" t="s">
        <v>20</v>
      </c>
      <c r="S3" s="7" t="s">
        <v>21</v>
      </c>
    </row>
    <row r="4" spans="1:19" x14ac:dyDescent="0.2">
      <c r="A4" s="3">
        <v>1980</v>
      </c>
      <c r="B4" s="17"/>
      <c r="C4" s="18"/>
      <c r="D4" s="19"/>
      <c r="E4" s="17"/>
      <c r="F4" s="18"/>
      <c r="G4" s="19"/>
      <c r="H4" s="17"/>
      <c r="I4" s="18"/>
      <c r="J4" s="19"/>
      <c r="K4" s="69"/>
      <c r="L4" s="23"/>
      <c r="M4" s="26"/>
      <c r="N4" s="17"/>
      <c r="O4" s="18"/>
      <c r="P4" s="19"/>
      <c r="Q4" s="69"/>
      <c r="R4" s="23"/>
      <c r="S4" s="26"/>
    </row>
    <row r="5" spans="1:19" x14ac:dyDescent="0.2">
      <c r="A5" s="3">
        <v>1990</v>
      </c>
      <c r="B5" s="17"/>
      <c r="C5" s="18"/>
      <c r="D5" s="19"/>
      <c r="E5" s="17"/>
      <c r="F5" s="18"/>
      <c r="G5" s="19"/>
      <c r="H5" s="17"/>
      <c r="I5" s="18"/>
      <c r="J5" s="19"/>
      <c r="K5" s="69"/>
      <c r="L5" s="23"/>
      <c r="M5" s="26"/>
      <c r="N5" s="17"/>
      <c r="O5" s="18"/>
      <c r="P5" s="19"/>
      <c r="Q5" s="69"/>
      <c r="R5" s="23"/>
      <c r="S5" s="26"/>
    </row>
    <row r="6" spans="1:19" x14ac:dyDescent="0.2">
      <c r="A6" s="3">
        <v>2000</v>
      </c>
      <c r="B6" s="71">
        <v>595303</v>
      </c>
      <c r="C6" s="72">
        <v>105067</v>
      </c>
      <c r="D6" s="73">
        <v>36157</v>
      </c>
      <c r="E6" s="17">
        <v>51142</v>
      </c>
      <c r="F6" s="18">
        <v>18667</v>
      </c>
      <c r="G6" s="19">
        <v>8087</v>
      </c>
      <c r="H6" s="17">
        <v>730018</v>
      </c>
      <c r="I6" s="18">
        <v>200886</v>
      </c>
      <c r="J6" s="19">
        <v>96132</v>
      </c>
      <c r="K6" s="69"/>
      <c r="L6" s="23"/>
      <c r="M6" s="26"/>
      <c r="N6" s="17">
        <v>105882</v>
      </c>
      <c r="O6" s="18">
        <v>55522</v>
      </c>
      <c r="P6" s="19">
        <v>14754</v>
      </c>
      <c r="Q6" s="69"/>
      <c r="R6" s="23"/>
      <c r="S6" s="26"/>
    </row>
    <row r="7" spans="1:19" x14ac:dyDescent="0.2">
      <c r="A7" s="3">
        <v>2005</v>
      </c>
      <c r="B7" s="17">
        <v>496895</v>
      </c>
      <c r="C7" s="18">
        <v>89165</v>
      </c>
      <c r="D7" s="19">
        <v>31160</v>
      </c>
      <c r="E7" s="17">
        <v>52014</v>
      </c>
      <c r="F7" s="18">
        <v>16375</v>
      </c>
      <c r="G7" s="19">
        <v>7234</v>
      </c>
      <c r="H7" s="17">
        <v>752625</v>
      </c>
      <c r="I7" s="18">
        <v>280517</v>
      </c>
      <c r="J7" s="19">
        <v>123246</v>
      </c>
      <c r="K7" s="69"/>
      <c r="L7" s="23"/>
      <c r="M7" s="26"/>
      <c r="N7" s="17">
        <v>97562</v>
      </c>
      <c r="O7" s="18">
        <v>64170</v>
      </c>
      <c r="P7" s="19">
        <v>31502</v>
      </c>
      <c r="Q7" s="69"/>
      <c r="R7" s="23"/>
      <c r="S7" s="26"/>
    </row>
    <row r="8" spans="1:19" x14ac:dyDescent="0.2">
      <c r="A8" s="3">
        <v>2010</v>
      </c>
      <c r="B8" s="17">
        <v>459800</v>
      </c>
      <c r="C8" s="18">
        <v>81948</v>
      </c>
      <c r="D8" s="19">
        <v>29360</v>
      </c>
      <c r="E8" s="17">
        <f>12564+25718</f>
        <v>38282</v>
      </c>
      <c r="F8" s="18">
        <f>5955+6994</f>
        <v>12949</v>
      </c>
      <c r="G8" s="19">
        <f>2153+2853</f>
        <v>5006</v>
      </c>
      <c r="H8" s="17">
        <f>436046+333380</f>
        <v>769426</v>
      </c>
      <c r="I8" s="18">
        <f>156126+100125</f>
        <v>256251</v>
      </c>
      <c r="J8" s="19">
        <f>66150+46561</f>
        <v>112711</v>
      </c>
      <c r="K8" s="69"/>
      <c r="L8" s="23"/>
      <c r="M8" s="26"/>
      <c r="N8" s="17">
        <v>102710</v>
      </c>
      <c r="O8" s="18">
        <f>64494</f>
        <v>64494</v>
      </c>
      <c r="P8" s="19">
        <v>30698</v>
      </c>
      <c r="Q8" s="69"/>
      <c r="R8" s="23"/>
      <c r="S8" s="26"/>
    </row>
    <row r="9" spans="1:19" x14ac:dyDescent="0.2">
      <c r="A9" s="3">
        <v>2011</v>
      </c>
      <c r="B9" s="17">
        <v>456503</v>
      </c>
      <c r="C9" s="18">
        <v>82764</v>
      </c>
      <c r="D9" s="19">
        <v>29444</v>
      </c>
      <c r="E9" s="17">
        <f>15903+25163</f>
        <v>41066</v>
      </c>
      <c r="F9" s="18">
        <f>7254+7191</f>
        <v>14445</v>
      </c>
      <c r="G9" s="19">
        <f>2685+3146</f>
        <v>5831</v>
      </c>
      <c r="H9" s="17">
        <f>430392+340440</f>
        <v>770832</v>
      </c>
      <c r="I9" s="18">
        <f>156993+103009</f>
        <v>260002</v>
      </c>
      <c r="J9" s="19">
        <f>67110+48324</f>
        <v>115434</v>
      </c>
      <c r="K9" s="69"/>
      <c r="L9" s="23"/>
      <c r="M9" s="26"/>
      <c r="N9" s="17">
        <v>106109</v>
      </c>
      <c r="O9" s="18">
        <v>66654</v>
      </c>
      <c r="P9" s="19">
        <v>33278</v>
      </c>
      <c r="Q9" s="69"/>
      <c r="R9" s="23"/>
      <c r="S9" s="26"/>
    </row>
    <row r="10" spans="1:19" s="4" customFormat="1" x14ac:dyDescent="0.2">
      <c r="A10" s="3">
        <v>2012</v>
      </c>
      <c r="B10" s="17">
        <v>435378</v>
      </c>
      <c r="C10" s="18">
        <v>77064</v>
      </c>
      <c r="D10" s="19">
        <v>27333</v>
      </c>
      <c r="E10" s="17">
        <f>14516+27958</f>
        <v>42474</v>
      </c>
      <c r="F10" s="18">
        <f>6552+8493</f>
        <v>15045</v>
      </c>
      <c r="G10" s="19">
        <f>2300+2961</f>
        <v>5261</v>
      </c>
      <c r="H10" s="17">
        <f>458300+349034</f>
        <v>807334</v>
      </c>
      <c r="I10" s="18">
        <f>166575+104841</f>
        <v>271416</v>
      </c>
      <c r="J10" s="19">
        <f>70761+49432</f>
        <v>120193</v>
      </c>
      <c r="K10" s="69"/>
      <c r="L10" s="23"/>
      <c r="M10" s="26"/>
      <c r="N10" s="17">
        <f>106818</f>
        <v>106818</v>
      </c>
      <c r="O10" s="18">
        <v>66674</v>
      </c>
      <c r="P10" s="19">
        <v>33438</v>
      </c>
      <c r="Q10" s="69"/>
      <c r="R10" s="23"/>
      <c r="S10" s="26"/>
    </row>
    <row r="11" spans="1:19" ht="15" thickBot="1" x14ac:dyDescent="0.25">
      <c r="A11" s="28">
        <v>2013</v>
      </c>
      <c r="B11" s="5">
        <v>433513</v>
      </c>
      <c r="C11" s="20">
        <v>77247</v>
      </c>
      <c r="D11" s="21">
        <v>27328</v>
      </c>
      <c r="E11" s="5">
        <f>13706+25826</f>
        <v>39532</v>
      </c>
      <c r="F11" s="20">
        <f>6118+6855</f>
        <v>12973</v>
      </c>
      <c r="G11" s="21">
        <f>1989+2924</f>
        <v>4913</v>
      </c>
      <c r="H11" s="5">
        <f>476225+358081</f>
        <v>834306</v>
      </c>
      <c r="I11" s="20">
        <f>173301+108105</f>
        <v>281406</v>
      </c>
      <c r="J11" s="21">
        <f>73569+50529</f>
        <v>124098</v>
      </c>
      <c r="K11" s="70"/>
      <c r="L11" s="24"/>
      <c r="M11" s="27"/>
      <c r="N11" s="5">
        <v>107388</v>
      </c>
      <c r="O11" s="20">
        <v>68856</v>
      </c>
      <c r="P11" s="21">
        <v>33835</v>
      </c>
      <c r="Q11" s="70"/>
      <c r="R11" s="24"/>
      <c r="S11" s="27"/>
    </row>
    <row r="13" spans="1:19" ht="15" thickBot="1" x14ac:dyDescent="0.25">
      <c r="A13" s="55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">
      <c r="A14" s="11"/>
      <c r="B14" s="84" t="s">
        <v>10</v>
      </c>
      <c r="C14" s="85"/>
      <c r="D14" s="86"/>
      <c r="E14" s="84" t="s">
        <v>11</v>
      </c>
      <c r="F14" s="85"/>
      <c r="G14" s="86"/>
      <c r="H14" s="84" t="s">
        <v>24</v>
      </c>
      <c r="I14" s="85"/>
      <c r="J14" s="86"/>
      <c r="K14" s="84" t="s">
        <v>22</v>
      </c>
      <c r="L14" s="85"/>
      <c r="M14" s="86"/>
      <c r="N14" s="84" t="s">
        <v>23</v>
      </c>
      <c r="O14" s="85"/>
      <c r="P14" s="86"/>
      <c r="Q14" s="84" t="s">
        <v>9</v>
      </c>
      <c r="R14" s="85"/>
      <c r="S14" s="86"/>
    </row>
    <row r="15" spans="1:19" ht="15" thickBot="1" x14ac:dyDescent="0.25">
      <c r="A15" s="13"/>
      <c r="B15" s="28" t="s">
        <v>6</v>
      </c>
      <c r="C15" s="6" t="s">
        <v>20</v>
      </c>
      <c r="D15" s="7" t="s">
        <v>21</v>
      </c>
      <c r="E15" s="28" t="s">
        <v>6</v>
      </c>
      <c r="F15" s="6" t="s">
        <v>20</v>
      </c>
      <c r="G15" s="7" t="s">
        <v>21</v>
      </c>
      <c r="H15" s="28" t="s">
        <v>6</v>
      </c>
      <c r="I15" s="6" t="s">
        <v>20</v>
      </c>
      <c r="J15" s="7" t="s">
        <v>21</v>
      </c>
      <c r="K15" s="28" t="s">
        <v>6</v>
      </c>
      <c r="L15" s="6" t="s">
        <v>20</v>
      </c>
      <c r="M15" s="7" t="s">
        <v>21</v>
      </c>
      <c r="N15" s="28" t="s">
        <v>6</v>
      </c>
      <c r="O15" s="6" t="s">
        <v>20</v>
      </c>
      <c r="P15" s="7" t="s">
        <v>21</v>
      </c>
      <c r="Q15" s="28" t="s">
        <v>6</v>
      </c>
      <c r="R15" s="6" t="s">
        <v>20</v>
      </c>
      <c r="S15" s="7" t="s">
        <v>21</v>
      </c>
    </row>
    <row r="16" spans="1:19" x14ac:dyDescent="0.2">
      <c r="A16" s="3">
        <v>1980</v>
      </c>
      <c r="B16" s="17"/>
      <c r="C16" s="18"/>
      <c r="D16" s="19"/>
      <c r="E16" s="17"/>
      <c r="F16" s="18"/>
      <c r="G16" s="19"/>
      <c r="H16" s="17"/>
      <c r="I16" s="18"/>
      <c r="J16" s="19"/>
      <c r="K16" s="69"/>
      <c r="L16" s="23"/>
      <c r="M16" s="26"/>
      <c r="N16" s="17"/>
      <c r="O16" s="18"/>
      <c r="P16" s="19"/>
      <c r="Q16" s="17"/>
      <c r="R16" s="18"/>
      <c r="S16" s="19"/>
    </row>
    <row r="17" spans="1:19" x14ac:dyDescent="0.2">
      <c r="A17" s="3">
        <v>1990</v>
      </c>
      <c r="B17" s="17"/>
      <c r="C17" s="18"/>
      <c r="D17" s="19"/>
      <c r="E17" s="17"/>
      <c r="F17" s="18"/>
      <c r="G17" s="19"/>
      <c r="H17" s="17"/>
      <c r="I17" s="18"/>
      <c r="J17" s="19"/>
      <c r="K17" s="69"/>
      <c r="L17" s="23"/>
      <c r="M17" s="26"/>
      <c r="N17" s="17"/>
      <c r="O17" s="18"/>
      <c r="P17" s="19"/>
      <c r="Q17" s="17"/>
      <c r="R17" s="18"/>
      <c r="S17" s="19"/>
    </row>
    <row r="18" spans="1:19" x14ac:dyDescent="0.2">
      <c r="A18" s="3">
        <v>2000</v>
      </c>
      <c r="B18" s="71">
        <f>336234+185813</f>
        <v>522047</v>
      </c>
      <c r="C18" s="72">
        <f>106835+60655</f>
        <v>167490</v>
      </c>
      <c r="D18" s="73">
        <f>25184+14519</f>
        <v>39703</v>
      </c>
      <c r="E18" s="17">
        <f>22136+20593</f>
        <v>42729</v>
      </c>
      <c r="F18" s="18">
        <f>16827+14050</f>
        <v>30877</v>
      </c>
      <c r="G18" s="19">
        <f>7909+6809</f>
        <v>14718</v>
      </c>
      <c r="H18" s="17">
        <f>685358+451318</f>
        <v>1136676</v>
      </c>
      <c r="I18" s="18">
        <f>362552+234336</f>
        <v>596888</v>
      </c>
      <c r="J18" s="19">
        <f>166584+110081</f>
        <v>276665</v>
      </c>
      <c r="K18" s="69"/>
      <c r="L18" s="23"/>
      <c r="M18" s="26"/>
      <c r="N18" s="17">
        <v>137825</v>
      </c>
      <c r="O18" s="18">
        <v>67030</v>
      </c>
      <c r="P18" s="19">
        <v>19964</v>
      </c>
      <c r="Q18" s="17">
        <f>58+218</f>
        <v>276</v>
      </c>
      <c r="R18" s="18">
        <f>170+58</f>
        <v>228</v>
      </c>
      <c r="S18" s="19">
        <f>36+83</f>
        <v>119</v>
      </c>
    </row>
    <row r="19" spans="1:19" x14ac:dyDescent="0.2">
      <c r="A19" s="3">
        <v>2005</v>
      </c>
      <c r="B19" s="17">
        <f>222609+165608</f>
        <v>388217</v>
      </c>
      <c r="C19" s="18">
        <f>45407+32475</f>
        <v>77882</v>
      </c>
      <c r="D19" s="19">
        <f>15789+11323</f>
        <v>27112</v>
      </c>
      <c r="E19" s="17">
        <f>30668+16101</f>
        <v>46769</v>
      </c>
      <c r="F19" s="18">
        <f>21126+11803</f>
        <v>32929</v>
      </c>
      <c r="G19" s="19">
        <f>8457+5873</f>
        <v>14330</v>
      </c>
      <c r="H19" s="17">
        <f>645045+438585</f>
        <v>1083630</v>
      </c>
      <c r="I19" s="18">
        <f>303268+198885</f>
        <v>502153</v>
      </c>
      <c r="J19" s="19">
        <f>130628+90781</f>
        <v>221409</v>
      </c>
      <c r="K19" s="69"/>
      <c r="L19" s="23"/>
      <c r="M19" s="26"/>
      <c r="N19" s="17">
        <v>114229</v>
      </c>
      <c r="O19" s="18">
        <v>73106</v>
      </c>
      <c r="P19" s="19">
        <v>34052</v>
      </c>
      <c r="Q19" s="17">
        <v>323</v>
      </c>
      <c r="R19" s="18">
        <v>141</v>
      </c>
      <c r="S19" s="19">
        <v>66</v>
      </c>
    </row>
    <row r="20" spans="1:19" x14ac:dyDescent="0.2">
      <c r="A20" s="3">
        <v>2010</v>
      </c>
      <c r="B20" s="17">
        <f>221383+167249</f>
        <v>388632</v>
      </c>
      <c r="C20" s="18">
        <f>43135+35115</f>
        <v>78250</v>
      </c>
      <c r="D20" s="19">
        <f>14810+12074</f>
        <v>26884</v>
      </c>
      <c r="E20" s="17">
        <f>24851+9866+1896</f>
        <v>36613</v>
      </c>
      <c r="F20" s="18">
        <f>17186+8152+542</f>
        <v>25880</v>
      </c>
      <c r="G20" s="19">
        <f>7914+3718+219</f>
        <v>11851</v>
      </c>
      <c r="H20" s="17">
        <f>91547+636000+452804</f>
        <v>1180351</v>
      </c>
      <c r="I20" s="18">
        <f>45824+277409+196724</f>
        <v>519957</v>
      </c>
      <c r="J20" s="19">
        <f>20560+123402+86301</f>
        <v>230263</v>
      </c>
      <c r="K20" s="69"/>
      <c r="L20" s="23"/>
      <c r="M20" s="26"/>
      <c r="N20" s="17">
        <v>114566</v>
      </c>
      <c r="O20" s="18">
        <v>71212</v>
      </c>
      <c r="P20" s="19">
        <v>33841</v>
      </c>
      <c r="Q20" s="17">
        <f>155+35</f>
        <v>190</v>
      </c>
      <c r="R20" s="18">
        <f>28+23</f>
        <v>51</v>
      </c>
      <c r="S20" s="19">
        <f>17+23</f>
        <v>40</v>
      </c>
    </row>
    <row r="21" spans="1:19" x14ac:dyDescent="0.2">
      <c r="A21" s="3">
        <v>2011</v>
      </c>
      <c r="B21" s="17">
        <f>208428+172381</f>
        <v>380809</v>
      </c>
      <c r="C21" s="18">
        <f>40950+33868</f>
        <v>74818</v>
      </c>
      <c r="D21" s="19">
        <f>14315+11313</f>
        <v>25628</v>
      </c>
      <c r="E21" s="17">
        <f>21848+10835+1975</f>
        <v>34658</v>
      </c>
      <c r="F21" s="18">
        <f>15572+8780+519</f>
        <v>24871</v>
      </c>
      <c r="G21" s="19">
        <f>7071+4106+204</f>
        <v>11381</v>
      </c>
      <c r="H21" s="17">
        <f>88103+637473+455208</f>
        <v>1180784</v>
      </c>
      <c r="I21" s="18">
        <f>46953+282922+200872</f>
        <v>530747</v>
      </c>
      <c r="J21" s="19">
        <f>22460+124759+87299</f>
        <v>234518</v>
      </c>
      <c r="K21" s="69"/>
      <c r="L21" s="23"/>
      <c r="M21" s="26"/>
      <c r="N21" s="17">
        <v>114096</v>
      </c>
      <c r="O21" s="18">
        <v>71074</v>
      </c>
      <c r="P21" s="19">
        <v>33569</v>
      </c>
      <c r="Q21" s="17">
        <f>952+56</f>
        <v>1008</v>
      </c>
      <c r="R21" s="18">
        <f>172+10</f>
        <v>182</v>
      </c>
      <c r="S21" s="19">
        <f>141+8</f>
        <v>149</v>
      </c>
    </row>
    <row r="22" spans="1:19" s="4" customFormat="1" x14ac:dyDescent="0.2">
      <c r="A22" s="3">
        <v>2012</v>
      </c>
      <c r="B22" s="17">
        <f>213259+175210</f>
        <v>388469</v>
      </c>
      <c r="C22" s="18">
        <f>42139+33492</f>
        <v>75631</v>
      </c>
      <c r="D22" s="19">
        <f>14570+11376</f>
        <v>25946</v>
      </c>
      <c r="E22" s="17">
        <f>21813+10692+1851</f>
        <v>34356</v>
      </c>
      <c r="F22" s="18">
        <f>15687+8803+530</f>
        <v>25020</v>
      </c>
      <c r="G22" s="19">
        <f>7280+4196+239</f>
        <v>11715</v>
      </c>
      <c r="H22" s="17">
        <f>91346+675872+471833</f>
        <v>1239051</v>
      </c>
      <c r="I22" s="18">
        <f>46912+292145+204625</f>
        <v>543682</v>
      </c>
      <c r="J22" s="19">
        <f>21904+128323+89028</f>
        <v>239255</v>
      </c>
      <c r="K22" s="69"/>
      <c r="L22" s="23"/>
      <c r="M22" s="26"/>
      <c r="N22" s="17">
        <v>114687</v>
      </c>
      <c r="O22" s="18">
        <v>70334</v>
      </c>
      <c r="P22" s="19">
        <v>33094</v>
      </c>
      <c r="Q22" s="17">
        <f>1112+63</f>
        <v>1175</v>
      </c>
      <c r="R22" s="18">
        <f>451+42</f>
        <v>493</v>
      </c>
      <c r="S22" s="19">
        <f>211+25</f>
        <v>236</v>
      </c>
    </row>
    <row r="23" spans="1:19" ht="15" thickBot="1" x14ac:dyDescent="0.25">
      <c r="A23" s="28">
        <v>2013</v>
      </c>
      <c r="B23" s="5">
        <f>220729+165197</f>
        <v>385926</v>
      </c>
      <c r="C23" s="20">
        <f>41086+30998</f>
        <v>72084</v>
      </c>
      <c r="D23" s="21">
        <f>14219+10986</f>
        <v>25205</v>
      </c>
      <c r="E23" s="5">
        <f>22460+169+12250+1837</f>
        <v>36716</v>
      </c>
      <c r="F23" s="20">
        <f>15438+57+9882+528</f>
        <v>25905</v>
      </c>
      <c r="G23" s="21">
        <f>7424+20+4801+196</f>
        <v>12441</v>
      </c>
      <c r="H23" s="5">
        <f>101032+689536+481627</f>
        <v>1272195</v>
      </c>
      <c r="I23" s="20">
        <f>49752+298382+209992</f>
        <v>558126</v>
      </c>
      <c r="J23" s="21">
        <f>23347+132473+93521</f>
        <v>249341</v>
      </c>
      <c r="K23" s="70"/>
      <c r="L23" s="24"/>
      <c r="M23" s="27"/>
      <c r="N23" s="5">
        <f>116509</f>
        <v>116509</v>
      </c>
      <c r="O23" s="20">
        <f>70495</f>
        <v>70495</v>
      </c>
      <c r="P23" s="21">
        <f>33197</f>
        <v>33197</v>
      </c>
      <c r="Q23" s="5">
        <v>136</v>
      </c>
      <c r="R23" s="20">
        <v>0</v>
      </c>
      <c r="S23" s="21">
        <v>0</v>
      </c>
    </row>
    <row r="25" spans="1:19" ht="15" thickBot="1" x14ac:dyDescent="0.25">
      <c r="A25" s="55" t="s">
        <v>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">
      <c r="A26" s="11"/>
      <c r="B26" s="84" t="s">
        <v>10</v>
      </c>
      <c r="C26" s="85"/>
      <c r="D26" s="86"/>
      <c r="E26" s="84" t="s">
        <v>11</v>
      </c>
      <c r="F26" s="85"/>
      <c r="G26" s="86"/>
      <c r="H26" s="84" t="s">
        <v>24</v>
      </c>
      <c r="I26" s="85"/>
      <c r="J26" s="86"/>
      <c r="K26" s="84" t="s">
        <v>22</v>
      </c>
      <c r="L26" s="85"/>
      <c r="M26" s="86"/>
      <c r="N26" s="84" t="s">
        <v>23</v>
      </c>
      <c r="O26" s="85"/>
      <c r="P26" s="86"/>
      <c r="Q26" s="84" t="s">
        <v>9</v>
      </c>
      <c r="R26" s="85"/>
      <c r="S26" s="86"/>
    </row>
    <row r="27" spans="1:19" ht="15" thickBot="1" x14ac:dyDescent="0.25">
      <c r="A27" s="13"/>
      <c r="B27" s="28" t="s">
        <v>6</v>
      </c>
      <c r="C27" s="6" t="s">
        <v>20</v>
      </c>
      <c r="D27" s="7" t="s">
        <v>21</v>
      </c>
      <c r="E27" s="28" t="s">
        <v>6</v>
      </c>
      <c r="F27" s="6" t="s">
        <v>20</v>
      </c>
      <c r="G27" s="7" t="s">
        <v>21</v>
      </c>
      <c r="H27" s="28" t="s">
        <v>6</v>
      </c>
      <c r="I27" s="6" t="s">
        <v>20</v>
      </c>
      <c r="J27" s="7" t="s">
        <v>21</v>
      </c>
      <c r="K27" s="28" t="s">
        <v>6</v>
      </c>
      <c r="L27" s="6" t="s">
        <v>20</v>
      </c>
      <c r="M27" s="7" t="s">
        <v>21</v>
      </c>
      <c r="N27" s="28" t="s">
        <v>6</v>
      </c>
      <c r="O27" s="6" t="s">
        <v>20</v>
      </c>
      <c r="P27" s="7" t="s">
        <v>21</v>
      </c>
      <c r="Q27" s="28" t="s">
        <v>6</v>
      </c>
      <c r="R27" s="6" t="s">
        <v>20</v>
      </c>
      <c r="S27" s="7" t="s">
        <v>21</v>
      </c>
    </row>
    <row r="28" spans="1:19" x14ac:dyDescent="0.2">
      <c r="A28" s="3">
        <v>1980</v>
      </c>
      <c r="B28" s="17"/>
      <c r="C28" s="18"/>
      <c r="D28" s="19"/>
      <c r="E28" s="17"/>
      <c r="F28" s="18"/>
      <c r="G28" s="19"/>
      <c r="H28" s="69"/>
      <c r="I28" s="23"/>
      <c r="J28" s="26"/>
      <c r="K28" s="17"/>
      <c r="L28" s="18"/>
      <c r="M28" s="19"/>
      <c r="N28" s="17"/>
      <c r="O28" s="18"/>
      <c r="P28" s="19"/>
      <c r="Q28" s="17"/>
      <c r="R28" s="18"/>
      <c r="S28" s="19"/>
    </row>
    <row r="29" spans="1:19" x14ac:dyDescent="0.2">
      <c r="A29" s="3">
        <v>1990</v>
      </c>
      <c r="B29" s="17"/>
      <c r="C29" s="18"/>
      <c r="D29" s="19"/>
      <c r="E29" s="17"/>
      <c r="F29" s="18"/>
      <c r="G29" s="19"/>
      <c r="H29" s="69"/>
      <c r="I29" s="23"/>
      <c r="J29" s="26"/>
      <c r="K29" s="17"/>
      <c r="L29" s="18"/>
      <c r="M29" s="19"/>
      <c r="N29" s="17"/>
      <c r="O29" s="18"/>
      <c r="P29" s="19"/>
      <c r="Q29" s="17"/>
      <c r="R29" s="18"/>
      <c r="S29" s="19"/>
    </row>
    <row r="30" spans="1:19" x14ac:dyDescent="0.2">
      <c r="A30" s="3">
        <v>2000</v>
      </c>
      <c r="B30" s="17">
        <v>202169</v>
      </c>
      <c r="C30" s="18">
        <v>63546</v>
      </c>
      <c r="D30" s="19">
        <v>21361</v>
      </c>
      <c r="E30" s="17">
        <v>134377</v>
      </c>
      <c r="F30" s="18">
        <v>78350</v>
      </c>
      <c r="G30" s="19">
        <v>33747</v>
      </c>
      <c r="H30" s="69"/>
      <c r="I30" s="23"/>
      <c r="J30" s="26"/>
      <c r="K30" s="17">
        <v>122384</v>
      </c>
      <c r="L30" s="18">
        <v>67043</v>
      </c>
      <c r="M30" s="19">
        <f>22313+11094</f>
        <v>33407</v>
      </c>
      <c r="N30" s="17">
        <v>62098</v>
      </c>
      <c r="O30" s="18">
        <v>35518</v>
      </c>
      <c r="P30" s="19">
        <v>18224</v>
      </c>
      <c r="Q30" s="17">
        <v>15924</v>
      </c>
      <c r="R30" s="18">
        <v>11029</v>
      </c>
      <c r="S30" s="19">
        <v>5216</v>
      </c>
    </row>
    <row r="31" spans="1:19" x14ac:dyDescent="0.2">
      <c r="A31" s="3">
        <v>2005</v>
      </c>
      <c r="B31" s="17">
        <v>130605</v>
      </c>
      <c r="C31" s="18">
        <v>25881</v>
      </c>
      <c r="D31" s="19">
        <v>8383</v>
      </c>
      <c r="E31" s="17">
        <v>181272</v>
      </c>
      <c r="F31" s="18">
        <v>82496</v>
      </c>
      <c r="G31" s="19">
        <v>33693</v>
      </c>
      <c r="H31" s="69"/>
      <c r="I31" s="23"/>
      <c r="J31" s="26"/>
      <c r="K31" s="17">
        <v>89336</v>
      </c>
      <c r="L31" s="18">
        <v>26804</v>
      </c>
      <c r="M31" s="19">
        <v>12241</v>
      </c>
      <c r="N31" s="17">
        <v>72364</v>
      </c>
      <c r="O31" s="18">
        <v>42644</v>
      </c>
      <c r="P31" s="19">
        <v>16871</v>
      </c>
      <c r="Q31" s="17">
        <v>19319</v>
      </c>
      <c r="R31" s="18">
        <v>12059</v>
      </c>
      <c r="S31" s="19">
        <v>5275</v>
      </c>
    </row>
    <row r="32" spans="1:19" x14ac:dyDescent="0.2">
      <c r="A32" s="3">
        <v>2010</v>
      </c>
      <c r="B32" s="17">
        <v>125761</v>
      </c>
      <c r="C32" s="18">
        <v>25586</v>
      </c>
      <c r="D32" s="19">
        <v>8731</v>
      </c>
      <c r="E32" s="17">
        <v>193768</v>
      </c>
      <c r="F32" s="18">
        <v>85251</v>
      </c>
      <c r="G32" s="19">
        <v>32619</v>
      </c>
      <c r="H32" s="69"/>
      <c r="I32" s="23"/>
      <c r="J32" s="26"/>
      <c r="K32" s="17">
        <v>115934</v>
      </c>
      <c r="L32" s="18">
        <v>55636</v>
      </c>
      <c r="M32" s="19">
        <v>27074</v>
      </c>
      <c r="N32" s="17">
        <v>82890</v>
      </c>
      <c r="O32" s="18">
        <v>43134</v>
      </c>
      <c r="P32" s="19">
        <v>18131</v>
      </c>
      <c r="Q32" s="17">
        <v>18954</v>
      </c>
      <c r="R32" s="18">
        <v>11290</v>
      </c>
      <c r="S32" s="19">
        <v>5259</v>
      </c>
    </row>
    <row r="33" spans="1:19" x14ac:dyDescent="0.2">
      <c r="A33" s="3">
        <v>2011</v>
      </c>
      <c r="B33" s="17">
        <v>114102</v>
      </c>
      <c r="C33" s="18">
        <v>23633</v>
      </c>
      <c r="D33" s="19">
        <v>7852</v>
      </c>
      <c r="E33" s="17">
        <v>187382</v>
      </c>
      <c r="F33" s="18">
        <v>84499</v>
      </c>
      <c r="G33" s="19">
        <v>33617</v>
      </c>
      <c r="H33" s="69"/>
      <c r="I33" s="23"/>
      <c r="J33" s="26"/>
      <c r="K33" s="17">
        <v>115344</v>
      </c>
      <c r="L33" s="18">
        <v>56621</v>
      </c>
      <c r="M33" s="19">
        <v>27306</v>
      </c>
      <c r="N33" s="17">
        <v>81586</v>
      </c>
      <c r="O33" s="18">
        <v>44796</v>
      </c>
      <c r="P33" s="19">
        <v>21011</v>
      </c>
      <c r="Q33" s="17">
        <v>19368</v>
      </c>
      <c r="R33" s="18">
        <v>12500</v>
      </c>
      <c r="S33" s="19">
        <v>6100</v>
      </c>
    </row>
    <row r="34" spans="1:19" s="4" customFormat="1" x14ac:dyDescent="0.2">
      <c r="A34" s="3">
        <v>2012</v>
      </c>
      <c r="B34" s="17">
        <v>116310</v>
      </c>
      <c r="C34" s="18">
        <v>22932</v>
      </c>
      <c r="D34" s="19">
        <v>6944</v>
      </c>
      <c r="E34" s="17">
        <v>191074</v>
      </c>
      <c r="F34" s="18">
        <v>89599</v>
      </c>
      <c r="G34" s="19">
        <v>35052</v>
      </c>
      <c r="H34" s="69"/>
      <c r="I34" s="23"/>
      <c r="J34" s="26"/>
      <c r="K34" s="17">
        <v>119334</v>
      </c>
      <c r="L34" s="18">
        <v>62241</v>
      </c>
      <c r="M34" s="19">
        <v>27043</v>
      </c>
      <c r="N34" s="17">
        <v>81860</v>
      </c>
      <c r="O34" s="18">
        <v>45210</v>
      </c>
      <c r="P34" s="19">
        <v>21115</v>
      </c>
      <c r="Q34" s="17">
        <v>15367</v>
      </c>
      <c r="R34" s="18">
        <v>9735</v>
      </c>
      <c r="S34" s="19">
        <v>4582</v>
      </c>
    </row>
    <row r="35" spans="1:19" ht="15" thickBot="1" x14ac:dyDescent="0.25">
      <c r="A35" s="28">
        <v>2013</v>
      </c>
      <c r="B35" s="5">
        <v>115032</v>
      </c>
      <c r="C35" s="20">
        <v>23823</v>
      </c>
      <c r="D35" s="21">
        <v>8034</v>
      </c>
      <c r="E35" s="5">
        <v>191988</v>
      </c>
      <c r="F35" s="20">
        <v>93646</v>
      </c>
      <c r="G35" s="21">
        <v>38188</v>
      </c>
      <c r="H35" s="70"/>
      <c r="I35" s="24"/>
      <c r="J35" s="27"/>
      <c r="K35" s="5">
        <v>116241</v>
      </c>
      <c r="L35" s="20">
        <v>60612</v>
      </c>
      <c r="M35" s="21">
        <v>29001</v>
      </c>
      <c r="N35" s="5">
        <v>85869</v>
      </c>
      <c r="O35" s="20">
        <v>46040</v>
      </c>
      <c r="P35" s="21">
        <v>22671</v>
      </c>
      <c r="Q35" s="5">
        <v>14930</v>
      </c>
      <c r="R35" s="20">
        <v>9334</v>
      </c>
      <c r="S35" s="21">
        <v>4606</v>
      </c>
    </row>
    <row r="37" spans="1:19" ht="15" thickBot="1" x14ac:dyDescent="0.25">
      <c r="A37" s="55" t="s">
        <v>69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">
      <c r="A38" s="11"/>
      <c r="B38" s="84" t="s">
        <v>10</v>
      </c>
      <c r="C38" s="85"/>
      <c r="D38" s="86"/>
      <c r="E38" s="84" t="s">
        <v>11</v>
      </c>
      <c r="F38" s="85"/>
      <c r="G38" s="86"/>
      <c r="H38" s="84" t="s">
        <v>24</v>
      </c>
      <c r="I38" s="85"/>
      <c r="J38" s="86"/>
      <c r="K38" s="84" t="s">
        <v>22</v>
      </c>
      <c r="L38" s="85"/>
      <c r="M38" s="86"/>
      <c r="N38" s="84" t="s">
        <v>23</v>
      </c>
      <c r="O38" s="85"/>
      <c r="P38" s="86"/>
      <c r="Q38" s="84" t="s">
        <v>9</v>
      </c>
      <c r="R38" s="85"/>
      <c r="S38" s="86"/>
    </row>
    <row r="39" spans="1:19" ht="15" thickBot="1" x14ac:dyDescent="0.25">
      <c r="A39" s="13"/>
      <c r="B39" s="28" t="s">
        <v>6</v>
      </c>
      <c r="C39" s="6" t="s">
        <v>20</v>
      </c>
      <c r="D39" s="7" t="s">
        <v>21</v>
      </c>
      <c r="E39" s="28" t="s">
        <v>6</v>
      </c>
      <c r="F39" s="6" t="s">
        <v>20</v>
      </c>
      <c r="G39" s="7" t="s">
        <v>21</v>
      </c>
      <c r="H39" s="28" t="s">
        <v>6</v>
      </c>
      <c r="I39" s="6" t="s">
        <v>20</v>
      </c>
      <c r="J39" s="7" t="s">
        <v>21</v>
      </c>
      <c r="K39" s="28" t="s">
        <v>6</v>
      </c>
      <c r="L39" s="6" t="s">
        <v>20</v>
      </c>
      <c r="M39" s="7" t="s">
        <v>21</v>
      </c>
      <c r="N39" s="28" t="s">
        <v>6</v>
      </c>
      <c r="O39" s="6" t="s">
        <v>20</v>
      </c>
      <c r="P39" s="7" t="s">
        <v>21</v>
      </c>
      <c r="Q39" s="28" t="s">
        <v>6</v>
      </c>
      <c r="R39" s="6" t="s">
        <v>20</v>
      </c>
      <c r="S39" s="7" t="s">
        <v>21</v>
      </c>
    </row>
    <row r="40" spans="1:19" x14ac:dyDescent="0.2">
      <c r="A40" s="3">
        <v>1980</v>
      </c>
      <c r="B40" s="69"/>
      <c r="C40" s="23"/>
      <c r="D40" s="26"/>
      <c r="E40" s="69"/>
      <c r="F40" s="23"/>
      <c r="G40" s="26"/>
      <c r="H40" s="69"/>
      <c r="I40" s="23"/>
      <c r="J40" s="26"/>
      <c r="K40" s="69"/>
      <c r="L40" s="23"/>
      <c r="M40" s="26"/>
      <c r="N40" s="69"/>
      <c r="O40" s="23"/>
      <c r="P40" s="26"/>
      <c r="Q40" s="17"/>
      <c r="R40" s="18"/>
      <c r="S40" s="19"/>
    </row>
    <row r="41" spans="1:19" x14ac:dyDescent="0.2">
      <c r="A41" s="3">
        <v>1990</v>
      </c>
      <c r="B41" s="69"/>
      <c r="C41" s="23"/>
      <c r="D41" s="26"/>
      <c r="E41" s="69"/>
      <c r="F41" s="23"/>
      <c r="G41" s="26"/>
      <c r="H41" s="69"/>
      <c r="I41" s="23"/>
      <c r="J41" s="26"/>
      <c r="K41" s="69"/>
      <c r="L41" s="23"/>
      <c r="M41" s="26"/>
      <c r="N41" s="69"/>
      <c r="O41" s="23"/>
      <c r="P41" s="26"/>
      <c r="Q41" s="17"/>
      <c r="R41" s="18"/>
      <c r="S41" s="19"/>
    </row>
    <row r="42" spans="1:19" x14ac:dyDescent="0.2">
      <c r="A42" s="3">
        <v>2000</v>
      </c>
      <c r="B42" s="69"/>
      <c r="C42" s="23"/>
      <c r="D42" s="26"/>
      <c r="E42" s="69"/>
      <c r="F42" s="23"/>
      <c r="G42" s="26"/>
      <c r="H42" s="69"/>
      <c r="I42" s="23"/>
      <c r="J42" s="26"/>
      <c r="K42" s="69"/>
      <c r="L42" s="23"/>
      <c r="M42" s="26"/>
      <c r="N42" s="69"/>
      <c r="O42" s="23"/>
      <c r="P42" s="26"/>
      <c r="Q42" s="17">
        <v>29889</v>
      </c>
      <c r="R42" s="18">
        <v>8544</v>
      </c>
      <c r="S42" s="19">
        <v>1767</v>
      </c>
    </row>
    <row r="43" spans="1:19" x14ac:dyDescent="0.2">
      <c r="A43" s="3">
        <v>2005</v>
      </c>
      <c r="B43" s="69"/>
      <c r="C43" s="23"/>
      <c r="D43" s="26"/>
      <c r="E43" s="69"/>
      <c r="F43" s="23"/>
      <c r="G43" s="26"/>
      <c r="H43" s="69"/>
      <c r="I43" s="23"/>
      <c r="J43" s="26"/>
      <c r="K43" s="69"/>
      <c r="L43" s="23"/>
      <c r="M43" s="26"/>
      <c r="N43" s="69"/>
      <c r="O43" s="23"/>
      <c r="P43" s="26"/>
      <c r="Q43" s="17">
        <v>32880</v>
      </c>
      <c r="R43" s="18">
        <v>16023</v>
      </c>
      <c r="S43" s="19">
        <v>6237</v>
      </c>
    </row>
    <row r="44" spans="1:19" x14ac:dyDescent="0.2">
      <c r="A44" s="3">
        <v>2010</v>
      </c>
      <c r="B44" s="69"/>
      <c r="C44" s="23"/>
      <c r="D44" s="26"/>
      <c r="E44" s="69"/>
      <c r="F44" s="23"/>
      <c r="G44" s="26"/>
      <c r="H44" s="69"/>
      <c r="I44" s="23"/>
      <c r="J44" s="26"/>
      <c r="K44" s="69"/>
      <c r="L44" s="23"/>
      <c r="M44" s="26"/>
      <c r="N44" s="69"/>
      <c r="O44" s="23"/>
      <c r="P44" s="26"/>
      <c r="Q44" s="17">
        <v>36251</v>
      </c>
      <c r="R44" s="18">
        <v>15411</v>
      </c>
      <c r="S44" s="19">
        <v>6235</v>
      </c>
    </row>
    <row r="45" spans="1:19" x14ac:dyDescent="0.2">
      <c r="A45" s="3">
        <v>2011</v>
      </c>
      <c r="B45" s="69"/>
      <c r="C45" s="23"/>
      <c r="D45" s="26"/>
      <c r="E45" s="69"/>
      <c r="F45" s="23"/>
      <c r="G45" s="26"/>
      <c r="H45" s="69"/>
      <c r="I45" s="23"/>
      <c r="J45" s="26"/>
      <c r="K45" s="69"/>
      <c r="L45" s="23"/>
      <c r="M45" s="26"/>
      <c r="N45" s="69"/>
      <c r="O45" s="23"/>
      <c r="P45" s="26"/>
      <c r="Q45" s="17">
        <v>30062</v>
      </c>
      <c r="R45" s="18">
        <v>12851</v>
      </c>
      <c r="S45" s="19">
        <v>5363</v>
      </c>
    </row>
    <row r="46" spans="1:19" s="4" customFormat="1" x14ac:dyDescent="0.2">
      <c r="A46" s="3">
        <v>2012</v>
      </c>
      <c r="B46" s="69"/>
      <c r="C46" s="23"/>
      <c r="D46" s="26"/>
      <c r="E46" s="69"/>
      <c r="F46" s="23"/>
      <c r="G46" s="26"/>
      <c r="H46" s="69"/>
      <c r="I46" s="23"/>
      <c r="J46" s="26"/>
      <c r="K46" s="69"/>
      <c r="L46" s="23"/>
      <c r="M46" s="26"/>
      <c r="N46" s="69"/>
      <c r="O46" s="23"/>
      <c r="P46" s="26"/>
      <c r="Q46" s="17">
        <v>35342</v>
      </c>
      <c r="R46" s="18">
        <v>15010</v>
      </c>
      <c r="S46" s="19">
        <v>5842</v>
      </c>
    </row>
    <row r="47" spans="1:19" ht="15" thickBot="1" x14ac:dyDescent="0.25">
      <c r="A47" s="28">
        <v>2013</v>
      </c>
      <c r="B47" s="70"/>
      <c r="C47" s="24"/>
      <c r="D47" s="27"/>
      <c r="E47" s="70"/>
      <c r="F47" s="24"/>
      <c r="G47" s="27"/>
      <c r="H47" s="70"/>
      <c r="I47" s="24"/>
      <c r="J47" s="27"/>
      <c r="K47" s="70"/>
      <c r="L47" s="24"/>
      <c r="M47" s="27"/>
      <c r="N47" s="70"/>
      <c r="O47" s="24"/>
      <c r="P47" s="27"/>
      <c r="Q47" s="5">
        <v>34199</v>
      </c>
      <c r="R47" s="20">
        <v>12458</v>
      </c>
      <c r="S47" s="21">
        <v>5521</v>
      </c>
    </row>
    <row r="49" spans="1:19" ht="15" thickBot="1" x14ac:dyDescent="0.25">
      <c r="A49" s="55" t="s">
        <v>54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">
      <c r="A50" s="11"/>
      <c r="B50" s="84" t="s">
        <v>10</v>
      </c>
      <c r="C50" s="85"/>
      <c r="D50" s="86"/>
      <c r="E50" s="84" t="s">
        <v>11</v>
      </c>
      <c r="F50" s="85"/>
      <c r="G50" s="86"/>
      <c r="H50" s="84" t="s">
        <v>24</v>
      </c>
      <c r="I50" s="85"/>
      <c r="J50" s="86"/>
      <c r="K50" s="84" t="s">
        <v>22</v>
      </c>
      <c r="L50" s="85"/>
      <c r="M50" s="86"/>
      <c r="N50" s="84" t="s">
        <v>23</v>
      </c>
      <c r="O50" s="85"/>
      <c r="P50" s="86"/>
      <c r="Q50" s="84" t="s">
        <v>9</v>
      </c>
      <c r="R50" s="85"/>
      <c r="S50" s="86"/>
    </row>
    <row r="51" spans="1:19" ht="15" thickBot="1" x14ac:dyDescent="0.25">
      <c r="A51" s="13"/>
      <c r="B51" s="28" t="s">
        <v>6</v>
      </c>
      <c r="C51" s="6" t="s">
        <v>20</v>
      </c>
      <c r="D51" s="7" t="s">
        <v>21</v>
      </c>
      <c r="E51" s="28" t="s">
        <v>6</v>
      </c>
      <c r="F51" s="6" t="s">
        <v>20</v>
      </c>
      <c r="G51" s="7" t="s">
        <v>21</v>
      </c>
      <c r="H51" s="28" t="s">
        <v>6</v>
      </c>
      <c r="I51" s="6" t="s">
        <v>20</v>
      </c>
      <c r="J51" s="7" t="s">
        <v>21</v>
      </c>
      <c r="K51" s="28" t="s">
        <v>6</v>
      </c>
      <c r="L51" s="6" t="s">
        <v>20</v>
      </c>
      <c r="M51" s="7" t="s">
        <v>21</v>
      </c>
      <c r="N51" s="28" t="s">
        <v>6</v>
      </c>
      <c r="O51" s="6" t="s">
        <v>20</v>
      </c>
      <c r="P51" s="7" t="s">
        <v>21</v>
      </c>
      <c r="Q51" s="28" t="s">
        <v>6</v>
      </c>
      <c r="R51" s="6" t="s">
        <v>20</v>
      </c>
      <c r="S51" s="7" t="s">
        <v>21</v>
      </c>
    </row>
    <row r="52" spans="1:19" x14ac:dyDescent="0.2">
      <c r="A52" s="3">
        <v>1980</v>
      </c>
      <c r="B52" s="17">
        <f t="shared" ref="B52:S52" si="0">B4+B16+B28+B40</f>
        <v>0</v>
      </c>
      <c r="C52" s="18">
        <f t="shared" si="0"/>
        <v>0</v>
      </c>
      <c r="D52" s="19">
        <f t="shared" si="0"/>
        <v>0</v>
      </c>
      <c r="E52" s="17">
        <f t="shared" si="0"/>
        <v>0</v>
      </c>
      <c r="F52" s="18">
        <f t="shared" si="0"/>
        <v>0</v>
      </c>
      <c r="G52" s="19">
        <f t="shared" si="0"/>
        <v>0</v>
      </c>
      <c r="H52" s="17">
        <f t="shared" si="0"/>
        <v>0</v>
      </c>
      <c r="I52" s="18">
        <f t="shared" si="0"/>
        <v>0</v>
      </c>
      <c r="J52" s="19">
        <f t="shared" si="0"/>
        <v>0</v>
      </c>
      <c r="K52" s="17">
        <f t="shared" si="0"/>
        <v>0</v>
      </c>
      <c r="L52" s="18">
        <f t="shared" si="0"/>
        <v>0</v>
      </c>
      <c r="M52" s="19">
        <f t="shared" si="0"/>
        <v>0</v>
      </c>
      <c r="N52" s="17">
        <f t="shared" si="0"/>
        <v>0</v>
      </c>
      <c r="O52" s="18">
        <f t="shared" si="0"/>
        <v>0</v>
      </c>
      <c r="P52" s="19">
        <f t="shared" si="0"/>
        <v>0</v>
      </c>
      <c r="Q52" s="17">
        <f t="shared" si="0"/>
        <v>0</v>
      </c>
      <c r="R52" s="18">
        <f t="shared" si="0"/>
        <v>0</v>
      </c>
      <c r="S52" s="19">
        <f t="shared" si="0"/>
        <v>0</v>
      </c>
    </row>
    <row r="53" spans="1:19" x14ac:dyDescent="0.2">
      <c r="A53" s="3">
        <v>1990</v>
      </c>
      <c r="B53" s="17">
        <f t="shared" ref="B53:S53" si="1">B5+B17+B29+B41</f>
        <v>0</v>
      </c>
      <c r="C53" s="18">
        <f t="shared" si="1"/>
        <v>0</v>
      </c>
      <c r="D53" s="19">
        <f t="shared" si="1"/>
        <v>0</v>
      </c>
      <c r="E53" s="17">
        <f t="shared" si="1"/>
        <v>0</v>
      </c>
      <c r="F53" s="18">
        <f t="shared" si="1"/>
        <v>0</v>
      </c>
      <c r="G53" s="19">
        <f t="shared" si="1"/>
        <v>0</v>
      </c>
      <c r="H53" s="17">
        <f t="shared" si="1"/>
        <v>0</v>
      </c>
      <c r="I53" s="18">
        <f t="shared" si="1"/>
        <v>0</v>
      </c>
      <c r="J53" s="19">
        <f t="shared" si="1"/>
        <v>0</v>
      </c>
      <c r="K53" s="17">
        <f t="shared" si="1"/>
        <v>0</v>
      </c>
      <c r="L53" s="18">
        <f t="shared" si="1"/>
        <v>0</v>
      </c>
      <c r="M53" s="19">
        <f t="shared" si="1"/>
        <v>0</v>
      </c>
      <c r="N53" s="17">
        <f t="shared" si="1"/>
        <v>0</v>
      </c>
      <c r="O53" s="18">
        <f t="shared" si="1"/>
        <v>0</v>
      </c>
      <c r="P53" s="19">
        <f t="shared" si="1"/>
        <v>0</v>
      </c>
      <c r="Q53" s="17">
        <f t="shared" si="1"/>
        <v>0</v>
      </c>
      <c r="R53" s="18">
        <f t="shared" si="1"/>
        <v>0</v>
      </c>
      <c r="S53" s="19">
        <f t="shared" si="1"/>
        <v>0</v>
      </c>
    </row>
    <row r="54" spans="1:19" x14ac:dyDescent="0.2">
      <c r="A54" s="3">
        <v>2000</v>
      </c>
      <c r="B54" s="17">
        <f t="shared" ref="B54:S54" si="2">B6+B18+B30+B42</f>
        <v>1319519</v>
      </c>
      <c r="C54" s="18">
        <f t="shared" si="2"/>
        <v>336103</v>
      </c>
      <c r="D54" s="19">
        <f t="shared" si="2"/>
        <v>97221</v>
      </c>
      <c r="E54" s="17">
        <f t="shared" si="2"/>
        <v>228248</v>
      </c>
      <c r="F54" s="18">
        <f t="shared" si="2"/>
        <v>127894</v>
      </c>
      <c r="G54" s="19">
        <f t="shared" si="2"/>
        <v>56552</v>
      </c>
      <c r="H54" s="17">
        <f t="shared" si="2"/>
        <v>1866694</v>
      </c>
      <c r="I54" s="18">
        <f t="shared" si="2"/>
        <v>797774</v>
      </c>
      <c r="J54" s="19">
        <f t="shared" si="2"/>
        <v>372797</v>
      </c>
      <c r="K54" s="17">
        <f t="shared" si="2"/>
        <v>122384</v>
      </c>
      <c r="L54" s="18">
        <f t="shared" si="2"/>
        <v>67043</v>
      </c>
      <c r="M54" s="19">
        <f t="shared" si="2"/>
        <v>33407</v>
      </c>
      <c r="N54" s="17">
        <f t="shared" si="2"/>
        <v>305805</v>
      </c>
      <c r="O54" s="18">
        <f t="shared" si="2"/>
        <v>158070</v>
      </c>
      <c r="P54" s="19">
        <f t="shared" si="2"/>
        <v>52942</v>
      </c>
      <c r="Q54" s="17">
        <f t="shared" si="2"/>
        <v>46089</v>
      </c>
      <c r="R54" s="18">
        <f t="shared" si="2"/>
        <v>19801</v>
      </c>
      <c r="S54" s="19">
        <f t="shared" si="2"/>
        <v>7102</v>
      </c>
    </row>
    <row r="55" spans="1:19" x14ac:dyDescent="0.2">
      <c r="A55" s="3">
        <v>2005</v>
      </c>
      <c r="B55" s="17">
        <f t="shared" ref="B55:S55" si="3">B7+B19+B31+B43</f>
        <v>1015717</v>
      </c>
      <c r="C55" s="18">
        <f t="shared" si="3"/>
        <v>192928</v>
      </c>
      <c r="D55" s="19">
        <f t="shared" si="3"/>
        <v>66655</v>
      </c>
      <c r="E55" s="17">
        <f t="shared" si="3"/>
        <v>280055</v>
      </c>
      <c r="F55" s="18">
        <f t="shared" si="3"/>
        <v>131800</v>
      </c>
      <c r="G55" s="19">
        <f t="shared" si="3"/>
        <v>55257</v>
      </c>
      <c r="H55" s="17">
        <f t="shared" si="3"/>
        <v>1836255</v>
      </c>
      <c r="I55" s="18">
        <f t="shared" si="3"/>
        <v>782670</v>
      </c>
      <c r="J55" s="19">
        <f t="shared" si="3"/>
        <v>344655</v>
      </c>
      <c r="K55" s="17">
        <f t="shared" si="3"/>
        <v>89336</v>
      </c>
      <c r="L55" s="18">
        <f t="shared" si="3"/>
        <v>26804</v>
      </c>
      <c r="M55" s="19">
        <f t="shared" si="3"/>
        <v>12241</v>
      </c>
      <c r="N55" s="17">
        <f t="shared" si="3"/>
        <v>284155</v>
      </c>
      <c r="O55" s="18">
        <f t="shared" si="3"/>
        <v>179920</v>
      </c>
      <c r="P55" s="19">
        <f t="shared" si="3"/>
        <v>82425</v>
      </c>
      <c r="Q55" s="17">
        <f t="shared" si="3"/>
        <v>52522</v>
      </c>
      <c r="R55" s="18">
        <f t="shared" si="3"/>
        <v>28223</v>
      </c>
      <c r="S55" s="19">
        <f t="shared" si="3"/>
        <v>11578</v>
      </c>
    </row>
    <row r="56" spans="1:19" x14ac:dyDescent="0.2">
      <c r="A56" s="3">
        <v>2010</v>
      </c>
      <c r="B56" s="17">
        <f t="shared" ref="B56:S56" si="4">B8+B20+B32+B44</f>
        <v>974193</v>
      </c>
      <c r="C56" s="18">
        <f t="shared" si="4"/>
        <v>185784</v>
      </c>
      <c r="D56" s="19">
        <f t="shared" si="4"/>
        <v>64975</v>
      </c>
      <c r="E56" s="17">
        <f t="shared" si="4"/>
        <v>268663</v>
      </c>
      <c r="F56" s="18">
        <f t="shared" si="4"/>
        <v>124080</v>
      </c>
      <c r="G56" s="19">
        <f t="shared" si="4"/>
        <v>49476</v>
      </c>
      <c r="H56" s="17">
        <f t="shared" si="4"/>
        <v>1949777</v>
      </c>
      <c r="I56" s="18">
        <f t="shared" si="4"/>
        <v>776208</v>
      </c>
      <c r="J56" s="19">
        <f t="shared" si="4"/>
        <v>342974</v>
      </c>
      <c r="K56" s="17">
        <f t="shared" si="4"/>
        <v>115934</v>
      </c>
      <c r="L56" s="18">
        <f t="shared" si="4"/>
        <v>55636</v>
      </c>
      <c r="M56" s="19">
        <f t="shared" si="4"/>
        <v>27074</v>
      </c>
      <c r="N56" s="17">
        <f t="shared" si="4"/>
        <v>300166</v>
      </c>
      <c r="O56" s="18">
        <f t="shared" si="4"/>
        <v>178840</v>
      </c>
      <c r="P56" s="19">
        <f t="shared" si="4"/>
        <v>82670</v>
      </c>
      <c r="Q56" s="17">
        <f t="shared" si="4"/>
        <v>55395</v>
      </c>
      <c r="R56" s="18">
        <f t="shared" si="4"/>
        <v>26752</v>
      </c>
      <c r="S56" s="19">
        <f t="shared" si="4"/>
        <v>11534</v>
      </c>
    </row>
    <row r="57" spans="1:19" x14ac:dyDescent="0.2">
      <c r="A57" s="3">
        <v>2011</v>
      </c>
      <c r="B57" s="17">
        <f t="shared" ref="B57:S57" si="5">B9+B21+B33+B45</f>
        <v>951414</v>
      </c>
      <c r="C57" s="18">
        <f t="shared" si="5"/>
        <v>181215</v>
      </c>
      <c r="D57" s="19">
        <f t="shared" si="5"/>
        <v>62924</v>
      </c>
      <c r="E57" s="17">
        <f t="shared" si="5"/>
        <v>263106</v>
      </c>
      <c r="F57" s="18">
        <f t="shared" si="5"/>
        <v>123815</v>
      </c>
      <c r="G57" s="19">
        <f t="shared" si="5"/>
        <v>50829</v>
      </c>
      <c r="H57" s="17">
        <f t="shared" si="5"/>
        <v>1951616</v>
      </c>
      <c r="I57" s="18">
        <f t="shared" si="5"/>
        <v>790749</v>
      </c>
      <c r="J57" s="19">
        <f t="shared" si="5"/>
        <v>349952</v>
      </c>
      <c r="K57" s="17">
        <f t="shared" si="5"/>
        <v>115344</v>
      </c>
      <c r="L57" s="18">
        <f t="shared" si="5"/>
        <v>56621</v>
      </c>
      <c r="M57" s="19">
        <f t="shared" si="5"/>
        <v>27306</v>
      </c>
      <c r="N57" s="17">
        <f t="shared" si="5"/>
        <v>301791</v>
      </c>
      <c r="O57" s="18">
        <f t="shared" si="5"/>
        <v>182524</v>
      </c>
      <c r="P57" s="19">
        <f t="shared" si="5"/>
        <v>87858</v>
      </c>
      <c r="Q57" s="17">
        <f t="shared" si="5"/>
        <v>50438</v>
      </c>
      <c r="R57" s="18">
        <f t="shared" si="5"/>
        <v>25533</v>
      </c>
      <c r="S57" s="19">
        <f t="shared" si="5"/>
        <v>11612</v>
      </c>
    </row>
    <row r="58" spans="1:19" s="4" customFormat="1" x14ac:dyDescent="0.2">
      <c r="A58" s="3">
        <v>2012</v>
      </c>
      <c r="B58" s="17">
        <f t="shared" ref="B58:S59" si="6">B10+B22+B34+B46</f>
        <v>940157</v>
      </c>
      <c r="C58" s="18">
        <f t="shared" si="6"/>
        <v>175627</v>
      </c>
      <c r="D58" s="19">
        <f t="shared" si="6"/>
        <v>60223</v>
      </c>
      <c r="E58" s="17">
        <f t="shared" si="6"/>
        <v>267904</v>
      </c>
      <c r="F58" s="18">
        <f t="shared" si="6"/>
        <v>129664</v>
      </c>
      <c r="G58" s="19">
        <f t="shared" si="6"/>
        <v>52028</v>
      </c>
      <c r="H58" s="17">
        <f t="shared" si="6"/>
        <v>2046385</v>
      </c>
      <c r="I58" s="18">
        <f t="shared" si="6"/>
        <v>815098</v>
      </c>
      <c r="J58" s="19">
        <f t="shared" si="6"/>
        <v>359448</v>
      </c>
      <c r="K58" s="17">
        <f t="shared" si="6"/>
        <v>119334</v>
      </c>
      <c r="L58" s="18">
        <f t="shared" si="6"/>
        <v>62241</v>
      </c>
      <c r="M58" s="19">
        <f t="shared" si="6"/>
        <v>27043</v>
      </c>
      <c r="N58" s="17">
        <f t="shared" si="6"/>
        <v>303365</v>
      </c>
      <c r="O58" s="18">
        <f t="shared" si="6"/>
        <v>182218</v>
      </c>
      <c r="P58" s="19">
        <f t="shared" si="6"/>
        <v>87647</v>
      </c>
      <c r="Q58" s="17">
        <f t="shared" si="6"/>
        <v>51884</v>
      </c>
      <c r="R58" s="18">
        <f t="shared" si="6"/>
        <v>25238</v>
      </c>
      <c r="S58" s="19">
        <f t="shared" si="6"/>
        <v>10660</v>
      </c>
    </row>
    <row r="59" spans="1:19" ht="15" thickBot="1" x14ac:dyDescent="0.25">
      <c r="A59" s="28">
        <v>2013</v>
      </c>
      <c r="B59" s="5">
        <f t="shared" si="6"/>
        <v>934471</v>
      </c>
      <c r="C59" s="20">
        <f t="shared" si="6"/>
        <v>173154</v>
      </c>
      <c r="D59" s="21">
        <f t="shared" si="6"/>
        <v>60567</v>
      </c>
      <c r="E59" s="5">
        <f t="shared" si="6"/>
        <v>268236</v>
      </c>
      <c r="F59" s="20">
        <f t="shared" si="6"/>
        <v>132524</v>
      </c>
      <c r="G59" s="21">
        <f t="shared" si="6"/>
        <v>55542</v>
      </c>
      <c r="H59" s="5">
        <f t="shared" si="6"/>
        <v>2106501</v>
      </c>
      <c r="I59" s="20">
        <f t="shared" si="6"/>
        <v>839532</v>
      </c>
      <c r="J59" s="21">
        <f t="shared" si="6"/>
        <v>373439</v>
      </c>
      <c r="K59" s="5">
        <f t="shared" si="6"/>
        <v>116241</v>
      </c>
      <c r="L59" s="20">
        <f t="shared" si="6"/>
        <v>60612</v>
      </c>
      <c r="M59" s="21">
        <f t="shared" si="6"/>
        <v>29001</v>
      </c>
      <c r="N59" s="5">
        <f t="shared" si="6"/>
        <v>309766</v>
      </c>
      <c r="O59" s="20">
        <f t="shared" si="6"/>
        <v>185391</v>
      </c>
      <c r="P59" s="21">
        <f t="shared" si="6"/>
        <v>89703</v>
      </c>
      <c r="Q59" s="5">
        <f t="shared" si="6"/>
        <v>49265</v>
      </c>
      <c r="R59" s="20">
        <f t="shared" si="6"/>
        <v>21792</v>
      </c>
      <c r="S59" s="21">
        <f t="shared" si="6"/>
        <v>10127</v>
      </c>
    </row>
  </sheetData>
  <mergeCells count="30">
    <mergeCell ref="Q38:S38"/>
    <mergeCell ref="B38:D38"/>
    <mergeCell ref="E38:G38"/>
    <mergeCell ref="H38:J38"/>
    <mergeCell ref="K38:M38"/>
    <mergeCell ref="N38:P38"/>
    <mergeCell ref="Q50:S50"/>
    <mergeCell ref="B50:D50"/>
    <mergeCell ref="E50:G50"/>
    <mergeCell ref="H50:J50"/>
    <mergeCell ref="K50:M50"/>
    <mergeCell ref="N50:P50"/>
    <mergeCell ref="Q26:S26"/>
    <mergeCell ref="B14:D14"/>
    <mergeCell ref="E14:G14"/>
    <mergeCell ref="H14:J14"/>
    <mergeCell ref="K14:M14"/>
    <mergeCell ref="N14:P14"/>
    <mergeCell ref="Q14:S14"/>
    <mergeCell ref="B26:D26"/>
    <mergeCell ref="E26:G26"/>
    <mergeCell ref="H26:J26"/>
    <mergeCell ref="K26:M26"/>
    <mergeCell ref="N26:P26"/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6"/>
  <sheetViews>
    <sheetView workbookViewId="0">
      <selection activeCell="J38" sqref="J38"/>
    </sheetView>
  </sheetViews>
  <sheetFormatPr defaultColWidth="8.6640625" defaultRowHeight="14.25" x14ac:dyDescent="0.2"/>
  <cols>
    <col min="3" max="3" width="11.6640625" customWidth="1"/>
  </cols>
  <sheetData>
    <row r="4" spans="3:13" ht="15" thickBot="1" x14ac:dyDescent="0.25">
      <c r="E4" s="89" t="s">
        <v>58</v>
      </c>
      <c r="F4" s="89"/>
      <c r="G4" s="89"/>
      <c r="H4" s="89" t="s">
        <v>67</v>
      </c>
      <c r="I4" s="89"/>
      <c r="J4" s="89"/>
      <c r="K4" s="89" t="s">
        <v>68</v>
      </c>
      <c r="L4" s="89"/>
      <c r="M4" s="89"/>
    </row>
    <row r="5" spans="3:13" ht="15.75" thickBot="1" x14ac:dyDescent="0.25">
      <c r="C5" s="87"/>
      <c r="D5" s="88"/>
      <c r="E5" s="60" t="s">
        <v>59</v>
      </c>
      <c r="F5" s="60" t="s">
        <v>60</v>
      </c>
      <c r="G5" s="60" t="s">
        <v>61</v>
      </c>
      <c r="H5" s="60" t="s">
        <v>59</v>
      </c>
      <c r="I5" s="60" t="s">
        <v>60</v>
      </c>
      <c r="J5" s="60" t="s">
        <v>61</v>
      </c>
      <c r="K5" s="60" t="s">
        <v>59</v>
      </c>
      <c r="L5" s="60" t="s">
        <v>60</v>
      </c>
      <c r="M5" s="60" t="s">
        <v>61</v>
      </c>
    </row>
    <row r="6" spans="3:13" ht="15.75" thickBot="1" x14ac:dyDescent="0.25">
      <c r="C6" s="61" t="s">
        <v>62</v>
      </c>
      <c r="D6" s="62" t="s">
        <v>63</v>
      </c>
      <c r="E6" s="63">
        <v>1799</v>
      </c>
      <c r="F6" s="64">
        <v>257</v>
      </c>
      <c r="G6" s="68">
        <f>G13/F6</f>
        <v>241.05836575875486</v>
      </c>
      <c r="H6" s="63">
        <f>K6+140+112</f>
        <v>420</v>
      </c>
      <c r="I6" s="64">
        <f>L6+20+16</f>
        <v>60</v>
      </c>
      <c r="J6" s="68">
        <f>J13/I6</f>
        <v>534.4</v>
      </c>
      <c r="K6" s="63">
        <v>168</v>
      </c>
      <c r="L6" s="64">
        <v>24</v>
      </c>
      <c r="M6" s="68">
        <f>M13/L6</f>
        <v>656.125</v>
      </c>
    </row>
    <row r="7" spans="3:13" ht="15.75" thickBot="1" x14ac:dyDescent="0.25">
      <c r="C7" s="61" t="s">
        <v>62</v>
      </c>
      <c r="D7" s="62" t="s">
        <v>64</v>
      </c>
      <c r="E7" s="63">
        <v>1984</v>
      </c>
      <c r="F7" s="64">
        <v>248</v>
      </c>
      <c r="G7" s="68">
        <f t="shared" ref="G7:G9" si="0">G14/F7</f>
        <v>218.90725806451613</v>
      </c>
      <c r="H7" s="63">
        <f>K7+176+136</f>
        <v>504</v>
      </c>
      <c r="I7" s="63">
        <f>L7+22+17</f>
        <v>63</v>
      </c>
      <c r="J7" s="68">
        <f t="shared" ref="J7:J9" si="1">J14/I7</f>
        <v>453.14285714285717</v>
      </c>
      <c r="K7" s="63">
        <v>192</v>
      </c>
      <c r="L7" s="64">
        <v>24</v>
      </c>
      <c r="M7" s="68">
        <f t="shared" ref="M7:M9" si="2">M14/L7</f>
        <v>552.25</v>
      </c>
    </row>
    <row r="8" spans="3:13" ht="15.75" thickBot="1" x14ac:dyDescent="0.25">
      <c r="C8" s="61" t="s">
        <v>65</v>
      </c>
      <c r="D8" s="62" t="s">
        <v>25</v>
      </c>
      <c r="E8" s="63">
        <f>955+469</f>
        <v>1424</v>
      </c>
      <c r="F8" s="64">
        <f>109+57</f>
        <v>166</v>
      </c>
      <c r="G8" s="68">
        <f t="shared" si="0"/>
        <v>453.64457831325302</v>
      </c>
      <c r="H8" s="63">
        <v>488</v>
      </c>
      <c r="I8" s="64">
        <f>L8+13+11+4+4</f>
        <v>53</v>
      </c>
      <c r="J8" s="68">
        <f t="shared" si="1"/>
        <v>831.37735849056605</v>
      </c>
      <c r="K8" s="63">
        <f>114+71</f>
        <v>185</v>
      </c>
      <c r="L8" s="64">
        <v>21</v>
      </c>
      <c r="M8" s="68">
        <f t="shared" si="2"/>
        <v>1023.8095238095239</v>
      </c>
    </row>
    <row r="9" spans="3:13" ht="15.75" thickBot="1" x14ac:dyDescent="0.25">
      <c r="C9" s="61" t="s">
        <v>65</v>
      </c>
      <c r="D9" s="62" t="s">
        <v>26</v>
      </c>
      <c r="E9" s="64">
        <v>331</v>
      </c>
      <c r="F9" s="64">
        <v>52</v>
      </c>
      <c r="G9" s="68">
        <f t="shared" si="0"/>
        <v>203.15384615384616</v>
      </c>
      <c r="H9" s="64">
        <v>58</v>
      </c>
      <c r="I9" s="64">
        <v>9</v>
      </c>
      <c r="J9" s="68">
        <f t="shared" si="1"/>
        <v>219.66666666666666</v>
      </c>
      <c r="K9" s="64">
        <v>33</v>
      </c>
      <c r="L9" s="64">
        <v>5</v>
      </c>
      <c r="M9" s="68">
        <f t="shared" si="2"/>
        <v>234.2</v>
      </c>
    </row>
    <row r="10" spans="3:13" ht="15.75" thickBot="1" x14ac:dyDescent="0.25">
      <c r="C10" s="61" t="s">
        <v>66</v>
      </c>
      <c r="D10" s="62"/>
      <c r="E10" s="67">
        <f t="shared" ref="E10:F10" si="3">SUM(E6:E9)</f>
        <v>5538</v>
      </c>
      <c r="F10" s="67">
        <f t="shared" si="3"/>
        <v>723</v>
      </c>
      <c r="G10" s="62"/>
      <c r="H10" s="67">
        <f t="shared" ref="H10:I10" si="4">SUM(H6:H9)</f>
        <v>1470</v>
      </c>
      <c r="I10" s="67">
        <f t="shared" si="4"/>
        <v>185</v>
      </c>
      <c r="J10" s="62"/>
      <c r="K10" s="67">
        <f t="shared" ref="K10:L10" si="5">SUM(K6:K9)</f>
        <v>578</v>
      </c>
      <c r="L10" s="67">
        <f t="shared" si="5"/>
        <v>74</v>
      </c>
      <c r="M10" s="62"/>
    </row>
    <row r="12" spans="3:13" ht="15" thickBot="1" x14ac:dyDescent="0.25"/>
    <row r="13" spans="3:13" ht="15.75" thickBot="1" x14ac:dyDescent="0.25">
      <c r="G13" s="65">
        <v>61952</v>
      </c>
      <c r="J13" s="65">
        <f>M13+9254+7063</f>
        <v>32064</v>
      </c>
      <c r="M13" s="65">
        <v>15747</v>
      </c>
    </row>
    <row r="14" spans="3:13" ht="15.75" thickBot="1" x14ac:dyDescent="0.25">
      <c r="G14" s="66">
        <v>54289</v>
      </c>
      <c r="J14" s="66">
        <f>M14+9004+6290</f>
        <v>28548</v>
      </c>
      <c r="M14" s="66">
        <v>13254</v>
      </c>
    </row>
    <row r="15" spans="3:13" ht="15.75" thickBot="1" x14ac:dyDescent="0.25">
      <c r="G15" s="66">
        <f>50494+24811</f>
        <v>75305</v>
      </c>
      <c r="J15" s="66">
        <f>M15+9484+6049+3783+3247</f>
        <v>44063</v>
      </c>
      <c r="M15" s="66">
        <f>12855+8645</f>
        <v>21500</v>
      </c>
    </row>
    <row r="16" spans="3:13" ht="15.75" thickBot="1" x14ac:dyDescent="0.25">
      <c r="G16" s="66">
        <v>10564</v>
      </c>
      <c r="J16" s="66">
        <f>M16+296+510</f>
        <v>1977</v>
      </c>
      <c r="M16" s="66">
        <v>1171</v>
      </c>
    </row>
  </sheetData>
  <mergeCells count="4">
    <mergeCell ref="C5:D5"/>
    <mergeCell ref="E4:G4"/>
    <mergeCell ref="H4:J4"/>
    <mergeCell ref="K4:M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2" sqref="C12"/>
    </sheetView>
  </sheetViews>
  <sheetFormatPr defaultRowHeight="14.25" x14ac:dyDescent="0.2"/>
  <cols>
    <col min="1" max="1" width="16.77734375" bestFit="1" customWidth="1"/>
    <col min="2" max="2" width="9.88671875" customWidth="1"/>
  </cols>
  <sheetData>
    <row r="1" spans="1:4" x14ac:dyDescent="0.2">
      <c r="B1" t="s">
        <v>58</v>
      </c>
      <c r="C1" t="s">
        <v>7</v>
      </c>
      <c r="D1" t="s">
        <v>8</v>
      </c>
    </row>
    <row r="2" spans="1:4" x14ac:dyDescent="0.2">
      <c r="A2" t="s">
        <v>12</v>
      </c>
      <c r="B2" s="1">
        <f>lincoln!B17</f>
        <v>235912</v>
      </c>
      <c r="C2" s="1">
        <f>lincoln!H17</f>
        <v>101554</v>
      </c>
      <c r="D2" s="1">
        <f>lincoln!N17</f>
        <v>40807</v>
      </c>
    </row>
    <row r="3" spans="1:4" x14ac:dyDescent="0.2">
      <c r="A3" t="s">
        <v>72</v>
      </c>
      <c r="B3" s="1">
        <f>'amtrak-njt'!B17</f>
        <v>85869</v>
      </c>
      <c r="C3" s="1">
        <f>'amtrak-njt'!H17</f>
        <v>46040</v>
      </c>
      <c r="D3" s="1">
        <f>'amtrak-njt'!N17</f>
        <v>22671</v>
      </c>
    </row>
    <row r="4" spans="1:4" x14ac:dyDescent="0.2">
      <c r="A4" t="s">
        <v>14</v>
      </c>
      <c r="B4" s="1">
        <f>'uptown-path'!B17</f>
        <v>61952</v>
      </c>
      <c r="C4" s="1">
        <f>'uptown-path'!H17</f>
        <v>32064</v>
      </c>
      <c r="D4" s="1">
        <f>'uptown-path'!N17</f>
        <v>15747</v>
      </c>
    </row>
    <row r="5" spans="1:4" x14ac:dyDescent="0.2">
      <c r="A5" t="s">
        <v>15</v>
      </c>
      <c r="B5" s="1">
        <f>holland!B17</f>
        <v>71108</v>
      </c>
      <c r="C5" s="1">
        <f>holland!H17</f>
        <v>15915</v>
      </c>
      <c r="D5" s="1">
        <f>holland!N17</f>
        <v>5415</v>
      </c>
    </row>
    <row r="6" spans="1:4" x14ac:dyDescent="0.2">
      <c r="A6" t="s">
        <v>16</v>
      </c>
      <c r="B6" s="1">
        <f>'downtown-path'!B17</f>
        <v>54287</v>
      </c>
      <c r="C6" s="1">
        <f>'downtown-path'!H17</f>
        <v>28548</v>
      </c>
      <c r="D6" s="1">
        <f>'downtown-path'!N17</f>
        <v>13254</v>
      </c>
    </row>
    <row r="7" spans="1:4" x14ac:dyDescent="0.2">
      <c r="A7" t="s">
        <v>9</v>
      </c>
      <c r="B7" s="1">
        <f>ferry!B17</f>
        <v>14930</v>
      </c>
      <c r="C7" s="1">
        <f>ferry!H17</f>
        <v>9334</v>
      </c>
      <c r="D7" s="1">
        <f>ferry!N17</f>
        <v>4606</v>
      </c>
    </row>
    <row r="8" spans="1:4" x14ac:dyDescent="0.2">
      <c r="A8" t="s">
        <v>66</v>
      </c>
      <c r="B8" s="1">
        <f>SUM(B2:B7)</f>
        <v>524058</v>
      </c>
      <c r="C8" s="1">
        <f>SUM(C2:C7)</f>
        <v>233455</v>
      </c>
      <c r="D8" s="1">
        <f>SUM(D2:D7)</f>
        <v>102500</v>
      </c>
    </row>
    <row r="10" spans="1:4" x14ac:dyDescent="0.2">
      <c r="B10">
        <f>B3/B8</f>
        <v>0.16385400089303093</v>
      </c>
      <c r="C10">
        <f t="shared" ref="C10:D10" si="0">C3/C8</f>
        <v>0.19721145402754278</v>
      </c>
      <c r="D10">
        <f t="shared" si="0"/>
        <v>0.22118048780487806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lincoln</vt:lpstr>
      <vt:lpstr>amtrak-njt</vt:lpstr>
      <vt:lpstr>uptown-path</vt:lpstr>
      <vt:lpstr>holland</vt:lpstr>
      <vt:lpstr>downtown-path</vt:lpstr>
      <vt:lpstr>ferry</vt:lpstr>
      <vt:lpstr>sector</vt:lpstr>
      <vt:lpstr>rail</vt:lpstr>
      <vt:lpstr>total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Schned</dc:creator>
  <cp:lastModifiedBy>Mandu Sen</cp:lastModifiedBy>
  <cp:lastPrinted>2014-12-15T19:22:50Z</cp:lastPrinted>
  <dcterms:created xsi:type="dcterms:W3CDTF">2014-07-24T15:54:43Z</dcterms:created>
  <dcterms:modified xsi:type="dcterms:W3CDTF">2015-02-06T22:17:48Z</dcterms:modified>
</cp:coreProperties>
</file>