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2290" windowHeight="11520" firstSheet="6" activeTab="9"/>
  </bookViews>
  <sheets>
    <sheet name="2019_mid_estimate" sheetId="2" r:id="rId1"/>
    <sheet name="2018" sheetId="1" r:id="rId2"/>
    <sheet name="2017" sheetId="3" r:id="rId3"/>
    <sheet name="2016" sheetId="4" r:id="rId4"/>
    <sheet name="2015" sheetId="5" r:id="rId5"/>
    <sheet name="2019_mid_estimate_PHL" sheetId="7" r:id="rId6"/>
    <sheet name="2018_PHL" sheetId="8" r:id="rId7"/>
    <sheet name="2017_PHL" sheetId="9" r:id="rId8"/>
    <sheet name="2016_PHL" sheetId="10" r:id="rId9"/>
    <sheet name="2015_PHL" sheetId="11" r:id="rId10"/>
  </sheets>
  <calcPr calcId="144525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J33" i="11" s="1"/>
  <c r="I34" i="11"/>
  <c r="I35" i="11"/>
  <c r="I36" i="11"/>
  <c r="I37" i="11"/>
  <c r="I38" i="11"/>
  <c r="I39" i="11"/>
  <c r="I40" i="11"/>
  <c r="I41" i="11"/>
  <c r="I42" i="11"/>
  <c r="I43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C14" i="10" s="1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2" i="10"/>
  <c r="I3" i="9"/>
  <c r="I4" i="9"/>
  <c r="I5" i="9"/>
  <c r="I6" i="9"/>
  <c r="I7" i="9"/>
  <c r="I8" i="9"/>
  <c r="I9" i="9"/>
  <c r="I10" i="9"/>
  <c r="I11" i="9"/>
  <c r="I12" i="9"/>
  <c r="I13" i="9"/>
  <c r="C12" i="9" s="1"/>
  <c r="I14" i="9"/>
  <c r="I15" i="9"/>
  <c r="C14" i="9" s="1"/>
  <c r="I16" i="9"/>
  <c r="I17" i="9"/>
  <c r="C16" i="9" s="1"/>
  <c r="I18" i="9"/>
  <c r="I19" i="9"/>
  <c r="C18" i="9" s="1"/>
  <c r="I20" i="9"/>
  <c r="I21" i="9"/>
  <c r="C20" i="9" s="1"/>
  <c r="I22" i="9"/>
  <c r="I23" i="9"/>
  <c r="C22" i="9" s="1"/>
  <c r="I24" i="9"/>
  <c r="I25" i="9"/>
  <c r="C24" i="9" s="1"/>
  <c r="I26" i="9"/>
  <c r="I27" i="9"/>
  <c r="C26" i="9" s="1"/>
  <c r="I28" i="9"/>
  <c r="I29" i="9"/>
  <c r="C28" i="9" s="1"/>
  <c r="I30" i="9"/>
  <c r="I31" i="9"/>
  <c r="C59" i="9" s="1"/>
  <c r="I32" i="9"/>
  <c r="I33" i="9"/>
  <c r="C44" i="9" s="1"/>
  <c r="I34" i="9"/>
  <c r="I35" i="9"/>
  <c r="I36" i="9"/>
  <c r="I37" i="9"/>
  <c r="I38" i="9"/>
  <c r="I39" i="9"/>
  <c r="I40" i="9"/>
  <c r="I41" i="9"/>
  <c r="C63" i="9" s="1"/>
  <c r="I42" i="9"/>
  <c r="I43" i="9"/>
  <c r="I2" i="9"/>
  <c r="I3" i="8"/>
  <c r="I4" i="8"/>
  <c r="I5" i="8"/>
  <c r="I6" i="8"/>
  <c r="I7" i="8"/>
  <c r="I8" i="8"/>
  <c r="I9" i="8"/>
  <c r="I10" i="8"/>
  <c r="I11" i="8"/>
  <c r="I12" i="8"/>
  <c r="C64" i="8" s="1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C41" i="8" s="1"/>
  <c r="I29" i="8"/>
  <c r="I30" i="8"/>
  <c r="I31" i="8"/>
  <c r="C30" i="8" s="1"/>
  <c r="I32" i="8"/>
  <c r="J32" i="8" s="1"/>
  <c r="K32" i="8" s="1"/>
  <c r="I33" i="8"/>
  <c r="I34" i="8"/>
  <c r="I35" i="8"/>
  <c r="C34" i="8" s="1"/>
  <c r="I36" i="8"/>
  <c r="C35" i="8" s="1"/>
  <c r="I37" i="8"/>
  <c r="I38" i="8"/>
  <c r="I39" i="8"/>
  <c r="C48" i="8" s="1"/>
  <c r="I40" i="8"/>
  <c r="I41" i="8"/>
  <c r="I42" i="8"/>
  <c r="I43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2" i="7"/>
  <c r="C63" i="11"/>
  <c r="C47" i="11"/>
  <c r="C33" i="11"/>
  <c r="C32" i="11"/>
  <c r="C59" i="11"/>
  <c r="C31" i="11"/>
  <c r="J30" i="11"/>
  <c r="C30" i="11"/>
  <c r="J29" i="11"/>
  <c r="C29" i="11"/>
  <c r="J28" i="11"/>
  <c r="C28" i="11"/>
  <c r="J27" i="11"/>
  <c r="C27" i="11"/>
  <c r="C71" i="11"/>
  <c r="C26" i="11"/>
  <c r="J25" i="11"/>
  <c r="C25" i="11"/>
  <c r="J24" i="11"/>
  <c r="C24" i="11"/>
  <c r="J23" i="11"/>
  <c r="C23" i="11"/>
  <c r="C67" i="11"/>
  <c r="C22" i="11"/>
  <c r="J21" i="11"/>
  <c r="C21" i="11"/>
  <c r="C55" i="11"/>
  <c r="C20" i="11"/>
  <c r="J19" i="11"/>
  <c r="C19" i="11"/>
  <c r="J18" i="11"/>
  <c r="C18" i="11"/>
  <c r="J17" i="11"/>
  <c r="C17" i="11"/>
  <c r="J16" i="11"/>
  <c r="C16" i="11"/>
  <c r="C51" i="11"/>
  <c r="C15" i="11"/>
  <c r="J14" i="11"/>
  <c r="C14" i="11"/>
  <c r="J13" i="11"/>
  <c r="C13" i="11"/>
  <c r="J12" i="11"/>
  <c r="C12" i="11"/>
  <c r="J11" i="11"/>
  <c r="C11" i="11"/>
  <c r="J10" i="11"/>
  <c r="C10" i="11"/>
  <c r="J9" i="11"/>
  <c r="C9" i="11"/>
  <c r="J8" i="11"/>
  <c r="C8" i="11"/>
  <c r="J7" i="11"/>
  <c r="C7" i="11"/>
  <c r="J6" i="11"/>
  <c r="C6" i="11"/>
  <c r="J5" i="11"/>
  <c r="C5" i="11"/>
  <c r="J4" i="11"/>
  <c r="C4" i="11"/>
  <c r="J3" i="11"/>
  <c r="C3" i="11"/>
  <c r="J2" i="11"/>
  <c r="C2" i="11"/>
  <c r="C47" i="10"/>
  <c r="C63" i="10"/>
  <c r="C49" i="10"/>
  <c r="C48" i="10"/>
  <c r="C37" i="10"/>
  <c r="C62" i="10"/>
  <c r="C61" i="10"/>
  <c r="C46" i="10"/>
  <c r="J33" i="10"/>
  <c r="C33" i="10"/>
  <c r="C59" i="10"/>
  <c r="J30" i="10"/>
  <c r="J29" i="10"/>
  <c r="C71" i="10"/>
  <c r="J25" i="10"/>
  <c r="C67" i="10"/>
  <c r="J21" i="10"/>
  <c r="C55" i="10"/>
  <c r="J19" i="10"/>
  <c r="J18" i="10"/>
  <c r="J17" i="10"/>
  <c r="J16" i="10"/>
  <c r="C51" i="10"/>
  <c r="J14" i="10"/>
  <c r="J13" i="10"/>
  <c r="C13" i="10"/>
  <c r="J12" i="10"/>
  <c r="C12" i="10"/>
  <c r="J11" i="10"/>
  <c r="C11" i="10"/>
  <c r="J10" i="10"/>
  <c r="C10" i="10"/>
  <c r="J9" i="10"/>
  <c r="C9" i="10"/>
  <c r="J8" i="10"/>
  <c r="C8" i="10"/>
  <c r="J7" i="10"/>
  <c r="C7" i="10"/>
  <c r="J6" i="10"/>
  <c r="C6" i="10"/>
  <c r="J5" i="10"/>
  <c r="C5" i="10"/>
  <c r="J4" i="10"/>
  <c r="C4" i="10"/>
  <c r="J3" i="10"/>
  <c r="C3" i="10"/>
  <c r="J2" i="10"/>
  <c r="C2" i="10"/>
  <c r="C47" i="9"/>
  <c r="C33" i="9"/>
  <c r="C60" i="9"/>
  <c r="C32" i="9"/>
  <c r="C31" i="9"/>
  <c r="C43" i="9"/>
  <c r="C30" i="9"/>
  <c r="C29" i="9"/>
  <c r="J28" i="9"/>
  <c r="J27" i="9"/>
  <c r="C27" i="9"/>
  <c r="C71" i="9"/>
  <c r="J25" i="9"/>
  <c r="C25" i="9"/>
  <c r="J24" i="9"/>
  <c r="J23" i="9"/>
  <c r="C23" i="9"/>
  <c r="C67" i="9"/>
  <c r="J21" i="9"/>
  <c r="C21" i="9"/>
  <c r="C55" i="9"/>
  <c r="J19" i="9"/>
  <c r="C19" i="9"/>
  <c r="J18" i="9"/>
  <c r="J17" i="9"/>
  <c r="C17" i="9"/>
  <c r="J16" i="9"/>
  <c r="C51" i="9"/>
  <c r="C15" i="9"/>
  <c r="J14" i="9"/>
  <c r="J13" i="9"/>
  <c r="C13" i="9"/>
  <c r="J12" i="9"/>
  <c r="J11" i="9"/>
  <c r="C11" i="9"/>
  <c r="J10" i="9"/>
  <c r="C10" i="9"/>
  <c r="J9" i="9"/>
  <c r="C9" i="9"/>
  <c r="J8" i="9"/>
  <c r="C8" i="9"/>
  <c r="J7" i="9"/>
  <c r="C7" i="9"/>
  <c r="J6" i="9"/>
  <c r="C6" i="9"/>
  <c r="J5" i="9"/>
  <c r="C5" i="9"/>
  <c r="J4" i="9"/>
  <c r="C4" i="9"/>
  <c r="J3" i="9"/>
  <c r="C3" i="9"/>
  <c r="J33" i="9"/>
  <c r="C2" i="9"/>
  <c r="C68" i="8"/>
  <c r="C56" i="8"/>
  <c r="C52" i="8"/>
  <c r="C44" i="8"/>
  <c r="C43" i="8"/>
  <c r="C42" i="8"/>
  <c r="C63" i="8"/>
  <c r="C40" i="8"/>
  <c r="C39" i="8"/>
  <c r="C47" i="8"/>
  <c r="C37" i="8"/>
  <c r="C36" i="8"/>
  <c r="J33" i="8"/>
  <c r="C33" i="8"/>
  <c r="C32" i="8"/>
  <c r="C59" i="8"/>
  <c r="C31" i="8"/>
  <c r="J30" i="8"/>
  <c r="K30" i="8" s="1"/>
  <c r="J29" i="8"/>
  <c r="K29" i="8" s="1"/>
  <c r="C29" i="8"/>
  <c r="J28" i="8"/>
  <c r="K28" i="8" s="1"/>
  <c r="C28" i="8"/>
  <c r="J27" i="8"/>
  <c r="K27" i="8" s="1"/>
  <c r="C27" i="8"/>
  <c r="C71" i="8"/>
  <c r="C26" i="8"/>
  <c r="J25" i="8"/>
  <c r="K25" i="8" s="1"/>
  <c r="C25" i="8"/>
  <c r="J24" i="8"/>
  <c r="K24" i="8" s="1"/>
  <c r="C24" i="8"/>
  <c r="J23" i="8"/>
  <c r="K23" i="8" s="1"/>
  <c r="C23" i="8"/>
  <c r="C67" i="8"/>
  <c r="C22" i="8"/>
  <c r="J21" i="8"/>
  <c r="K21" i="8" s="1"/>
  <c r="C21" i="8"/>
  <c r="C55" i="8"/>
  <c r="C20" i="8"/>
  <c r="J19" i="8"/>
  <c r="K19" i="8" s="1"/>
  <c r="C19" i="8"/>
  <c r="J18" i="8"/>
  <c r="K18" i="8" s="1"/>
  <c r="C18" i="8"/>
  <c r="J17" i="8"/>
  <c r="K17" i="8" s="1"/>
  <c r="C17" i="8"/>
  <c r="J16" i="8"/>
  <c r="K16" i="8" s="1"/>
  <c r="C16" i="8"/>
  <c r="C51" i="8"/>
  <c r="C15" i="8"/>
  <c r="J14" i="8"/>
  <c r="K14" i="8" s="1"/>
  <c r="C14" i="8"/>
  <c r="J13" i="8"/>
  <c r="K13" i="8" s="1"/>
  <c r="C13" i="8"/>
  <c r="J12" i="8"/>
  <c r="K12" i="8" s="1"/>
  <c r="C12" i="8"/>
  <c r="J11" i="8"/>
  <c r="K11" i="8" s="1"/>
  <c r="C11" i="8"/>
  <c r="J10" i="8"/>
  <c r="K10" i="8" s="1"/>
  <c r="C10" i="8"/>
  <c r="J9" i="8"/>
  <c r="K9" i="8" s="1"/>
  <c r="C9" i="8"/>
  <c r="J8" i="8"/>
  <c r="K8" i="8" s="1"/>
  <c r="C8" i="8"/>
  <c r="J7" i="8"/>
  <c r="K7" i="8" s="1"/>
  <c r="C7" i="8"/>
  <c r="J6" i="8"/>
  <c r="K6" i="8" s="1"/>
  <c r="C6" i="8"/>
  <c r="J5" i="8"/>
  <c r="K5" i="8" s="1"/>
  <c r="C5" i="8"/>
  <c r="J4" i="8"/>
  <c r="K4" i="8" s="1"/>
  <c r="C4" i="8"/>
  <c r="J3" i="8"/>
  <c r="K3" i="8" s="1"/>
  <c r="C3" i="8"/>
  <c r="J2" i="8"/>
  <c r="K2" i="8" s="1"/>
  <c r="C2" i="8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K43" i="7"/>
  <c r="J43" i="7"/>
  <c r="C43" i="7"/>
  <c r="J42" i="7"/>
  <c r="K42" i="7" s="1"/>
  <c r="C42" i="7"/>
  <c r="K41" i="7"/>
  <c r="J41" i="7"/>
  <c r="C41" i="7"/>
  <c r="J40" i="7"/>
  <c r="K40" i="7" s="1"/>
  <c r="C40" i="7"/>
  <c r="J39" i="7"/>
  <c r="K39" i="7" s="1"/>
  <c r="C39" i="7"/>
  <c r="J38" i="7"/>
  <c r="K38" i="7" s="1"/>
  <c r="C38" i="7"/>
  <c r="J37" i="7"/>
  <c r="K37" i="7" s="1"/>
  <c r="C37" i="7"/>
  <c r="J36" i="7"/>
  <c r="K36" i="7" s="1"/>
  <c r="C36" i="7"/>
  <c r="K35" i="7"/>
  <c r="J35" i="7"/>
  <c r="C35" i="7"/>
  <c r="J34" i="7"/>
  <c r="K34" i="7" s="1"/>
  <c r="C34" i="7"/>
  <c r="J33" i="7"/>
  <c r="C33" i="7"/>
  <c r="J32" i="7"/>
  <c r="K32" i="7" s="1"/>
  <c r="C32" i="7"/>
  <c r="J31" i="7"/>
  <c r="K31" i="7" s="1"/>
  <c r="C31" i="7"/>
  <c r="K30" i="7"/>
  <c r="J30" i="7"/>
  <c r="C30" i="7"/>
  <c r="J29" i="7"/>
  <c r="K29" i="7" s="1"/>
  <c r="C29" i="7"/>
  <c r="K28" i="7"/>
  <c r="J28" i="7"/>
  <c r="C28" i="7"/>
  <c r="J27" i="7"/>
  <c r="K27" i="7" s="1"/>
  <c r="C27" i="7"/>
  <c r="J26" i="7"/>
  <c r="K26" i="7" s="1"/>
  <c r="C26" i="7"/>
  <c r="J25" i="7"/>
  <c r="K25" i="7" s="1"/>
  <c r="C25" i="7"/>
  <c r="J24" i="7"/>
  <c r="K24" i="7" s="1"/>
  <c r="C24" i="7"/>
  <c r="J23" i="7"/>
  <c r="K23" i="7" s="1"/>
  <c r="C23" i="7"/>
  <c r="J22" i="7"/>
  <c r="K22" i="7" s="1"/>
  <c r="C22" i="7"/>
  <c r="J21" i="7"/>
  <c r="K21" i="7" s="1"/>
  <c r="C21" i="7"/>
  <c r="J20" i="7"/>
  <c r="K20" i="7" s="1"/>
  <c r="C20" i="7"/>
  <c r="J19" i="7"/>
  <c r="K19" i="7" s="1"/>
  <c r="C19" i="7"/>
  <c r="J18" i="7"/>
  <c r="K18" i="7" s="1"/>
  <c r="C18" i="7"/>
  <c r="J17" i="7"/>
  <c r="K17" i="7" s="1"/>
  <c r="C17" i="7"/>
  <c r="J16" i="7"/>
  <c r="K16" i="7" s="1"/>
  <c r="C16" i="7"/>
  <c r="J15" i="7"/>
  <c r="K15" i="7" s="1"/>
  <c r="C15" i="7"/>
  <c r="K14" i="7"/>
  <c r="J14" i="7"/>
  <c r="C14" i="7"/>
  <c r="J13" i="7"/>
  <c r="K13" i="7" s="1"/>
  <c r="C13" i="7"/>
  <c r="J12" i="7"/>
  <c r="K12" i="7" s="1"/>
  <c r="C12" i="7"/>
  <c r="J11" i="7"/>
  <c r="K11" i="7" s="1"/>
  <c r="C11" i="7"/>
  <c r="J10" i="7"/>
  <c r="K10" i="7" s="1"/>
  <c r="C10" i="7"/>
  <c r="J9" i="7"/>
  <c r="K9" i="7" s="1"/>
  <c r="C9" i="7"/>
  <c r="J8" i="7"/>
  <c r="K8" i="7" s="1"/>
  <c r="C8" i="7"/>
  <c r="J7" i="7"/>
  <c r="K7" i="7" s="1"/>
  <c r="C7" i="7"/>
  <c r="K6" i="7"/>
  <c r="J6" i="7"/>
  <c r="C6" i="7"/>
  <c r="J5" i="7"/>
  <c r="K5" i="7" s="1"/>
  <c r="C5" i="7"/>
  <c r="J4" i="7"/>
  <c r="K4" i="7" s="1"/>
  <c r="C4" i="7"/>
  <c r="J3" i="7"/>
  <c r="K3" i="7" s="1"/>
  <c r="C3" i="7"/>
  <c r="J2" i="7"/>
  <c r="K2" i="7" s="1"/>
  <c r="C2" i="7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J33" i="2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K43" i="5"/>
  <c r="K3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4" i="5"/>
  <c r="K36" i="5"/>
  <c r="K37" i="5"/>
  <c r="K38" i="5"/>
  <c r="K39" i="5"/>
  <c r="K40" i="5"/>
  <c r="K41" i="5"/>
  <c r="K4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I33" i="5"/>
  <c r="J32" i="11" l="1"/>
  <c r="J23" i="10"/>
  <c r="J27" i="10"/>
  <c r="J34" i="10"/>
  <c r="K34" i="10" s="1"/>
  <c r="J24" i="10"/>
  <c r="K24" i="10" s="1"/>
  <c r="J28" i="10"/>
  <c r="J32" i="10"/>
  <c r="J29" i="9"/>
  <c r="C38" i="8"/>
  <c r="C60" i="8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6" i="11"/>
  <c r="K17" i="11"/>
  <c r="K18" i="11"/>
  <c r="K19" i="11"/>
  <c r="K21" i="11"/>
  <c r="K23" i="11"/>
  <c r="K24" i="11"/>
  <c r="K25" i="11"/>
  <c r="K27" i="11"/>
  <c r="K28" i="11"/>
  <c r="K29" i="11"/>
  <c r="K30" i="11"/>
  <c r="K32" i="11"/>
  <c r="C34" i="11"/>
  <c r="C35" i="11"/>
  <c r="C36" i="11"/>
  <c r="C37" i="11"/>
  <c r="C38" i="11"/>
  <c r="C39" i="11"/>
  <c r="C40" i="11"/>
  <c r="C41" i="11"/>
  <c r="C42" i="11"/>
  <c r="C43" i="11"/>
  <c r="C44" i="11"/>
  <c r="C48" i="11"/>
  <c r="C52" i="11"/>
  <c r="C56" i="11"/>
  <c r="C60" i="11"/>
  <c r="C64" i="11"/>
  <c r="C68" i="11"/>
  <c r="C45" i="11"/>
  <c r="C49" i="11"/>
  <c r="C53" i="11"/>
  <c r="C57" i="11"/>
  <c r="C61" i="11"/>
  <c r="C65" i="11"/>
  <c r="C69" i="11"/>
  <c r="J34" i="11"/>
  <c r="K34" i="11" s="1"/>
  <c r="J35" i="11"/>
  <c r="K35" i="11" s="1"/>
  <c r="J36" i="11"/>
  <c r="K36" i="11" s="1"/>
  <c r="J37" i="11"/>
  <c r="K37" i="11" s="1"/>
  <c r="J38" i="11"/>
  <c r="J39" i="11"/>
  <c r="K39" i="11" s="1"/>
  <c r="J40" i="11"/>
  <c r="K40" i="11" s="1"/>
  <c r="J41" i="11"/>
  <c r="J42" i="11"/>
  <c r="K42" i="11" s="1"/>
  <c r="J43" i="11"/>
  <c r="K43" i="11" s="1"/>
  <c r="C46" i="11"/>
  <c r="C50" i="11"/>
  <c r="C54" i="11"/>
  <c r="C58" i="11"/>
  <c r="C62" i="11"/>
  <c r="C66" i="11"/>
  <c r="C70" i="11"/>
  <c r="J15" i="11"/>
  <c r="K15" i="11" s="1"/>
  <c r="J20" i="11"/>
  <c r="K20" i="11" s="1"/>
  <c r="J22" i="11"/>
  <c r="K22" i="11" s="1"/>
  <c r="J26" i="11"/>
  <c r="K26" i="11" s="1"/>
  <c r="J31" i="11"/>
  <c r="K31" i="11" s="1"/>
  <c r="K38" i="11"/>
  <c r="K41" i="11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6" i="10"/>
  <c r="K17" i="10"/>
  <c r="K18" i="10"/>
  <c r="K19" i="10"/>
  <c r="K21" i="10"/>
  <c r="K23" i="10"/>
  <c r="K25" i="10"/>
  <c r="K27" i="10"/>
  <c r="K28" i="10"/>
  <c r="K29" i="10"/>
  <c r="K30" i="10"/>
  <c r="K32" i="10"/>
  <c r="C34" i="10"/>
  <c r="C35" i="10"/>
  <c r="C36" i="10"/>
  <c r="C38" i="10"/>
  <c r="C39" i="10"/>
  <c r="C40" i="10"/>
  <c r="C41" i="10"/>
  <c r="C42" i="10"/>
  <c r="C43" i="10"/>
  <c r="C44" i="10"/>
  <c r="C52" i="10"/>
  <c r="C56" i="10"/>
  <c r="C60" i="10"/>
  <c r="C64" i="10"/>
  <c r="C68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45" i="10"/>
  <c r="C53" i="10"/>
  <c r="C57" i="10"/>
  <c r="C65" i="10"/>
  <c r="C69" i="10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C50" i="10"/>
  <c r="C54" i="10"/>
  <c r="C58" i="10"/>
  <c r="C66" i="10"/>
  <c r="C70" i="10"/>
  <c r="J15" i="10"/>
  <c r="K15" i="10" s="1"/>
  <c r="J20" i="10"/>
  <c r="K20" i="10" s="1"/>
  <c r="J22" i="10"/>
  <c r="K22" i="10" s="1"/>
  <c r="J26" i="10"/>
  <c r="K26" i="10" s="1"/>
  <c r="J31" i="10"/>
  <c r="K31" i="10" s="1"/>
  <c r="K3" i="9"/>
  <c r="K4" i="9"/>
  <c r="K5" i="9"/>
  <c r="K6" i="9"/>
  <c r="K7" i="9"/>
  <c r="K8" i="9"/>
  <c r="K9" i="9"/>
  <c r="K10" i="9"/>
  <c r="K11" i="9"/>
  <c r="K12" i="9"/>
  <c r="K13" i="9"/>
  <c r="K14" i="9"/>
  <c r="K16" i="9"/>
  <c r="K17" i="9"/>
  <c r="K18" i="9"/>
  <c r="K19" i="9"/>
  <c r="K21" i="9"/>
  <c r="K23" i="9"/>
  <c r="K24" i="9"/>
  <c r="K25" i="9"/>
  <c r="K27" i="9"/>
  <c r="K28" i="9"/>
  <c r="K29" i="9"/>
  <c r="C34" i="9"/>
  <c r="C35" i="9"/>
  <c r="C36" i="9"/>
  <c r="C37" i="9"/>
  <c r="C38" i="9"/>
  <c r="C39" i="9"/>
  <c r="C40" i="9"/>
  <c r="C41" i="9"/>
  <c r="C42" i="9"/>
  <c r="C48" i="9"/>
  <c r="C52" i="9"/>
  <c r="C56" i="9"/>
  <c r="C64" i="9"/>
  <c r="C68" i="9"/>
  <c r="C45" i="9"/>
  <c r="C49" i="9"/>
  <c r="C53" i="9"/>
  <c r="C57" i="9"/>
  <c r="C61" i="9"/>
  <c r="C65" i="9"/>
  <c r="C69" i="9"/>
  <c r="J34" i="9"/>
  <c r="K34" i="9" s="1"/>
  <c r="J35" i="9"/>
  <c r="K35" i="9" s="1"/>
  <c r="J36" i="9"/>
  <c r="K36" i="9" s="1"/>
  <c r="J37" i="9"/>
  <c r="K37" i="9" s="1"/>
  <c r="J38" i="9"/>
  <c r="J39" i="9"/>
  <c r="K39" i="9" s="1"/>
  <c r="J40" i="9"/>
  <c r="K40" i="9" s="1"/>
  <c r="J41" i="9"/>
  <c r="K41" i="9" s="1"/>
  <c r="J42" i="9"/>
  <c r="K42" i="9" s="1"/>
  <c r="J43" i="9"/>
  <c r="K43" i="9" s="1"/>
  <c r="C46" i="9"/>
  <c r="C50" i="9"/>
  <c r="C54" i="9"/>
  <c r="C58" i="9"/>
  <c r="C62" i="9"/>
  <c r="C66" i="9"/>
  <c r="C70" i="9"/>
  <c r="J2" i="9"/>
  <c r="K2" i="9" s="1"/>
  <c r="J15" i="9"/>
  <c r="K15" i="9" s="1"/>
  <c r="J20" i="9"/>
  <c r="K20" i="9" s="1"/>
  <c r="J22" i="9"/>
  <c r="K22" i="9" s="1"/>
  <c r="J26" i="9"/>
  <c r="K26" i="9" s="1"/>
  <c r="J30" i="9"/>
  <c r="K30" i="9" s="1"/>
  <c r="J31" i="9"/>
  <c r="K31" i="9" s="1"/>
  <c r="J32" i="9"/>
  <c r="K32" i="9" s="1"/>
  <c r="K38" i="9"/>
  <c r="C45" i="8"/>
  <c r="C49" i="8"/>
  <c r="C53" i="8"/>
  <c r="C57" i="8"/>
  <c r="C61" i="8"/>
  <c r="C65" i="8"/>
  <c r="C69" i="8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C46" i="8"/>
  <c r="C50" i="8"/>
  <c r="C54" i="8"/>
  <c r="C58" i="8"/>
  <c r="C62" i="8"/>
  <c r="C66" i="8"/>
  <c r="C70" i="8"/>
  <c r="J15" i="8"/>
  <c r="K15" i="8" s="1"/>
  <c r="J20" i="8"/>
  <c r="K20" i="8" s="1"/>
  <c r="J22" i="8"/>
  <c r="K22" i="8" s="1"/>
  <c r="J26" i="8"/>
  <c r="K26" i="8" s="1"/>
  <c r="J31" i="8"/>
  <c r="K31" i="8" s="1"/>
  <c r="I43" i="5"/>
  <c r="I42" i="5"/>
  <c r="I41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7" i="3" l="1"/>
  <c r="K7" i="3"/>
  <c r="J19" i="3"/>
  <c r="K19" i="3" s="1"/>
  <c r="C59" i="3"/>
  <c r="J31" i="3"/>
  <c r="K31" i="3" s="1"/>
  <c r="J39" i="3"/>
  <c r="K39" i="3" s="1"/>
  <c r="J8" i="3"/>
  <c r="K8" i="3" s="1"/>
  <c r="C66" i="3"/>
  <c r="J16" i="3"/>
  <c r="K16" i="3" s="1"/>
  <c r="C55" i="3"/>
  <c r="J20" i="3"/>
  <c r="K20" i="3" s="1"/>
  <c r="C69" i="3"/>
  <c r="J24" i="3"/>
  <c r="K24" i="3" s="1"/>
  <c r="C41" i="3"/>
  <c r="J28" i="3"/>
  <c r="K28" i="3" s="1"/>
  <c r="C60" i="3"/>
  <c r="K32" i="3"/>
  <c r="J32" i="3"/>
  <c r="C61" i="3"/>
  <c r="J36" i="3"/>
  <c r="K36" i="3" s="1"/>
  <c r="C49" i="3"/>
  <c r="J40" i="3"/>
  <c r="K40" i="3" s="1"/>
  <c r="J3" i="3"/>
  <c r="K3" i="3"/>
  <c r="J11" i="3"/>
  <c r="K11" i="3" s="1"/>
  <c r="J23" i="3"/>
  <c r="K23" i="3" s="1"/>
  <c r="J43" i="3"/>
  <c r="K43" i="3" s="1"/>
  <c r="C64" i="3"/>
  <c r="J12" i="3"/>
  <c r="K12" i="3" s="1"/>
  <c r="J5" i="3"/>
  <c r="K5" i="3" s="1"/>
  <c r="J9" i="3"/>
  <c r="K9" i="3" s="1"/>
  <c r="C65" i="3"/>
  <c r="J13" i="3"/>
  <c r="K13" i="3"/>
  <c r="J17" i="3"/>
  <c r="K17" i="3"/>
  <c r="J21" i="3"/>
  <c r="K21" i="3" s="1"/>
  <c r="C70" i="3"/>
  <c r="J25" i="3"/>
  <c r="K25" i="3" s="1"/>
  <c r="C42" i="3"/>
  <c r="J29" i="3"/>
  <c r="K29" i="3"/>
  <c r="J33" i="3"/>
  <c r="C62" i="3"/>
  <c r="J37" i="3"/>
  <c r="K37" i="3" s="1"/>
  <c r="C63" i="3"/>
  <c r="J41" i="3"/>
  <c r="K41" i="3" s="1"/>
  <c r="C51" i="3"/>
  <c r="J15" i="3"/>
  <c r="K15" i="3"/>
  <c r="J27" i="3"/>
  <c r="K27" i="3" s="1"/>
  <c r="J35" i="3"/>
  <c r="K35" i="3" s="1"/>
  <c r="J4" i="3"/>
  <c r="K4" i="3" s="1"/>
  <c r="J2" i="3"/>
  <c r="K2" i="3" s="1"/>
  <c r="J6" i="3"/>
  <c r="K6" i="3" s="1"/>
  <c r="J10" i="3"/>
  <c r="K10" i="3" s="1"/>
  <c r="C50" i="3"/>
  <c r="J14" i="3"/>
  <c r="K14" i="3" s="1"/>
  <c r="C53" i="3"/>
  <c r="J18" i="3"/>
  <c r="K18" i="3" s="1"/>
  <c r="C67" i="3"/>
  <c r="J22" i="3"/>
  <c r="K22" i="3" s="1"/>
  <c r="C71" i="3"/>
  <c r="J26" i="3"/>
  <c r="K26" i="3" s="1"/>
  <c r="C43" i="3"/>
  <c r="J30" i="3"/>
  <c r="K30" i="3" s="1"/>
  <c r="C45" i="3"/>
  <c r="J34" i="3"/>
  <c r="K34" i="3" s="1"/>
  <c r="C47" i="3"/>
  <c r="K38" i="3"/>
  <c r="J38" i="3"/>
  <c r="J42" i="3"/>
  <c r="K42" i="3" s="1"/>
  <c r="J9" i="4"/>
  <c r="K9" i="4"/>
  <c r="J17" i="4"/>
  <c r="K17" i="4" s="1"/>
  <c r="J21" i="4"/>
  <c r="K21" i="4" s="1"/>
  <c r="J25" i="4"/>
  <c r="K25" i="4" s="1"/>
  <c r="C42" i="4"/>
  <c r="J29" i="4"/>
  <c r="K29" i="4" s="1"/>
  <c r="C63" i="4"/>
  <c r="J41" i="4"/>
  <c r="K41" i="4" s="1"/>
  <c r="C4" i="4"/>
  <c r="J5" i="4"/>
  <c r="K5" i="4" s="1"/>
  <c r="C65" i="4"/>
  <c r="J13" i="4"/>
  <c r="K13" i="4" s="1"/>
  <c r="C44" i="4"/>
  <c r="J33" i="4"/>
  <c r="J37" i="4"/>
  <c r="K37" i="4" s="1"/>
  <c r="J2" i="4"/>
  <c r="K2" i="4" s="1"/>
  <c r="J6" i="4"/>
  <c r="K6" i="4" s="1"/>
  <c r="J10" i="4"/>
  <c r="K10" i="4" s="1"/>
  <c r="C50" i="4"/>
  <c r="J14" i="4"/>
  <c r="K14" i="4" s="1"/>
  <c r="C53" i="4"/>
  <c r="J18" i="4"/>
  <c r="K18" i="4" s="1"/>
  <c r="C67" i="4"/>
  <c r="J22" i="4"/>
  <c r="K22" i="4" s="1"/>
  <c r="C71" i="4"/>
  <c r="J26" i="4"/>
  <c r="K26" i="4" s="1"/>
  <c r="C43" i="4"/>
  <c r="K30" i="4"/>
  <c r="J30" i="4"/>
  <c r="C45" i="4"/>
  <c r="J34" i="4"/>
  <c r="K34" i="4" s="1"/>
  <c r="C47" i="4"/>
  <c r="J38" i="4"/>
  <c r="K38" i="4" s="1"/>
  <c r="K42" i="4"/>
  <c r="J42" i="4"/>
  <c r="J3" i="4"/>
  <c r="K3" i="4" s="1"/>
  <c r="J7" i="4"/>
  <c r="K7" i="4" s="1"/>
  <c r="K11" i="4"/>
  <c r="J11" i="4"/>
  <c r="C51" i="4"/>
  <c r="K15" i="4"/>
  <c r="J15" i="4"/>
  <c r="J19" i="4"/>
  <c r="K19" i="4" s="1"/>
  <c r="J23" i="4"/>
  <c r="K23" i="4" s="1"/>
  <c r="K27" i="4"/>
  <c r="J27" i="4"/>
  <c r="C59" i="4"/>
  <c r="K31" i="4"/>
  <c r="J31" i="4"/>
  <c r="J35" i="4"/>
  <c r="K35" i="4" s="1"/>
  <c r="J39" i="4"/>
  <c r="K39" i="4"/>
  <c r="J43" i="4"/>
  <c r="K43" i="4" s="1"/>
  <c r="J4" i="4"/>
  <c r="K4" i="4" s="1"/>
  <c r="K8" i="4"/>
  <c r="J8" i="4"/>
  <c r="J12" i="4"/>
  <c r="K12" i="4" s="1"/>
  <c r="C66" i="4"/>
  <c r="K16" i="4"/>
  <c r="J16" i="4"/>
  <c r="C55" i="4"/>
  <c r="J20" i="4"/>
  <c r="K20" i="4" s="1"/>
  <c r="K24" i="4"/>
  <c r="J24" i="4"/>
  <c r="C41" i="4"/>
  <c r="J28" i="4"/>
  <c r="K28" i="4" s="1"/>
  <c r="K32" i="4"/>
  <c r="J32" i="4"/>
  <c r="J36" i="4"/>
  <c r="K36" i="4" s="1"/>
  <c r="K40" i="4"/>
  <c r="J40" i="4"/>
  <c r="C64" i="5"/>
  <c r="C66" i="5"/>
  <c r="C55" i="5"/>
  <c r="C69" i="5"/>
  <c r="C41" i="5"/>
  <c r="C60" i="5"/>
  <c r="C65" i="5"/>
  <c r="C70" i="5"/>
  <c r="C45" i="5"/>
  <c r="C47" i="5"/>
  <c r="J2" i="5"/>
  <c r="C50" i="5"/>
  <c r="C53" i="5"/>
  <c r="C67" i="5"/>
  <c r="C71" i="5"/>
  <c r="C43" i="5"/>
  <c r="C2" i="5"/>
  <c r="C57" i="5"/>
  <c r="C51" i="5"/>
  <c r="C59" i="5"/>
  <c r="C61" i="5"/>
  <c r="C49" i="5"/>
  <c r="C25" i="5"/>
  <c r="C40" i="5"/>
  <c r="C23" i="5"/>
  <c r="C21" i="5"/>
  <c r="C6" i="5"/>
  <c r="C12" i="5"/>
  <c r="C11" i="5"/>
  <c r="C34" i="5"/>
  <c r="C16" i="5"/>
  <c r="C8" i="5"/>
  <c r="C15" i="5"/>
  <c r="C20" i="5"/>
  <c r="C22" i="5"/>
  <c r="C38" i="5"/>
  <c r="C27" i="5"/>
  <c r="C36" i="5"/>
  <c r="C4" i="5"/>
  <c r="C9" i="5"/>
  <c r="C13" i="5"/>
  <c r="C30" i="5"/>
  <c r="C32" i="5"/>
  <c r="C39" i="5"/>
  <c r="C24" i="5"/>
  <c r="C28" i="5"/>
  <c r="C29" i="5"/>
  <c r="C31" i="5"/>
  <c r="C37" i="5"/>
  <c r="C62" i="5"/>
  <c r="C10" i="5"/>
  <c r="C3" i="5"/>
  <c r="C7" i="5"/>
  <c r="C19" i="5"/>
  <c r="C26" i="5"/>
  <c r="C33" i="5"/>
  <c r="C35" i="5"/>
  <c r="C42" i="5"/>
  <c r="C63" i="5"/>
  <c r="C2" i="4"/>
  <c r="C5" i="4"/>
  <c r="C29" i="4"/>
  <c r="C10" i="4"/>
  <c r="C3" i="4"/>
  <c r="C34" i="4"/>
  <c r="C6" i="4"/>
  <c r="C33" i="4"/>
  <c r="C30" i="4"/>
  <c r="C14" i="4"/>
  <c r="C12" i="4"/>
  <c r="C22" i="4"/>
  <c r="C27" i="4"/>
  <c r="C31" i="4"/>
  <c r="C35" i="4"/>
  <c r="C37" i="4"/>
  <c r="C26" i="4"/>
  <c r="C36" i="4"/>
  <c r="C38" i="4"/>
  <c r="C24" i="4"/>
  <c r="C7" i="4"/>
  <c r="C11" i="4"/>
  <c r="C13" i="4"/>
  <c r="C28" i="4"/>
  <c r="C39" i="4"/>
  <c r="C64" i="4"/>
  <c r="C9" i="4"/>
  <c r="C8" i="4"/>
  <c r="C15" i="4"/>
  <c r="C17" i="4"/>
  <c r="C21" i="4"/>
  <c r="C25" i="4"/>
  <c r="C48" i="4"/>
  <c r="C68" i="4"/>
  <c r="C16" i="4"/>
  <c r="C18" i="4"/>
  <c r="C20" i="4"/>
  <c r="C60" i="4"/>
  <c r="C37" i="3"/>
  <c r="C40" i="3"/>
  <c r="C18" i="3"/>
  <c r="C12" i="3"/>
  <c r="C10" i="3"/>
  <c r="C16" i="3"/>
  <c r="C24" i="3"/>
  <c r="C2" i="3"/>
  <c r="C5" i="3"/>
  <c r="C23" i="3"/>
  <c r="C30" i="3"/>
  <c r="C36" i="3"/>
  <c r="C38" i="3"/>
  <c r="C25" i="3"/>
  <c r="C34" i="3"/>
  <c r="C4" i="3"/>
  <c r="C6" i="3"/>
  <c r="C8" i="3"/>
  <c r="C13" i="3"/>
  <c r="C15" i="3"/>
  <c r="C26" i="3"/>
  <c r="C28" i="3"/>
  <c r="C35" i="3"/>
  <c r="C20" i="3"/>
  <c r="C33" i="3"/>
  <c r="C9" i="3"/>
  <c r="C17" i="3"/>
  <c r="C27" i="3"/>
  <c r="C3" i="3"/>
  <c r="C11" i="3"/>
  <c r="C19" i="3"/>
  <c r="C29" i="3"/>
  <c r="C39" i="3"/>
  <c r="C21" i="3"/>
  <c r="C31" i="3"/>
  <c r="C7" i="3"/>
  <c r="C14" i="3"/>
  <c r="C14" i="5"/>
  <c r="C5" i="5"/>
  <c r="C44" i="5"/>
  <c r="C48" i="5"/>
  <c r="C52" i="5"/>
  <c r="C56" i="5"/>
  <c r="C68" i="5"/>
  <c r="C18" i="5"/>
  <c r="C17" i="5"/>
  <c r="C46" i="5"/>
  <c r="C54" i="5"/>
  <c r="C58" i="5"/>
  <c r="C19" i="4"/>
  <c r="C23" i="4"/>
  <c r="C49" i="4"/>
  <c r="C57" i="4"/>
  <c r="C61" i="4"/>
  <c r="C69" i="4"/>
  <c r="C32" i="4"/>
  <c r="C52" i="4"/>
  <c r="C46" i="4"/>
  <c r="C54" i="4"/>
  <c r="C58" i="4"/>
  <c r="C62" i="4"/>
  <c r="C70" i="4"/>
  <c r="C40" i="4"/>
  <c r="C56" i="4"/>
  <c r="C32" i="3"/>
  <c r="C44" i="3"/>
  <c r="C48" i="3"/>
  <c r="C52" i="3"/>
  <c r="C56" i="3"/>
  <c r="C68" i="3"/>
  <c r="C57" i="3"/>
  <c r="C46" i="3"/>
  <c r="C54" i="3"/>
  <c r="C58" i="3"/>
  <c r="C2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J35" i="1" l="1"/>
  <c r="K35" i="1" s="1"/>
  <c r="J23" i="1"/>
  <c r="K23" i="1"/>
  <c r="J11" i="1"/>
  <c r="K11" i="1"/>
  <c r="J42" i="1"/>
  <c r="K42" i="1"/>
  <c r="J38" i="1"/>
  <c r="K38" i="1"/>
  <c r="J34" i="1"/>
  <c r="K34" i="1" s="1"/>
  <c r="J30" i="1"/>
  <c r="K30" i="1" s="1"/>
  <c r="J26" i="1"/>
  <c r="K26" i="1" s="1"/>
  <c r="J22" i="1"/>
  <c r="K22" i="1" s="1"/>
  <c r="J18" i="1"/>
  <c r="K18" i="1" s="1"/>
  <c r="J14" i="1"/>
  <c r="K14" i="1" s="1"/>
  <c r="J10" i="1"/>
  <c r="K10" i="1" s="1"/>
  <c r="J6" i="1"/>
  <c r="K6" i="1" s="1"/>
  <c r="J39" i="1"/>
  <c r="K39" i="1" s="1"/>
  <c r="J31" i="1"/>
  <c r="K31" i="1" s="1"/>
  <c r="J19" i="1"/>
  <c r="K19" i="1" s="1"/>
  <c r="J15" i="1"/>
  <c r="K15" i="1" s="1"/>
  <c r="J3" i="1"/>
  <c r="K3" i="1" s="1"/>
  <c r="K41" i="1"/>
  <c r="J41" i="1"/>
  <c r="J37" i="1"/>
  <c r="K37" i="1" s="1"/>
  <c r="J33" i="1"/>
  <c r="J29" i="1"/>
  <c r="K29" i="1" s="1"/>
  <c r="J25" i="1"/>
  <c r="K25" i="1"/>
  <c r="J21" i="1"/>
  <c r="K21" i="1" s="1"/>
  <c r="J17" i="1"/>
  <c r="K17" i="1" s="1"/>
  <c r="J13" i="1"/>
  <c r="K13" i="1" s="1"/>
  <c r="J9" i="1"/>
  <c r="K9" i="1"/>
  <c r="J5" i="1"/>
  <c r="K5" i="1" s="1"/>
  <c r="J43" i="1"/>
  <c r="K43" i="1" s="1"/>
  <c r="J27" i="1"/>
  <c r="K27" i="1"/>
  <c r="J7" i="1"/>
  <c r="K7" i="1"/>
  <c r="J2" i="1"/>
  <c r="K2" i="1" s="1"/>
  <c r="J40" i="1"/>
  <c r="K40" i="1" s="1"/>
  <c r="J36" i="1"/>
  <c r="K36" i="1" s="1"/>
  <c r="J32" i="1"/>
  <c r="K32" i="1" s="1"/>
  <c r="K28" i="1"/>
  <c r="J28" i="1"/>
  <c r="J24" i="1"/>
  <c r="K24" i="1" s="1"/>
  <c r="J20" i="1"/>
  <c r="K20" i="1" s="1"/>
  <c r="J16" i="1"/>
  <c r="K16" i="1" s="1"/>
  <c r="K12" i="1"/>
  <c r="J12" i="1"/>
  <c r="J8" i="1"/>
  <c r="K8" i="1" s="1"/>
  <c r="J4" i="1"/>
  <c r="K4" i="1" s="1"/>
  <c r="C2" i="1"/>
  <c r="C71" i="2" l="1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1" i="1"/>
  <c r="C3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<sst xmlns="http://schemas.openxmlformats.org/spreadsheetml/2006/main" count="1035" uniqueCount="47">
  <si>
    <t>Link Source</t>
  </si>
  <si>
    <t>Link Target</t>
  </si>
  <si>
    <t>Link Value</t>
  </si>
  <si>
    <t>Node Index</t>
  </si>
  <si>
    <t>Node Category</t>
  </si>
  <si>
    <t>Node Category 2</t>
  </si>
  <si>
    <t>Node Name</t>
  </si>
  <si>
    <t>Node Value</t>
  </si>
  <si>
    <t>Node Label</t>
  </si>
  <si>
    <t xml:space="preserve">Total Cost </t>
  </si>
  <si>
    <t>Healthcare</t>
  </si>
  <si>
    <t>Mortality</t>
  </si>
  <si>
    <t>Criminal Justice</t>
  </si>
  <si>
    <t>Child and Family Assistance</t>
  </si>
  <si>
    <t>Education</t>
  </si>
  <si>
    <t>Lost Productivity</t>
  </si>
  <si>
    <t>For individuals with OUD</t>
  </si>
  <si>
    <t>For infants born with NAS or NOWS</t>
  </si>
  <si>
    <t>For family members of individual with OUD</t>
  </si>
  <si>
    <t>Medical Costs</t>
  </si>
  <si>
    <t>Lost Lifetime Earnings</t>
  </si>
  <si>
    <t>Police Protection</t>
  </si>
  <si>
    <t>Legal and Adjudication Activities</t>
  </si>
  <si>
    <t>Property Lost Due to Crime</t>
  </si>
  <si>
    <t>Correctional Facilities</t>
  </si>
  <si>
    <t>Child and Family Assistance Costs</t>
  </si>
  <si>
    <t>Child Welfare</t>
  </si>
  <si>
    <t>Food and Nutritional Assistance</t>
  </si>
  <si>
    <t>Income Assistance</t>
  </si>
  <si>
    <t>Housing/Homelessness Assistance</t>
  </si>
  <si>
    <t>Reduced Labor Force Participation and Absenteeism</t>
  </si>
  <si>
    <t>Incarceration</t>
  </si>
  <si>
    <t>Short-Term Disability</t>
  </si>
  <si>
    <t>Long-Term Disability</t>
  </si>
  <si>
    <t>Workers' Compensation</t>
  </si>
  <si>
    <t>Commercial</t>
  </si>
  <si>
    <t>Medicare</t>
  </si>
  <si>
    <t>Medicaid</t>
  </si>
  <si>
    <t>Other Public Insurance</t>
  </si>
  <si>
    <t>Uninsured</t>
  </si>
  <si>
    <t>N/A</t>
  </si>
  <si>
    <t>Federal, State, and Local Governments</t>
  </si>
  <si>
    <t>Private Sector and Individuals</t>
  </si>
  <si>
    <t>Node Index (Rows in same order as Figure 4)</t>
  </si>
  <si>
    <t>Node Value (Rows in same order as Figure 4)</t>
  </si>
  <si>
    <t>Percentage of Total</t>
  </si>
  <si>
    <t>Medicare -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</si>
</sst>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C22" workbookViewId="0">
      <selection activeCell="C2" sqref="C2"/>
    </sheetView>
  </sheetViews>
  <sheetFormatPr defaultRowHeight="15" x14ac:dyDescent="0.25"/>
  <cols>
    <col min="6" max="6" width="27.140625" bestFit="1" customWidth="1"/>
    <col min="7" max="7" width="35.140625" bestFit="1" customWidth="1"/>
    <col min="8" max="8" width="42" bestFit="1" customWidth="1"/>
    <col min="9" max="9" width="9.85546875" style="1" bestFit="1" customWidth="1"/>
    <col min="10" max="10" width="18.42578125" style="2" bestFit="1" customWidth="1"/>
    <col min="11" max="11" width="5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</row>
    <row r="2" spans="1:11" x14ac:dyDescent="0.25">
      <c r="A2">
        <v>0</v>
      </c>
      <c r="B2">
        <v>1</v>
      </c>
      <c r="C2">
        <f t="shared" ref="C2:C40" si="0">IF(ISNUMBER(VLOOKUP(B2,$E$2:$I$1048576,5)), VLOOKUP(B2,$E$2:$I$1048576,5), 0)</f>
        <v>65088</v>
      </c>
      <c r="E2">
        <v>0</v>
      </c>
      <c r="H2" t="s">
        <v>9</v>
      </c>
      <c r="I2" s="1">
        <v>188381</v>
      </c>
      <c r="J2" s="2">
        <f>I2/$I$2</f>
        <v>1</v>
      </c>
      <c r="K2" t="str">
        <f>CONCATENATE(H2," - ",TEXT(I2,"$#,###"),IF(I2="N/A","","M"), " (", TEXT(J2,"##.##%"), ")")</f>
        <v>Total Cost  - $188,381M (100.%)</v>
      </c>
    </row>
    <row r="3" spans="1:11" x14ac:dyDescent="0.25">
      <c r="A3">
        <v>0</v>
      </c>
      <c r="B3">
        <v>2</v>
      </c>
      <c r="C3">
        <f t="shared" si="0"/>
        <v>74087</v>
      </c>
      <c r="E3">
        <v>1</v>
      </c>
      <c r="H3" t="s">
        <v>10</v>
      </c>
      <c r="I3" s="1">
        <v>65088</v>
      </c>
      <c r="J3" s="2">
        <f t="shared" ref="J3:J43" si="1">I3/$I$2</f>
        <v>0.34551255169045708</v>
      </c>
      <c r="K3" t="str">
        <f t="shared" ref="K3:K42" si="2">CONCATENATE(H3," - ",TEXT(I3,"$#,###"),IF(I3="N/A","","M"), " (", TEXT(J3,"##.##%"), ")")</f>
        <v>Healthcare - $65,088M (34.55%)</v>
      </c>
    </row>
    <row r="4" spans="1:11" x14ac:dyDescent="0.25">
      <c r="A4">
        <v>0</v>
      </c>
      <c r="B4">
        <v>3</v>
      </c>
      <c r="C4">
        <f t="shared" si="0"/>
        <v>12175</v>
      </c>
      <c r="E4">
        <v>2</v>
      </c>
      <c r="H4" t="s">
        <v>11</v>
      </c>
      <c r="I4" s="1">
        <v>74087</v>
      </c>
      <c r="J4" s="2">
        <f t="shared" si="1"/>
        <v>0.39328276206199136</v>
      </c>
      <c r="K4" t="str">
        <f t="shared" si="2"/>
        <v>Mortality - $74,087M (39.33%)</v>
      </c>
    </row>
    <row r="5" spans="1:11" x14ac:dyDescent="0.25">
      <c r="A5">
        <v>0</v>
      </c>
      <c r="B5">
        <v>4</v>
      </c>
      <c r="C5">
        <f t="shared" si="0"/>
        <v>7752</v>
      </c>
      <c r="E5">
        <v>3</v>
      </c>
      <c r="H5" t="s">
        <v>12</v>
      </c>
      <c r="I5" s="1">
        <v>12175</v>
      </c>
      <c r="J5" s="2">
        <f t="shared" si="1"/>
        <v>6.4629660103725964E-2</v>
      </c>
      <c r="K5" t="str">
        <f t="shared" si="2"/>
        <v>Criminal Justice - $12,175M (6.46%)</v>
      </c>
    </row>
    <row r="6" spans="1:11" x14ac:dyDescent="0.25">
      <c r="A6">
        <v>0</v>
      </c>
      <c r="B6">
        <v>5</v>
      </c>
      <c r="C6">
        <f t="shared" si="0"/>
        <v>1257</v>
      </c>
      <c r="E6">
        <v>4</v>
      </c>
      <c r="H6" t="s">
        <v>13</v>
      </c>
      <c r="I6" s="1">
        <v>7752</v>
      </c>
      <c r="J6" s="2">
        <f t="shared" si="1"/>
        <v>4.1150646827440136E-2</v>
      </c>
      <c r="K6" t="str">
        <f t="shared" si="2"/>
        <v>Child and Family Assistance - $7,752M (4.12%)</v>
      </c>
    </row>
    <row r="7" spans="1:11" x14ac:dyDescent="0.25">
      <c r="A7">
        <v>0</v>
      </c>
      <c r="B7">
        <v>6</v>
      </c>
      <c r="C7">
        <f t="shared" si="0"/>
        <v>28022</v>
      </c>
      <c r="E7">
        <v>5</v>
      </c>
      <c r="H7" t="s">
        <v>14</v>
      </c>
      <c r="I7" s="1">
        <v>1257</v>
      </c>
      <c r="J7" s="2">
        <f t="shared" si="1"/>
        <v>6.6726474538302697E-3</v>
      </c>
      <c r="K7" t="str">
        <f t="shared" si="2"/>
        <v>Education - $1,257M (.67%)</v>
      </c>
    </row>
    <row r="8" spans="1:11" x14ac:dyDescent="0.25">
      <c r="A8">
        <v>1</v>
      </c>
      <c r="B8">
        <v>7</v>
      </c>
      <c r="C8">
        <f t="shared" si="0"/>
        <v>61407</v>
      </c>
      <c r="E8">
        <v>6</v>
      </c>
      <c r="H8" t="s">
        <v>15</v>
      </c>
      <c r="I8" s="1">
        <v>28022</v>
      </c>
      <c r="J8" s="2">
        <f t="shared" si="1"/>
        <v>0.14875173186255514</v>
      </c>
      <c r="K8" t="str">
        <f t="shared" si="2"/>
        <v>Lost Productivity - $28,022M (14.88%)</v>
      </c>
    </row>
    <row r="9" spans="1:11" x14ac:dyDescent="0.25">
      <c r="A9">
        <v>1</v>
      </c>
      <c r="B9">
        <v>8</v>
      </c>
      <c r="C9">
        <f t="shared" si="0"/>
        <v>865</v>
      </c>
      <c r="E9">
        <v>7</v>
      </c>
      <c r="F9" t="s">
        <v>10</v>
      </c>
      <c r="H9" t="s">
        <v>16</v>
      </c>
      <c r="I9" s="1">
        <v>61407</v>
      </c>
      <c r="J9" s="2">
        <f t="shared" si="1"/>
        <v>0.3259723645165914</v>
      </c>
      <c r="K9" t="str">
        <f t="shared" si="2"/>
        <v>For individuals with OUD - $61,407M (32.6%)</v>
      </c>
    </row>
    <row r="10" spans="1:11" x14ac:dyDescent="0.25">
      <c r="A10">
        <v>1</v>
      </c>
      <c r="B10">
        <v>9</v>
      </c>
      <c r="C10">
        <f t="shared" si="0"/>
        <v>2816</v>
      </c>
      <c r="E10">
        <v>8</v>
      </c>
      <c r="F10" t="s">
        <v>10</v>
      </c>
      <c r="H10" t="s">
        <v>17</v>
      </c>
      <c r="I10" s="1">
        <v>865</v>
      </c>
      <c r="J10" s="2">
        <f t="shared" si="1"/>
        <v>4.5917581921743698E-3</v>
      </c>
      <c r="K10" t="str">
        <f t="shared" si="2"/>
        <v>For infants born with NAS or NOWS - $865M (.46%)</v>
      </c>
    </row>
    <row r="11" spans="1:11" x14ac:dyDescent="0.25">
      <c r="A11">
        <v>2</v>
      </c>
      <c r="B11">
        <v>10</v>
      </c>
      <c r="C11">
        <f t="shared" si="0"/>
        <v>270</v>
      </c>
      <c r="E11">
        <v>9</v>
      </c>
      <c r="F11" t="s">
        <v>10</v>
      </c>
      <c r="H11" t="s">
        <v>18</v>
      </c>
      <c r="I11" s="1">
        <v>2816</v>
      </c>
      <c r="J11" s="2">
        <f t="shared" si="1"/>
        <v>1.494842898169136E-2</v>
      </c>
      <c r="K11" t="str">
        <f t="shared" si="2"/>
        <v>For family members of individual with OUD - $2,816M (1.49%)</v>
      </c>
    </row>
    <row r="12" spans="1:11" x14ac:dyDescent="0.25">
      <c r="A12">
        <v>2</v>
      </c>
      <c r="B12">
        <v>11</v>
      </c>
      <c r="C12">
        <f t="shared" si="0"/>
        <v>73817</v>
      </c>
      <c r="E12">
        <v>10</v>
      </c>
      <c r="F12" t="s">
        <v>11</v>
      </c>
      <c r="H12" t="s">
        <v>19</v>
      </c>
      <c r="I12" s="1">
        <v>270</v>
      </c>
      <c r="J12" s="2">
        <f t="shared" si="1"/>
        <v>1.4332655628752368E-3</v>
      </c>
      <c r="K12" t="str">
        <f t="shared" si="2"/>
        <v>Medical Costs - $270M (.14%)</v>
      </c>
    </row>
    <row r="13" spans="1:11" x14ac:dyDescent="0.25">
      <c r="A13">
        <v>3</v>
      </c>
      <c r="B13">
        <v>12</v>
      </c>
      <c r="C13">
        <f t="shared" si="0"/>
        <v>4761</v>
      </c>
      <c r="E13">
        <v>11</v>
      </c>
      <c r="F13" t="s">
        <v>11</v>
      </c>
      <c r="H13" t="s">
        <v>20</v>
      </c>
      <c r="I13" s="1">
        <v>73817</v>
      </c>
      <c r="J13" s="2">
        <f t="shared" si="1"/>
        <v>0.39184949649911616</v>
      </c>
      <c r="K13" t="str">
        <f t="shared" si="2"/>
        <v>Lost Lifetime Earnings - $73,817M (39.18%)</v>
      </c>
    </row>
    <row r="14" spans="1:11" x14ac:dyDescent="0.25">
      <c r="A14">
        <v>3</v>
      </c>
      <c r="B14">
        <v>13</v>
      </c>
      <c r="C14">
        <f t="shared" si="0"/>
        <v>2050</v>
      </c>
      <c r="E14">
        <v>12</v>
      </c>
      <c r="F14" t="s">
        <v>12</v>
      </c>
      <c r="H14" t="s">
        <v>21</v>
      </c>
      <c r="I14" s="1">
        <v>4761</v>
      </c>
      <c r="J14" s="2">
        <f t="shared" si="1"/>
        <v>2.5273249425366677E-2</v>
      </c>
      <c r="K14" t="str">
        <f t="shared" si="2"/>
        <v>Police Protection - $4,761M (2.53%)</v>
      </c>
    </row>
    <row r="15" spans="1:11" x14ac:dyDescent="0.25">
      <c r="A15">
        <v>3</v>
      </c>
      <c r="B15">
        <v>14</v>
      </c>
      <c r="C15">
        <f t="shared" si="0"/>
        <v>894</v>
      </c>
      <c r="E15">
        <v>13</v>
      </c>
      <c r="F15" t="s">
        <v>12</v>
      </c>
      <c r="H15" t="s">
        <v>22</v>
      </c>
      <c r="I15" s="1">
        <v>2050</v>
      </c>
      <c r="J15" s="2">
        <f t="shared" si="1"/>
        <v>1.0882201495904577E-2</v>
      </c>
      <c r="K15" t="str">
        <f t="shared" si="2"/>
        <v>Legal and Adjudication Activities - $2,050M (1.09%)</v>
      </c>
    </row>
    <row r="16" spans="1:11" x14ac:dyDescent="0.25">
      <c r="A16">
        <v>3</v>
      </c>
      <c r="B16">
        <v>15</v>
      </c>
      <c r="C16">
        <f t="shared" si="0"/>
        <v>4470</v>
      </c>
      <c r="E16">
        <v>14</v>
      </c>
      <c r="F16" t="s">
        <v>12</v>
      </c>
      <c r="H16" t="s">
        <v>23</v>
      </c>
      <c r="I16" s="1">
        <v>894</v>
      </c>
      <c r="J16" s="2">
        <f t="shared" si="1"/>
        <v>4.7457015304091174E-3</v>
      </c>
      <c r="K16" t="str">
        <f t="shared" si="2"/>
        <v>Property Lost Due to Crime - $894M (.47%)</v>
      </c>
    </row>
    <row r="17" spans="1:11" x14ac:dyDescent="0.25">
      <c r="A17">
        <v>4</v>
      </c>
      <c r="B17">
        <v>16</v>
      </c>
      <c r="C17">
        <f t="shared" si="0"/>
        <v>1371</v>
      </c>
      <c r="E17">
        <v>15</v>
      </c>
      <c r="F17" t="s">
        <v>12</v>
      </c>
      <c r="H17" t="s">
        <v>24</v>
      </c>
      <c r="I17" s="1">
        <v>4470</v>
      </c>
      <c r="J17" s="2">
        <f t="shared" si="1"/>
        <v>2.3728507652045587E-2</v>
      </c>
      <c r="K17" t="str">
        <f t="shared" si="2"/>
        <v>Correctional Facilities - $4,470M (2.37%)</v>
      </c>
    </row>
    <row r="18" spans="1:11" x14ac:dyDescent="0.25">
      <c r="A18">
        <v>4</v>
      </c>
      <c r="B18">
        <v>17</v>
      </c>
      <c r="C18">
        <f t="shared" si="0"/>
        <v>2567</v>
      </c>
      <c r="E18">
        <v>16</v>
      </c>
      <c r="F18" t="s">
        <v>25</v>
      </c>
      <c r="H18" t="s">
        <v>26</v>
      </c>
      <c r="I18" s="1">
        <v>1371</v>
      </c>
      <c r="J18" s="2">
        <f t="shared" si="1"/>
        <v>7.2778040248220365E-3</v>
      </c>
      <c r="K18" t="str">
        <f t="shared" si="2"/>
        <v>Child Welfare - $1,371M (.73%)</v>
      </c>
    </row>
    <row r="19" spans="1:11" x14ac:dyDescent="0.25">
      <c r="A19">
        <v>4</v>
      </c>
      <c r="B19">
        <v>18</v>
      </c>
      <c r="C19">
        <f t="shared" si="0"/>
        <v>578</v>
      </c>
      <c r="E19">
        <v>17</v>
      </c>
      <c r="F19" t="s">
        <v>25</v>
      </c>
      <c r="H19" t="s">
        <v>27</v>
      </c>
      <c r="I19" s="1">
        <v>2567</v>
      </c>
      <c r="J19" s="2">
        <f t="shared" si="1"/>
        <v>1.3626639629261974E-2</v>
      </c>
      <c r="K19" t="str">
        <f t="shared" si="2"/>
        <v>Food and Nutritional Assistance - $2,567M (1.36%)</v>
      </c>
    </row>
    <row r="20" spans="1:11" x14ac:dyDescent="0.25">
      <c r="A20">
        <v>4</v>
      </c>
      <c r="B20">
        <v>19</v>
      </c>
      <c r="C20">
        <f t="shared" si="0"/>
        <v>3236</v>
      </c>
      <c r="E20">
        <v>18</v>
      </c>
      <c r="F20" t="s">
        <v>25</v>
      </c>
      <c r="H20" t="s">
        <v>28</v>
      </c>
      <c r="I20" s="1">
        <v>578</v>
      </c>
      <c r="J20" s="2">
        <f t="shared" si="1"/>
        <v>3.0682499827477294E-3</v>
      </c>
      <c r="K20" t="str">
        <f t="shared" si="2"/>
        <v>Income Assistance - $578M (.31%)</v>
      </c>
    </row>
    <row r="21" spans="1:11" x14ac:dyDescent="0.25">
      <c r="A21">
        <v>6</v>
      </c>
      <c r="B21">
        <v>20</v>
      </c>
      <c r="C21">
        <f t="shared" si="0"/>
        <v>23094</v>
      </c>
      <c r="E21">
        <v>19</v>
      </c>
      <c r="F21" t="s">
        <v>25</v>
      </c>
      <c r="H21" t="s">
        <v>29</v>
      </c>
      <c r="I21" s="1">
        <v>3236</v>
      </c>
      <c r="J21" s="2">
        <f t="shared" si="1"/>
        <v>1.7177953190608396E-2</v>
      </c>
      <c r="K21" t="str">
        <f t="shared" si="2"/>
        <v>Housing/Homelessness Assistance - $3,236M (1.72%)</v>
      </c>
    </row>
    <row r="22" spans="1:11" x14ac:dyDescent="0.25">
      <c r="A22">
        <v>6</v>
      </c>
      <c r="B22">
        <v>21</v>
      </c>
      <c r="C22">
        <f t="shared" si="0"/>
        <v>3909</v>
      </c>
      <c r="E22">
        <v>20</v>
      </c>
      <c r="F22" t="s">
        <v>15</v>
      </c>
      <c r="H22" t="s">
        <v>30</v>
      </c>
      <c r="I22" s="1">
        <v>23094</v>
      </c>
      <c r="J22" s="2">
        <f t="shared" si="1"/>
        <v>0.12259198114459526</v>
      </c>
      <c r="K22" t="str">
        <f t="shared" si="2"/>
        <v>Reduced Labor Force Participation and Absenteeism - $23,094M (12.26%)</v>
      </c>
    </row>
    <row r="23" spans="1:11" x14ac:dyDescent="0.25">
      <c r="A23">
        <v>6</v>
      </c>
      <c r="B23">
        <v>22</v>
      </c>
      <c r="C23">
        <f t="shared" si="0"/>
        <v>443</v>
      </c>
      <c r="E23">
        <v>21</v>
      </c>
      <c r="F23" t="s">
        <v>15</v>
      </c>
      <c r="H23" t="s">
        <v>31</v>
      </c>
      <c r="I23" s="1">
        <v>3909</v>
      </c>
      <c r="J23" s="2">
        <f t="shared" si="1"/>
        <v>2.0750500315849262E-2</v>
      </c>
      <c r="K23" t="str">
        <f t="shared" si="2"/>
        <v>Incarceration - $3,909M (2.08%)</v>
      </c>
    </row>
    <row r="24" spans="1:11" x14ac:dyDescent="0.25">
      <c r="A24">
        <v>6</v>
      </c>
      <c r="B24">
        <v>23</v>
      </c>
      <c r="C24">
        <f t="shared" si="0"/>
        <v>40</v>
      </c>
      <c r="E24">
        <v>22</v>
      </c>
      <c r="F24" t="s">
        <v>15</v>
      </c>
      <c r="H24" t="s">
        <v>32</v>
      </c>
      <c r="I24" s="1">
        <v>443</v>
      </c>
      <c r="J24" s="2">
        <f t="shared" si="1"/>
        <v>2.3516172013101108E-3</v>
      </c>
      <c r="K24" t="str">
        <f t="shared" si="2"/>
        <v>Short-Term Disability - $443M (.24%)</v>
      </c>
    </row>
    <row r="25" spans="1:11" x14ac:dyDescent="0.25">
      <c r="A25">
        <v>6</v>
      </c>
      <c r="B25">
        <v>24</v>
      </c>
      <c r="C25">
        <f t="shared" si="0"/>
        <v>535</v>
      </c>
      <c r="E25">
        <v>23</v>
      </c>
      <c r="F25" t="s">
        <v>15</v>
      </c>
      <c r="H25" t="s">
        <v>33</v>
      </c>
      <c r="I25" s="1">
        <v>40</v>
      </c>
      <c r="J25" s="2">
        <f t="shared" si="1"/>
        <v>2.1233563894447954E-4</v>
      </c>
      <c r="K25" t="str">
        <f t="shared" si="2"/>
        <v>Long-Term Disability - $40M (.02%)</v>
      </c>
    </row>
    <row r="26" spans="1:11" x14ac:dyDescent="0.25">
      <c r="A26">
        <v>7</v>
      </c>
      <c r="B26">
        <v>25</v>
      </c>
      <c r="C26">
        <f t="shared" si="0"/>
        <v>19151</v>
      </c>
      <c r="E26">
        <v>24</v>
      </c>
      <c r="F26" t="s">
        <v>15</v>
      </c>
      <c r="H26" t="s">
        <v>34</v>
      </c>
      <c r="I26" s="1">
        <v>535</v>
      </c>
      <c r="J26" s="2">
        <f t="shared" si="1"/>
        <v>2.8399891708824139E-3</v>
      </c>
      <c r="K26" t="str">
        <f t="shared" si="2"/>
        <v>Workers' Compensation - $535M (.28%)</v>
      </c>
    </row>
    <row r="27" spans="1:11" x14ac:dyDescent="0.25">
      <c r="A27">
        <v>7</v>
      </c>
      <c r="B27">
        <v>26</v>
      </c>
      <c r="C27">
        <f t="shared" si="0"/>
        <v>25355</v>
      </c>
      <c r="E27">
        <v>25</v>
      </c>
      <c r="F27" t="s">
        <v>10</v>
      </c>
      <c r="G27" t="s">
        <v>16</v>
      </c>
      <c r="H27" t="s">
        <v>35</v>
      </c>
      <c r="I27" s="1">
        <v>19151</v>
      </c>
      <c r="J27" s="2">
        <f t="shared" si="1"/>
        <v>0.10166099553564319</v>
      </c>
      <c r="K27" t="str">
        <f t="shared" si="2"/>
        <v>Commercial - $19,151M (10.17%)</v>
      </c>
    </row>
    <row r="28" spans="1:11" x14ac:dyDescent="0.25">
      <c r="A28">
        <v>7</v>
      </c>
      <c r="B28">
        <v>27</v>
      </c>
      <c r="C28">
        <f t="shared" si="0"/>
        <v>8770</v>
      </c>
      <c r="E28">
        <v>26</v>
      </c>
      <c r="F28" t="s">
        <v>10</v>
      </c>
      <c r="G28" t="s">
        <v>16</v>
      </c>
      <c r="H28" t="s">
        <v>36</v>
      </c>
      <c r="I28" s="1">
        <v>25355</v>
      </c>
      <c r="J28" s="2">
        <f t="shared" si="1"/>
        <v>0.13459425313593196</v>
      </c>
      <c r="K28" t="str">
        <f t="shared" si="2"/>
        <v>Medicare - $25,355M (13.46%)</v>
      </c>
    </row>
    <row r="29" spans="1:11" x14ac:dyDescent="0.25">
      <c r="A29">
        <v>7</v>
      </c>
      <c r="B29">
        <v>28</v>
      </c>
      <c r="C29">
        <f t="shared" si="0"/>
        <v>555</v>
      </c>
      <c r="E29">
        <v>27</v>
      </c>
      <c r="F29" t="s">
        <v>10</v>
      </c>
      <c r="G29" t="s">
        <v>16</v>
      </c>
      <c r="H29" t="s">
        <v>37</v>
      </c>
      <c r="I29" s="1">
        <v>8770</v>
      </c>
      <c r="J29" s="2">
        <f t="shared" si="1"/>
        <v>4.6554588838577139E-2</v>
      </c>
      <c r="K29" t="str">
        <f t="shared" si="2"/>
        <v>Medicaid - $8,770M (4.66%)</v>
      </c>
    </row>
    <row r="30" spans="1:11" x14ac:dyDescent="0.25">
      <c r="A30">
        <v>7</v>
      </c>
      <c r="B30">
        <v>29</v>
      </c>
      <c r="C30">
        <f t="shared" si="0"/>
        <v>7577</v>
      </c>
      <c r="E30">
        <v>28</v>
      </c>
      <c r="F30" t="s">
        <v>10</v>
      </c>
      <c r="G30" t="s">
        <v>16</v>
      </c>
      <c r="H30" t="s">
        <v>38</v>
      </c>
      <c r="I30" s="1">
        <v>555</v>
      </c>
      <c r="J30" s="2">
        <f t="shared" si="1"/>
        <v>2.9461569903546534E-3</v>
      </c>
      <c r="K30" t="str">
        <f t="shared" si="2"/>
        <v>Other Public Insurance - $555M (.29%)</v>
      </c>
    </row>
    <row r="31" spans="1:11" x14ac:dyDescent="0.25">
      <c r="A31">
        <v>8</v>
      </c>
      <c r="B31">
        <v>30</v>
      </c>
      <c r="C31">
        <f t="shared" si="0"/>
        <v>97</v>
      </c>
      <c r="E31">
        <v>29</v>
      </c>
      <c r="F31" t="s">
        <v>10</v>
      </c>
      <c r="G31" t="s">
        <v>16</v>
      </c>
      <c r="H31" t="s">
        <v>39</v>
      </c>
      <c r="I31" s="1">
        <v>7577</v>
      </c>
      <c r="J31" s="2">
        <f t="shared" si="1"/>
        <v>4.0221678407058037E-2</v>
      </c>
      <c r="K31" t="str">
        <f t="shared" si="2"/>
        <v>Uninsured - $7,577M (4.02%)</v>
      </c>
    </row>
    <row r="32" spans="1:11" x14ac:dyDescent="0.25">
      <c r="A32">
        <v>8</v>
      </c>
      <c r="B32">
        <v>31</v>
      </c>
      <c r="C32">
        <f t="shared" si="0"/>
        <v>0</v>
      </c>
      <c r="E32">
        <v>30</v>
      </c>
      <c r="F32" t="s">
        <v>10</v>
      </c>
      <c r="G32" t="s">
        <v>17</v>
      </c>
      <c r="H32" t="s">
        <v>35</v>
      </c>
      <c r="I32" s="1">
        <v>97</v>
      </c>
      <c r="J32" s="2">
        <f t="shared" si="1"/>
        <v>5.1491392444036289E-4</v>
      </c>
      <c r="K32" t="str">
        <f t="shared" si="2"/>
        <v>Commercial - $97M (.05%)</v>
      </c>
    </row>
    <row r="33" spans="1:11" x14ac:dyDescent="0.25">
      <c r="A33">
        <v>8</v>
      </c>
      <c r="B33">
        <v>32</v>
      </c>
      <c r="C33">
        <f t="shared" si="0"/>
        <v>695</v>
      </c>
      <c r="E33">
        <v>31</v>
      </c>
      <c r="F33" t="s">
        <v>10</v>
      </c>
      <c r="G33" t="s">
        <v>17</v>
      </c>
      <c r="H33" t="s">
        <v>36</v>
      </c>
      <c r="I33" s="1" t="s">
        <v>40</v>
      </c>
      <c r="J33" s="2" t="e">
        <f t="shared" si="1"/>
        <v>#VALUE!</v>
      </c>
      <c r="K33" t="s">
        <v>46</v>
      </c>
    </row>
    <row r="34" spans="1:11" x14ac:dyDescent="0.25">
      <c r="A34">
        <v>8</v>
      </c>
      <c r="B34">
        <v>33</v>
      </c>
      <c r="C34">
        <f t="shared" si="0"/>
        <v>7</v>
      </c>
      <c r="E34">
        <v>32</v>
      </c>
      <c r="F34" t="s">
        <v>10</v>
      </c>
      <c r="G34" t="s">
        <v>17</v>
      </c>
      <c r="H34" t="s">
        <v>37</v>
      </c>
      <c r="I34" s="1">
        <v>695</v>
      </c>
      <c r="J34" s="2">
        <f t="shared" si="1"/>
        <v>3.6893317266603319E-3</v>
      </c>
      <c r="K34" t="str">
        <f t="shared" si="2"/>
        <v>Medicaid - $695M (.37%)</v>
      </c>
    </row>
    <row r="35" spans="1:11" x14ac:dyDescent="0.25">
      <c r="A35">
        <v>8</v>
      </c>
      <c r="B35">
        <v>34</v>
      </c>
      <c r="C35">
        <f t="shared" si="0"/>
        <v>66</v>
      </c>
      <c r="E35">
        <v>33</v>
      </c>
      <c r="F35" t="s">
        <v>10</v>
      </c>
      <c r="G35" t="s">
        <v>17</v>
      </c>
      <c r="H35" t="s">
        <v>38</v>
      </c>
      <c r="I35" s="1">
        <v>7</v>
      </c>
      <c r="J35" s="2">
        <f t="shared" si="1"/>
        <v>3.7158736815283922E-5</v>
      </c>
      <c r="K35" t="str">
        <f>CONCATENATE(H35," - ",TEXT(I35,"$#,###"),IF(I35="N/A","","M"), " (", TEXT(J35,"##.###%"), ")")</f>
        <v>Other Public Insurance - $7M (.004%)</v>
      </c>
    </row>
    <row r="36" spans="1:11" x14ac:dyDescent="0.25">
      <c r="A36">
        <v>9</v>
      </c>
      <c r="B36">
        <v>35</v>
      </c>
      <c r="C36">
        <f t="shared" si="0"/>
        <v>1130</v>
      </c>
      <c r="E36">
        <v>34</v>
      </c>
      <c r="F36" t="s">
        <v>10</v>
      </c>
      <c r="G36" t="s">
        <v>17</v>
      </c>
      <c r="H36" t="s">
        <v>39</v>
      </c>
      <c r="I36" s="1">
        <v>66</v>
      </c>
      <c r="J36" s="2">
        <f t="shared" si="1"/>
        <v>3.5035380425839125E-4</v>
      </c>
      <c r="K36" t="str">
        <f t="shared" si="2"/>
        <v>Uninsured - $66M (.04%)</v>
      </c>
    </row>
    <row r="37" spans="1:11" x14ac:dyDescent="0.25">
      <c r="A37">
        <v>9</v>
      </c>
      <c r="B37">
        <v>36</v>
      </c>
      <c r="C37">
        <f t="shared" si="0"/>
        <v>690</v>
      </c>
      <c r="E37">
        <v>35</v>
      </c>
      <c r="F37" t="s">
        <v>10</v>
      </c>
      <c r="G37" t="s">
        <v>18</v>
      </c>
      <c r="H37" t="s">
        <v>35</v>
      </c>
      <c r="I37" s="1">
        <v>1130</v>
      </c>
      <c r="J37" s="2">
        <f t="shared" si="1"/>
        <v>5.9984818001815468E-3</v>
      </c>
      <c r="K37" t="str">
        <f t="shared" si="2"/>
        <v>Commercial - $1,130M (.6%)</v>
      </c>
    </row>
    <row r="38" spans="1:11" x14ac:dyDescent="0.25">
      <c r="A38">
        <v>9</v>
      </c>
      <c r="B38">
        <v>37</v>
      </c>
      <c r="C38">
        <f t="shared" si="0"/>
        <v>517</v>
      </c>
      <c r="E38">
        <v>36</v>
      </c>
      <c r="F38" t="s">
        <v>10</v>
      </c>
      <c r="G38" t="s">
        <v>18</v>
      </c>
      <c r="H38" t="s">
        <v>36</v>
      </c>
      <c r="I38" s="1">
        <v>690</v>
      </c>
      <c r="J38" s="2">
        <f t="shared" si="1"/>
        <v>3.6627897717922721E-3</v>
      </c>
      <c r="K38" t="str">
        <f t="shared" si="2"/>
        <v>Medicare - $690M (.37%)</v>
      </c>
    </row>
    <row r="39" spans="1:11" x14ac:dyDescent="0.25">
      <c r="A39">
        <v>9</v>
      </c>
      <c r="B39">
        <v>38</v>
      </c>
      <c r="C39">
        <f t="shared" si="0"/>
        <v>33</v>
      </c>
      <c r="E39">
        <v>37</v>
      </c>
      <c r="F39" t="s">
        <v>10</v>
      </c>
      <c r="G39" t="s">
        <v>18</v>
      </c>
      <c r="H39" t="s">
        <v>37</v>
      </c>
      <c r="I39" s="1">
        <v>517</v>
      </c>
      <c r="J39" s="2">
        <f t="shared" si="1"/>
        <v>2.7444381333573981E-3</v>
      </c>
      <c r="K39" t="str">
        <f t="shared" si="2"/>
        <v>Medicaid - $517M (.27%)</v>
      </c>
    </row>
    <row r="40" spans="1:11" x14ac:dyDescent="0.25">
      <c r="A40">
        <v>9</v>
      </c>
      <c r="B40">
        <v>39</v>
      </c>
      <c r="C40">
        <f t="shared" si="0"/>
        <v>447</v>
      </c>
      <c r="E40">
        <v>38</v>
      </c>
      <c r="F40" t="s">
        <v>10</v>
      </c>
      <c r="G40" t="s">
        <v>18</v>
      </c>
      <c r="H40" t="s">
        <v>38</v>
      </c>
      <c r="I40" s="1">
        <v>33</v>
      </c>
      <c r="J40" s="2">
        <f t="shared" si="1"/>
        <v>1.7517690212919562E-4</v>
      </c>
      <c r="K40" t="str">
        <f t="shared" si="2"/>
        <v>Other Public Insurance - $33M (.02%)</v>
      </c>
    </row>
    <row r="41" spans="1:11" x14ac:dyDescent="0.25">
      <c r="A41">
        <v>26</v>
      </c>
      <c r="B41">
        <v>40</v>
      </c>
      <c r="C41">
        <f t="shared" ref="C41:C71" si="3">IF(ISNUMBER(VLOOKUP(A41,$E$2:$I$1048576,5)), VLOOKUP(A41,$E$2:$I$1048576,5), 0)</f>
        <v>25355</v>
      </c>
      <c r="E41">
        <v>39</v>
      </c>
      <c r="F41" t="s">
        <v>10</v>
      </c>
      <c r="G41" t="s">
        <v>18</v>
      </c>
      <c r="H41" t="s">
        <v>39</v>
      </c>
      <c r="I41" s="1">
        <v>447</v>
      </c>
      <c r="J41" s="2">
        <f t="shared" si="1"/>
        <v>2.3728507652045587E-3</v>
      </c>
      <c r="K41" t="str">
        <f t="shared" si="2"/>
        <v>Uninsured - $447M (.24%)</v>
      </c>
    </row>
    <row r="42" spans="1:11" x14ac:dyDescent="0.25">
      <c r="A42">
        <v>27</v>
      </c>
      <c r="B42">
        <v>40</v>
      </c>
      <c r="C42">
        <f t="shared" si="3"/>
        <v>8770</v>
      </c>
      <c r="E42">
        <v>40</v>
      </c>
      <c r="H42" t="s">
        <v>41</v>
      </c>
      <c r="I42" s="1">
        <v>56911</v>
      </c>
      <c r="J42" s="2">
        <f t="shared" si="1"/>
        <v>0.30210583869923185</v>
      </c>
      <c r="K42" t="str">
        <f t="shared" si="2"/>
        <v>Federal, State, and Local Governments - $56,911M (30.21%)</v>
      </c>
    </row>
    <row r="43" spans="1:11" x14ac:dyDescent="0.25">
      <c r="A43">
        <v>28</v>
      </c>
      <c r="B43">
        <v>40</v>
      </c>
      <c r="C43">
        <f t="shared" si="3"/>
        <v>555</v>
      </c>
      <c r="E43">
        <v>41</v>
      </c>
      <c r="H43" t="s">
        <v>42</v>
      </c>
      <c r="I43" s="1">
        <v>131470</v>
      </c>
      <c r="J43" s="2">
        <f t="shared" si="1"/>
        <v>0.69789416130076809</v>
      </c>
      <c r="K43" t="str">
        <f>CONCATENATE(H43," - ",TEXT(I43,"$#,###"),IF(I43="N/A","","M"), " (", TEXT(J43,"##.##%"), ")")</f>
        <v>Private Sector and Individuals - $131,470M (69.79%)</v>
      </c>
    </row>
    <row r="44" spans="1:11" x14ac:dyDescent="0.25">
      <c r="A44">
        <v>31</v>
      </c>
      <c r="B44">
        <v>40</v>
      </c>
      <c r="C44">
        <f t="shared" si="3"/>
        <v>0</v>
      </c>
    </row>
    <row r="45" spans="1:11" x14ac:dyDescent="0.25">
      <c r="A45">
        <v>32</v>
      </c>
      <c r="B45">
        <v>40</v>
      </c>
      <c r="C45">
        <f t="shared" si="3"/>
        <v>695</v>
      </c>
    </row>
    <row r="46" spans="1:11" x14ac:dyDescent="0.25">
      <c r="A46">
        <v>33</v>
      </c>
      <c r="B46">
        <v>40</v>
      </c>
      <c r="C46">
        <f t="shared" si="3"/>
        <v>7</v>
      </c>
    </row>
    <row r="47" spans="1:11" x14ac:dyDescent="0.25">
      <c r="A47">
        <v>36</v>
      </c>
      <c r="B47">
        <v>40</v>
      </c>
      <c r="C47">
        <f t="shared" si="3"/>
        <v>690</v>
      </c>
    </row>
    <row r="48" spans="1:11" x14ac:dyDescent="0.25">
      <c r="A48">
        <v>37</v>
      </c>
      <c r="B48">
        <v>40</v>
      </c>
      <c r="C48">
        <f t="shared" si="3"/>
        <v>517</v>
      </c>
    </row>
    <row r="49" spans="1:3" x14ac:dyDescent="0.25">
      <c r="A49">
        <v>38</v>
      </c>
      <c r="B49">
        <v>40</v>
      </c>
      <c r="C49">
        <f t="shared" si="3"/>
        <v>33</v>
      </c>
    </row>
    <row r="50" spans="1:3" x14ac:dyDescent="0.25">
      <c r="A50">
        <v>12</v>
      </c>
      <c r="B50">
        <v>40</v>
      </c>
      <c r="C50">
        <f t="shared" si="3"/>
        <v>4761</v>
      </c>
    </row>
    <row r="51" spans="1:3" x14ac:dyDescent="0.25">
      <c r="A51">
        <v>13</v>
      </c>
      <c r="B51">
        <v>40</v>
      </c>
      <c r="C51">
        <f t="shared" si="3"/>
        <v>2050</v>
      </c>
    </row>
    <row r="52" spans="1:3" x14ac:dyDescent="0.25">
      <c r="A52">
        <v>15</v>
      </c>
      <c r="B52">
        <v>40</v>
      </c>
      <c r="C52">
        <f t="shared" si="3"/>
        <v>4470</v>
      </c>
    </row>
    <row r="53" spans="1:3" x14ac:dyDescent="0.25">
      <c r="A53">
        <v>16</v>
      </c>
      <c r="B53">
        <v>40</v>
      </c>
      <c r="C53">
        <f t="shared" si="3"/>
        <v>1371</v>
      </c>
    </row>
    <row r="54" spans="1:3" x14ac:dyDescent="0.25">
      <c r="A54">
        <v>17</v>
      </c>
      <c r="B54">
        <v>40</v>
      </c>
      <c r="C54">
        <f t="shared" si="3"/>
        <v>2567</v>
      </c>
    </row>
    <row r="55" spans="1:3" x14ac:dyDescent="0.25">
      <c r="A55">
        <v>18</v>
      </c>
      <c r="B55">
        <v>40</v>
      </c>
      <c r="C55">
        <f t="shared" si="3"/>
        <v>578</v>
      </c>
    </row>
    <row r="56" spans="1:3" x14ac:dyDescent="0.25">
      <c r="A56">
        <v>19</v>
      </c>
      <c r="B56">
        <v>40</v>
      </c>
      <c r="C56">
        <f t="shared" si="3"/>
        <v>3236</v>
      </c>
    </row>
    <row r="57" spans="1:3" x14ac:dyDescent="0.25">
      <c r="A57">
        <v>5</v>
      </c>
      <c r="B57">
        <v>40</v>
      </c>
      <c r="C57">
        <f t="shared" si="3"/>
        <v>1257</v>
      </c>
    </row>
    <row r="58" spans="1:3" x14ac:dyDescent="0.25">
      <c r="A58">
        <v>25</v>
      </c>
      <c r="B58">
        <v>41</v>
      </c>
      <c r="C58">
        <f t="shared" si="3"/>
        <v>19151</v>
      </c>
    </row>
    <row r="59" spans="1:3" x14ac:dyDescent="0.25">
      <c r="A59">
        <v>29</v>
      </c>
      <c r="B59">
        <v>41</v>
      </c>
      <c r="C59">
        <f t="shared" si="3"/>
        <v>7577</v>
      </c>
    </row>
    <row r="60" spans="1:3" x14ac:dyDescent="0.25">
      <c r="A60">
        <v>30</v>
      </c>
      <c r="B60">
        <v>41</v>
      </c>
      <c r="C60">
        <f t="shared" si="3"/>
        <v>97</v>
      </c>
    </row>
    <row r="61" spans="1:3" x14ac:dyDescent="0.25">
      <c r="A61">
        <v>34</v>
      </c>
      <c r="B61">
        <v>41</v>
      </c>
      <c r="C61">
        <f t="shared" si="3"/>
        <v>66</v>
      </c>
    </row>
    <row r="62" spans="1:3" x14ac:dyDescent="0.25">
      <c r="A62">
        <v>35</v>
      </c>
      <c r="B62">
        <v>41</v>
      </c>
      <c r="C62">
        <f t="shared" si="3"/>
        <v>1130</v>
      </c>
    </row>
    <row r="63" spans="1:3" x14ac:dyDescent="0.25">
      <c r="A63">
        <v>39</v>
      </c>
      <c r="B63">
        <v>41</v>
      </c>
      <c r="C63">
        <f t="shared" si="3"/>
        <v>447</v>
      </c>
    </row>
    <row r="64" spans="1:3" x14ac:dyDescent="0.25">
      <c r="A64">
        <v>10</v>
      </c>
      <c r="B64">
        <v>41</v>
      </c>
      <c r="C64">
        <f t="shared" si="3"/>
        <v>270</v>
      </c>
    </row>
    <row r="65" spans="1:3" x14ac:dyDescent="0.25">
      <c r="A65">
        <v>11</v>
      </c>
      <c r="B65">
        <v>41</v>
      </c>
      <c r="C65">
        <f t="shared" si="3"/>
        <v>73817</v>
      </c>
    </row>
    <row r="66" spans="1:3" x14ac:dyDescent="0.25">
      <c r="A66">
        <v>14</v>
      </c>
      <c r="B66">
        <v>41</v>
      </c>
      <c r="C66">
        <f t="shared" si="3"/>
        <v>894</v>
      </c>
    </row>
    <row r="67" spans="1:3" x14ac:dyDescent="0.25">
      <c r="A67">
        <v>20</v>
      </c>
      <c r="B67">
        <v>41</v>
      </c>
      <c r="C67">
        <f t="shared" si="3"/>
        <v>23094</v>
      </c>
    </row>
    <row r="68" spans="1:3" x14ac:dyDescent="0.25">
      <c r="A68">
        <v>21</v>
      </c>
      <c r="B68">
        <v>41</v>
      </c>
      <c r="C68">
        <f t="shared" si="3"/>
        <v>3909</v>
      </c>
    </row>
    <row r="69" spans="1:3" x14ac:dyDescent="0.25">
      <c r="A69">
        <v>22</v>
      </c>
      <c r="B69">
        <v>41</v>
      </c>
      <c r="C69">
        <f t="shared" si="3"/>
        <v>443</v>
      </c>
    </row>
    <row r="70" spans="1:3" x14ac:dyDescent="0.25">
      <c r="A70">
        <v>23</v>
      </c>
      <c r="B70">
        <v>41</v>
      </c>
      <c r="C70">
        <f t="shared" si="3"/>
        <v>40</v>
      </c>
    </row>
    <row r="71" spans="1:3" x14ac:dyDescent="0.25">
      <c r="A71">
        <v>24</v>
      </c>
      <c r="B71">
        <v>41</v>
      </c>
      <c r="C71">
        <f t="shared" si="3"/>
        <v>535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F1" workbookViewId="0">
      <selection activeCell="K2" sqref="K2"/>
    </sheetView>
  </sheetViews>
  <sheetFormatPr defaultRowHeight="15" x14ac:dyDescent="0.25"/>
  <cols>
    <col min="6" max="6" width="14.28515625" customWidth="1"/>
    <col min="7" max="7" width="11.5703125" customWidth="1"/>
    <col min="8" max="8" width="14.140625" customWidth="1"/>
    <col min="9" max="9" width="9.85546875" style="1" bestFit="1" customWidth="1"/>
    <col min="10" max="10" width="18.42578125" style="2" bestFit="1" customWidth="1"/>
    <col min="11" max="11" width="58.28515625" bestFit="1" customWidth="1"/>
    <col min="12" max="12" width="10.42578125" customWidth="1"/>
    <col min="13" max="13" width="1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  <c r="M1" t="s">
        <v>43</v>
      </c>
      <c r="N1" t="s">
        <v>44</v>
      </c>
    </row>
    <row r="2" spans="1:14" x14ac:dyDescent="0.25">
      <c r="A2">
        <v>0</v>
      </c>
      <c r="B2">
        <v>1</v>
      </c>
      <c r="C2" s="4">
        <f>IF(ISNUMBER(VLOOKUP(B2,$E$2:$I$1048576,5)), VLOOKUP(B2,$E$2:$I$1048576,5), 0)</f>
        <v>493.68474099999997</v>
      </c>
      <c r="E2">
        <v>0</v>
      </c>
      <c r="H2" t="s">
        <v>9</v>
      </c>
      <c r="I2" s="3">
        <f>'2015'!I2*0.013453</f>
        <v>1672.4366009999999</v>
      </c>
      <c r="J2" s="2">
        <f>I2/$I$2</f>
        <v>1</v>
      </c>
      <c r="K2" t="str">
        <f>CONCATENATE(H2," - ",TEXT(I2,"$#,###"),IF(I2="N/A","","M"), " (", TEXT(J2,"##.##%"), ")")</f>
        <v>Total Cost  - $1,672M (100.%)</v>
      </c>
      <c r="M2">
        <v>25</v>
      </c>
      <c r="N2" s="1">
        <v>12547</v>
      </c>
    </row>
    <row r="3" spans="1:14" x14ac:dyDescent="0.25">
      <c r="A3">
        <v>0</v>
      </c>
      <c r="B3">
        <v>2</v>
      </c>
      <c r="C3" s="4">
        <f>IF(ISNUMBER(VLOOKUP(B3,$E$2:$I$1048576,5)), VLOOKUP(B3,$E$2:$I$1048576,5), 0)</f>
        <v>636.78430200000003</v>
      </c>
      <c r="E3">
        <v>1</v>
      </c>
      <c r="H3" t="s">
        <v>10</v>
      </c>
      <c r="I3" s="3">
        <f>'2015'!I3*0.013453</f>
        <v>493.68474099999997</v>
      </c>
      <c r="J3" s="2">
        <f t="shared" ref="J3:J43" si="0">I3/$I$2</f>
        <v>0.29518891221635013</v>
      </c>
      <c r="K3" t="str">
        <f t="shared" ref="K3:K42" si="1">CONCATENATE(H3," - ",TEXT(I3,"$#,###"),IF(I3="N/A","","M"), " (", TEXT(J3,"##.##%"), ")")</f>
        <v>Healthcare - $494M (29.52%)</v>
      </c>
      <c r="M3">
        <v>26</v>
      </c>
      <c r="N3" s="1">
        <v>10531</v>
      </c>
    </row>
    <row r="4" spans="1:14" x14ac:dyDescent="0.25">
      <c r="A4">
        <v>0</v>
      </c>
      <c r="B4">
        <v>3</v>
      </c>
      <c r="C4" s="4">
        <f>IF(ISNUMBER(VLOOKUP(B4,$E$2:$I$1048576,5)), VLOOKUP(B4,$E$2:$I$1048576,5), 0)</f>
        <v>119.32811</v>
      </c>
      <c r="E4">
        <v>2</v>
      </c>
      <c r="H4" t="s">
        <v>11</v>
      </c>
      <c r="I4" s="3">
        <f>'2015'!I4*0.013453</f>
        <v>636.78430200000003</v>
      </c>
      <c r="J4" s="2">
        <f t="shared" si="0"/>
        <v>0.38075243128453878</v>
      </c>
      <c r="K4" t="str">
        <f t="shared" si="1"/>
        <v>Mortality - $637M (38.08%)</v>
      </c>
      <c r="M4">
        <v>27</v>
      </c>
      <c r="N4" s="1">
        <v>5902</v>
      </c>
    </row>
    <row r="5" spans="1:14" x14ac:dyDescent="0.25">
      <c r="A5">
        <v>0</v>
      </c>
      <c r="B5">
        <v>4</v>
      </c>
      <c r="C5" s="4">
        <f>IF(ISNUMBER(VLOOKUP(B5,$E$2:$I$1048576,5)), VLOOKUP(B5,$E$2:$I$1048576,5), 0)</f>
        <v>124.951464</v>
      </c>
      <c r="E5">
        <v>3</v>
      </c>
      <c r="H5" t="s">
        <v>12</v>
      </c>
      <c r="I5" s="3">
        <f>'2015'!I5*0.013453</f>
        <v>119.32811</v>
      </c>
      <c r="J5" s="2">
        <f t="shared" si="0"/>
        <v>7.1349855611058832E-2</v>
      </c>
      <c r="K5" t="str">
        <f t="shared" si="1"/>
        <v>Criminal Justice - $119M (7.13%)</v>
      </c>
      <c r="M5">
        <v>28</v>
      </c>
      <c r="N5" s="1">
        <v>345</v>
      </c>
    </row>
    <row r="6" spans="1:14" x14ac:dyDescent="0.25">
      <c r="A6">
        <v>0</v>
      </c>
      <c r="B6">
        <v>5</v>
      </c>
      <c r="C6" s="4">
        <f>IF(ISNUMBER(VLOOKUP(B6,$E$2:$I$1048576,5)), VLOOKUP(B6,$E$2:$I$1048576,5), 0)</f>
        <v>19.183978</v>
      </c>
      <c r="E6">
        <v>4</v>
      </c>
      <c r="H6" t="s">
        <v>13</v>
      </c>
      <c r="I6" s="3">
        <f>'2015'!I6*0.013453</f>
        <v>124.951464</v>
      </c>
      <c r="J6" s="2">
        <f t="shared" si="0"/>
        <v>7.4712227611670165E-2</v>
      </c>
      <c r="K6" t="str">
        <f t="shared" si="1"/>
        <v>Child and Family Assistance - $125M (7.47%)</v>
      </c>
      <c r="M6">
        <v>29</v>
      </c>
      <c r="N6" s="1">
        <v>5083</v>
      </c>
    </row>
    <row r="7" spans="1:14" x14ac:dyDescent="0.25">
      <c r="A7">
        <v>0</v>
      </c>
      <c r="B7">
        <v>6</v>
      </c>
      <c r="C7" s="4">
        <f>IF(ISNUMBER(VLOOKUP(B7,$E$2:$I$1048576,5)), VLOOKUP(B7,$E$2:$I$1048576,5), 0)</f>
        <v>278.49055299999998</v>
      </c>
      <c r="E7">
        <v>5</v>
      </c>
      <c r="H7" t="s">
        <v>14</v>
      </c>
      <c r="I7" s="3">
        <f>'2015'!I7*0.013453</f>
        <v>19.183978</v>
      </c>
      <c r="J7" s="2">
        <f t="shared" si="0"/>
        <v>1.1470675772420506E-2</v>
      </c>
      <c r="K7" t="str">
        <f t="shared" si="1"/>
        <v>Education - $19M (1.15%)</v>
      </c>
      <c r="M7">
        <v>7</v>
      </c>
      <c r="N7" s="1">
        <v>34408</v>
      </c>
    </row>
    <row r="8" spans="1:14" x14ac:dyDescent="0.25">
      <c r="A8">
        <v>1</v>
      </c>
      <c r="B8">
        <v>7</v>
      </c>
      <c r="C8" s="4">
        <f>IF(ISNUMBER(VLOOKUP(B8,$E$2:$I$1048576,5)), VLOOKUP(B8,$E$2:$I$1048576,5), 0)</f>
        <v>462.89082400000001</v>
      </c>
      <c r="E8">
        <v>6</v>
      </c>
      <c r="H8" t="s">
        <v>15</v>
      </c>
      <c r="I8" s="3">
        <f>'2015'!I8*0.013453</f>
        <v>278.49055299999998</v>
      </c>
      <c r="J8" s="2">
        <f t="shared" si="0"/>
        <v>0.16651785355180707</v>
      </c>
      <c r="K8" t="str">
        <f t="shared" si="1"/>
        <v>Lost Productivity - $278M (16.65%)</v>
      </c>
      <c r="M8">
        <v>30</v>
      </c>
      <c r="N8" s="1">
        <v>76</v>
      </c>
    </row>
    <row r="9" spans="1:14" x14ac:dyDescent="0.25">
      <c r="A9">
        <v>1</v>
      </c>
      <c r="B9">
        <v>8</v>
      </c>
      <c r="C9" s="4">
        <f>IF(ISNUMBER(VLOOKUP(B9,$E$2:$I$1048576,5)), VLOOKUP(B9,$E$2:$I$1048576,5), 0)</f>
        <v>8.3946719999999999</v>
      </c>
      <c r="E9">
        <v>7</v>
      </c>
      <c r="F9" t="s">
        <v>10</v>
      </c>
      <c r="H9" t="s">
        <v>16</v>
      </c>
      <c r="I9" s="3">
        <f>'2015'!I9*0.013453</f>
        <v>462.89082400000001</v>
      </c>
      <c r="J9" s="2">
        <f t="shared" si="0"/>
        <v>0.27677630573453349</v>
      </c>
      <c r="K9" t="str">
        <f t="shared" si="1"/>
        <v>For individuals with OUD - $463M (27.68%)</v>
      </c>
      <c r="M9">
        <v>31</v>
      </c>
      <c r="N9" s="1" t="s">
        <v>40</v>
      </c>
    </row>
    <row r="10" spans="1:14" x14ac:dyDescent="0.25">
      <c r="A10">
        <v>1</v>
      </c>
      <c r="B10">
        <v>9</v>
      </c>
      <c r="C10" s="4">
        <f>IF(ISNUMBER(VLOOKUP(B10,$E$2:$I$1048576,5)), VLOOKUP(B10,$E$2:$I$1048576,5), 0)</f>
        <v>22.399245000000001</v>
      </c>
      <c r="E10">
        <v>8</v>
      </c>
      <c r="F10" t="s">
        <v>10</v>
      </c>
      <c r="H10" t="s">
        <v>17</v>
      </c>
      <c r="I10" s="3">
        <f>'2015'!I10*0.013453</f>
        <v>8.3946719999999999</v>
      </c>
      <c r="J10" s="2">
        <f t="shared" si="0"/>
        <v>5.0194261444532935E-3</v>
      </c>
      <c r="K10" t="str">
        <f t="shared" si="1"/>
        <v>For infants born with NAS or NOWS - $8M (.5%)</v>
      </c>
      <c r="M10">
        <v>32</v>
      </c>
      <c r="N10" s="1">
        <v>495</v>
      </c>
    </row>
    <row r="11" spans="1:14" x14ac:dyDescent="0.25">
      <c r="A11">
        <v>2</v>
      </c>
      <c r="B11">
        <v>10</v>
      </c>
      <c r="C11" s="4">
        <f>IF(ISNUMBER(VLOOKUP(B11,$E$2:$I$1048576,5)), VLOOKUP(B11,$E$2:$I$1048576,5), 0)</f>
        <v>2.327369</v>
      </c>
      <c r="E11">
        <v>9</v>
      </c>
      <c r="F11" t="s">
        <v>10</v>
      </c>
      <c r="H11" t="s">
        <v>18</v>
      </c>
      <c r="I11" s="3">
        <f>'2015'!I11*0.013453</f>
        <v>22.399245000000001</v>
      </c>
      <c r="J11" s="2">
        <f t="shared" si="0"/>
        <v>1.3393180337363355E-2</v>
      </c>
      <c r="K11" t="str">
        <f t="shared" si="1"/>
        <v>For family members of individual with OUD - $22M (1.34%)</v>
      </c>
      <c r="M11">
        <v>33</v>
      </c>
      <c r="N11" s="1">
        <v>6</v>
      </c>
    </row>
    <row r="12" spans="1:14" x14ac:dyDescent="0.25">
      <c r="A12">
        <v>2</v>
      </c>
      <c r="B12">
        <v>11</v>
      </c>
      <c r="C12" s="4">
        <f>IF(ISNUMBER(VLOOKUP(B12,$E$2:$I$1048576,5)), VLOOKUP(B12,$E$2:$I$1048576,5), 0)</f>
        <v>634.45693299999994</v>
      </c>
      <c r="E12">
        <v>10</v>
      </c>
      <c r="F12" t="s">
        <v>11</v>
      </c>
      <c r="H12" t="s">
        <v>19</v>
      </c>
      <c r="I12" s="3">
        <f>'2015'!I12*0.013453</f>
        <v>2.327369</v>
      </c>
      <c r="J12" s="2">
        <f t="shared" si="0"/>
        <v>1.3916037227410573E-3</v>
      </c>
      <c r="K12" t="str">
        <f t="shared" si="1"/>
        <v>Medical Costs - $2M (.14%)</v>
      </c>
      <c r="M12">
        <v>34</v>
      </c>
      <c r="N12" s="1">
        <v>47</v>
      </c>
    </row>
    <row r="13" spans="1:14" x14ac:dyDescent="0.25">
      <c r="A13">
        <v>3</v>
      </c>
      <c r="B13">
        <v>12</v>
      </c>
      <c r="C13" s="4">
        <f>IF(ISNUMBER(VLOOKUP(B13,$E$2:$I$1048576,5)), VLOOKUP(B13,$E$2:$I$1048576,5), 0)</f>
        <v>40.533889000000002</v>
      </c>
      <c r="E13">
        <v>11</v>
      </c>
      <c r="F13" t="s">
        <v>11</v>
      </c>
      <c r="H13" t="s">
        <v>20</v>
      </c>
      <c r="I13" s="3">
        <f>'2015'!I13*0.013453</f>
        <v>634.45693299999994</v>
      </c>
      <c r="J13" s="2">
        <f t="shared" si="0"/>
        <v>0.37936082756179768</v>
      </c>
      <c r="K13" t="str">
        <f t="shared" si="1"/>
        <v>Lost Lifetime Earnings - $634M (37.94%)</v>
      </c>
      <c r="M13">
        <v>8</v>
      </c>
      <c r="N13" s="1">
        <v>624</v>
      </c>
    </row>
    <row r="14" spans="1:14" x14ac:dyDescent="0.25">
      <c r="A14">
        <v>3</v>
      </c>
      <c r="B14">
        <v>13</v>
      </c>
      <c r="C14" s="4">
        <f>IF(ISNUMBER(VLOOKUP(B14,$E$2:$I$1048576,5)), VLOOKUP(B14,$E$2:$I$1048576,5), 0)</f>
        <v>18.228815000000001</v>
      </c>
      <c r="E14">
        <v>12</v>
      </c>
      <c r="F14" t="s">
        <v>12</v>
      </c>
      <c r="H14" t="s">
        <v>21</v>
      </c>
      <c r="I14" s="3">
        <f>'2015'!I14*0.013453</f>
        <v>40.533889000000002</v>
      </c>
      <c r="J14" s="2">
        <f t="shared" si="0"/>
        <v>2.42364278417272E-2</v>
      </c>
      <c r="K14" t="str">
        <f t="shared" si="1"/>
        <v>Police Protection - $41M (2.42%)</v>
      </c>
      <c r="M14">
        <v>35</v>
      </c>
      <c r="N14" s="1">
        <v>727</v>
      </c>
    </row>
    <row r="15" spans="1:14" x14ac:dyDescent="0.25">
      <c r="A15">
        <v>3</v>
      </c>
      <c r="B15">
        <v>14</v>
      </c>
      <c r="C15" s="4">
        <f>IF(ISNUMBER(VLOOKUP(B15,$E$2:$I$1048576,5)), VLOOKUP(B15,$E$2:$I$1048576,5), 0)</f>
        <v>12.618914</v>
      </c>
      <c r="E15">
        <v>13</v>
      </c>
      <c r="F15" t="s">
        <v>12</v>
      </c>
      <c r="H15" t="s">
        <v>22</v>
      </c>
      <c r="I15" s="3">
        <f>'2015'!I15*0.013453</f>
        <v>18.228815000000001</v>
      </c>
      <c r="J15" s="2">
        <f t="shared" si="0"/>
        <v>1.0899555169445853E-2</v>
      </c>
      <c r="K15" t="str">
        <f t="shared" si="1"/>
        <v>Legal and Adjudication Activities - $18M (1.09%)</v>
      </c>
      <c r="M15">
        <v>36</v>
      </c>
      <c r="N15" s="1">
        <v>281</v>
      </c>
    </row>
    <row r="16" spans="1:14" x14ac:dyDescent="0.25">
      <c r="A16">
        <v>3</v>
      </c>
      <c r="B16">
        <v>15</v>
      </c>
      <c r="C16" s="4">
        <f>IF(ISNUMBER(VLOOKUP(B16,$E$2:$I$1048576,5)), VLOOKUP(B16,$E$2:$I$1048576,5), 0)</f>
        <v>47.946491999999999</v>
      </c>
      <c r="E16">
        <v>14</v>
      </c>
      <c r="F16" t="s">
        <v>12</v>
      </c>
      <c r="H16" t="s">
        <v>23</v>
      </c>
      <c r="I16" s="3">
        <f>'2015'!I16*0.013453</f>
        <v>12.618914</v>
      </c>
      <c r="J16" s="2">
        <f t="shared" si="0"/>
        <v>7.5452271209890849E-3</v>
      </c>
      <c r="K16" t="str">
        <f t="shared" si="1"/>
        <v>Property Lost Due to Crime - $13M (.75%)</v>
      </c>
      <c r="M16">
        <v>37</v>
      </c>
      <c r="N16" s="1">
        <v>342</v>
      </c>
    </row>
    <row r="17" spans="1:14" x14ac:dyDescent="0.25">
      <c r="A17">
        <v>4</v>
      </c>
      <c r="B17">
        <v>16</v>
      </c>
      <c r="C17" s="4">
        <f>IF(ISNUMBER(VLOOKUP(B17,$E$2:$I$1048576,5)), VLOOKUP(B17,$E$2:$I$1048576,5), 0)</f>
        <v>17.663789000000001</v>
      </c>
      <c r="E17">
        <v>15</v>
      </c>
      <c r="F17" t="s">
        <v>12</v>
      </c>
      <c r="H17" t="s">
        <v>24</v>
      </c>
      <c r="I17" s="3">
        <f>'2015'!I17*0.013453</f>
        <v>47.946491999999999</v>
      </c>
      <c r="J17" s="2">
        <f t="shared" si="0"/>
        <v>2.8668645478896693E-2</v>
      </c>
      <c r="K17" t="str">
        <f t="shared" si="1"/>
        <v>Correctional Facilities - $48M (2.87%)</v>
      </c>
      <c r="M17">
        <v>38</v>
      </c>
      <c r="N17" s="1">
        <v>20</v>
      </c>
    </row>
    <row r="18" spans="1:14" x14ac:dyDescent="0.25">
      <c r="A18">
        <v>4</v>
      </c>
      <c r="B18">
        <v>17</v>
      </c>
      <c r="C18" s="4">
        <f>IF(ISNUMBER(VLOOKUP(B18,$E$2:$I$1048576,5)), VLOOKUP(B18,$E$2:$I$1048576,5), 0)</f>
        <v>48.968919999999997</v>
      </c>
      <c r="E18">
        <v>16</v>
      </c>
      <c r="F18" t="s">
        <v>25</v>
      </c>
      <c r="H18" t="s">
        <v>26</v>
      </c>
      <c r="I18" s="3">
        <f>'2015'!I18*0.013453</f>
        <v>17.663789000000001</v>
      </c>
      <c r="J18" s="2">
        <f t="shared" si="0"/>
        <v>1.0561709178953806E-2</v>
      </c>
      <c r="K18" t="str">
        <f t="shared" si="1"/>
        <v>Child Welfare - $18M (1.06%)</v>
      </c>
      <c r="M18">
        <v>39</v>
      </c>
      <c r="N18" s="1">
        <v>295</v>
      </c>
    </row>
    <row r="19" spans="1:14" x14ac:dyDescent="0.25">
      <c r="A19">
        <v>4</v>
      </c>
      <c r="B19">
        <v>18</v>
      </c>
      <c r="C19" s="4">
        <f>IF(ISNUMBER(VLOOKUP(B19,$E$2:$I$1048576,5)), VLOOKUP(B19,$E$2:$I$1048576,5), 0)</f>
        <v>9.5247239999999991</v>
      </c>
      <c r="E19">
        <v>17</v>
      </c>
      <c r="F19" t="s">
        <v>25</v>
      </c>
      <c r="H19" t="s">
        <v>27</v>
      </c>
      <c r="I19" s="3">
        <f>'2015'!I19*0.013453</f>
        <v>48.968919999999997</v>
      </c>
      <c r="J19" s="2">
        <f t="shared" si="0"/>
        <v>2.9279985842644209E-2</v>
      </c>
      <c r="K19" t="str">
        <f t="shared" si="1"/>
        <v>Food and Nutritional Assistance - $49M (2.93%)</v>
      </c>
      <c r="M19">
        <v>9</v>
      </c>
      <c r="N19" s="1">
        <v>1665</v>
      </c>
    </row>
    <row r="20" spans="1:14" x14ac:dyDescent="0.25">
      <c r="A20">
        <v>4</v>
      </c>
      <c r="B20">
        <v>19</v>
      </c>
      <c r="C20" s="4">
        <f>IF(ISNUMBER(VLOOKUP(B20,$E$2:$I$1048576,5)), VLOOKUP(B20,$E$2:$I$1048576,5), 0)</f>
        <v>48.794030999999997</v>
      </c>
      <c r="E20">
        <v>18</v>
      </c>
      <c r="F20" t="s">
        <v>25</v>
      </c>
      <c r="H20" t="s">
        <v>28</v>
      </c>
      <c r="I20" s="3">
        <f>'2015'!I20*0.013453</f>
        <v>9.5247239999999991</v>
      </c>
      <c r="J20" s="2">
        <f t="shared" si="0"/>
        <v>5.6951181254373895E-3</v>
      </c>
      <c r="K20" t="str">
        <f t="shared" si="1"/>
        <v>Income Assistance - $10M (.57%)</v>
      </c>
      <c r="M20">
        <v>1</v>
      </c>
      <c r="N20" s="1">
        <v>36697</v>
      </c>
    </row>
    <row r="21" spans="1:14" x14ac:dyDescent="0.25">
      <c r="A21">
        <v>6</v>
      </c>
      <c r="B21">
        <v>20</v>
      </c>
      <c r="C21" s="4">
        <f>IF(ISNUMBER(VLOOKUP(B21,$E$2:$I$1048576,5)), VLOOKUP(B21,$E$2:$I$1048576,5), 0)</f>
        <v>224.92070699999999</v>
      </c>
      <c r="E21">
        <v>19</v>
      </c>
      <c r="F21" t="s">
        <v>25</v>
      </c>
      <c r="H21" t="s">
        <v>29</v>
      </c>
      <c r="I21" s="3">
        <f>'2015'!I21*0.013453</f>
        <v>48.794030999999997</v>
      </c>
      <c r="J21" s="2">
        <f t="shared" si="0"/>
        <v>2.9175414464634765E-2</v>
      </c>
      <c r="K21" t="str">
        <f t="shared" si="1"/>
        <v>Housing/Homelessness Assistance - $49M (2.92%)</v>
      </c>
      <c r="M21">
        <v>10</v>
      </c>
      <c r="N21" s="1">
        <v>173</v>
      </c>
    </row>
    <row r="22" spans="1:14" x14ac:dyDescent="0.25">
      <c r="A22">
        <v>6</v>
      </c>
      <c r="B22">
        <v>21</v>
      </c>
      <c r="C22" s="4">
        <f>IF(ISNUMBER(VLOOKUP(B22,$E$2:$I$1048576,5)), VLOOKUP(B22,$E$2:$I$1048576,5), 0)</f>
        <v>44.125839999999997</v>
      </c>
      <c r="E22">
        <v>20</v>
      </c>
      <c r="F22" t="s">
        <v>15</v>
      </c>
      <c r="H22" t="s">
        <v>30</v>
      </c>
      <c r="I22" s="3">
        <f>'2015'!I22*0.013453</f>
        <v>224.92070699999999</v>
      </c>
      <c r="J22" s="2">
        <f t="shared" si="0"/>
        <v>0.13448683607229905</v>
      </c>
      <c r="K22" t="str">
        <f t="shared" si="1"/>
        <v>Reduced Labor Force Participation and Absenteeism - $225M (13.45%)</v>
      </c>
      <c r="M22">
        <v>11</v>
      </c>
      <c r="N22" s="1">
        <v>47161</v>
      </c>
    </row>
    <row r="23" spans="1:14" x14ac:dyDescent="0.25">
      <c r="A23">
        <v>6</v>
      </c>
      <c r="B23">
        <v>22</v>
      </c>
      <c r="C23" s="4">
        <f>IF(ISNUMBER(VLOOKUP(B23,$E$2:$I$1048576,5)), VLOOKUP(B23,$E$2:$I$1048576,5), 0)</f>
        <v>4.197336</v>
      </c>
      <c r="E23">
        <v>21</v>
      </c>
      <c r="F23" t="s">
        <v>15</v>
      </c>
      <c r="H23" t="s">
        <v>31</v>
      </c>
      <c r="I23" s="3">
        <f>'2015'!I23*0.013453</f>
        <v>44.125839999999997</v>
      </c>
      <c r="J23" s="2">
        <f t="shared" si="0"/>
        <v>2.6384163066998076E-2</v>
      </c>
      <c r="K23" t="str">
        <f t="shared" si="1"/>
        <v>Incarceration - $44M (2.64%)</v>
      </c>
      <c r="M23">
        <v>2</v>
      </c>
      <c r="N23" s="1">
        <v>47334</v>
      </c>
    </row>
    <row r="24" spans="1:14" x14ac:dyDescent="0.25">
      <c r="A24">
        <v>6</v>
      </c>
      <c r="B24">
        <v>23</v>
      </c>
      <c r="C24" s="4">
        <f>IF(ISNUMBER(VLOOKUP(B24,$E$2:$I$1048576,5)), VLOOKUP(B24,$E$2:$I$1048576,5), 0)</f>
        <v>0.37668400000000002</v>
      </c>
      <c r="E24">
        <v>22</v>
      </c>
      <c r="F24" t="s">
        <v>15</v>
      </c>
      <c r="H24" t="s">
        <v>32</v>
      </c>
      <c r="I24" s="3">
        <f>'2015'!I24*0.013453</f>
        <v>4.197336</v>
      </c>
      <c r="J24" s="2">
        <f t="shared" si="0"/>
        <v>2.5097130722266468E-3</v>
      </c>
      <c r="K24" t="str">
        <f t="shared" si="1"/>
        <v>Short-Term Disability - $4M (.25%)</v>
      </c>
      <c r="M24">
        <v>12</v>
      </c>
      <c r="N24" s="1">
        <v>3013</v>
      </c>
    </row>
    <row r="25" spans="1:14" x14ac:dyDescent="0.25">
      <c r="A25">
        <v>6</v>
      </c>
      <c r="B25">
        <v>24</v>
      </c>
      <c r="C25" s="4">
        <f>IF(ISNUMBER(VLOOKUP(B25,$E$2:$I$1048576,5)), VLOOKUP(B25,$E$2:$I$1048576,5), 0)</f>
        <v>4.8699859999999999</v>
      </c>
      <c r="E25">
        <v>23</v>
      </c>
      <c r="F25" t="s">
        <v>15</v>
      </c>
      <c r="H25" t="s">
        <v>33</v>
      </c>
      <c r="I25" s="3">
        <f>'2015'!I25*0.013453</f>
        <v>0.37668400000000002</v>
      </c>
      <c r="J25" s="2">
        <f t="shared" si="0"/>
        <v>2.2523066032803239E-4</v>
      </c>
      <c r="K25" t="str">
        <f t="shared" si="1"/>
        <v>Long-Term Disability - $M (.02%)</v>
      </c>
      <c r="M25">
        <v>13</v>
      </c>
      <c r="N25" s="1">
        <v>1355</v>
      </c>
    </row>
    <row r="26" spans="1:14" x14ac:dyDescent="0.25">
      <c r="A26">
        <v>7</v>
      </c>
      <c r="B26">
        <v>25</v>
      </c>
      <c r="C26" s="4">
        <f>IF(ISNUMBER(VLOOKUP(B26,$E$2:$I$1048576,5)), VLOOKUP(B26,$E$2:$I$1048576,5), 0)</f>
        <v>168.794791</v>
      </c>
      <c r="E26">
        <v>24</v>
      </c>
      <c r="F26" t="s">
        <v>15</v>
      </c>
      <c r="H26" t="s">
        <v>34</v>
      </c>
      <c r="I26" s="3">
        <f>'2015'!I26*0.013453</f>
        <v>4.8699859999999999</v>
      </c>
      <c r="J26" s="2">
        <f t="shared" si="0"/>
        <v>2.9119106799552759E-3</v>
      </c>
      <c r="K26" t="str">
        <f t="shared" si="1"/>
        <v>Workers' Compensation - $5M (.29%)</v>
      </c>
      <c r="M26">
        <v>14</v>
      </c>
      <c r="N26" s="1">
        <v>938</v>
      </c>
    </row>
    <row r="27" spans="1:14" x14ac:dyDescent="0.25">
      <c r="A27">
        <v>7</v>
      </c>
      <c r="B27">
        <v>26</v>
      </c>
      <c r="C27" s="4">
        <f>IF(ISNUMBER(VLOOKUP(B27,$E$2:$I$1048576,5)), VLOOKUP(B27,$E$2:$I$1048576,5), 0)</f>
        <v>141.673543</v>
      </c>
      <c r="E27">
        <v>25</v>
      </c>
      <c r="F27" t="s">
        <v>10</v>
      </c>
      <c r="G27" t="s">
        <v>16</v>
      </c>
      <c r="H27" t="s">
        <v>35</v>
      </c>
      <c r="I27" s="3">
        <f>'2015'!I27*0.013453</f>
        <v>168.794791</v>
      </c>
      <c r="J27" s="2">
        <f t="shared" si="0"/>
        <v>0.10092746768342223</v>
      </c>
      <c r="K27" t="str">
        <f t="shared" si="1"/>
        <v>Commercial - $169M (10.09%)</v>
      </c>
      <c r="M27">
        <v>15</v>
      </c>
      <c r="N27" s="1">
        <v>3564</v>
      </c>
    </row>
    <row r="28" spans="1:14" x14ac:dyDescent="0.25">
      <c r="A28">
        <v>7</v>
      </c>
      <c r="B28">
        <v>27</v>
      </c>
      <c r="C28" s="4">
        <f>IF(ISNUMBER(VLOOKUP(B28,$E$2:$I$1048576,5)), VLOOKUP(B28,$E$2:$I$1048576,5), 0)</f>
        <v>79.399605999999991</v>
      </c>
      <c r="E28">
        <v>26</v>
      </c>
      <c r="F28" t="s">
        <v>10</v>
      </c>
      <c r="G28" t="s">
        <v>16</v>
      </c>
      <c r="H28" t="s">
        <v>36</v>
      </c>
      <c r="I28" s="3">
        <f>'2015'!I28*0.013453</f>
        <v>141.673543</v>
      </c>
      <c r="J28" s="2">
        <f t="shared" si="0"/>
        <v>8.471086013980389E-2</v>
      </c>
      <c r="K28" t="str">
        <f t="shared" si="1"/>
        <v>Medicare - $142M (8.47%)</v>
      </c>
      <c r="M28">
        <v>3</v>
      </c>
      <c r="N28" s="1">
        <v>8870</v>
      </c>
    </row>
    <row r="29" spans="1:14" x14ac:dyDescent="0.25">
      <c r="A29">
        <v>7</v>
      </c>
      <c r="B29">
        <v>28</v>
      </c>
      <c r="C29" s="4">
        <f>IF(ISNUMBER(VLOOKUP(B29,$E$2:$I$1048576,5)), VLOOKUP(B29,$E$2:$I$1048576,5), 0)</f>
        <v>4.6412849999999999</v>
      </c>
      <c r="E29">
        <v>27</v>
      </c>
      <c r="F29" t="s">
        <v>10</v>
      </c>
      <c r="G29" t="s">
        <v>16</v>
      </c>
      <c r="H29" t="s">
        <v>37</v>
      </c>
      <c r="I29" s="3">
        <f>'2015'!I29*0.013453</f>
        <v>79.399605999999991</v>
      </c>
      <c r="J29" s="2">
        <f t="shared" si="0"/>
        <v>4.7475405616287394E-2</v>
      </c>
      <c r="K29" t="str">
        <f t="shared" si="1"/>
        <v>Medicaid - $79M (4.75%)</v>
      </c>
      <c r="M29">
        <v>16</v>
      </c>
      <c r="N29" s="1">
        <v>1313</v>
      </c>
    </row>
    <row r="30" spans="1:14" x14ac:dyDescent="0.25">
      <c r="A30">
        <v>7</v>
      </c>
      <c r="B30">
        <v>29</v>
      </c>
      <c r="C30" s="4">
        <f>IF(ISNUMBER(VLOOKUP(B30,$E$2:$I$1048576,5)), VLOOKUP(B30,$E$2:$I$1048576,5), 0)</f>
        <v>68.381598999999994</v>
      </c>
      <c r="E30">
        <v>28</v>
      </c>
      <c r="F30" t="s">
        <v>10</v>
      </c>
      <c r="G30" t="s">
        <v>16</v>
      </c>
      <c r="H30" t="s">
        <v>38</v>
      </c>
      <c r="I30" s="3">
        <f>'2015'!I30*0.013453</f>
        <v>4.6412849999999999</v>
      </c>
      <c r="J30" s="2">
        <f t="shared" si="0"/>
        <v>2.7751634933275418E-3</v>
      </c>
      <c r="K30" t="str">
        <f t="shared" si="1"/>
        <v>Other Public Insurance - $5M (.28%)</v>
      </c>
      <c r="M30">
        <v>17</v>
      </c>
      <c r="N30" s="1">
        <v>3640</v>
      </c>
    </row>
    <row r="31" spans="1:14" x14ac:dyDescent="0.25">
      <c r="A31">
        <v>8</v>
      </c>
      <c r="B31">
        <v>30</v>
      </c>
      <c r="C31" s="4">
        <f>IF(ISNUMBER(VLOOKUP(B31,$E$2:$I$1048576,5)), VLOOKUP(B31,$E$2:$I$1048576,5), 0)</f>
        <v>1.0224279999999999</v>
      </c>
      <c r="E31">
        <v>29</v>
      </c>
      <c r="F31" t="s">
        <v>10</v>
      </c>
      <c r="G31" t="s">
        <v>16</v>
      </c>
      <c r="H31" t="s">
        <v>39</v>
      </c>
      <c r="I31" s="3">
        <f>'2015'!I31*0.013453</f>
        <v>68.381598999999994</v>
      </c>
      <c r="J31" s="2">
        <f t="shared" si="0"/>
        <v>4.0887408801692449E-2</v>
      </c>
      <c r="K31" t="str">
        <f t="shared" si="1"/>
        <v>Uninsured - $68M (4.09%)</v>
      </c>
      <c r="M31">
        <v>18</v>
      </c>
      <c r="N31" s="1">
        <v>708</v>
      </c>
    </row>
    <row r="32" spans="1:14" x14ac:dyDescent="0.25">
      <c r="A32">
        <v>8</v>
      </c>
      <c r="B32">
        <v>31</v>
      </c>
      <c r="C32" s="4">
        <f>IF(ISNUMBER(VLOOKUP(B32,$E$2:$I$1048576,5)), VLOOKUP(B32,$E$2:$I$1048576,5), 0)</f>
        <v>0</v>
      </c>
      <c r="E32">
        <v>30</v>
      </c>
      <c r="F32" t="s">
        <v>10</v>
      </c>
      <c r="G32" t="s">
        <v>17</v>
      </c>
      <c r="H32" t="s">
        <v>35</v>
      </c>
      <c r="I32" s="3">
        <f>'2015'!I32*0.013453</f>
        <v>1.0224279999999999</v>
      </c>
      <c r="J32" s="2">
        <f t="shared" si="0"/>
        <v>6.1134036374751641E-4</v>
      </c>
      <c r="K32" t="str">
        <f t="shared" si="1"/>
        <v>Commercial - $1M (.06%)</v>
      </c>
      <c r="M32">
        <v>19</v>
      </c>
      <c r="N32" s="1">
        <v>3627</v>
      </c>
    </row>
    <row r="33" spans="1:14" x14ac:dyDescent="0.25">
      <c r="A33">
        <v>8</v>
      </c>
      <c r="B33">
        <v>32</v>
      </c>
      <c r="C33" s="4">
        <f>IF(ISNUMBER(VLOOKUP(B33,$E$2:$I$1048576,5)), VLOOKUP(B33,$E$2:$I$1048576,5), 0)</f>
        <v>6.6592349999999998</v>
      </c>
      <c r="E33">
        <v>31</v>
      </c>
      <c r="F33" t="s">
        <v>10</v>
      </c>
      <c r="G33" t="s">
        <v>17</v>
      </c>
      <c r="H33" t="s">
        <v>36</v>
      </c>
      <c r="I33" s="3" t="e">
        <f>'2015'!I33*0.013453</f>
        <v>#VALUE!</v>
      </c>
      <c r="J33" s="2" t="e">
        <f t="shared" si="0"/>
        <v>#VALUE!</v>
      </c>
      <c r="K33" t="s">
        <v>46</v>
      </c>
      <c r="M33">
        <v>4</v>
      </c>
      <c r="N33" s="1">
        <v>9288</v>
      </c>
    </row>
    <row r="34" spans="1:14" x14ac:dyDescent="0.25">
      <c r="A34">
        <v>8</v>
      </c>
      <c r="B34">
        <v>33</v>
      </c>
      <c r="C34" s="4">
        <f>IF(ISNUMBER(VLOOKUP(B34,$E$2:$I$1048576,5)), VLOOKUP(B34,$E$2:$I$1048576,5), 0)</f>
        <v>8.0717999999999998E-2</v>
      </c>
      <c r="E34">
        <v>32</v>
      </c>
      <c r="F34" t="s">
        <v>10</v>
      </c>
      <c r="G34" t="s">
        <v>17</v>
      </c>
      <c r="H34" t="s">
        <v>37</v>
      </c>
      <c r="I34" s="3">
        <f>'2015'!I34*0.013453</f>
        <v>6.6592349999999998</v>
      </c>
      <c r="J34" s="2">
        <f t="shared" si="0"/>
        <v>3.9817563165134295E-3</v>
      </c>
      <c r="K34" t="str">
        <f t="shared" si="1"/>
        <v>Medicaid - $7M (.4%)</v>
      </c>
      <c r="M34">
        <v>5</v>
      </c>
      <c r="N34" s="1">
        <v>1426</v>
      </c>
    </row>
    <row r="35" spans="1:14" x14ac:dyDescent="0.25">
      <c r="A35">
        <v>8</v>
      </c>
      <c r="B35">
        <v>34</v>
      </c>
      <c r="C35" s="4">
        <f>IF(ISNUMBER(VLOOKUP(B35,$E$2:$I$1048576,5)), VLOOKUP(B35,$E$2:$I$1048576,5), 0)</f>
        <v>0.63229099999999994</v>
      </c>
      <c r="E35">
        <v>33</v>
      </c>
      <c r="F35" t="s">
        <v>10</v>
      </c>
      <c r="G35" t="s">
        <v>17</v>
      </c>
      <c r="H35" t="s">
        <v>38</v>
      </c>
      <c r="I35" s="3">
        <f>'2015'!I35*0.013453</f>
        <v>8.0717999999999998E-2</v>
      </c>
      <c r="J35" s="2">
        <f t="shared" si="0"/>
        <v>4.8263712927435513E-5</v>
      </c>
      <c r="K35" t="str">
        <f>CONCATENATE(H35," - ",TEXT(I35,"$#,###"),IF(I35="N/A","","M"), " (", TEXT(J35,"##.###%"), ")")</f>
        <v>Other Public Insurance - $M (.005%)</v>
      </c>
      <c r="M35">
        <v>20</v>
      </c>
      <c r="N35" s="1">
        <v>16719</v>
      </c>
    </row>
    <row r="36" spans="1:14" x14ac:dyDescent="0.25">
      <c r="A36">
        <v>9</v>
      </c>
      <c r="B36">
        <v>35</v>
      </c>
      <c r="C36" s="4">
        <f>IF(ISNUMBER(VLOOKUP(B36,$E$2:$I$1048576,5)), VLOOKUP(B36,$E$2:$I$1048576,5), 0)</f>
        <v>9.7803310000000003</v>
      </c>
      <c r="E36">
        <v>34</v>
      </c>
      <c r="F36" t="s">
        <v>10</v>
      </c>
      <c r="G36" t="s">
        <v>17</v>
      </c>
      <c r="H36" t="s">
        <v>39</v>
      </c>
      <c r="I36" s="3">
        <f>'2015'!I36*0.013453</f>
        <v>0.63229099999999994</v>
      </c>
      <c r="J36" s="2">
        <f t="shared" si="0"/>
        <v>3.7806575126491147E-4</v>
      </c>
      <c r="K36" t="str">
        <f t="shared" si="1"/>
        <v>Uninsured - $1M (.04%)</v>
      </c>
      <c r="M36">
        <v>21</v>
      </c>
      <c r="N36" s="1">
        <v>3280</v>
      </c>
    </row>
    <row r="37" spans="1:14" x14ac:dyDescent="0.25">
      <c r="A37">
        <v>9</v>
      </c>
      <c r="B37">
        <v>36</v>
      </c>
      <c r="C37" s="4">
        <f>IF(ISNUMBER(VLOOKUP(B37,$E$2:$I$1048576,5)), VLOOKUP(B37,$E$2:$I$1048576,5), 0)</f>
        <v>3.7802929999999999</v>
      </c>
      <c r="E37">
        <v>35</v>
      </c>
      <c r="F37" t="s">
        <v>10</v>
      </c>
      <c r="G37" t="s">
        <v>18</v>
      </c>
      <c r="H37" t="s">
        <v>35</v>
      </c>
      <c r="I37" s="3">
        <f>'2015'!I37*0.013453</f>
        <v>9.7803310000000003</v>
      </c>
      <c r="J37" s="2">
        <f t="shared" si="0"/>
        <v>5.8479532163742695E-3</v>
      </c>
      <c r="K37" t="str">
        <f t="shared" si="1"/>
        <v>Commercial - $10M (.58%)</v>
      </c>
      <c r="M37">
        <v>22</v>
      </c>
      <c r="N37" s="1">
        <v>312</v>
      </c>
    </row>
    <row r="38" spans="1:14" x14ac:dyDescent="0.25">
      <c r="A38">
        <v>9</v>
      </c>
      <c r="B38">
        <v>37</v>
      </c>
      <c r="C38" s="4">
        <f>IF(ISNUMBER(VLOOKUP(B38,$E$2:$I$1048576,5)), VLOOKUP(B38,$E$2:$I$1048576,5), 0)</f>
        <v>4.6009260000000003</v>
      </c>
      <c r="E38">
        <v>36</v>
      </c>
      <c r="F38" t="s">
        <v>10</v>
      </c>
      <c r="G38" t="s">
        <v>18</v>
      </c>
      <c r="H38" t="s">
        <v>36</v>
      </c>
      <c r="I38" s="3">
        <f>'2015'!I38*0.013453</f>
        <v>3.7802929999999999</v>
      </c>
      <c r="J38" s="2">
        <f t="shared" si="0"/>
        <v>2.2603505554348964E-3</v>
      </c>
      <c r="K38" t="str">
        <f t="shared" si="1"/>
        <v>Medicare - $4M (.23%)</v>
      </c>
      <c r="M38">
        <v>23</v>
      </c>
      <c r="N38" s="1">
        <v>28</v>
      </c>
    </row>
    <row r="39" spans="1:14" x14ac:dyDescent="0.25">
      <c r="A39">
        <v>9</v>
      </c>
      <c r="B39">
        <v>38</v>
      </c>
      <c r="C39" s="4">
        <f>IF(ISNUMBER(VLOOKUP(B39,$E$2:$I$1048576,5)), VLOOKUP(B39,$E$2:$I$1048576,5), 0)</f>
        <v>0.26905999999999997</v>
      </c>
      <c r="E39">
        <v>37</v>
      </c>
      <c r="F39" t="s">
        <v>10</v>
      </c>
      <c r="G39" t="s">
        <v>18</v>
      </c>
      <c r="H39" t="s">
        <v>37</v>
      </c>
      <c r="I39" s="3">
        <f>'2015'!I39*0.013453</f>
        <v>4.6009260000000003</v>
      </c>
      <c r="J39" s="2">
        <f t="shared" si="0"/>
        <v>2.7510316368638244E-3</v>
      </c>
      <c r="K39" t="str">
        <f t="shared" si="1"/>
        <v>Medicaid - $5M (.28%)</v>
      </c>
      <c r="M39">
        <v>24</v>
      </c>
      <c r="N39" s="1">
        <v>362</v>
      </c>
    </row>
    <row r="40" spans="1:14" x14ac:dyDescent="0.25">
      <c r="A40">
        <v>9</v>
      </c>
      <c r="B40">
        <v>39</v>
      </c>
      <c r="C40" s="4">
        <f>IF(ISNUMBER(VLOOKUP(B40,$E$2:$I$1048576,5)), VLOOKUP(B40,$E$2:$I$1048576,5), 0)</f>
        <v>3.9686349999999999</v>
      </c>
      <c r="E40">
        <v>38</v>
      </c>
      <c r="F40" t="s">
        <v>10</v>
      </c>
      <c r="G40" t="s">
        <v>18</v>
      </c>
      <c r="H40" t="s">
        <v>38</v>
      </c>
      <c r="I40" s="3">
        <f>'2015'!I40*0.013453</f>
        <v>0.26905999999999997</v>
      </c>
      <c r="J40" s="2">
        <f t="shared" si="0"/>
        <v>1.6087904309145169E-4</v>
      </c>
      <c r="K40" t="str">
        <f t="shared" si="1"/>
        <v>Other Public Insurance - $M (.02%)</v>
      </c>
      <c r="M40">
        <v>6</v>
      </c>
      <c r="N40" s="1">
        <v>20701</v>
      </c>
    </row>
    <row r="41" spans="1:14" x14ac:dyDescent="0.25">
      <c r="A41">
        <v>26</v>
      </c>
      <c r="B41">
        <v>40</v>
      </c>
      <c r="C41" s="4">
        <f>IF(ISNUMBER(VLOOKUP(A41,$E$2:$I$1048576,5)), VLOOKUP(A41,$E$2:$I$1048576,5), 0)</f>
        <v>141.673543</v>
      </c>
      <c r="E41">
        <v>39</v>
      </c>
      <c r="F41" t="s">
        <v>10</v>
      </c>
      <c r="G41" t="s">
        <v>18</v>
      </c>
      <c r="H41" t="s">
        <v>39</v>
      </c>
      <c r="I41" s="3">
        <f>'2015'!I41*0.013453</f>
        <v>3.9686349999999999</v>
      </c>
      <c r="J41" s="2">
        <f t="shared" si="0"/>
        <v>2.3729658855989127E-3</v>
      </c>
      <c r="K41" t="str">
        <f t="shared" si="1"/>
        <v>Uninsured - $4M (.24%)</v>
      </c>
      <c r="M41">
        <v>0</v>
      </c>
      <c r="N41" s="1">
        <v>124317</v>
      </c>
    </row>
    <row r="42" spans="1:14" x14ac:dyDescent="0.25">
      <c r="A42">
        <v>27</v>
      </c>
      <c r="B42">
        <v>40</v>
      </c>
      <c r="C42" s="4">
        <f>IF(ISNUMBER(VLOOKUP(A42,$E$2:$I$1048576,5)), VLOOKUP(A42,$E$2:$I$1048576,5), 0)</f>
        <v>79.399605999999991</v>
      </c>
      <c r="E42">
        <v>40</v>
      </c>
      <c r="H42" t="s">
        <v>41</v>
      </c>
      <c r="I42" s="3">
        <f>'2015'!I42*0.013453</f>
        <v>491.94930399999998</v>
      </c>
      <c r="J42" s="2">
        <f t="shared" si="0"/>
        <v>0.29415124238841028</v>
      </c>
      <c r="K42" t="str">
        <f t="shared" si="1"/>
        <v>Federal, State, and Local Governments - $492M (29.42%)</v>
      </c>
      <c r="M42">
        <v>40</v>
      </c>
      <c r="N42" s="1">
        <v>36568</v>
      </c>
    </row>
    <row r="43" spans="1:14" x14ac:dyDescent="0.25">
      <c r="A43">
        <v>28</v>
      </c>
      <c r="B43">
        <v>40</v>
      </c>
      <c r="C43" s="4">
        <f>IF(ISNUMBER(VLOOKUP(A43,$E$2:$I$1048576,5)), VLOOKUP(A43,$E$2:$I$1048576,5), 0)</f>
        <v>4.6412849999999999</v>
      </c>
      <c r="E43">
        <v>41</v>
      </c>
      <c r="H43" t="s">
        <v>42</v>
      </c>
      <c r="I43" s="3">
        <f>'2015'!I43*0.013453</f>
        <v>1180.4872969999999</v>
      </c>
      <c r="J43" s="2">
        <f t="shared" si="0"/>
        <v>0.70584875761158972</v>
      </c>
      <c r="K43" t="str">
        <f>CONCATENATE(H43," - ",TEXT(I43,"$#,###"),IF(I43="N/A","","M"), " (", TEXT(J43,"##.##%"), ")")</f>
        <v>Private Sector and Individuals - $1,180M (70.58%)</v>
      </c>
      <c r="M43">
        <v>41</v>
      </c>
      <c r="N43" s="1">
        <v>87749</v>
      </c>
    </row>
    <row r="44" spans="1:14" x14ac:dyDescent="0.25">
      <c r="A44">
        <v>31</v>
      </c>
      <c r="B44">
        <v>40</v>
      </c>
      <c r="C44" s="4">
        <f>IF(ISNUMBER(VLOOKUP(A44,$E$2:$I$1048576,5)), VLOOKUP(A44,$E$2:$I$1048576,5), 0)</f>
        <v>0</v>
      </c>
    </row>
    <row r="45" spans="1:14" x14ac:dyDescent="0.25">
      <c r="A45">
        <v>32</v>
      </c>
      <c r="B45">
        <v>40</v>
      </c>
      <c r="C45" s="4">
        <f>IF(ISNUMBER(VLOOKUP(A45,$E$2:$I$1048576,5)), VLOOKUP(A45,$E$2:$I$1048576,5), 0)</f>
        <v>6.6592349999999998</v>
      </c>
    </row>
    <row r="46" spans="1:14" x14ac:dyDescent="0.25">
      <c r="A46">
        <v>33</v>
      </c>
      <c r="B46">
        <v>40</v>
      </c>
      <c r="C46" s="4">
        <f>IF(ISNUMBER(VLOOKUP(A46,$E$2:$I$1048576,5)), VLOOKUP(A46,$E$2:$I$1048576,5), 0)</f>
        <v>8.0717999999999998E-2</v>
      </c>
    </row>
    <row r="47" spans="1:14" x14ac:dyDescent="0.25">
      <c r="A47">
        <v>36</v>
      </c>
      <c r="B47">
        <v>40</v>
      </c>
      <c r="C47" s="4">
        <f>IF(ISNUMBER(VLOOKUP(A47,$E$2:$I$1048576,5)), VLOOKUP(A47,$E$2:$I$1048576,5), 0)</f>
        <v>3.7802929999999999</v>
      </c>
    </row>
    <row r="48" spans="1:14" x14ac:dyDescent="0.25">
      <c r="A48">
        <v>37</v>
      </c>
      <c r="B48">
        <v>40</v>
      </c>
      <c r="C48" s="4">
        <f>IF(ISNUMBER(VLOOKUP(A48,$E$2:$I$1048576,5)), VLOOKUP(A48,$E$2:$I$1048576,5), 0)</f>
        <v>4.6009260000000003</v>
      </c>
    </row>
    <row r="49" spans="1:3" x14ac:dyDescent="0.25">
      <c r="A49">
        <v>38</v>
      </c>
      <c r="B49">
        <v>40</v>
      </c>
      <c r="C49" s="4">
        <f>IF(ISNUMBER(VLOOKUP(A49,$E$2:$I$1048576,5)), VLOOKUP(A49,$E$2:$I$1048576,5), 0)</f>
        <v>0.26905999999999997</v>
      </c>
    </row>
    <row r="50" spans="1:3" x14ac:dyDescent="0.25">
      <c r="A50">
        <v>12</v>
      </c>
      <c r="B50">
        <v>40</v>
      </c>
      <c r="C50" s="4">
        <f>IF(ISNUMBER(VLOOKUP(A50,$E$2:$I$1048576,5)), VLOOKUP(A50,$E$2:$I$1048576,5), 0)</f>
        <v>40.533889000000002</v>
      </c>
    </row>
    <row r="51" spans="1:3" x14ac:dyDescent="0.25">
      <c r="A51">
        <v>13</v>
      </c>
      <c r="B51">
        <v>40</v>
      </c>
      <c r="C51" s="4">
        <f>IF(ISNUMBER(VLOOKUP(A51,$E$2:$I$1048576,5)), VLOOKUP(A51,$E$2:$I$1048576,5), 0)</f>
        <v>18.228815000000001</v>
      </c>
    </row>
    <row r="52" spans="1:3" x14ac:dyDescent="0.25">
      <c r="A52">
        <v>15</v>
      </c>
      <c r="B52">
        <v>40</v>
      </c>
      <c r="C52" s="4">
        <f>IF(ISNUMBER(VLOOKUP(A52,$E$2:$I$1048576,5)), VLOOKUP(A52,$E$2:$I$1048576,5), 0)</f>
        <v>47.946491999999999</v>
      </c>
    </row>
    <row r="53" spans="1:3" x14ac:dyDescent="0.25">
      <c r="A53">
        <v>16</v>
      </c>
      <c r="B53">
        <v>40</v>
      </c>
      <c r="C53" s="4">
        <f>IF(ISNUMBER(VLOOKUP(A53,$E$2:$I$1048576,5)), VLOOKUP(A53,$E$2:$I$1048576,5), 0)</f>
        <v>17.663789000000001</v>
      </c>
    </row>
    <row r="54" spans="1:3" x14ac:dyDescent="0.25">
      <c r="A54">
        <v>17</v>
      </c>
      <c r="B54">
        <v>40</v>
      </c>
      <c r="C54" s="4">
        <f>IF(ISNUMBER(VLOOKUP(A54,$E$2:$I$1048576,5)), VLOOKUP(A54,$E$2:$I$1048576,5), 0)</f>
        <v>48.968919999999997</v>
      </c>
    </row>
    <row r="55" spans="1:3" x14ac:dyDescent="0.25">
      <c r="A55">
        <v>18</v>
      </c>
      <c r="B55">
        <v>40</v>
      </c>
      <c r="C55" s="4">
        <f>IF(ISNUMBER(VLOOKUP(A55,$E$2:$I$1048576,5)), VLOOKUP(A55,$E$2:$I$1048576,5), 0)</f>
        <v>9.5247239999999991</v>
      </c>
    </row>
    <row r="56" spans="1:3" x14ac:dyDescent="0.25">
      <c r="A56">
        <v>19</v>
      </c>
      <c r="B56">
        <v>40</v>
      </c>
      <c r="C56" s="4">
        <f>IF(ISNUMBER(VLOOKUP(A56,$E$2:$I$1048576,5)), VLOOKUP(A56,$E$2:$I$1048576,5), 0)</f>
        <v>48.794030999999997</v>
      </c>
    </row>
    <row r="57" spans="1:3" x14ac:dyDescent="0.25">
      <c r="A57">
        <v>5</v>
      </c>
      <c r="B57">
        <v>40</v>
      </c>
      <c r="C57" s="4">
        <f>IF(ISNUMBER(VLOOKUP(A57,$E$2:$I$1048576,5)), VLOOKUP(A57,$E$2:$I$1048576,5), 0)</f>
        <v>19.183978</v>
      </c>
    </row>
    <row r="58" spans="1:3" x14ac:dyDescent="0.25">
      <c r="A58">
        <v>25</v>
      </c>
      <c r="B58">
        <v>41</v>
      </c>
      <c r="C58" s="4">
        <f>IF(ISNUMBER(VLOOKUP(A58,$E$2:$I$1048576,5)), VLOOKUP(A58,$E$2:$I$1048576,5), 0)</f>
        <v>168.794791</v>
      </c>
    </row>
    <row r="59" spans="1:3" x14ac:dyDescent="0.25">
      <c r="A59">
        <v>29</v>
      </c>
      <c r="B59">
        <v>41</v>
      </c>
      <c r="C59" s="4">
        <f>IF(ISNUMBER(VLOOKUP(A59,$E$2:$I$1048576,5)), VLOOKUP(A59,$E$2:$I$1048576,5), 0)</f>
        <v>68.381598999999994</v>
      </c>
    </row>
    <row r="60" spans="1:3" x14ac:dyDescent="0.25">
      <c r="A60">
        <v>30</v>
      </c>
      <c r="B60">
        <v>41</v>
      </c>
      <c r="C60" s="4">
        <f>IF(ISNUMBER(VLOOKUP(A60,$E$2:$I$1048576,5)), VLOOKUP(A60,$E$2:$I$1048576,5), 0)</f>
        <v>1.0224279999999999</v>
      </c>
    </row>
    <row r="61" spans="1:3" x14ac:dyDescent="0.25">
      <c r="A61">
        <v>34</v>
      </c>
      <c r="B61">
        <v>41</v>
      </c>
      <c r="C61" s="4">
        <f>IF(ISNUMBER(VLOOKUP(A61,$E$2:$I$1048576,5)), VLOOKUP(A61,$E$2:$I$1048576,5), 0)</f>
        <v>0.63229099999999994</v>
      </c>
    </row>
    <row r="62" spans="1:3" x14ac:dyDescent="0.25">
      <c r="A62">
        <v>35</v>
      </c>
      <c r="B62">
        <v>41</v>
      </c>
      <c r="C62" s="4">
        <f>IF(ISNUMBER(VLOOKUP(A62,$E$2:$I$1048576,5)), VLOOKUP(A62,$E$2:$I$1048576,5), 0)</f>
        <v>9.7803310000000003</v>
      </c>
    </row>
    <row r="63" spans="1:3" x14ac:dyDescent="0.25">
      <c r="A63">
        <v>39</v>
      </c>
      <c r="B63">
        <v>41</v>
      </c>
      <c r="C63" s="4">
        <f>IF(ISNUMBER(VLOOKUP(A63,$E$2:$I$1048576,5)), VLOOKUP(A63,$E$2:$I$1048576,5), 0)</f>
        <v>3.9686349999999999</v>
      </c>
    </row>
    <row r="64" spans="1:3" x14ac:dyDescent="0.25">
      <c r="A64">
        <v>10</v>
      </c>
      <c r="B64">
        <v>41</v>
      </c>
      <c r="C64" s="4">
        <f>IF(ISNUMBER(VLOOKUP(A64,$E$2:$I$1048576,5)), VLOOKUP(A64,$E$2:$I$1048576,5), 0)</f>
        <v>2.327369</v>
      </c>
    </row>
    <row r="65" spans="1:3" x14ac:dyDescent="0.25">
      <c r="A65">
        <v>11</v>
      </c>
      <c r="B65">
        <v>41</v>
      </c>
      <c r="C65" s="4">
        <f>IF(ISNUMBER(VLOOKUP(A65,$E$2:$I$1048576,5)), VLOOKUP(A65,$E$2:$I$1048576,5), 0)</f>
        <v>634.45693299999994</v>
      </c>
    </row>
    <row r="66" spans="1:3" x14ac:dyDescent="0.25">
      <c r="A66">
        <v>14</v>
      </c>
      <c r="B66">
        <v>41</v>
      </c>
      <c r="C66" s="4">
        <f>IF(ISNUMBER(VLOOKUP(A66,$E$2:$I$1048576,5)), VLOOKUP(A66,$E$2:$I$1048576,5), 0)</f>
        <v>12.618914</v>
      </c>
    </row>
    <row r="67" spans="1:3" x14ac:dyDescent="0.25">
      <c r="A67">
        <v>20</v>
      </c>
      <c r="B67">
        <v>41</v>
      </c>
      <c r="C67" s="4">
        <f>IF(ISNUMBER(VLOOKUP(A67,$E$2:$I$1048576,5)), VLOOKUP(A67,$E$2:$I$1048576,5), 0)</f>
        <v>224.92070699999999</v>
      </c>
    </row>
    <row r="68" spans="1:3" x14ac:dyDescent="0.25">
      <c r="A68">
        <v>21</v>
      </c>
      <c r="B68">
        <v>41</v>
      </c>
      <c r="C68" s="4">
        <f>IF(ISNUMBER(VLOOKUP(A68,$E$2:$I$1048576,5)), VLOOKUP(A68,$E$2:$I$1048576,5), 0)</f>
        <v>44.125839999999997</v>
      </c>
    </row>
    <row r="69" spans="1:3" x14ac:dyDescent="0.25">
      <c r="A69">
        <v>22</v>
      </c>
      <c r="B69">
        <v>41</v>
      </c>
      <c r="C69" s="4">
        <f>IF(ISNUMBER(VLOOKUP(A69,$E$2:$I$1048576,5)), VLOOKUP(A69,$E$2:$I$1048576,5), 0)</f>
        <v>4.197336</v>
      </c>
    </row>
    <row r="70" spans="1:3" x14ac:dyDescent="0.25">
      <c r="A70">
        <v>23</v>
      </c>
      <c r="B70">
        <v>41</v>
      </c>
      <c r="C70" s="4">
        <f>IF(ISNUMBER(VLOOKUP(A70,$E$2:$I$1048576,5)), VLOOKUP(A70,$E$2:$I$1048576,5), 0)</f>
        <v>0.37668400000000002</v>
      </c>
    </row>
    <row r="71" spans="1:3" x14ac:dyDescent="0.25">
      <c r="A71">
        <v>24</v>
      </c>
      <c r="B71">
        <v>41</v>
      </c>
      <c r="C71" s="4">
        <f>IF(ISNUMBER(VLOOKUP(A71,$E$2:$I$1048576,5)), VLOOKUP(A71,$E$2:$I$1048576,5), 0)</f>
        <v>4.8699859999999999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K5" sqref="K5"/>
    </sheetView>
  </sheetViews>
  <sheetFormatPr defaultRowHeight="15" x14ac:dyDescent="0.25"/>
  <cols>
    <col min="6" max="6" width="14.28515625" customWidth="1"/>
    <col min="7" max="7" width="11.5703125" customWidth="1"/>
    <col min="8" max="8" width="14.140625" customWidth="1"/>
    <col min="9" max="9" width="9.85546875" style="1" bestFit="1" customWidth="1"/>
    <col min="10" max="10" width="18.42578125" style="2" bestFit="1" customWidth="1"/>
    <col min="11" max="11" width="58.28515625" bestFit="1" customWidth="1"/>
    <col min="12" max="12" width="10.42578125" customWidth="1"/>
    <col min="13" max="13" width="1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  <c r="M1" t="s">
        <v>43</v>
      </c>
      <c r="N1" t="s">
        <v>44</v>
      </c>
    </row>
    <row r="2" spans="1:14" x14ac:dyDescent="0.25">
      <c r="A2">
        <v>0</v>
      </c>
      <c r="B2">
        <v>1</v>
      </c>
      <c r="C2">
        <f>IF(ISNUMBER(VLOOKUP(B2,$E$2:$I$1048576,5)), VLOOKUP(B2,$E$2:$I$1048576,5), 0)</f>
        <v>60365</v>
      </c>
      <c r="E2">
        <v>0</v>
      </c>
      <c r="H2" t="s">
        <v>9</v>
      </c>
      <c r="I2" s="1">
        <f>INDEX($M$2:$N$1048576, MATCH(E2,$M$2:$M$1048576, FALSE),2)</f>
        <v>179360</v>
      </c>
      <c r="J2" s="2">
        <f>I2/$I$2</f>
        <v>1</v>
      </c>
      <c r="K2" t="str">
        <f>CONCATENATE(H2," - ",TEXT(I2,"$#,###"),IF(I2="N/A","","M"), " (", TEXT(J2,"##.##%"), ")")</f>
        <v>Total Cost  - $179,360M (100.%)</v>
      </c>
      <c r="M2">
        <v>25</v>
      </c>
      <c r="N2" s="1">
        <v>17867</v>
      </c>
    </row>
    <row r="3" spans="1:14" x14ac:dyDescent="0.25">
      <c r="A3">
        <v>0</v>
      </c>
      <c r="B3">
        <v>2</v>
      </c>
      <c r="C3">
        <f>IF(ISNUMBER(VLOOKUP(B3,$E$2:$I$1048576,5)), VLOOKUP(B3,$E$2:$I$1048576,5), 0)</f>
        <v>72632</v>
      </c>
      <c r="E3">
        <v>1</v>
      </c>
      <c r="H3" t="s">
        <v>10</v>
      </c>
      <c r="I3" s="1">
        <f t="shared" ref="I3:I43" si="0">INDEX($M$2:$N$1048576, MATCH(E3,$M$2:$M$1048576, FALSE),2)</f>
        <v>60365</v>
      </c>
      <c r="J3" s="2">
        <f t="shared" ref="J3:J43" si="1">I3/$I$2</f>
        <v>0.33655776092774309</v>
      </c>
      <c r="K3" t="str">
        <f t="shared" ref="K3:K42" si="2">CONCATENATE(H3," - ",TEXT(I3,"$#,###"),IF(I3="N/A","","M"), " (", TEXT(J3,"##.##%"), ")")</f>
        <v>Healthcare - $60,365M (33.66%)</v>
      </c>
      <c r="M3">
        <v>26</v>
      </c>
      <c r="N3" s="1">
        <v>23162</v>
      </c>
    </row>
    <row r="4" spans="1:14" x14ac:dyDescent="0.25">
      <c r="A4">
        <v>0</v>
      </c>
      <c r="B4">
        <v>3</v>
      </c>
      <c r="C4">
        <f>IF(ISNUMBER(VLOOKUP(B4,$E$2:$I$1048576,5)), VLOOKUP(B4,$E$2:$I$1048576,5), 0)</f>
        <v>10905</v>
      </c>
      <c r="E4">
        <v>2</v>
      </c>
      <c r="H4" t="s">
        <v>11</v>
      </c>
      <c r="I4" s="1">
        <f t="shared" si="0"/>
        <v>72632</v>
      </c>
      <c r="J4" s="2">
        <f t="shared" si="1"/>
        <v>0.40495093666369314</v>
      </c>
      <c r="K4" t="str">
        <f t="shared" si="2"/>
        <v>Mortality - $72,632M (40.5%)</v>
      </c>
      <c r="M4">
        <v>27</v>
      </c>
      <c r="N4" s="1">
        <v>8294</v>
      </c>
    </row>
    <row r="5" spans="1:14" x14ac:dyDescent="0.25">
      <c r="A5">
        <v>0</v>
      </c>
      <c r="B5">
        <v>4</v>
      </c>
      <c r="C5">
        <f>IF(ISNUMBER(VLOOKUP(B5,$E$2:$I$1048576,5)), VLOOKUP(B5,$E$2:$I$1048576,5), 0)</f>
        <v>7753</v>
      </c>
      <c r="E5">
        <v>3</v>
      </c>
      <c r="H5" t="s">
        <v>12</v>
      </c>
      <c r="I5" s="1">
        <f t="shared" si="0"/>
        <v>10905</v>
      </c>
      <c r="J5" s="2">
        <f t="shared" si="1"/>
        <v>6.0799509366636931E-2</v>
      </c>
      <c r="K5" t="str">
        <f t="shared" si="2"/>
        <v>Criminal Justice - $10,905M (6.08%)</v>
      </c>
      <c r="M5">
        <v>28</v>
      </c>
      <c r="N5" s="1">
        <v>523</v>
      </c>
    </row>
    <row r="6" spans="1:14" x14ac:dyDescent="0.25">
      <c r="A6">
        <v>0</v>
      </c>
      <c r="B6">
        <v>5</v>
      </c>
      <c r="C6">
        <f>IF(ISNUMBER(VLOOKUP(B6,$E$2:$I$1048576,5)), VLOOKUP(B6,$E$2:$I$1048576,5), 0)</f>
        <v>1244</v>
      </c>
      <c r="E6">
        <v>4</v>
      </c>
      <c r="H6" t="s">
        <v>13</v>
      </c>
      <c r="I6" s="1">
        <f t="shared" si="0"/>
        <v>7753</v>
      </c>
      <c r="J6" s="2">
        <f t="shared" si="1"/>
        <v>4.3225914362176626E-2</v>
      </c>
      <c r="K6" t="str">
        <f t="shared" si="2"/>
        <v>Child and Family Assistance - $7,753M (4.32%)</v>
      </c>
      <c r="M6">
        <v>29</v>
      </c>
      <c r="N6" s="1">
        <v>7095</v>
      </c>
    </row>
    <row r="7" spans="1:14" x14ac:dyDescent="0.25">
      <c r="A7">
        <v>0</v>
      </c>
      <c r="B7">
        <v>6</v>
      </c>
      <c r="C7">
        <f>IF(ISNUMBER(VLOOKUP(B7,$E$2:$I$1048576,5)), VLOOKUP(B7,$E$2:$I$1048576,5), 0)</f>
        <v>26462</v>
      </c>
      <c r="E7">
        <v>5</v>
      </c>
      <c r="H7" t="s">
        <v>14</v>
      </c>
      <c r="I7" s="1">
        <f t="shared" si="0"/>
        <v>1244</v>
      </c>
      <c r="J7" s="2">
        <f t="shared" si="1"/>
        <v>6.9357716324710082E-3</v>
      </c>
      <c r="K7" t="str">
        <f t="shared" si="2"/>
        <v>Education - $1,244M (.69%)</v>
      </c>
      <c r="M7">
        <v>7</v>
      </c>
      <c r="N7" s="1">
        <v>56941</v>
      </c>
    </row>
    <row r="8" spans="1:14" x14ac:dyDescent="0.25">
      <c r="A8">
        <v>1</v>
      </c>
      <c r="B8">
        <v>7</v>
      </c>
      <c r="C8">
        <f>IF(ISNUMBER(VLOOKUP(B8,$E$2:$I$1048576,5)), VLOOKUP(B8,$E$2:$I$1048576,5), 0)</f>
        <v>56941</v>
      </c>
      <c r="E8">
        <v>6</v>
      </c>
      <c r="H8" t="s">
        <v>15</v>
      </c>
      <c r="I8" s="1">
        <f t="shared" si="0"/>
        <v>26462</v>
      </c>
      <c r="J8" s="2">
        <f t="shared" si="1"/>
        <v>0.147535682426405</v>
      </c>
      <c r="K8" t="str">
        <f t="shared" si="2"/>
        <v>Lost Productivity - $26,462M (14.75%)</v>
      </c>
      <c r="M8">
        <v>30</v>
      </c>
      <c r="N8" s="1">
        <v>92</v>
      </c>
    </row>
    <row r="9" spans="1:14" x14ac:dyDescent="0.25">
      <c r="A9">
        <v>1</v>
      </c>
      <c r="B9">
        <v>8</v>
      </c>
      <c r="C9">
        <f>IF(ISNUMBER(VLOOKUP(B9,$E$2:$I$1048576,5)), VLOOKUP(B9,$E$2:$I$1048576,5), 0)</f>
        <v>801</v>
      </c>
      <c r="E9">
        <v>7</v>
      </c>
      <c r="F9" t="s">
        <v>10</v>
      </c>
      <c r="H9" t="s">
        <v>16</v>
      </c>
      <c r="I9" s="1">
        <f t="shared" si="0"/>
        <v>56941</v>
      </c>
      <c r="J9" s="2">
        <f t="shared" si="1"/>
        <v>0.31746766280107047</v>
      </c>
      <c r="K9" t="str">
        <f t="shared" si="2"/>
        <v>For individuals with OUD - $56,941M (31.75%)</v>
      </c>
      <c r="M9">
        <v>31</v>
      </c>
      <c r="N9" s="1" t="s">
        <v>40</v>
      </c>
    </row>
    <row r="10" spans="1:14" x14ac:dyDescent="0.25">
      <c r="A10">
        <v>1</v>
      </c>
      <c r="B10">
        <v>9</v>
      </c>
      <c r="C10">
        <f>IF(ISNUMBER(VLOOKUP(B10,$E$2:$I$1048576,5)), VLOOKUP(B10,$E$2:$I$1048576,5), 0)</f>
        <v>2623</v>
      </c>
      <c r="E10">
        <v>8</v>
      </c>
      <c r="F10" t="s">
        <v>10</v>
      </c>
      <c r="H10" t="s">
        <v>17</v>
      </c>
      <c r="I10" s="1">
        <f t="shared" si="0"/>
        <v>801</v>
      </c>
      <c r="J10" s="2">
        <f t="shared" si="1"/>
        <v>4.4658786797502226E-3</v>
      </c>
      <c r="K10" t="str">
        <f t="shared" si="2"/>
        <v>For infants born with NAS or NOWS - $801M (.45%)</v>
      </c>
      <c r="M10">
        <v>32</v>
      </c>
      <c r="N10" s="1">
        <v>642</v>
      </c>
    </row>
    <row r="11" spans="1:14" x14ac:dyDescent="0.25">
      <c r="A11">
        <v>2</v>
      </c>
      <c r="B11">
        <v>10</v>
      </c>
      <c r="C11">
        <f>IF(ISNUMBER(VLOOKUP(B11,$E$2:$I$1048576,5)), VLOOKUP(B11,$E$2:$I$1048576,5), 0)</f>
        <v>264</v>
      </c>
      <c r="E11">
        <v>9</v>
      </c>
      <c r="F11" t="s">
        <v>10</v>
      </c>
      <c r="H11" t="s">
        <v>18</v>
      </c>
      <c r="I11" s="1">
        <f t="shared" si="0"/>
        <v>2623</v>
      </c>
      <c r="J11" s="2">
        <f t="shared" si="1"/>
        <v>1.4624219446922391E-2</v>
      </c>
      <c r="K11" t="str">
        <f t="shared" si="2"/>
        <v>For family members of individual with OUD - $2,623M (1.46%)</v>
      </c>
      <c r="M11">
        <v>33</v>
      </c>
      <c r="N11" s="1">
        <v>7</v>
      </c>
    </row>
    <row r="12" spans="1:14" x14ac:dyDescent="0.25">
      <c r="A12">
        <v>2</v>
      </c>
      <c r="B12">
        <v>11</v>
      </c>
      <c r="C12">
        <f>IF(ISNUMBER(VLOOKUP(B12,$E$2:$I$1048576,5)), VLOOKUP(B12,$E$2:$I$1048576,5), 0)</f>
        <v>72368</v>
      </c>
      <c r="E12">
        <v>10</v>
      </c>
      <c r="F12" t="s">
        <v>11</v>
      </c>
      <c r="H12" t="s">
        <v>19</v>
      </c>
      <c r="I12" s="1">
        <f t="shared" si="0"/>
        <v>264</v>
      </c>
      <c r="J12" s="2">
        <f t="shared" si="1"/>
        <v>1.4719000892060661E-3</v>
      </c>
      <c r="K12" t="str">
        <f t="shared" si="2"/>
        <v>Medical Costs - $264M (.15%)</v>
      </c>
      <c r="M12">
        <v>34</v>
      </c>
      <c r="N12" s="1">
        <v>61</v>
      </c>
    </row>
    <row r="13" spans="1:14" x14ac:dyDescent="0.25">
      <c r="A13">
        <v>3</v>
      </c>
      <c r="B13">
        <v>12</v>
      </c>
      <c r="C13">
        <f>IF(ISNUMBER(VLOOKUP(B13,$E$2:$I$1048576,5)), VLOOKUP(B13,$E$2:$I$1048576,5), 0)</f>
        <v>4114</v>
      </c>
      <c r="E13">
        <v>11</v>
      </c>
      <c r="F13" t="s">
        <v>11</v>
      </c>
      <c r="H13" t="s">
        <v>20</v>
      </c>
      <c r="I13" s="1">
        <f t="shared" si="0"/>
        <v>72368</v>
      </c>
      <c r="J13" s="2">
        <f t="shared" si="1"/>
        <v>0.40347903657448708</v>
      </c>
      <c r="K13" t="str">
        <f t="shared" si="2"/>
        <v>Lost Lifetime Earnings - $72,368M (40.35%)</v>
      </c>
      <c r="M13">
        <v>8</v>
      </c>
      <c r="N13" s="1">
        <v>801</v>
      </c>
    </row>
    <row r="14" spans="1:14" x14ac:dyDescent="0.25">
      <c r="A14">
        <v>3</v>
      </c>
      <c r="B14">
        <v>13</v>
      </c>
      <c r="C14">
        <f>IF(ISNUMBER(VLOOKUP(B14,$E$2:$I$1048576,5)), VLOOKUP(B14,$E$2:$I$1048576,5), 0)</f>
        <v>1791</v>
      </c>
      <c r="E14">
        <v>12</v>
      </c>
      <c r="F14" t="s">
        <v>12</v>
      </c>
      <c r="H14" t="s">
        <v>21</v>
      </c>
      <c r="I14" s="1">
        <f t="shared" si="0"/>
        <v>4114</v>
      </c>
      <c r="J14" s="2">
        <f t="shared" si="1"/>
        <v>2.2937109723461194E-2</v>
      </c>
      <c r="K14" t="str">
        <f t="shared" si="2"/>
        <v>Police Protection - $4,114M (2.29%)</v>
      </c>
      <c r="M14">
        <v>35</v>
      </c>
      <c r="N14" s="1">
        <v>1054</v>
      </c>
    </row>
    <row r="15" spans="1:14" x14ac:dyDescent="0.25">
      <c r="A15">
        <v>3</v>
      </c>
      <c r="B15">
        <v>14</v>
      </c>
      <c r="C15">
        <f>IF(ISNUMBER(VLOOKUP(B15,$E$2:$I$1048576,5)), VLOOKUP(B15,$E$2:$I$1048576,5), 0)</f>
        <v>867</v>
      </c>
      <c r="E15">
        <v>13</v>
      </c>
      <c r="F15" t="s">
        <v>12</v>
      </c>
      <c r="H15" t="s">
        <v>22</v>
      </c>
      <c r="I15" s="1">
        <f t="shared" si="0"/>
        <v>1791</v>
      </c>
      <c r="J15" s="2">
        <f t="shared" si="1"/>
        <v>9.9855040142729709E-3</v>
      </c>
      <c r="K15" t="str">
        <f t="shared" si="2"/>
        <v>Legal and Adjudication Activities - $1,791M (1.%)</v>
      </c>
      <c r="M15">
        <v>36</v>
      </c>
      <c r="N15" s="1">
        <v>630</v>
      </c>
    </row>
    <row r="16" spans="1:14" x14ac:dyDescent="0.25">
      <c r="A16">
        <v>3</v>
      </c>
      <c r="B16">
        <v>15</v>
      </c>
      <c r="C16">
        <f>IF(ISNUMBER(VLOOKUP(B16,$E$2:$I$1048576,5)), VLOOKUP(B16,$E$2:$I$1048576,5), 0)</f>
        <v>4133</v>
      </c>
      <c r="E16">
        <v>14</v>
      </c>
      <c r="F16" t="s">
        <v>12</v>
      </c>
      <c r="H16" t="s">
        <v>23</v>
      </c>
      <c r="I16" s="1">
        <f t="shared" si="0"/>
        <v>867</v>
      </c>
      <c r="J16" s="2">
        <f t="shared" si="1"/>
        <v>4.8338537020517396E-3</v>
      </c>
      <c r="K16" t="str">
        <f t="shared" si="2"/>
        <v>Property Lost Due to Crime - $867M (.48%)</v>
      </c>
      <c r="M16">
        <v>37</v>
      </c>
      <c r="N16" s="1">
        <v>489</v>
      </c>
    </row>
    <row r="17" spans="1:14" x14ac:dyDescent="0.25">
      <c r="A17">
        <v>4</v>
      </c>
      <c r="B17">
        <v>16</v>
      </c>
      <c r="C17">
        <f>IF(ISNUMBER(VLOOKUP(B17,$E$2:$I$1048576,5)), VLOOKUP(B17,$E$2:$I$1048576,5), 0)</f>
        <v>1299</v>
      </c>
      <c r="E17">
        <v>15</v>
      </c>
      <c r="F17" t="s">
        <v>12</v>
      </c>
      <c r="H17" t="s">
        <v>24</v>
      </c>
      <c r="I17" s="1">
        <f t="shared" si="0"/>
        <v>4133</v>
      </c>
      <c r="J17" s="2">
        <f t="shared" si="1"/>
        <v>2.3043041926851027E-2</v>
      </c>
      <c r="K17" t="str">
        <f t="shared" si="2"/>
        <v>Correctional Facilities - $4,133M (2.3%)</v>
      </c>
      <c r="M17">
        <v>38</v>
      </c>
      <c r="N17" s="1">
        <v>31</v>
      </c>
    </row>
    <row r="18" spans="1:14" x14ac:dyDescent="0.25">
      <c r="A18">
        <v>4</v>
      </c>
      <c r="B18">
        <v>17</v>
      </c>
      <c r="C18">
        <f>IF(ISNUMBER(VLOOKUP(B18,$E$2:$I$1048576,5)), VLOOKUP(B18,$E$2:$I$1048576,5), 0)</f>
        <v>2683</v>
      </c>
      <c r="E18">
        <v>16</v>
      </c>
      <c r="F18" t="s">
        <v>25</v>
      </c>
      <c r="H18" t="s">
        <v>26</v>
      </c>
      <c r="I18" s="1">
        <f t="shared" si="0"/>
        <v>1299</v>
      </c>
      <c r="J18" s="2">
        <f t="shared" si="1"/>
        <v>7.2424174843889388E-3</v>
      </c>
      <c r="K18" t="str">
        <f t="shared" si="2"/>
        <v>Child Welfare - $1,299M (.72%)</v>
      </c>
      <c r="M18">
        <v>39</v>
      </c>
      <c r="N18" s="1">
        <v>419</v>
      </c>
    </row>
    <row r="19" spans="1:14" x14ac:dyDescent="0.25">
      <c r="A19">
        <v>4</v>
      </c>
      <c r="B19">
        <v>18</v>
      </c>
      <c r="C19">
        <f>IF(ISNUMBER(VLOOKUP(B19,$E$2:$I$1048576,5)), VLOOKUP(B19,$E$2:$I$1048576,5), 0)</f>
        <v>582</v>
      </c>
      <c r="E19">
        <v>17</v>
      </c>
      <c r="F19" t="s">
        <v>25</v>
      </c>
      <c r="H19" t="s">
        <v>27</v>
      </c>
      <c r="I19" s="1">
        <f t="shared" si="0"/>
        <v>2683</v>
      </c>
      <c r="J19" s="2">
        <f t="shared" si="1"/>
        <v>1.4958742194469224E-2</v>
      </c>
      <c r="K19" t="str">
        <f t="shared" si="2"/>
        <v>Food and Nutritional Assistance - $2,683M (1.5%)</v>
      </c>
      <c r="M19">
        <v>9</v>
      </c>
      <c r="N19" s="1">
        <v>2623</v>
      </c>
    </row>
    <row r="20" spans="1:14" x14ac:dyDescent="0.25">
      <c r="A20">
        <v>4</v>
      </c>
      <c r="B20">
        <v>19</v>
      </c>
      <c r="C20">
        <f>IF(ISNUMBER(VLOOKUP(B20,$E$2:$I$1048576,5)), VLOOKUP(B20,$E$2:$I$1048576,5), 0)</f>
        <v>3189</v>
      </c>
      <c r="E20">
        <v>18</v>
      </c>
      <c r="F20" t="s">
        <v>25</v>
      </c>
      <c r="H20" t="s">
        <v>28</v>
      </c>
      <c r="I20" s="1">
        <f t="shared" si="0"/>
        <v>582</v>
      </c>
      <c r="J20" s="2">
        <f t="shared" si="1"/>
        <v>3.2448706512042819E-3</v>
      </c>
      <c r="K20" t="str">
        <f t="shared" si="2"/>
        <v>Income Assistance - $582M (.32%)</v>
      </c>
      <c r="M20">
        <v>1</v>
      </c>
      <c r="N20" s="1">
        <v>60365</v>
      </c>
    </row>
    <row r="21" spans="1:14" x14ac:dyDescent="0.25">
      <c r="A21">
        <v>6</v>
      </c>
      <c r="B21">
        <v>20</v>
      </c>
      <c r="C21">
        <f>IF(ISNUMBER(VLOOKUP(B21,$E$2:$I$1048576,5)), VLOOKUP(B21,$E$2:$I$1048576,5), 0)</f>
        <v>21852</v>
      </c>
      <c r="E21">
        <v>19</v>
      </c>
      <c r="F21" t="s">
        <v>25</v>
      </c>
      <c r="H21" t="s">
        <v>29</v>
      </c>
      <c r="I21" s="1">
        <f t="shared" si="0"/>
        <v>3189</v>
      </c>
      <c r="J21" s="2">
        <f t="shared" si="1"/>
        <v>1.7779884032114182E-2</v>
      </c>
      <c r="K21" t="str">
        <f t="shared" si="2"/>
        <v>Housing/Homelessness Assistance - $3,189M (1.78%)</v>
      </c>
      <c r="M21">
        <v>10</v>
      </c>
      <c r="N21" s="1">
        <v>264</v>
      </c>
    </row>
    <row r="22" spans="1:14" x14ac:dyDescent="0.25">
      <c r="A22">
        <v>6</v>
      </c>
      <c r="B22">
        <v>21</v>
      </c>
      <c r="C22">
        <f>IF(ISNUMBER(VLOOKUP(B22,$E$2:$I$1048576,5)), VLOOKUP(B22,$E$2:$I$1048576,5), 0)</f>
        <v>3655</v>
      </c>
      <c r="E22">
        <v>20</v>
      </c>
      <c r="F22" t="s">
        <v>15</v>
      </c>
      <c r="H22" t="s">
        <v>30</v>
      </c>
      <c r="I22" s="1">
        <f t="shared" si="0"/>
        <v>21852</v>
      </c>
      <c r="J22" s="2">
        <f t="shared" si="1"/>
        <v>0.12183318465655664</v>
      </c>
      <c r="K22" t="str">
        <f t="shared" si="2"/>
        <v>Reduced Labor Force Participation and Absenteeism - $21,852M (12.18%)</v>
      </c>
      <c r="M22">
        <v>11</v>
      </c>
      <c r="N22" s="1">
        <v>72368</v>
      </c>
    </row>
    <row r="23" spans="1:14" x14ac:dyDescent="0.25">
      <c r="A23">
        <v>6</v>
      </c>
      <c r="B23">
        <v>22</v>
      </c>
      <c r="C23">
        <f>IF(ISNUMBER(VLOOKUP(B23,$E$2:$I$1048576,5)), VLOOKUP(B23,$E$2:$I$1048576,5), 0)</f>
        <v>417</v>
      </c>
      <c r="E23">
        <v>21</v>
      </c>
      <c r="F23" t="s">
        <v>15</v>
      </c>
      <c r="H23" t="s">
        <v>31</v>
      </c>
      <c r="I23" s="1">
        <f t="shared" si="0"/>
        <v>3655</v>
      </c>
      <c r="J23" s="2">
        <f t="shared" si="1"/>
        <v>2.037801070472792E-2</v>
      </c>
      <c r="K23" t="str">
        <f t="shared" si="2"/>
        <v>Incarceration - $3,655M (2.04%)</v>
      </c>
      <c r="M23">
        <v>2</v>
      </c>
      <c r="N23" s="1">
        <v>72632</v>
      </c>
    </row>
    <row r="24" spans="1:14" x14ac:dyDescent="0.25">
      <c r="A24">
        <v>6</v>
      </c>
      <c r="B24">
        <v>23</v>
      </c>
      <c r="C24">
        <f>IF(ISNUMBER(VLOOKUP(B24,$E$2:$I$1048576,5)), VLOOKUP(B24,$E$2:$I$1048576,5), 0)</f>
        <v>38</v>
      </c>
      <c r="E24">
        <v>22</v>
      </c>
      <c r="F24" t="s">
        <v>15</v>
      </c>
      <c r="H24" t="s">
        <v>32</v>
      </c>
      <c r="I24" s="1">
        <f t="shared" si="0"/>
        <v>417</v>
      </c>
      <c r="J24" s="2">
        <f t="shared" si="1"/>
        <v>2.3249330954504908E-3</v>
      </c>
      <c r="K24" t="str">
        <f t="shared" si="2"/>
        <v>Short-Term Disability - $417M (.23%)</v>
      </c>
      <c r="M24">
        <v>12</v>
      </c>
      <c r="N24" s="1">
        <v>4114</v>
      </c>
    </row>
    <row r="25" spans="1:14" x14ac:dyDescent="0.25">
      <c r="A25">
        <v>6</v>
      </c>
      <c r="B25">
        <v>24</v>
      </c>
      <c r="C25">
        <f>IF(ISNUMBER(VLOOKUP(B25,$E$2:$I$1048576,5)), VLOOKUP(B25,$E$2:$I$1048576,5), 0)</f>
        <v>500</v>
      </c>
      <c r="E25">
        <v>23</v>
      </c>
      <c r="F25" t="s">
        <v>15</v>
      </c>
      <c r="H25" t="s">
        <v>33</v>
      </c>
      <c r="I25" s="1">
        <f t="shared" si="0"/>
        <v>38</v>
      </c>
      <c r="J25" s="2">
        <f t="shared" si="1"/>
        <v>2.1186440677966101E-4</v>
      </c>
      <c r="K25" t="str">
        <f t="shared" si="2"/>
        <v>Long-Term Disability - $38M (.02%)</v>
      </c>
      <c r="M25">
        <v>13</v>
      </c>
      <c r="N25" s="1">
        <v>1791</v>
      </c>
    </row>
    <row r="26" spans="1:14" x14ac:dyDescent="0.25">
      <c r="A26">
        <v>7</v>
      </c>
      <c r="B26">
        <v>25</v>
      </c>
      <c r="C26">
        <f>IF(ISNUMBER(VLOOKUP(B26,$E$2:$I$1048576,5)), VLOOKUP(B26,$E$2:$I$1048576,5), 0)</f>
        <v>17867</v>
      </c>
      <c r="E26">
        <v>24</v>
      </c>
      <c r="F26" t="s">
        <v>15</v>
      </c>
      <c r="H26" t="s">
        <v>34</v>
      </c>
      <c r="I26" s="1">
        <f t="shared" si="0"/>
        <v>500</v>
      </c>
      <c r="J26" s="2">
        <f t="shared" si="1"/>
        <v>2.7876895628902764E-3</v>
      </c>
      <c r="K26" t="str">
        <f t="shared" si="2"/>
        <v>Workers' Compensation - $500M (.28%)</v>
      </c>
      <c r="M26">
        <v>14</v>
      </c>
      <c r="N26" s="1">
        <v>867</v>
      </c>
    </row>
    <row r="27" spans="1:14" x14ac:dyDescent="0.25">
      <c r="A27">
        <v>7</v>
      </c>
      <c r="B27">
        <v>26</v>
      </c>
      <c r="C27">
        <f>IF(ISNUMBER(VLOOKUP(B27,$E$2:$I$1048576,5)), VLOOKUP(B27,$E$2:$I$1048576,5), 0)</f>
        <v>23162</v>
      </c>
      <c r="E27">
        <v>25</v>
      </c>
      <c r="F27" t="s">
        <v>10</v>
      </c>
      <c r="G27" t="s">
        <v>16</v>
      </c>
      <c r="H27" t="s">
        <v>35</v>
      </c>
      <c r="I27" s="1">
        <f t="shared" si="0"/>
        <v>17867</v>
      </c>
      <c r="J27" s="2">
        <f t="shared" si="1"/>
        <v>9.9615298840321137E-2</v>
      </c>
      <c r="K27" t="str">
        <f t="shared" si="2"/>
        <v>Commercial - $17,867M (9.96%)</v>
      </c>
      <c r="M27">
        <v>15</v>
      </c>
      <c r="N27" s="1">
        <v>4133</v>
      </c>
    </row>
    <row r="28" spans="1:14" x14ac:dyDescent="0.25">
      <c r="A28">
        <v>7</v>
      </c>
      <c r="B28">
        <v>27</v>
      </c>
      <c r="C28">
        <f>IF(ISNUMBER(VLOOKUP(B28,$E$2:$I$1048576,5)), VLOOKUP(B28,$E$2:$I$1048576,5), 0)</f>
        <v>8294</v>
      </c>
      <c r="E28">
        <v>26</v>
      </c>
      <c r="F28" t="s">
        <v>10</v>
      </c>
      <c r="G28" t="s">
        <v>16</v>
      </c>
      <c r="H28" t="s">
        <v>36</v>
      </c>
      <c r="I28" s="1">
        <f t="shared" si="0"/>
        <v>23162</v>
      </c>
      <c r="J28" s="2">
        <f t="shared" si="1"/>
        <v>0.12913693131132917</v>
      </c>
      <c r="K28" t="str">
        <f t="shared" si="2"/>
        <v>Medicare - $23,162M (12.91%)</v>
      </c>
      <c r="M28">
        <v>3</v>
      </c>
      <c r="N28" s="1">
        <v>10905</v>
      </c>
    </row>
    <row r="29" spans="1:14" x14ac:dyDescent="0.25">
      <c r="A29">
        <v>7</v>
      </c>
      <c r="B29">
        <v>28</v>
      </c>
      <c r="C29">
        <f>IF(ISNUMBER(VLOOKUP(B29,$E$2:$I$1048576,5)), VLOOKUP(B29,$E$2:$I$1048576,5), 0)</f>
        <v>523</v>
      </c>
      <c r="E29">
        <v>27</v>
      </c>
      <c r="F29" t="s">
        <v>10</v>
      </c>
      <c r="G29" t="s">
        <v>16</v>
      </c>
      <c r="H29" t="s">
        <v>37</v>
      </c>
      <c r="I29" s="1">
        <f t="shared" si="0"/>
        <v>8294</v>
      </c>
      <c r="J29" s="2">
        <f t="shared" si="1"/>
        <v>4.624219446922391E-2</v>
      </c>
      <c r="K29" t="str">
        <f t="shared" si="2"/>
        <v>Medicaid - $8,294M (4.62%)</v>
      </c>
      <c r="M29">
        <v>16</v>
      </c>
      <c r="N29" s="1">
        <v>1299</v>
      </c>
    </row>
    <row r="30" spans="1:14" x14ac:dyDescent="0.25">
      <c r="A30">
        <v>7</v>
      </c>
      <c r="B30">
        <v>29</v>
      </c>
      <c r="C30">
        <f>IF(ISNUMBER(VLOOKUP(B30,$E$2:$I$1048576,5)), VLOOKUP(B30,$E$2:$I$1048576,5), 0)</f>
        <v>7095</v>
      </c>
      <c r="E30">
        <v>28</v>
      </c>
      <c r="F30" t="s">
        <v>10</v>
      </c>
      <c r="G30" t="s">
        <v>16</v>
      </c>
      <c r="H30" t="s">
        <v>38</v>
      </c>
      <c r="I30" s="1">
        <f t="shared" si="0"/>
        <v>523</v>
      </c>
      <c r="J30" s="2">
        <f t="shared" si="1"/>
        <v>2.9159232827832291E-3</v>
      </c>
      <c r="K30" t="str">
        <f t="shared" si="2"/>
        <v>Other Public Insurance - $523M (.29%)</v>
      </c>
      <c r="M30">
        <v>17</v>
      </c>
      <c r="N30" s="1">
        <v>2683</v>
      </c>
    </row>
    <row r="31" spans="1:14" x14ac:dyDescent="0.25">
      <c r="A31">
        <v>8</v>
      </c>
      <c r="B31">
        <v>30</v>
      </c>
      <c r="C31">
        <f>IF(ISNUMBER(VLOOKUP(B31,$E$2:$I$1048576,5)), VLOOKUP(B31,$E$2:$I$1048576,5), 0)</f>
        <v>92</v>
      </c>
      <c r="E31">
        <v>29</v>
      </c>
      <c r="F31" t="s">
        <v>10</v>
      </c>
      <c r="G31" t="s">
        <v>16</v>
      </c>
      <c r="H31" t="s">
        <v>39</v>
      </c>
      <c r="I31" s="1">
        <f t="shared" si="0"/>
        <v>7095</v>
      </c>
      <c r="J31" s="2">
        <f t="shared" si="1"/>
        <v>3.9557314897413022E-2</v>
      </c>
      <c r="K31" t="str">
        <f t="shared" si="2"/>
        <v>Uninsured - $7,095M (3.96%)</v>
      </c>
      <c r="M31">
        <v>18</v>
      </c>
      <c r="N31" s="1">
        <v>582</v>
      </c>
    </row>
    <row r="32" spans="1:14" x14ac:dyDescent="0.25">
      <c r="A32">
        <v>8</v>
      </c>
      <c r="B32">
        <v>31</v>
      </c>
      <c r="C32">
        <f>IF(ISNUMBER(VLOOKUP(B32,$E$2:$I$1048576,5)), VLOOKUP(B32,$E$2:$I$1048576,5), 0)</f>
        <v>0</v>
      </c>
      <c r="E32">
        <v>30</v>
      </c>
      <c r="F32" t="s">
        <v>10</v>
      </c>
      <c r="G32" t="s">
        <v>17</v>
      </c>
      <c r="H32" t="s">
        <v>35</v>
      </c>
      <c r="I32" s="1">
        <f t="shared" si="0"/>
        <v>92</v>
      </c>
      <c r="J32" s="2">
        <f t="shared" si="1"/>
        <v>5.1293487957181083E-4</v>
      </c>
      <c r="K32" t="str">
        <f t="shared" si="2"/>
        <v>Commercial - $92M (.05%)</v>
      </c>
      <c r="M32">
        <v>19</v>
      </c>
      <c r="N32" s="1">
        <v>3189</v>
      </c>
    </row>
    <row r="33" spans="1:14" x14ac:dyDescent="0.25">
      <c r="A33">
        <v>8</v>
      </c>
      <c r="B33">
        <v>32</v>
      </c>
      <c r="C33">
        <f>IF(ISNUMBER(VLOOKUP(B33,$E$2:$I$1048576,5)), VLOOKUP(B33,$E$2:$I$1048576,5), 0)</f>
        <v>642</v>
      </c>
      <c r="E33">
        <v>31</v>
      </c>
      <c r="F33" t="s">
        <v>10</v>
      </c>
      <c r="G33" t="s">
        <v>17</v>
      </c>
      <c r="H33" t="s">
        <v>36</v>
      </c>
      <c r="I33" s="1" t="str">
        <f t="shared" si="0"/>
        <v>N/A</v>
      </c>
      <c r="J33" s="2" t="e">
        <f t="shared" si="1"/>
        <v>#VALUE!</v>
      </c>
      <c r="K33" t="s">
        <v>46</v>
      </c>
      <c r="M33">
        <v>4</v>
      </c>
      <c r="N33" s="1">
        <v>7753</v>
      </c>
    </row>
    <row r="34" spans="1:14" x14ac:dyDescent="0.25">
      <c r="A34">
        <v>8</v>
      </c>
      <c r="B34">
        <v>33</v>
      </c>
      <c r="C34">
        <f>IF(ISNUMBER(VLOOKUP(B34,$E$2:$I$1048576,5)), VLOOKUP(B34,$E$2:$I$1048576,5), 0)</f>
        <v>7</v>
      </c>
      <c r="E34">
        <v>32</v>
      </c>
      <c r="F34" t="s">
        <v>10</v>
      </c>
      <c r="G34" t="s">
        <v>17</v>
      </c>
      <c r="H34" t="s">
        <v>37</v>
      </c>
      <c r="I34" s="1">
        <f t="shared" si="0"/>
        <v>642</v>
      </c>
      <c r="J34" s="2">
        <f t="shared" si="1"/>
        <v>3.5793933987511152E-3</v>
      </c>
      <c r="K34" t="str">
        <f t="shared" si="2"/>
        <v>Medicaid - $642M (.36%)</v>
      </c>
      <c r="M34">
        <v>5</v>
      </c>
      <c r="N34" s="1">
        <v>1244</v>
      </c>
    </row>
    <row r="35" spans="1:14" x14ac:dyDescent="0.25">
      <c r="A35">
        <v>8</v>
      </c>
      <c r="B35">
        <v>34</v>
      </c>
      <c r="C35">
        <f>IF(ISNUMBER(VLOOKUP(B35,$E$2:$I$1048576,5)), VLOOKUP(B35,$E$2:$I$1048576,5), 0)</f>
        <v>61</v>
      </c>
      <c r="E35">
        <v>33</v>
      </c>
      <c r="F35" t="s">
        <v>10</v>
      </c>
      <c r="G35" t="s">
        <v>17</v>
      </c>
      <c r="H35" t="s">
        <v>38</v>
      </c>
      <c r="I35" s="1">
        <f t="shared" si="0"/>
        <v>7</v>
      </c>
      <c r="J35" s="2">
        <f t="shared" si="1"/>
        <v>3.9027653880463871E-5</v>
      </c>
      <c r="K35" t="str">
        <f>CONCATENATE(H35," - ",TEXT(I35,"$#,###"),IF(I35="N/A","","M"), " (", TEXT(J35,"##.###%"), ")")</f>
        <v>Other Public Insurance - $7M (.004%)</v>
      </c>
      <c r="M35">
        <v>20</v>
      </c>
      <c r="N35" s="1">
        <v>21852</v>
      </c>
    </row>
    <row r="36" spans="1:14" x14ac:dyDescent="0.25">
      <c r="A36">
        <v>9</v>
      </c>
      <c r="B36">
        <v>35</v>
      </c>
      <c r="C36">
        <f>IF(ISNUMBER(VLOOKUP(B36,$E$2:$I$1048576,5)), VLOOKUP(B36,$E$2:$I$1048576,5), 0)</f>
        <v>1054</v>
      </c>
      <c r="E36">
        <v>34</v>
      </c>
      <c r="F36" t="s">
        <v>10</v>
      </c>
      <c r="G36" t="s">
        <v>17</v>
      </c>
      <c r="H36" t="s">
        <v>39</v>
      </c>
      <c r="I36" s="1">
        <f t="shared" si="0"/>
        <v>61</v>
      </c>
      <c r="J36" s="2">
        <f t="shared" si="1"/>
        <v>3.4009812667261375E-4</v>
      </c>
      <c r="K36" t="str">
        <f t="shared" si="2"/>
        <v>Uninsured - $61M (.03%)</v>
      </c>
      <c r="M36">
        <v>21</v>
      </c>
      <c r="N36" s="1">
        <v>3655</v>
      </c>
    </row>
    <row r="37" spans="1:14" x14ac:dyDescent="0.25">
      <c r="A37">
        <v>9</v>
      </c>
      <c r="B37">
        <v>36</v>
      </c>
      <c r="C37">
        <f>IF(ISNUMBER(VLOOKUP(B37,$E$2:$I$1048576,5)), VLOOKUP(B37,$E$2:$I$1048576,5), 0)</f>
        <v>630</v>
      </c>
      <c r="E37">
        <v>35</v>
      </c>
      <c r="F37" t="s">
        <v>10</v>
      </c>
      <c r="G37" t="s">
        <v>18</v>
      </c>
      <c r="H37" t="s">
        <v>35</v>
      </c>
      <c r="I37" s="1">
        <f t="shared" si="0"/>
        <v>1054</v>
      </c>
      <c r="J37" s="2">
        <f t="shared" si="1"/>
        <v>5.8764495985727033E-3</v>
      </c>
      <c r="K37" t="str">
        <f t="shared" si="2"/>
        <v>Commercial - $1,054M (.59%)</v>
      </c>
      <c r="M37">
        <v>22</v>
      </c>
      <c r="N37" s="1">
        <v>417</v>
      </c>
    </row>
    <row r="38" spans="1:14" x14ac:dyDescent="0.25">
      <c r="A38">
        <v>9</v>
      </c>
      <c r="B38">
        <v>37</v>
      </c>
      <c r="C38">
        <f>IF(ISNUMBER(VLOOKUP(B38,$E$2:$I$1048576,5)), VLOOKUP(B38,$E$2:$I$1048576,5), 0)</f>
        <v>489</v>
      </c>
      <c r="E38">
        <v>36</v>
      </c>
      <c r="F38" t="s">
        <v>10</v>
      </c>
      <c r="G38" t="s">
        <v>18</v>
      </c>
      <c r="H38" t="s">
        <v>36</v>
      </c>
      <c r="I38" s="1">
        <f t="shared" si="0"/>
        <v>630</v>
      </c>
      <c r="J38" s="2">
        <f t="shared" si="1"/>
        <v>3.5124888492417483E-3</v>
      </c>
      <c r="K38" t="str">
        <f t="shared" si="2"/>
        <v>Medicare - $630M (.35%)</v>
      </c>
      <c r="M38">
        <v>23</v>
      </c>
      <c r="N38" s="1">
        <v>38</v>
      </c>
    </row>
    <row r="39" spans="1:14" x14ac:dyDescent="0.25">
      <c r="A39">
        <v>9</v>
      </c>
      <c r="B39">
        <v>38</v>
      </c>
      <c r="C39">
        <f>IF(ISNUMBER(VLOOKUP(B39,$E$2:$I$1048576,5)), VLOOKUP(B39,$E$2:$I$1048576,5), 0)</f>
        <v>31</v>
      </c>
      <c r="E39">
        <v>37</v>
      </c>
      <c r="F39" t="s">
        <v>10</v>
      </c>
      <c r="G39" t="s">
        <v>18</v>
      </c>
      <c r="H39" t="s">
        <v>37</v>
      </c>
      <c r="I39" s="1">
        <f t="shared" si="0"/>
        <v>489</v>
      </c>
      <c r="J39" s="2">
        <f t="shared" si="1"/>
        <v>2.7263603925066905E-3</v>
      </c>
      <c r="K39" t="str">
        <f t="shared" si="2"/>
        <v>Medicaid - $489M (.27%)</v>
      </c>
      <c r="M39">
        <v>24</v>
      </c>
      <c r="N39" s="1">
        <v>500</v>
      </c>
    </row>
    <row r="40" spans="1:14" x14ac:dyDescent="0.25">
      <c r="A40">
        <v>9</v>
      </c>
      <c r="B40">
        <v>39</v>
      </c>
      <c r="C40">
        <f>IF(ISNUMBER(VLOOKUP(B40,$E$2:$I$1048576,5)), VLOOKUP(B40,$E$2:$I$1048576,5), 0)</f>
        <v>419</v>
      </c>
      <c r="E40">
        <v>38</v>
      </c>
      <c r="F40" t="s">
        <v>10</v>
      </c>
      <c r="G40" t="s">
        <v>18</v>
      </c>
      <c r="H40" t="s">
        <v>38</v>
      </c>
      <c r="I40" s="1">
        <f t="shared" si="0"/>
        <v>31</v>
      </c>
      <c r="J40" s="2">
        <f t="shared" si="1"/>
        <v>1.7283675289919714E-4</v>
      </c>
      <c r="K40" t="str">
        <f t="shared" si="2"/>
        <v>Other Public Insurance - $31M (.02%)</v>
      </c>
      <c r="M40">
        <v>6</v>
      </c>
      <c r="N40" s="1">
        <v>26462</v>
      </c>
    </row>
    <row r="41" spans="1:14" x14ac:dyDescent="0.25">
      <c r="A41">
        <v>26</v>
      </c>
      <c r="B41">
        <v>40</v>
      </c>
      <c r="C41">
        <f>IF(ISNUMBER(VLOOKUP(A41,$E$2:$I$1048576,5)), VLOOKUP(A41,$E$2:$I$1048576,5), 0)</f>
        <v>23162</v>
      </c>
      <c r="E41">
        <v>39</v>
      </c>
      <c r="F41" t="s">
        <v>10</v>
      </c>
      <c r="G41" t="s">
        <v>18</v>
      </c>
      <c r="H41" t="s">
        <v>39</v>
      </c>
      <c r="I41" s="1">
        <f t="shared" si="0"/>
        <v>419</v>
      </c>
      <c r="J41" s="2">
        <f t="shared" si="1"/>
        <v>2.3360838537020518E-3</v>
      </c>
      <c r="K41" t="str">
        <f t="shared" si="2"/>
        <v>Uninsured - $419M (.23%)</v>
      </c>
      <c r="M41">
        <v>0</v>
      </c>
      <c r="N41" s="1">
        <v>179360</v>
      </c>
    </row>
    <row r="42" spans="1:14" x14ac:dyDescent="0.25">
      <c r="A42">
        <v>27</v>
      </c>
      <c r="B42">
        <v>40</v>
      </c>
      <c r="C42">
        <f t="shared" ref="C42:C71" si="3">IF(ISNUMBER(VLOOKUP(A42,$E$2:$I$1048576,5)), VLOOKUP(A42,$E$2:$I$1048576,5), 0)</f>
        <v>8294</v>
      </c>
      <c r="E42">
        <v>40</v>
      </c>
      <c r="H42" t="s">
        <v>41</v>
      </c>
      <c r="I42" s="1">
        <f t="shared" si="0"/>
        <v>52812</v>
      </c>
      <c r="J42" s="2">
        <f t="shared" si="1"/>
        <v>0.29444692239072257</v>
      </c>
      <c r="K42" t="str">
        <f t="shared" si="2"/>
        <v>Federal, State, and Local Governments - $52,812M (29.44%)</v>
      </c>
      <c r="M42">
        <v>40</v>
      </c>
      <c r="N42" s="1">
        <v>52812</v>
      </c>
    </row>
    <row r="43" spans="1:14" x14ac:dyDescent="0.25">
      <c r="A43">
        <v>28</v>
      </c>
      <c r="B43">
        <v>40</v>
      </c>
      <c r="C43">
        <f t="shared" si="3"/>
        <v>523</v>
      </c>
      <c r="E43">
        <v>41</v>
      </c>
      <c r="H43" t="s">
        <v>42</v>
      </c>
      <c r="I43" s="1">
        <f t="shared" si="0"/>
        <v>126548</v>
      </c>
      <c r="J43" s="2">
        <f t="shared" si="1"/>
        <v>0.70555307760927743</v>
      </c>
      <c r="K43" t="str">
        <f>CONCATENATE(H43," - ",TEXT(I43,"$#,###"),IF(I43="N/A","","M"), " (", TEXT(J43,"##.##%"), ")")</f>
        <v>Private Sector and Individuals - $126,548M (70.56%)</v>
      </c>
      <c r="M43">
        <v>41</v>
      </c>
      <c r="N43" s="1">
        <v>126548</v>
      </c>
    </row>
    <row r="44" spans="1:14" x14ac:dyDescent="0.25">
      <c r="A44">
        <v>31</v>
      </c>
      <c r="B44">
        <v>40</v>
      </c>
      <c r="C44">
        <f t="shared" si="3"/>
        <v>0</v>
      </c>
    </row>
    <row r="45" spans="1:14" x14ac:dyDescent="0.25">
      <c r="A45">
        <v>32</v>
      </c>
      <c r="B45">
        <v>40</v>
      </c>
      <c r="C45">
        <f t="shared" si="3"/>
        <v>642</v>
      </c>
    </row>
    <row r="46" spans="1:14" x14ac:dyDescent="0.25">
      <c r="A46">
        <v>33</v>
      </c>
      <c r="B46">
        <v>40</v>
      </c>
      <c r="C46">
        <f t="shared" si="3"/>
        <v>7</v>
      </c>
    </row>
    <row r="47" spans="1:14" x14ac:dyDescent="0.25">
      <c r="A47">
        <v>36</v>
      </c>
      <c r="B47">
        <v>40</v>
      </c>
      <c r="C47">
        <f t="shared" si="3"/>
        <v>630</v>
      </c>
    </row>
    <row r="48" spans="1:14" x14ac:dyDescent="0.25">
      <c r="A48">
        <v>37</v>
      </c>
      <c r="B48">
        <v>40</v>
      </c>
      <c r="C48">
        <f t="shared" si="3"/>
        <v>489</v>
      </c>
    </row>
    <row r="49" spans="1:3" x14ac:dyDescent="0.25">
      <c r="A49">
        <v>38</v>
      </c>
      <c r="B49">
        <v>40</v>
      </c>
      <c r="C49">
        <f t="shared" si="3"/>
        <v>31</v>
      </c>
    </row>
    <row r="50" spans="1:3" x14ac:dyDescent="0.25">
      <c r="A50">
        <v>12</v>
      </c>
      <c r="B50">
        <v>40</v>
      </c>
      <c r="C50">
        <f t="shared" si="3"/>
        <v>4114</v>
      </c>
    </row>
    <row r="51" spans="1:3" x14ac:dyDescent="0.25">
      <c r="A51">
        <v>13</v>
      </c>
      <c r="B51">
        <v>40</v>
      </c>
      <c r="C51">
        <f t="shared" si="3"/>
        <v>1791</v>
      </c>
    </row>
    <row r="52" spans="1:3" x14ac:dyDescent="0.25">
      <c r="A52">
        <v>15</v>
      </c>
      <c r="B52">
        <v>40</v>
      </c>
      <c r="C52">
        <f t="shared" si="3"/>
        <v>4133</v>
      </c>
    </row>
    <row r="53" spans="1:3" x14ac:dyDescent="0.25">
      <c r="A53">
        <v>16</v>
      </c>
      <c r="B53">
        <v>40</v>
      </c>
      <c r="C53">
        <f t="shared" si="3"/>
        <v>1299</v>
      </c>
    </row>
    <row r="54" spans="1:3" x14ac:dyDescent="0.25">
      <c r="A54">
        <v>17</v>
      </c>
      <c r="B54">
        <v>40</v>
      </c>
      <c r="C54">
        <f t="shared" si="3"/>
        <v>2683</v>
      </c>
    </row>
    <row r="55" spans="1:3" x14ac:dyDescent="0.25">
      <c r="A55">
        <v>18</v>
      </c>
      <c r="B55">
        <v>40</v>
      </c>
      <c r="C55">
        <f t="shared" si="3"/>
        <v>582</v>
      </c>
    </row>
    <row r="56" spans="1:3" x14ac:dyDescent="0.25">
      <c r="A56">
        <v>19</v>
      </c>
      <c r="B56">
        <v>40</v>
      </c>
      <c r="C56">
        <f t="shared" si="3"/>
        <v>3189</v>
      </c>
    </row>
    <row r="57" spans="1:3" x14ac:dyDescent="0.25">
      <c r="A57">
        <v>5</v>
      </c>
      <c r="B57">
        <v>40</v>
      </c>
      <c r="C57">
        <f t="shared" si="3"/>
        <v>1244</v>
      </c>
    </row>
    <row r="58" spans="1:3" x14ac:dyDescent="0.25">
      <c r="A58">
        <v>25</v>
      </c>
      <c r="B58">
        <v>41</v>
      </c>
      <c r="C58">
        <f t="shared" si="3"/>
        <v>17867</v>
      </c>
    </row>
    <row r="59" spans="1:3" x14ac:dyDescent="0.25">
      <c r="A59">
        <v>29</v>
      </c>
      <c r="B59">
        <v>41</v>
      </c>
      <c r="C59">
        <f t="shared" si="3"/>
        <v>7095</v>
      </c>
    </row>
    <row r="60" spans="1:3" x14ac:dyDescent="0.25">
      <c r="A60">
        <v>30</v>
      </c>
      <c r="B60">
        <v>41</v>
      </c>
      <c r="C60">
        <f t="shared" si="3"/>
        <v>92</v>
      </c>
    </row>
    <row r="61" spans="1:3" x14ac:dyDescent="0.25">
      <c r="A61">
        <v>34</v>
      </c>
      <c r="B61">
        <v>41</v>
      </c>
      <c r="C61">
        <f t="shared" si="3"/>
        <v>61</v>
      </c>
    </row>
    <row r="62" spans="1:3" x14ac:dyDescent="0.25">
      <c r="A62">
        <v>35</v>
      </c>
      <c r="B62">
        <v>41</v>
      </c>
      <c r="C62">
        <f t="shared" si="3"/>
        <v>1054</v>
      </c>
    </row>
    <row r="63" spans="1:3" x14ac:dyDescent="0.25">
      <c r="A63">
        <v>39</v>
      </c>
      <c r="B63">
        <v>41</v>
      </c>
      <c r="C63">
        <f t="shared" si="3"/>
        <v>419</v>
      </c>
    </row>
    <row r="64" spans="1:3" x14ac:dyDescent="0.25">
      <c r="A64">
        <v>10</v>
      </c>
      <c r="B64">
        <v>41</v>
      </c>
      <c r="C64">
        <f t="shared" si="3"/>
        <v>264</v>
      </c>
    </row>
    <row r="65" spans="1:3" x14ac:dyDescent="0.25">
      <c r="A65">
        <v>11</v>
      </c>
      <c r="B65">
        <v>41</v>
      </c>
      <c r="C65">
        <f t="shared" si="3"/>
        <v>72368</v>
      </c>
    </row>
    <row r="66" spans="1:3" x14ac:dyDescent="0.25">
      <c r="A66">
        <v>14</v>
      </c>
      <c r="B66">
        <v>41</v>
      </c>
      <c r="C66">
        <f t="shared" si="3"/>
        <v>867</v>
      </c>
    </row>
    <row r="67" spans="1:3" x14ac:dyDescent="0.25">
      <c r="A67">
        <v>20</v>
      </c>
      <c r="B67">
        <v>41</v>
      </c>
      <c r="C67">
        <f t="shared" si="3"/>
        <v>21852</v>
      </c>
    </row>
    <row r="68" spans="1:3" x14ac:dyDescent="0.25">
      <c r="A68">
        <v>21</v>
      </c>
      <c r="B68">
        <v>41</v>
      </c>
      <c r="C68">
        <f t="shared" si="3"/>
        <v>3655</v>
      </c>
    </row>
    <row r="69" spans="1:3" x14ac:dyDescent="0.25">
      <c r="A69">
        <v>22</v>
      </c>
      <c r="B69">
        <v>41</v>
      </c>
      <c r="C69">
        <f t="shared" si="3"/>
        <v>417</v>
      </c>
    </row>
    <row r="70" spans="1:3" x14ac:dyDescent="0.25">
      <c r="A70">
        <v>23</v>
      </c>
      <c r="B70">
        <v>41</v>
      </c>
      <c r="C70">
        <f t="shared" si="3"/>
        <v>38</v>
      </c>
    </row>
    <row r="71" spans="1:3" x14ac:dyDescent="0.25">
      <c r="A71">
        <v>24</v>
      </c>
      <c r="B71">
        <v>41</v>
      </c>
      <c r="C71">
        <f t="shared" si="3"/>
        <v>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K9" sqref="K9"/>
    </sheetView>
  </sheetViews>
  <sheetFormatPr defaultRowHeight="15" x14ac:dyDescent="0.25"/>
  <cols>
    <col min="6" max="6" width="14.28515625" customWidth="1"/>
    <col min="7" max="7" width="11.5703125" customWidth="1"/>
    <col min="8" max="8" width="14.140625" customWidth="1"/>
    <col min="9" max="9" width="9.85546875" style="1" bestFit="1" customWidth="1"/>
    <col min="10" max="10" width="18.42578125" style="2" bestFit="1" customWidth="1"/>
    <col min="11" max="11" width="58.28515625" bestFit="1" customWidth="1"/>
    <col min="12" max="12" width="10.42578125" customWidth="1"/>
    <col min="13" max="13" width="1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  <c r="M1" t="s">
        <v>43</v>
      </c>
      <c r="N1" t="s">
        <v>44</v>
      </c>
    </row>
    <row r="2" spans="1:14" x14ac:dyDescent="0.25">
      <c r="A2">
        <v>0</v>
      </c>
      <c r="B2">
        <v>1</v>
      </c>
      <c r="C2">
        <f>IF(ISNUMBER(VLOOKUP(B2,$E$2:$I$1048576,5)), VLOOKUP(B2,$E$2:$I$1048576,5), 0)</f>
        <v>55801</v>
      </c>
      <c r="E2">
        <v>0</v>
      </c>
      <c r="H2" t="s">
        <v>9</v>
      </c>
      <c r="I2" s="1">
        <f>INDEX($M$2:$N$1048576, MATCH(E2,$M$2:$M$1048576, FALSE),2)</f>
        <v>170886</v>
      </c>
      <c r="J2" s="2">
        <f>I2/$I$2</f>
        <v>1</v>
      </c>
      <c r="K2" t="str">
        <f>CONCATENATE(H2," - ",TEXT(I2,"$#,###"),IF(I2="N/A","","M"), " (", TEXT(J2,"##.##%"), ")")</f>
        <v>Total Cost  - $170,886M (100.%)</v>
      </c>
      <c r="M2">
        <v>25</v>
      </c>
      <c r="N2" s="1">
        <v>16780</v>
      </c>
    </row>
    <row r="3" spans="1:14" x14ac:dyDescent="0.25">
      <c r="A3">
        <v>0</v>
      </c>
      <c r="B3">
        <v>2</v>
      </c>
      <c r="C3">
        <f>IF(ISNUMBER(VLOOKUP(B3,$E$2:$I$1048576,5)), VLOOKUP(B3,$E$2:$I$1048576,5), 0)</f>
        <v>71202</v>
      </c>
      <c r="E3">
        <v>1</v>
      </c>
      <c r="H3" t="s">
        <v>10</v>
      </c>
      <c r="I3" s="1">
        <f t="shared" ref="I3:I43" si="0">INDEX($M$2:$N$1048576, MATCH(E3,$M$2:$M$1048576, FALSE),2)</f>
        <v>55801</v>
      </c>
      <c r="J3" s="2">
        <f t="shared" ref="J3:J43" si="1">I3/$I$2</f>
        <v>0.32653933031377641</v>
      </c>
      <c r="K3" t="str">
        <f t="shared" ref="K3:K42" si="2">CONCATENATE(H3," - ",TEXT(I3,"$#,###"),IF(I3="N/A","","M"), " (", TEXT(J3,"##.##%"), ")")</f>
        <v>Healthcare - $55,801M (32.65%)</v>
      </c>
      <c r="M3">
        <v>26</v>
      </c>
      <c r="N3" s="1">
        <v>21297</v>
      </c>
    </row>
    <row r="4" spans="1:14" x14ac:dyDescent="0.25">
      <c r="A4">
        <v>0</v>
      </c>
      <c r="B4">
        <v>3</v>
      </c>
      <c r="C4">
        <f>IF(ISNUMBER(VLOOKUP(B4,$E$2:$I$1048576,5)), VLOOKUP(B4,$E$2:$I$1048576,5), 0)</f>
        <v>9837</v>
      </c>
      <c r="E4">
        <v>2</v>
      </c>
      <c r="H4" t="s">
        <v>11</v>
      </c>
      <c r="I4" s="1">
        <f t="shared" si="0"/>
        <v>71202</v>
      </c>
      <c r="J4" s="2">
        <f t="shared" si="1"/>
        <v>0.41666374073944035</v>
      </c>
      <c r="K4" t="str">
        <f t="shared" si="2"/>
        <v>Mortality - $71,202M (41.67%)</v>
      </c>
      <c r="M4">
        <v>27</v>
      </c>
      <c r="N4" s="1">
        <v>7896</v>
      </c>
    </row>
    <row r="5" spans="1:14" x14ac:dyDescent="0.25">
      <c r="A5">
        <v>0</v>
      </c>
      <c r="B5">
        <v>4</v>
      </c>
      <c r="C5">
        <f>IF(ISNUMBER(VLOOKUP(B5,$E$2:$I$1048576,5)), VLOOKUP(B5,$E$2:$I$1048576,5), 0)</f>
        <v>7766</v>
      </c>
      <c r="E5">
        <v>3</v>
      </c>
      <c r="H5" t="s">
        <v>12</v>
      </c>
      <c r="I5" s="1">
        <f t="shared" si="0"/>
        <v>9837</v>
      </c>
      <c r="J5" s="2">
        <f t="shared" si="1"/>
        <v>5.7564692250974332E-2</v>
      </c>
      <c r="K5" t="str">
        <f t="shared" si="2"/>
        <v>Criminal Justice - $9,837M (5.76%)</v>
      </c>
      <c r="M5">
        <v>28</v>
      </c>
      <c r="N5" s="1">
        <v>495</v>
      </c>
    </row>
    <row r="6" spans="1:14" x14ac:dyDescent="0.25">
      <c r="A6">
        <v>0</v>
      </c>
      <c r="B6">
        <v>5</v>
      </c>
      <c r="C6">
        <f>IF(ISNUMBER(VLOOKUP(B6,$E$2:$I$1048576,5)), VLOOKUP(B6,$E$2:$I$1048576,5), 0)</f>
        <v>1231</v>
      </c>
      <c r="E6">
        <v>4</v>
      </c>
      <c r="H6" t="s">
        <v>13</v>
      </c>
      <c r="I6" s="1">
        <f t="shared" si="0"/>
        <v>7766</v>
      </c>
      <c r="J6" s="2">
        <f t="shared" si="1"/>
        <v>4.5445501679482227E-2</v>
      </c>
      <c r="K6" t="str">
        <f t="shared" si="2"/>
        <v>Child and Family Assistance - $7,766M (4.54%)</v>
      </c>
      <c r="M6">
        <v>29</v>
      </c>
      <c r="N6" s="1">
        <v>6171</v>
      </c>
    </row>
    <row r="7" spans="1:14" x14ac:dyDescent="0.25">
      <c r="A7">
        <v>0</v>
      </c>
      <c r="B7">
        <v>6</v>
      </c>
      <c r="C7">
        <f>IF(ISNUMBER(VLOOKUP(B7,$E$2:$I$1048576,5)), VLOOKUP(B7,$E$2:$I$1048576,5), 0)</f>
        <v>25049</v>
      </c>
      <c r="E7">
        <v>5</v>
      </c>
      <c r="H7" t="s">
        <v>14</v>
      </c>
      <c r="I7" s="1">
        <f t="shared" si="0"/>
        <v>1231</v>
      </c>
      <c r="J7" s="2">
        <f t="shared" si="1"/>
        <v>7.2036328312442216E-3</v>
      </c>
      <c r="K7" t="str">
        <f t="shared" si="2"/>
        <v>Education - $1,231M (.72%)</v>
      </c>
      <c r="M7">
        <v>7</v>
      </c>
      <c r="N7" s="1">
        <v>52639</v>
      </c>
    </row>
    <row r="8" spans="1:14" x14ac:dyDescent="0.25">
      <c r="A8">
        <v>1</v>
      </c>
      <c r="B8">
        <v>7</v>
      </c>
      <c r="C8">
        <f>IF(ISNUMBER(VLOOKUP(B8,$E$2:$I$1048576,5)), VLOOKUP(B8,$E$2:$I$1048576,5), 0)</f>
        <v>52639</v>
      </c>
      <c r="E8">
        <v>6</v>
      </c>
      <c r="H8" t="s">
        <v>15</v>
      </c>
      <c r="I8" s="1">
        <f t="shared" si="0"/>
        <v>25049</v>
      </c>
      <c r="J8" s="2">
        <f t="shared" si="1"/>
        <v>0.14658310218508244</v>
      </c>
      <c r="K8" t="str">
        <f t="shared" si="2"/>
        <v>Lost Productivity - $25,049M (14.66%)</v>
      </c>
      <c r="M8">
        <v>30</v>
      </c>
      <c r="N8" s="1">
        <v>86</v>
      </c>
    </row>
    <row r="9" spans="1:14" x14ac:dyDescent="0.25">
      <c r="A9">
        <v>1</v>
      </c>
      <c r="B9">
        <v>8</v>
      </c>
      <c r="C9">
        <f>IF(ISNUMBER(VLOOKUP(B9,$E$2:$I$1048576,5)), VLOOKUP(B9,$E$2:$I$1048576,5), 0)</f>
        <v>734</v>
      </c>
      <c r="E9">
        <v>7</v>
      </c>
      <c r="F9" t="s">
        <v>10</v>
      </c>
      <c r="H9" t="s">
        <v>16</v>
      </c>
      <c r="I9" s="1">
        <f t="shared" si="0"/>
        <v>52639</v>
      </c>
      <c r="J9" s="2">
        <f t="shared" si="1"/>
        <v>0.30803576653441478</v>
      </c>
      <c r="K9" t="str">
        <f t="shared" si="2"/>
        <v>For individuals with OUD - $52,639M (30.8%)</v>
      </c>
      <c r="M9">
        <v>31</v>
      </c>
      <c r="N9" s="1" t="s">
        <v>40</v>
      </c>
    </row>
    <row r="10" spans="1:14" x14ac:dyDescent="0.25">
      <c r="A10">
        <v>1</v>
      </c>
      <c r="B10">
        <v>9</v>
      </c>
      <c r="C10">
        <f>IF(ISNUMBER(VLOOKUP(B10,$E$2:$I$1048576,5)), VLOOKUP(B10,$E$2:$I$1048576,5), 0)</f>
        <v>2428</v>
      </c>
      <c r="E10">
        <v>8</v>
      </c>
      <c r="F10" t="s">
        <v>10</v>
      </c>
      <c r="H10" t="s">
        <v>17</v>
      </c>
      <c r="I10" s="1">
        <f t="shared" si="0"/>
        <v>734</v>
      </c>
      <c r="J10" s="2">
        <f t="shared" si="1"/>
        <v>4.2952611682642227E-3</v>
      </c>
      <c r="K10" t="str">
        <f t="shared" si="2"/>
        <v>For infants born with NAS or NOWS - $734M (.43%)</v>
      </c>
      <c r="M10">
        <v>32</v>
      </c>
      <c r="N10" s="1">
        <v>586</v>
      </c>
    </row>
    <row r="11" spans="1:14" x14ac:dyDescent="0.25">
      <c r="A11">
        <v>2</v>
      </c>
      <c r="B11">
        <v>10</v>
      </c>
      <c r="C11">
        <f>IF(ISNUMBER(VLOOKUP(B11,$E$2:$I$1048576,5)), VLOOKUP(B11,$E$2:$I$1048576,5), 0)</f>
        <v>259</v>
      </c>
      <c r="E11">
        <v>9</v>
      </c>
      <c r="F11" t="s">
        <v>10</v>
      </c>
      <c r="H11" t="s">
        <v>18</v>
      </c>
      <c r="I11" s="1">
        <f t="shared" si="0"/>
        <v>2428</v>
      </c>
      <c r="J11" s="2">
        <f t="shared" si="1"/>
        <v>1.4208302611097456E-2</v>
      </c>
      <c r="K11" t="str">
        <f t="shared" si="2"/>
        <v>For family members of individual with OUD - $2,428M (1.42%)</v>
      </c>
      <c r="M11">
        <v>33</v>
      </c>
      <c r="N11" s="1">
        <v>7</v>
      </c>
    </row>
    <row r="12" spans="1:14" x14ac:dyDescent="0.25">
      <c r="A12">
        <v>2</v>
      </c>
      <c r="B12">
        <v>11</v>
      </c>
      <c r="C12">
        <f>IF(ISNUMBER(VLOOKUP(B12,$E$2:$I$1048576,5)), VLOOKUP(B12,$E$2:$I$1048576,5), 0)</f>
        <v>70943</v>
      </c>
      <c r="E12">
        <v>10</v>
      </c>
      <c r="F12" t="s">
        <v>11</v>
      </c>
      <c r="H12" t="s">
        <v>19</v>
      </c>
      <c r="I12" s="1">
        <f t="shared" si="0"/>
        <v>259</v>
      </c>
      <c r="J12" s="2">
        <f t="shared" si="1"/>
        <v>1.5156303032430977E-3</v>
      </c>
      <c r="K12" t="str">
        <f t="shared" si="2"/>
        <v>Medical Costs - $259M (.15%)</v>
      </c>
      <c r="M12">
        <v>34</v>
      </c>
      <c r="N12" s="1">
        <v>56</v>
      </c>
    </row>
    <row r="13" spans="1:14" x14ac:dyDescent="0.25">
      <c r="A13">
        <v>3</v>
      </c>
      <c r="B13">
        <v>12</v>
      </c>
      <c r="C13">
        <f>IF(ISNUMBER(VLOOKUP(B13,$E$2:$I$1048576,5)), VLOOKUP(B13,$E$2:$I$1048576,5), 0)</f>
        <v>3590</v>
      </c>
      <c r="E13">
        <v>11</v>
      </c>
      <c r="F13" t="s">
        <v>11</v>
      </c>
      <c r="H13" t="s">
        <v>20</v>
      </c>
      <c r="I13" s="1">
        <f t="shared" si="0"/>
        <v>70943</v>
      </c>
      <c r="J13" s="2">
        <f t="shared" si="1"/>
        <v>0.4151481104361972</v>
      </c>
      <c r="K13" t="str">
        <f t="shared" si="2"/>
        <v>Lost Lifetime Earnings - $70,943M (41.51%)</v>
      </c>
      <c r="M13">
        <v>8</v>
      </c>
      <c r="N13" s="1">
        <v>734</v>
      </c>
    </row>
    <row r="14" spans="1:14" x14ac:dyDescent="0.25">
      <c r="A14">
        <v>3</v>
      </c>
      <c r="B14">
        <v>13</v>
      </c>
      <c r="C14">
        <f>IF(ISNUMBER(VLOOKUP(B14,$E$2:$I$1048576,5)), VLOOKUP(B14,$E$2:$I$1048576,5), 0)</f>
        <v>1580</v>
      </c>
      <c r="E14">
        <v>12</v>
      </c>
      <c r="F14" t="s">
        <v>12</v>
      </c>
      <c r="H14" t="s">
        <v>21</v>
      </c>
      <c r="I14" s="1">
        <f t="shared" si="0"/>
        <v>3590</v>
      </c>
      <c r="J14" s="2">
        <f t="shared" si="1"/>
        <v>2.100815748510703E-2</v>
      </c>
      <c r="K14" t="str">
        <f t="shared" si="2"/>
        <v>Police Protection - $3,590M (2.1%)</v>
      </c>
      <c r="M14">
        <v>35</v>
      </c>
      <c r="N14" s="1">
        <v>990</v>
      </c>
    </row>
    <row r="15" spans="1:14" x14ac:dyDescent="0.25">
      <c r="A15">
        <v>3</v>
      </c>
      <c r="B15">
        <v>14</v>
      </c>
      <c r="C15">
        <f>IF(ISNUMBER(VLOOKUP(B15,$E$2:$I$1048576,5)), VLOOKUP(B15,$E$2:$I$1048576,5), 0)</f>
        <v>841</v>
      </c>
      <c r="E15">
        <v>13</v>
      </c>
      <c r="F15" t="s">
        <v>12</v>
      </c>
      <c r="H15" t="s">
        <v>22</v>
      </c>
      <c r="I15" s="1">
        <f t="shared" si="0"/>
        <v>1580</v>
      </c>
      <c r="J15" s="2">
        <f t="shared" si="1"/>
        <v>9.2459300352281636E-3</v>
      </c>
      <c r="K15" t="str">
        <f t="shared" si="2"/>
        <v>Legal and Adjudication Activities - $1,580M (.92%)</v>
      </c>
      <c r="M15">
        <v>36</v>
      </c>
      <c r="N15" s="1">
        <v>579</v>
      </c>
    </row>
    <row r="16" spans="1:14" x14ac:dyDescent="0.25">
      <c r="A16">
        <v>3</v>
      </c>
      <c r="B16">
        <v>15</v>
      </c>
      <c r="C16">
        <f>IF(ISNUMBER(VLOOKUP(B16,$E$2:$I$1048576,5)), VLOOKUP(B16,$E$2:$I$1048576,5), 0)</f>
        <v>3826</v>
      </c>
      <c r="E16">
        <v>14</v>
      </c>
      <c r="F16" t="s">
        <v>12</v>
      </c>
      <c r="H16" t="s">
        <v>23</v>
      </c>
      <c r="I16" s="1">
        <f t="shared" si="0"/>
        <v>841</v>
      </c>
      <c r="J16" s="2">
        <f t="shared" si="1"/>
        <v>4.9214095947005604E-3</v>
      </c>
      <c r="K16" t="str">
        <f t="shared" si="2"/>
        <v>Property Lost Due to Crime - $841M (.49%)</v>
      </c>
      <c r="M16">
        <v>37</v>
      </c>
      <c r="N16" s="1">
        <v>466</v>
      </c>
    </row>
    <row r="17" spans="1:14" x14ac:dyDescent="0.25">
      <c r="A17">
        <v>4</v>
      </c>
      <c r="B17">
        <v>16</v>
      </c>
      <c r="C17">
        <f>IF(ISNUMBER(VLOOKUP(B17,$E$2:$I$1048576,5)), VLOOKUP(B17,$E$2:$I$1048576,5), 0)</f>
        <v>1231</v>
      </c>
      <c r="E17">
        <v>15</v>
      </c>
      <c r="F17" t="s">
        <v>12</v>
      </c>
      <c r="H17" t="s">
        <v>24</v>
      </c>
      <c r="I17" s="1">
        <f t="shared" si="0"/>
        <v>3826</v>
      </c>
      <c r="J17" s="2">
        <f t="shared" si="1"/>
        <v>2.238919513593858E-2</v>
      </c>
      <c r="K17" t="str">
        <f t="shared" si="2"/>
        <v>Correctional Facilities - $3,826M (2.24%)</v>
      </c>
      <c r="M17">
        <v>38</v>
      </c>
      <c r="N17" s="1">
        <v>29</v>
      </c>
    </row>
    <row r="18" spans="1:14" x14ac:dyDescent="0.25">
      <c r="A18">
        <v>4</v>
      </c>
      <c r="B18">
        <v>17</v>
      </c>
      <c r="C18">
        <f>IF(ISNUMBER(VLOOKUP(B18,$E$2:$I$1048576,5)), VLOOKUP(B18,$E$2:$I$1048576,5), 0)</f>
        <v>2805</v>
      </c>
      <c r="E18">
        <v>16</v>
      </c>
      <c r="F18" t="s">
        <v>25</v>
      </c>
      <c r="H18" t="s">
        <v>26</v>
      </c>
      <c r="I18" s="1">
        <f t="shared" si="0"/>
        <v>1231</v>
      </c>
      <c r="J18" s="2">
        <f t="shared" si="1"/>
        <v>7.2036328312442216E-3</v>
      </c>
      <c r="K18" t="str">
        <f t="shared" si="2"/>
        <v>Child Welfare - $1,231M (.72%)</v>
      </c>
      <c r="M18">
        <v>39</v>
      </c>
      <c r="N18" s="1">
        <v>364</v>
      </c>
    </row>
    <row r="19" spans="1:14" x14ac:dyDescent="0.25">
      <c r="A19">
        <v>4</v>
      </c>
      <c r="B19">
        <v>18</v>
      </c>
      <c r="C19">
        <f>IF(ISNUMBER(VLOOKUP(B19,$E$2:$I$1048576,5)), VLOOKUP(B19,$E$2:$I$1048576,5), 0)</f>
        <v>587</v>
      </c>
      <c r="E19">
        <v>17</v>
      </c>
      <c r="F19" t="s">
        <v>25</v>
      </c>
      <c r="H19" t="s">
        <v>27</v>
      </c>
      <c r="I19" s="1">
        <f t="shared" si="0"/>
        <v>2805</v>
      </c>
      <c r="J19" s="2">
        <f t="shared" si="1"/>
        <v>1.6414451739756329E-2</v>
      </c>
      <c r="K19" t="str">
        <f t="shared" si="2"/>
        <v>Food and Nutritional Assistance - $2,805M (1.64%)</v>
      </c>
      <c r="M19">
        <v>9</v>
      </c>
      <c r="N19" s="1">
        <v>2428</v>
      </c>
    </row>
    <row r="20" spans="1:14" x14ac:dyDescent="0.25">
      <c r="A20">
        <v>4</v>
      </c>
      <c r="B20">
        <v>19</v>
      </c>
      <c r="C20">
        <f>IF(ISNUMBER(VLOOKUP(B20,$E$2:$I$1048576,5)), VLOOKUP(B20,$E$2:$I$1048576,5), 0)</f>
        <v>3143</v>
      </c>
      <c r="E20">
        <v>18</v>
      </c>
      <c r="F20" t="s">
        <v>25</v>
      </c>
      <c r="H20" t="s">
        <v>28</v>
      </c>
      <c r="I20" s="1">
        <f t="shared" si="0"/>
        <v>587</v>
      </c>
      <c r="J20" s="2">
        <f t="shared" si="1"/>
        <v>3.4350385637208431E-3</v>
      </c>
      <c r="K20" t="str">
        <f t="shared" si="2"/>
        <v>Income Assistance - $587M (.34%)</v>
      </c>
      <c r="M20">
        <v>1</v>
      </c>
      <c r="N20" s="1">
        <v>55801</v>
      </c>
    </row>
    <row r="21" spans="1:14" x14ac:dyDescent="0.25">
      <c r="A21">
        <v>6</v>
      </c>
      <c r="B21">
        <v>20</v>
      </c>
      <c r="C21">
        <f>IF(ISNUMBER(VLOOKUP(B21,$E$2:$I$1048576,5)), VLOOKUP(B21,$E$2:$I$1048576,5), 0)</f>
        <v>20717</v>
      </c>
      <c r="E21">
        <v>19</v>
      </c>
      <c r="F21" t="s">
        <v>25</v>
      </c>
      <c r="H21" t="s">
        <v>29</v>
      </c>
      <c r="I21" s="1">
        <f t="shared" si="0"/>
        <v>3143</v>
      </c>
      <c r="J21" s="2">
        <f t="shared" si="1"/>
        <v>1.8392378544760835E-2</v>
      </c>
      <c r="K21" t="str">
        <f t="shared" si="2"/>
        <v>Housing/Homelessness Assistance - $3,143M (1.84%)</v>
      </c>
      <c r="M21">
        <v>10</v>
      </c>
      <c r="N21" s="1">
        <v>259</v>
      </c>
    </row>
    <row r="22" spans="1:14" x14ac:dyDescent="0.25">
      <c r="A22">
        <v>6</v>
      </c>
      <c r="B22">
        <v>21</v>
      </c>
      <c r="C22">
        <f>IF(ISNUMBER(VLOOKUP(B22,$E$2:$I$1048576,5)), VLOOKUP(B22,$E$2:$I$1048576,5), 0)</f>
        <v>3433</v>
      </c>
      <c r="E22">
        <v>20</v>
      </c>
      <c r="F22" t="s">
        <v>15</v>
      </c>
      <c r="H22" t="s">
        <v>30</v>
      </c>
      <c r="I22" s="1">
        <f t="shared" si="0"/>
        <v>20717</v>
      </c>
      <c r="J22" s="2">
        <f t="shared" si="1"/>
        <v>0.12123286869608979</v>
      </c>
      <c r="K22" t="str">
        <f t="shared" si="2"/>
        <v>Reduced Labor Force Participation and Absenteeism - $20,717M (12.12%)</v>
      </c>
      <c r="M22">
        <v>11</v>
      </c>
      <c r="N22" s="1">
        <v>70943</v>
      </c>
    </row>
    <row r="23" spans="1:14" x14ac:dyDescent="0.25">
      <c r="A23">
        <v>6</v>
      </c>
      <c r="B23">
        <v>22</v>
      </c>
      <c r="C23">
        <f>IF(ISNUMBER(VLOOKUP(B23,$E$2:$I$1048576,5)), VLOOKUP(B23,$E$2:$I$1048576,5), 0)</f>
        <v>393</v>
      </c>
      <c r="E23">
        <v>21</v>
      </c>
      <c r="F23" t="s">
        <v>15</v>
      </c>
      <c r="H23" t="s">
        <v>31</v>
      </c>
      <c r="I23" s="1">
        <f t="shared" si="0"/>
        <v>3433</v>
      </c>
      <c r="J23" s="2">
        <f t="shared" si="1"/>
        <v>2.0089416336036892E-2</v>
      </c>
      <c r="K23" t="str">
        <f t="shared" si="2"/>
        <v>Incarceration - $3,433M (2.01%)</v>
      </c>
      <c r="M23">
        <v>2</v>
      </c>
      <c r="N23" s="1">
        <v>71202</v>
      </c>
    </row>
    <row r="24" spans="1:14" x14ac:dyDescent="0.25">
      <c r="A24">
        <v>6</v>
      </c>
      <c r="B24">
        <v>23</v>
      </c>
      <c r="C24">
        <f>IF(ISNUMBER(VLOOKUP(B24,$E$2:$I$1048576,5)), VLOOKUP(B24,$E$2:$I$1048576,5), 0)</f>
        <v>36</v>
      </c>
      <c r="E24">
        <v>22</v>
      </c>
      <c r="F24" t="s">
        <v>15</v>
      </c>
      <c r="H24" t="s">
        <v>32</v>
      </c>
      <c r="I24" s="1">
        <f t="shared" si="0"/>
        <v>393</v>
      </c>
      <c r="J24" s="2">
        <f t="shared" si="1"/>
        <v>2.2997787999016889E-3</v>
      </c>
      <c r="K24" t="str">
        <f t="shared" si="2"/>
        <v>Short-Term Disability - $393M (.23%)</v>
      </c>
      <c r="M24">
        <v>12</v>
      </c>
      <c r="N24" s="1">
        <v>3590</v>
      </c>
    </row>
    <row r="25" spans="1:14" x14ac:dyDescent="0.25">
      <c r="A25">
        <v>6</v>
      </c>
      <c r="B25">
        <v>24</v>
      </c>
      <c r="C25">
        <f>IF(ISNUMBER(VLOOKUP(B25,$E$2:$I$1048576,5)), VLOOKUP(B25,$E$2:$I$1048576,5), 0)</f>
        <v>470</v>
      </c>
      <c r="E25">
        <v>23</v>
      </c>
      <c r="F25" t="s">
        <v>15</v>
      </c>
      <c r="H25" t="s">
        <v>33</v>
      </c>
      <c r="I25" s="1">
        <f t="shared" si="0"/>
        <v>36</v>
      </c>
      <c r="J25" s="2">
        <f t="shared" si="1"/>
        <v>2.1066676029633791E-4</v>
      </c>
      <c r="K25" t="str">
        <f t="shared" si="2"/>
        <v>Long-Term Disability - $36M (.02%)</v>
      </c>
      <c r="M25">
        <v>13</v>
      </c>
      <c r="N25" s="1">
        <v>1580</v>
      </c>
    </row>
    <row r="26" spans="1:14" x14ac:dyDescent="0.25">
      <c r="A26">
        <v>7</v>
      </c>
      <c r="B26">
        <v>25</v>
      </c>
      <c r="C26">
        <f>IF(ISNUMBER(VLOOKUP(B26,$E$2:$I$1048576,5)), VLOOKUP(B26,$E$2:$I$1048576,5), 0)</f>
        <v>16780</v>
      </c>
      <c r="E26">
        <v>24</v>
      </c>
      <c r="F26" t="s">
        <v>15</v>
      </c>
      <c r="H26" t="s">
        <v>34</v>
      </c>
      <c r="I26" s="1">
        <f t="shared" si="0"/>
        <v>470</v>
      </c>
      <c r="J26" s="2">
        <f t="shared" si="1"/>
        <v>2.750371592757745E-3</v>
      </c>
      <c r="K26" t="str">
        <f t="shared" si="2"/>
        <v>Workers' Compensation - $470M (.28%)</v>
      </c>
      <c r="M26">
        <v>14</v>
      </c>
      <c r="N26" s="1">
        <v>841</v>
      </c>
    </row>
    <row r="27" spans="1:14" x14ac:dyDescent="0.25">
      <c r="A27">
        <v>7</v>
      </c>
      <c r="B27">
        <v>26</v>
      </c>
      <c r="C27">
        <f>IF(ISNUMBER(VLOOKUP(B27,$E$2:$I$1048576,5)), VLOOKUP(B27,$E$2:$I$1048576,5), 0)</f>
        <v>21297</v>
      </c>
      <c r="E27">
        <v>25</v>
      </c>
      <c r="F27" t="s">
        <v>10</v>
      </c>
      <c r="G27" t="s">
        <v>16</v>
      </c>
      <c r="H27" t="s">
        <v>35</v>
      </c>
      <c r="I27" s="1">
        <f t="shared" si="0"/>
        <v>16780</v>
      </c>
      <c r="J27" s="2">
        <f t="shared" si="1"/>
        <v>9.8194117715904167E-2</v>
      </c>
      <c r="K27" t="str">
        <f t="shared" si="2"/>
        <v>Commercial - $16,780M (9.82%)</v>
      </c>
      <c r="M27">
        <v>15</v>
      </c>
      <c r="N27" s="1">
        <v>3826</v>
      </c>
    </row>
    <row r="28" spans="1:14" x14ac:dyDescent="0.25">
      <c r="A28">
        <v>7</v>
      </c>
      <c r="B28">
        <v>27</v>
      </c>
      <c r="C28">
        <f>IF(ISNUMBER(VLOOKUP(B28,$E$2:$I$1048576,5)), VLOOKUP(B28,$E$2:$I$1048576,5), 0)</f>
        <v>7896</v>
      </c>
      <c r="E28">
        <v>26</v>
      </c>
      <c r="F28" t="s">
        <v>10</v>
      </c>
      <c r="G28" t="s">
        <v>16</v>
      </c>
      <c r="H28" t="s">
        <v>36</v>
      </c>
      <c r="I28" s="1">
        <f t="shared" si="0"/>
        <v>21297</v>
      </c>
      <c r="J28" s="2">
        <f t="shared" si="1"/>
        <v>0.1246269442786419</v>
      </c>
      <c r="K28" t="str">
        <f t="shared" si="2"/>
        <v>Medicare - $21,297M (12.46%)</v>
      </c>
      <c r="M28">
        <v>3</v>
      </c>
      <c r="N28" s="1">
        <v>9837</v>
      </c>
    </row>
    <row r="29" spans="1:14" x14ac:dyDescent="0.25">
      <c r="A29">
        <v>7</v>
      </c>
      <c r="B29">
        <v>28</v>
      </c>
      <c r="C29">
        <f>IF(ISNUMBER(VLOOKUP(B29,$E$2:$I$1048576,5)), VLOOKUP(B29,$E$2:$I$1048576,5), 0)</f>
        <v>495</v>
      </c>
      <c r="E29">
        <v>27</v>
      </c>
      <c r="F29" t="s">
        <v>10</v>
      </c>
      <c r="G29" t="s">
        <v>16</v>
      </c>
      <c r="H29" t="s">
        <v>37</v>
      </c>
      <c r="I29" s="1">
        <f t="shared" si="0"/>
        <v>7896</v>
      </c>
      <c r="J29" s="2">
        <f t="shared" si="1"/>
        <v>4.6206242758330116E-2</v>
      </c>
      <c r="K29" t="str">
        <f t="shared" si="2"/>
        <v>Medicaid - $7,896M (4.62%)</v>
      </c>
      <c r="M29">
        <v>16</v>
      </c>
      <c r="N29" s="1">
        <v>1231</v>
      </c>
    </row>
    <row r="30" spans="1:14" x14ac:dyDescent="0.25">
      <c r="A30">
        <v>7</v>
      </c>
      <c r="B30">
        <v>29</v>
      </c>
      <c r="C30">
        <f>IF(ISNUMBER(VLOOKUP(B30,$E$2:$I$1048576,5)), VLOOKUP(B30,$E$2:$I$1048576,5), 0)</f>
        <v>6171</v>
      </c>
      <c r="E30">
        <v>28</v>
      </c>
      <c r="F30" t="s">
        <v>10</v>
      </c>
      <c r="G30" t="s">
        <v>16</v>
      </c>
      <c r="H30" t="s">
        <v>38</v>
      </c>
      <c r="I30" s="1">
        <f t="shared" si="0"/>
        <v>495</v>
      </c>
      <c r="J30" s="2">
        <f t="shared" si="1"/>
        <v>2.8966679540746464E-3</v>
      </c>
      <c r="K30" t="str">
        <f t="shared" si="2"/>
        <v>Other Public Insurance - $495M (.29%)</v>
      </c>
      <c r="M30">
        <v>17</v>
      </c>
      <c r="N30" s="1">
        <v>2805</v>
      </c>
    </row>
    <row r="31" spans="1:14" x14ac:dyDescent="0.25">
      <c r="A31">
        <v>8</v>
      </c>
      <c r="B31">
        <v>30</v>
      </c>
      <c r="C31">
        <f>IF(ISNUMBER(VLOOKUP(B31,$E$2:$I$1048576,5)), VLOOKUP(B31,$E$2:$I$1048576,5), 0)</f>
        <v>86</v>
      </c>
      <c r="E31">
        <v>29</v>
      </c>
      <c r="F31" t="s">
        <v>10</v>
      </c>
      <c r="G31" t="s">
        <v>16</v>
      </c>
      <c r="H31" t="s">
        <v>39</v>
      </c>
      <c r="I31" s="1">
        <f t="shared" si="0"/>
        <v>6171</v>
      </c>
      <c r="J31" s="2">
        <f t="shared" si="1"/>
        <v>3.611179382746392E-2</v>
      </c>
      <c r="K31" t="str">
        <f t="shared" si="2"/>
        <v>Uninsured - $6,171M (3.61%)</v>
      </c>
      <c r="M31">
        <v>18</v>
      </c>
      <c r="N31" s="1">
        <v>587</v>
      </c>
    </row>
    <row r="32" spans="1:14" x14ac:dyDescent="0.25">
      <c r="A32">
        <v>8</v>
      </c>
      <c r="B32">
        <v>31</v>
      </c>
      <c r="C32">
        <f>IF(ISNUMBER(VLOOKUP(B32,$E$2:$I$1048576,5)), VLOOKUP(B32,$E$2:$I$1048576,5), 0)</f>
        <v>0</v>
      </c>
      <c r="E32">
        <v>30</v>
      </c>
      <c r="F32" t="s">
        <v>10</v>
      </c>
      <c r="G32" t="s">
        <v>17</v>
      </c>
      <c r="H32" t="s">
        <v>35</v>
      </c>
      <c r="I32" s="1">
        <f t="shared" si="0"/>
        <v>86</v>
      </c>
      <c r="J32" s="2">
        <f t="shared" si="1"/>
        <v>5.0325948293014058E-4</v>
      </c>
      <c r="K32" t="str">
        <f t="shared" si="2"/>
        <v>Commercial - $86M (.05%)</v>
      </c>
      <c r="M32">
        <v>19</v>
      </c>
      <c r="N32" s="1">
        <v>3143</v>
      </c>
    </row>
    <row r="33" spans="1:14" x14ac:dyDescent="0.25">
      <c r="A33">
        <v>8</v>
      </c>
      <c r="B33">
        <v>32</v>
      </c>
      <c r="C33">
        <f>IF(ISNUMBER(VLOOKUP(B33,$E$2:$I$1048576,5)), VLOOKUP(B33,$E$2:$I$1048576,5), 0)</f>
        <v>586</v>
      </c>
      <c r="E33">
        <v>31</v>
      </c>
      <c r="F33" t="s">
        <v>10</v>
      </c>
      <c r="G33" t="s">
        <v>17</v>
      </c>
      <c r="H33" t="s">
        <v>36</v>
      </c>
      <c r="I33" s="1" t="str">
        <f t="shared" si="0"/>
        <v>N/A</v>
      </c>
      <c r="J33" s="2" t="e">
        <f t="shared" si="1"/>
        <v>#VALUE!</v>
      </c>
      <c r="K33" t="s">
        <v>46</v>
      </c>
      <c r="M33">
        <v>4</v>
      </c>
      <c r="N33" s="1">
        <v>7766</v>
      </c>
    </row>
    <row r="34" spans="1:14" x14ac:dyDescent="0.25">
      <c r="A34">
        <v>8</v>
      </c>
      <c r="B34">
        <v>33</v>
      </c>
      <c r="C34">
        <f>IF(ISNUMBER(VLOOKUP(B34,$E$2:$I$1048576,5)), VLOOKUP(B34,$E$2:$I$1048576,5), 0)</f>
        <v>7</v>
      </c>
      <c r="E34">
        <v>32</v>
      </c>
      <c r="F34" t="s">
        <v>10</v>
      </c>
      <c r="G34" t="s">
        <v>17</v>
      </c>
      <c r="H34" t="s">
        <v>37</v>
      </c>
      <c r="I34" s="1">
        <f t="shared" si="0"/>
        <v>586</v>
      </c>
      <c r="J34" s="2">
        <f t="shared" si="1"/>
        <v>3.4291867092681671E-3</v>
      </c>
      <c r="K34" t="str">
        <f t="shared" si="2"/>
        <v>Medicaid - $586M (.34%)</v>
      </c>
      <c r="M34">
        <v>5</v>
      </c>
      <c r="N34" s="1">
        <v>1231</v>
      </c>
    </row>
    <row r="35" spans="1:14" x14ac:dyDescent="0.25">
      <c r="A35">
        <v>8</v>
      </c>
      <c r="B35">
        <v>34</v>
      </c>
      <c r="C35">
        <f>IF(ISNUMBER(VLOOKUP(B35,$E$2:$I$1048576,5)), VLOOKUP(B35,$E$2:$I$1048576,5), 0)</f>
        <v>56</v>
      </c>
      <c r="E35">
        <v>33</v>
      </c>
      <c r="F35" t="s">
        <v>10</v>
      </c>
      <c r="G35" t="s">
        <v>17</v>
      </c>
      <c r="H35" t="s">
        <v>38</v>
      </c>
      <c r="I35" s="1">
        <f t="shared" si="0"/>
        <v>7</v>
      </c>
      <c r="J35" s="2">
        <f t="shared" si="1"/>
        <v>4.0962981168732374E-5</v>
      </c>
      <c r="K35" t="str">
        <f>CONCATENATE(H35," - ",TEXT(I35,"$#,###"),IF(I35="N/A","","M"), " (", TEXT(J35,"##.###%"), ")")</f>
        <v>Other Public Insurance - $7M (.004%)</v>
      </c>
      <c r="M35">
        <v>20</v>
      </c>
      <c r="N35" s="1">
        <v>20717</v>
      </c>
    </row>
    <row r="36" spans="1:14" x14ac:dyDescent="0.25">
      <c r="A36">
        <v>9</v>
      </c>
      <c r="B36">
        <v>35</v>
      </c>
      <c r="C36">
        <f>IF(ISNUMBER(VLOOKUP(B36,$E$2:$I$1048576,5)), VLOOKUP(B36,$E$2:$I$1048576,5), 0)</f>
        <v>990</v>
      </c>
      <c r="E36">
        <v>34</v>
      </c>
      <c r="F36" t="s">
        <v>10</v>
      </c>
      <c r="G36" t="s">
        <v>17</v>
      </c>
      <c r="H36" t="s">
        <v>39</v>
      </c>
      <c r="I36" s="1">
        <f t="shared" si="0"/>
        <v>56</v>
      </c>
      <c r="J36" s="2">
        <f t="shared" si="1"/>
        <v>3.2770384934985899E-4</v>
      </c>
      <c r="K36" t="str">
        <f t="shared" si="2"/>
        <v>Uninsured - $56M (.03%)</v>
      </c>
      <c r="M36">
        <v>21</v>
      </c>
      <c r="N36" s="1">
        <v>3433</v>
      </c>
    </row>
    <row r="37" spans="1:14" x14ac:dyDescent="0.25">
      <c r="A37">
        <v>9</v>
      </c>
      <c r="B37">
        <v>36</v>
      </c>
      <c r="C37">
        <f>IF(ISNUMBER(VLOOKUP(B37,$E$2:$I$1048576,5)), VLOOKUP(B37,$E$2:$I$1048576,5), 0)</f>
        <v>579</v>
      </c>
      <c r="E37">
        <v>35</v>
      </c>
      <c r="F37" t="s">
        <v>10</v>
      </c>
      <c r="G37" t="s">
        <v>18</v>
      </c>
      <c r="H37" t="s">
        <v>35</v>
      </c>
      <c r="I37" s="1">
        <f t="shared" si="0"/>
        <v>990</v>
      </c>
      <c r="J37" s="2">
        <f t="shared" si="1"/>
        <v>5.7933359081492929E-3</v>
      </c>
      <c r="K37" t="str">
        <f t="shared" si="2"/>
        <v>Commercial - $990M (.58%)</v>
      </c>
      <c r="M37">
        <v>22</v>
      </c>
      <c r="N37" s="1">
        <v>393</v>
      </c>
    </row>
    <row r="38" spans="1:14" x14ac:dyDescent="0.25">
      <c r="A38">
        <v>9</v>
      </c>
      <c r="B38">
        <v>37</v>
      </c>
      <c r="C38">
        <f>IF(ISNUMBER(VLOOKUP(B38,$E$2:$I$1048576,5)), VLOOKUP(B38,$E$2:$I$1048576,5), 0)</f>
        <v>466</v>
      </c>
      <c r="E38">
        <v>36</v>
      </c>
      <c r="F38" t="s">
        <v>10</v>
      </c>
      <c r="G38" t="s">
        <v>18</v>
      </c>
      <c r="H38" t="s">
        <v>36</v>
      </c>
      <c r="I38" s="1">
        <f t="shared" si="0"/>
        <v>579</v>
      </c>
      <c r="J38" s="2">
        <f t="shared" si="1"/>
        <v>3.3882237280994346E-3</v>
      </c>
      <c r="K38" t="str">
        <f t="shared" si="2"/>
        <v>Medicare - $579M (.34%)</v>
      </c>
      <c r="M38">
        <v>23</v>
      </c>
      <c r="N38" s="1">
        <v>36</v>
      </c>
    </row>
    <row r="39" spans="1:14" x14ac:dyDescent="0.25">
      <c r="A39">
        <v>9</v>
      </c>
      <c r="B39">
        <v>38</v>
      </c>
      <c r="C39">
        <f>IF(ISNUMBER(VLOOKUP(B39,$E$2:$I$1048576,5)), VLOOKUP(B39,$E$2:$I$1048576,5), 0)</f>
        <v>29</v>
      </c>
      <c r="E39">
        <v>37</v>
      </c>
      <c r="F39" t="s">
        <v>10</v>
      </c>
      <c r="G39" t="s">
        <v>18</v>
      </c>
      <c r="H39" t="s">
        <v>37</v>
      </c>
      <c r="I39" s="1">
        <f t="shared" si="0"/>
        <v>466</v>
      </c>
      <c r="J39" s="2">
        <f t="shared" si="1"/>
        <v>2.7269641749470409E-3</v>
      </c>
      <c r="K39" t="str">
        <f t="shared" si="2"/>
        <v>Medicaid - $466M (.27%)</v>
      </c>
      <c r="M39">
        <v>24</v>
      </c>
      <c r="N39" s="1">
        <v>470</v>
      </c>
    </row>
    <row r="40" spans="1:14" x14ac:dyDescent="0.25">
      <c r="A40">
        <v>9</v>
      </c>
      <c r="B40">
        <v>39</v>
      </c>
      <c r="C40">
        <f>IF(ISNUMBER(VLOOKUP(B40,$E$2:$I$1048576,5)), VLOOKUP(B40,$E$2:$I$1048576,5), 0)</f>
        <v>364</v>
      </c>
      <c r="E40">
        <v>38</v>
      </c>
      <c r="F40" t="s">
        <v>10</v>
      </c>
      <c r="G40" t="s">
        <v>18</v>
      </c>
      <c r="H40" t="s">
        <v>38</v>
      </c>
      <c r="I40" s="1">
        <f t="shared" si="0"/>
        <v>29</v>
      </c>
      <c r="J40" s="2">
        <f t="shared" si="1"/>
        <v>1.6970377912760553E-4</v>
      </c>
      <c r="K40" t="str">
        <f t="shared" si="2"/>
        <v>Other Public Insurance - $29M (.02%)</v>
      </c>
      <c r="M40">
        <v>6</v>
      </c>
      <c r="N40" s="1">
        <v>25049</v>
      </c>
    </row>
    <row r="41" spans="1:14" x14ac:dyDescent="0.25">
      <c r="A41">
        <v>26</v>
      </c>
      <c r="B41">
        <v>40</v>
      </c>
      <c r="C41">
        <f>IF(ISNUMBER(VLOOKUP(A41,$E$2:$I$1048576,5)), VLOOKUP(A41,$E$2:$I$1048576,5), 0)</f>
        <v>21297</v>
      </c>
      <c r="E41">
        <v>39</v>
      </c>
      <c r="F41" t="s">
        <v>10</v>
      </c>
      <c r="G41" t="s">
        <v>18</v>
      </c>
      <c r="H41" t="s">
        <v>39</v>
      </c>
      <c r="I41" s="1">
        <f t="shared" si="0"/>
        <v>364</v>
      </c>
      <c r="J41" s="2">
        <f t="shared" si="1"/>
        <v>2.1300750207740833E-3</v>
      </c>
      <c r="K41" t="str">
        <f t="shared" si="2"/>
        <v>Uninsured - $364M (.21%)</v>
      </c>
      <c r="M41">
        <v>0</v>
      </c>
      <c r="N41" s="1">
        <v>170886</v>
      </c>
    </row>
    <row r="42" spans="1:14" x14ac:dyDescent="0.25">
      <c r="A42">
        <v>27</v>
      </c>
      <c r="B42">
        <v>40</v>
      </c>
      <c r="C42">
        <f t="shared" ref="C42:C71" si="3">IF(ISNUMBER(VLOOKUP(A42,$E$2:$I$1048576,5)), VLOOKUP(A42,$E$2:$I$1048576,5), 0)</f>
        <v>7896</v>
      </c>
      <c r="E42">
        <v>40</v>
      </c>
      <c r="H42" t="s">
        <v>41</v>
      </c>
      <c r="I42" s="1">
        <f t="shared" si="0"/>
        <v>49348</v>
      </c>
      <c r="J42" s="2">
        <f t="shared" si="1"/>
        <v>0.28877731353065789</v>
      </c>
      <c r="K42" t="str">
        <f t="shared" si="2"/>
        <v>Federal, State, and Local Governments - $49,348M (28.88%)</v>
      </c>
      <c r="M42">
        <v>40</v>
      </c>
      <c r="N42" s="1">
        <v>49348</v>
      </c>
    </row>
    <row r="43" spans="1:14" x14ac:dyDescent="0.25">
      <c r="A43">
        <v>28</v>
      </c>
      <c r="B43">
        <v>40</v>
      </c>
      <c r="C43">
        <f t="shared" si="3"/>
        <v>495</v>
      </c>
      <c r="E43">
        <v>41</v>
      </c>
      <c r="H43" t="s">
        <v>42</v>
      </c>
      <c r="I43" s="1">
        <f t="shared" si="0"/>
        <v>121538</v>
      </c>
      <c r="J43" s="2">
        <f t="shared" si="1"/>
        <v>0.71122268646934217</v>
      </c>
      <c r="K43" t="str">
        <f>CONCATENATE(H43," - ",TEXT(I43,"$#,###"),IF(I43="N/A","","M"), " (", TEXT(J43,"##.##%"), ")")</f>
        <v>Private Sector and Individuals - $121,538M (71.12%)</v>
      </c>
      <c r="M43">
        <v>41</v>
      </c>
      <c r="N43" s="1">
        <v>121538</v>
      </c>
    </row>
    <row r="44" spans="1:14" x14ac:dyDescent="0.25">
      <c r="A44">
        <v>31</v>
      </c>
      <c r="B44">
        <v>40</v>
      </c>
      <c r="C44">
        <f t="shared" si="3"/>
        <v>0</v>
      </c>
    </row>
    <row r="45" spans="1:14" x14ac:dyDescent="0.25">
      <c r="A45">
        <v>32</v>
      </c>
      <c r="B45">
        <v>40</v>
      </c>
      <c r="C45">
        <f t="shared" si="3"/>
        <v>586</v>
      </c>
    </row>
    <row r="46" spans="1:14" x14ac:dyDescent="0.25">
      <c r="A46">
        <v>33</v>
      </c>
      <c r="B46">
        <v>40</v>
      </c>
      <c r="C46">
        <f t="shared" si="3"/>
        <v>7</v>
      </c>
    </row>
    <row r="47" spans="1:14" x14ac:dyDescent="0.25">
      <c r="A47">
        <v>36</v>
      </c>
      <c r="B47">
        <v>40</v>
      </c>
      <c r="C47">
        <f t="shared" si="3"/>
        <v>579</v>
      </c>
    </row>
    <row r="48" spans="1:14" x14ac:dyDescent="0.25">
      <c r="A48">
        <v>37</v>
      </c>
      <c r="B48">
        <v>40</v>
      </c>
      <c r="C48">
        <f t="shared" si="3"/>
        <v>466</v>
      </c>
    </row>
    <row r="49" spans="1:3" x14ac:dyDescent="0.25">
      <c r="A49">
        <v>38</v>
      </c>
      <c r="B49">
        <v>40</v>
      </c>
      <c r="C49">
        <f t="shared" si="3"/>
        <v>29</v>
      </c>
    </row>
    <row r="50" spans="1:3" x14ac:dyDescent="0.25">
      <c r="A50">
        <v>12</v>
      </c>
      <c r="B50">
        <v>40</v>
      </c>
      <c r="C50">
        <f t="shared" si="3"/>
        <v>3590</v>
      </c>
    </row>
    <row r="51" spans="1:3" x14ac:dyDescent="0.25">
      <c r="A51">
        <v>13</v>
      </c>
      <c r="B51">
        <v>40</v>
      </c>
      <c r="C51">
        <f t="shared" si="3"/>
        <v>1580</v>
      </c>
    </row>
    <row r="52" spans="1:3" x14ac:dyDescent="0.25">
      <c r="A52">
        <v>15</v>
      </c>
      <c r="B52">
        <v>40</v>
      </c>
      <c r="C52">
        <f t="shared" si="3"/>
        <v>3826</v>
      </c>
    </row>
    <row r="53" spans="1:3" x14ac:dyDescent="0.25">
      <c r="A53">
        <v>16</v>
      </c>
      <c r="B53">
        <v>40</v>
      </c>
      <c r="C53">
        <f t="shared" si="3"/>
        <v>1231</v>
      </c>
    </row>
    <row r="54" spans="1:3" x14ac:dyDescent="0.25">
      <c r="A54">
        <v>17</v>
      </c>
      <c r="B54">
        <v>40</v>
      </c>
      <c r="C54">
        <f t="shared" si="3"/>
        <v>2805</v>
      </c>
    </row>
    <row r="55" spans="1:3" x14ac:dyDescent="0.25">
      <c r="A55">
        <v>18</v>
      </c>
      <c r="B55">
        <v>40</v>
      </c>
      <c r="C55">
        <f t="shared" si="3"/>
        <v>587</v>
      </c>
    </row>
    <row r="56" spans="1:3" x14ac:dyDescent="0.25">
      <c r="A56">
        <v>19</v>
      </c>
      <c r="B56">
        <v>40</v>
      </c>
      <c r="C56">
        <f t="shared" si="3"/>
        <v>3143</v>
      </c>
    </row>
    <row r="57" spans="1:3" x14ac:dyDescent="0.25">
      <c r="A57">
        <v>5</v>
      </c>
      <c r="B57">
        <v>40</v>
      </c>
      <c r="C57">
        <f t="shared" si="3"/>
        <v>1231</v>
      </c>
    </row>
    <row r="58" spans="1:3" x14ac:dyDescent="0.25">
      <c r="A58">
        <v>25</v>
      </c>
      <c r="B58">
        <v>41</v>
      </c>
      <c r="C58">
        <f t="shared" si="3"/>
        <v>16780</v>
      </c>
    </row>
    <row r="59" spans="1:3" x14ac:dyDescent="0.25">
      <c r="A59">
        <v>29</v>
      </c>
      <c r="B59">
        <v>41</v>
      </c>
      <c r="C59">
        <f t="shared" si="3"/>
        <v>6171</v>
      </c>
    </row>
    <row r="60" spans="1:3" x14ac:dyDescent="0.25">
      <c r="A60">
        <v>30</v>
      </c>
      <c r="B60">
        <v>41</v>
      </c>
      <c r="C60">
        <f t="shared" si="3"/>
        <v>86</v>
      </c>
    </row>
    <row r="61" spans="1:3" x14ac:dyDescent="0.25">
      <c r="A61">
        <v>34</v>
      </c>
      <c r="B61">
        <v>41</v>
      </c>
      <c r="C61">
        <f t="shared" si="3"/>
        <v>56</v>
      </c>
    </row>
    <row r="62" spans="1:3" x14ac:dyDescent="0.25">
      <c r="A62">
        <v>35</v>
      </c>
      <c r="B62">
        <v>41</v>
      </c>
      <c r="C62">
        <f t="shared" si="3"/>
        <v>990</v>
      </c>
    </row>
    <row r="63" spans="1:3" x14ac:dyDescent="0.25">
      <c r="A63">
        <v>39</v>
      </c>
      <c r="B63">
        <v>41</v>
      </c>
      <c r="C63">
        <f t="shared" si="3"/>
        <v>364</v>
      </c>
    </row>
    <row r="64" spans="1:3" x14ac:dyDescent="0.25">
      <c r="A64">
        <v>10</v>
      </c>
      <c r="B64">
        <v>41</v>
      </c>
      <c r="C64">
        <f t="shared" si="3"/>
        <v>259</v>
      </c>
    </row>
    <row r="65" spans="1:3" x14ac:dyDescent="0.25">
      <c r="A65">
        <v>11</v>
      </c>
      <c r="B65">
        <v>41</v>
      </c>
      <c r="C65">
        <f t="shared" si="3"/>
        <v>70943</v>
      </c>
    </row>
    <row r="66" spans="1:3" x14ac:dyDescent="0.25">
      <c r="A66">
        <v>14</v>
      </c>
      <c r="B66">
        <v>41</v>
      </c>
      <c r="C66">
        <f t="shared" si="3"/>
        <v>841</v>
      </c>
    </row>
    <row r="67" spans="1:3" x14ac:dyDescent="0.25">
      <c r="A67">
        <v>20</v>
      </c>
      <c r="B67">
        <v>41</v>
      </c>
      <c r="C67">
        <f t="shared" si="3"/>
        <v>20717</v>
      </c>
    </row>
    <row r="68" spans="1:3" x14ac:dyDescent="0.25">
      <c r="A68">
        <v>21</v>
      </c>
      <c r="B68">
        <v>41</v>
      </c>
      <c r="C68">
        <f t="shared" si="3"/>
        <v>3433</v>
      </c>
    </row>
    <row r="69" spans="1:3" x14ac:dyDescent="0.25">
      <c r="A69">
        <v>22</v>
      </c>
      <c r="B69">
        <v>41</v>
      </c>
      <c r="C69">
        <f t="shared" si="3"/>
        <v>393</v>
      </c>
    </row>
    <row r="70" spans="1:3" x14ac:dyDescent="0.25">
      <c r="A70">
        <v>23</v>
      </c>
      <c r="B70">
        <v>41</v>
      </c>
      <c r="C70">
        <f t="shared" si="3"/>
        <v>36</v>
      </c>
    </row>
    <row r="71" spans="1:3" x14ac:dyDescent="0.25">
      <c r="A71">
        <v>24</v>
      </c>
      <c r="B71">
        <v>41</v>
      </c>
      <c r="C71">
        <f t="shared" si="3"/>
        <v>470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K2" sqref="K2"/>
    </sheetView>
  </sheetViews>
  <sheetFormatPr defaultRowHeight="15" x14ac:dyDescent="0.25"/>
  <cols>
    <col min="6" max="6" width="14.28515625" customWidth="1"/>
    <col min="7" max="7" width="11.5703125" customWidth="1"/>
    <col min="8" max="8" width="14.140625" customWidth="1"/>
    <col min="9" max="9" width="9.85546875" style="1" bestFit="1" customWidth="1"/>
    <col min="10" max="10" width="18.42578125" style="2" bestFit="1" customWidth="1"/>
    <col min="11" max="11" width="58.28515625" bestFit="1" customWidth="1"/>
    <col min="12" max="12" width="10.42578125" customWidth="1"/>
    <col min="13" max="13" width="1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  <c r="M1" t="s">
        <v>43</v>
      </c>
      <c r="N1" t="s">
        <v>44</v>
      </c>
    </row>
    <row r="2" spans="1:14" x14ac:dyDescent="0.25">
      <c r="A2">
        <v>0</v>
      </c>
      <c r="B2">
        <v>1</v>
      </c>
      <c r="C2">
        <f>IF(ISNUMBER(VLOOKUP(B2,$E$2:$I$1048576,5)), VLOOKUP(B2,$E$2:$I$1048576,5), 0)</f>
        <v>51731</v>
      </c>
      <c r="E2">
        <v>0</v>
      </c>
      <c r="H2" t="s">
        <v>9</v>
      </c>
      <c r="I2" s="1">
        <f>INDEX($M$2:$N$1048576, MATCH(E2,$M$2:$M$1048576, FALSE),2)</f>
        <v>156398</v>
      </c>
      <c r="J2" s="2">
        <f>I2/$I$2</f>
        <v>1</v>
      </c>
      <c r="K2" t="str">
        <f>CONCATENATE(H2," - ",TEXT(I2,"$#,###"),IF(I2="N/A","","M"), " (", TEXT(J2,"##.##%"), ")")</f>
        <v>Total Cost  - $156,398M (100.%)</v>
      </c>
      <c r="M2">
        <v>25</v>
      </c>
      <c r="N2" s="1">
        <v>15761</v>
      </c>
    </row>
    <row r="3" spans="1:14" x14ac:dyDescent="0.25">
      <c r="A3">
        <v>0</v>
      </c>
      <c r="B3">
        <v>2</v>
      </c>
      <c r="C3">
        <f>IF(ISNUMBER(VLOOKUP(B3,$E$2:$I$1048576,5)), VLOOKUP(B3,$E$2:$I$1048576,5), 0)</f>
        <v>62163</v>
      </c>
      <c r="E3">
        <v>1</v>
      </c>
      <c r="H3" t="s">
        <v>10</v>
      </c>
      <c r="I3" s="1">
        <f t="shared" ref="I3:I43" si="0">INDEX($M$2:$N$1048576, MATCH(E3,$M$2:$M$1048576, FALSE),2)</f>
        <v>51731</v>
      </c>
      <c r="J3" s="2">
        <f t="shared" ref="J3:J43" si="1">I3/$I$2</f>
        <v>0.33076509929794501</v>
      </c>
      <c r="K3" t="str">
        <f t="shared" ref="K3:K42" si="2">CONCATENATE(H3," - ",TEXT(I3,"$#,###"),IF(I3="N/A","","M"), " (", TEXT(J3,"##.##%"), ")")</f>
        <v>Healthcare - $51,731M (33.08%)</v>
      </c>
      <c r="M3">
        <v>26</v>
      </c>
      <c r="N3" s="1">
        <v>19560</v>
      </c>
    </row>
    <row r="4" spans="1:14" x14ac:dyDescent="0.25">
      <c r="A4">
        <v>0</v>
      </c>
      <c r="B4">
        <v>3</v>
      </c>
      <c r="C4">
        <f>IF(ISNUMBER(VLOOKUP(B4,$E$2:$I$1048576,5)), VLOOKUP(B4,$E$2:$I$1048576,5), 0)</f>
        <v>9155</v>
      </c>
      <c r="E4">
        <v>2</v>
      </c>
      <c r="H4" t="s">
        <v>11</v>
      </c>
      <c r="I4" s="1">
        <f t="shared" si="0"/>
        <v>62163</v>
      </c>
      <c r="J4" s="2">
        <f t="shared" si="1"/>
        <v>0.39746671952326756</v>
      </c>
      <c r="K4" t="str">
        <f t="shared" si="2"/>
        <v>Mortality - $62,163M (39.75%)</v>
      </c>
      <c r="M4">
        <v>27</v>
      </c>
      <c r="N4" s="1">
        <v>7402</v>
      </c>
    </row>
    <row r="5" spans="1:14" x14ac:dyDescent="0.25">
      <c r="A5">
        <v>0</v>
      </c>
      <c r="B5">
        <v>4</v>
      </c>
      <c r="C5">
        <f>IF(ISNUMBER(VLOOKUP(B5,$E$2:$I$1048576,5)), VLOOKUP(B5,$E$2:$I$1048576,5), 0)</f>
        <v>8546</v>
      </c>
      <c r="E5">
        <v>3</v>
      </c>
      <c r="H5" t="s">
        <v>12</v>
      </c>
      <c r="I5" s="1">
        <f t="shared" si="0"/>
        <v>9155</v>
      </c>
      <c r="J5" s="2">
        <f t="shared" si="1"/>
        <v>5.8536554175884603E-2</v>
      </c>
      <c r="K5" t="str">
        <f t="shared" si="2"/>
        <v>Criminal Justice - $9,155M (5.85%)</v>
      </c>
      <c r="M5">
        <v>28</v>
      </c>
      <c r="N5" s="1">
        <v>467</v>
      </c>
    </row>
    <row r="6" spans="1:14" x14ac:dyDescent="0.25">
      <c r="A6">
        <v>0</v>
      </c>
      <c r="B6">
        <v>5</v>
      </c>
      <c r="C6">
        <f>IF(ISNUMBER(VLOOKUP(B6,$E$2:$I$1048576,5)), VLOOKUP(B6,$E$2:$I$1048576,5), 0)</f>
        <v>1335</v>
      </c>
      <c r="E6">
        <v>4</v>
      </c>
      <c r="H6" t="s">
        <v>13</v>
      </c>
      <c r="I6" s="1">
        <f t="shared" si="0"/>
        <v>8546</v>
      </c>
      <c r="J6" s="2">
        <f t="shared" si="1"/>
        <v>5.4642642489034388E-2</v>
      </c>
      <c r="K6" t="str">
        <f t="shared" si="2"/>
        <v>Child and Family Assistance - $8,546M (5.46%)</v>
      </c>
      <c r="M6">
        <v>29</v>
      </c>
      <c r="N6" s="1">
        <v>5638</v>
      </c>
    </row>
    <row r="7" spans="1:14" x14ac:dyDescent="0.25">
      <c r="A7">
        <v>0</v>
      </c>
      <c r="B7">
        <v>6</v>
      </c>
      <c r="C7">
        <f>IF(ISNUMBER(VLOOKUP(B7,$E$2:$I$1048576,5)), VLOOKUP(B7,$E$2:$I$1048576,5), 0)</f>
        <v>23468</v>
      </c>
      <c r="E7">
        <v>5</v>
      </c>
      <c r="H7" t="s">
        <v>14</v>
      </c>
      <c r="I7" s="1">
        <f t="shared" si="0"/>
        <v>1335</v>
      </c>
      <c r="J7" s="2">
        <f t="shared" si="1"/>
        <v>8.5359147815189454E-3</v>
      </c>
      <c r="K7" t="str">
        <f t="shared" si="2"/>
        <v>Education - $1,335M (.85%)</v>
      </c>
      <c r="M7">
        <v>7</v>
      </c>
      <c r="N7" s="1">
        <v>48827</v>
      </c>
    </row>
    <row r="8" spans="1:14" x14ac:dyDescent="0.25">
      <c r="A8">
        <v>1</v>
      </c>
      <c r="B8">
        <v>7</v>
      </c>
      <c r="C8">
        <f>IF(ISNUMBER(VLOOKUP(B8,$E$2:$I$1048576,5)), VLOOKUP(B8,$E$2:$I$1048576,5), 0)</f>
        <v>48827</v>
      </c>
      <c r="E8">
        <v>6</v>
      </c>
      <c r="H8" t="s">
        <v>15</v>
      </c>
      <c r="I8" s="1">
        <f t="shared" si="0"/>
        <v>23468</v>
      </c>
      <c r="J8" s="2">
        <f t="shared" si="1"/>
        <v>0.15005306973234953</v>
      </c>
      <c r="K8" t="str">
        <f t="shared" si="2"/>
        <v>Lost Productivity - $23,468M (15.01%)</v>
      </c>
      <c r="M8">
        <v>30</v>
      </c>
      <c r="N8" s="1">
        <v>82</v>
      </c>
    </row>
    <row r="9" spans="1:14" x14ac:dyDescent="0.25">
      <c r="A9">
        <v>1</v>
      </c>
      <c r="B9">
        <v>8</v>
      </c>
      <c r="C9">
        <f>IF(ISNUMBER(VLOOKUP(B9,$E$2:$I$1048576,5)), VLOOKUP(B9,$E$2:$I$1048576,5), 0)</f>
        <v>681</v>
      </c>
      <c r="E9">
        <v>7</v>
      </c>
      <c r="F9" t="s">
        <v>10</v>
      </c>
      <c r="H9" t="s">
        <v>16</v>
      </c>
      <c r="I9" s="1">
        <f t="shared" si="0"/>
        <v>48827</v>
      </c>
      <c r="J9" s="2">
        <f t="shared" si="1"/>
        <v>0.31219708691927006</v>
      </c>
      <c r="K9" t="str">
        <f t="shared" si="2"/>
        <v>For individuals with OUD - $48,827M (31.22%)</v>
      </c>
      <c r="M9">
        <v>31</v>
      </c>
      <c r="N9" s="1" t="s">
        <v>40</v>
      </c>
    </row>
    <row r="10" spans="1:14" x14ac:dyDescent="0.25">
      <c r="A10">
        <v>1</v>
      </c>
      <c r="B10">
        <v>9</v>
      </c>
      <c r="C10">
        <f>IF(ISNUMBER(VLOOKUP(B10,$E$2:$I$1048576,5)), VLOOKUP(B10,$E$2:$I$1048576,5), 0)</f>
        <v>2223</v>
      </c>
      <c r="E10">
        <v>8</v>
      </c>
      <c r="F10" t="s">
        <v>10</v>
      </c>
      <c r="H10" t="s">
        <v>17</v>
      </c>
      <c r="I10" s="1">
        <f t="shared" si="0"/>
        <v>681</v>
      </c>
      <c r="J10" s="2">
        <f t="shared" si="1"/>
        <v>4.3542756301231476E-3</v>
      </c>
      <c r="K10" t="str">
        <f t="shared" si="2"/>
        <v>For infants born with NAS or NOWS - $681M (.44%)</v>
      </c>
      <c r="M10">
        <v>32</v>
      </c>
      <c r="N10" s="1">
        <v>540</v>
      </c>
    </row>
    <row r="11" spans="1:14" x14ac:dyDescent="0.25">
      <c r="A11">
        <v>2</v>
      </c>
      <c r="B11">
        <v>10</v>
      </c>
      <c r="C11">
        <f>IF(ISNUMBER(VLOOKUP(B11,$E$2:$I$1048576,5)), VLOOKUP(B11,$E$2:$I$1048576,5), 0)</f>
        <v>225</v>
      </c>
      <c r="E11">
        <v>9</v>
      </c>
      <c r="F11" t="s">
        <v>10</v>
      </c>
      <c r="H11" t="s">
        <v>18</v>
      </c>
      <c r="I11" s="1">
        <f t="shared" si="0"/>
        <v>2223</v>
      </c>
      <c r="J11" s="2">
        <f t="shared" si="1"/>
        <v>1.4213736748551772E-2</v>
      </c>
      <c r="K11" t="str">
        <f t="shared" si="2"/>
        <v>For family members of individual with OUD - $2,223M (1.42%)</v>
      </c>
      <c r="M11">
        <v>33</v>
      </c>
      <c r="N11" s="1">
        <v>7</v>
      </c>
    </row>
    <row r="12" spans="1:14" x14ac:dyDescent="0.25">
      <c r="A12">
        <v>2</v>
      </c>
      <c r="B12">
        <v>11</v>
      </c>
      <c r="C12">
        <f>IF(ISNUMBER(VLOOKUP(B12,$E$2:$I$1048576,5)), VLOOKUP(B12,$E$2:$I$1048576,5), 0)</f>
        <v>61938</v>
      </c>
      <c r="E12">
        <v>10</v>
      </c>
      <c r="F12" t="s">
        <v>11</v>
      </c>
      <c r="H12" t="s">
        <v>19</v>
      </c>
      <c r="I12" s="1">
        <f t="shared" si="0"/>
        <v>225</v>
      </c>
      <c r="J12" s="2">
        <f t="shared" si="1"/>
        <v>1.4386373227279121E-3</v>
      </c>
      <c r="K12" t="str">
        <f t="shared" si="2"/>
        <v>Medical Costs - $225M (.14%)</v>
      </c>
      <c r="M12">
        <v>34</v>
      </c>
      <c r="N12" s="1">
        <v>52</v>
      </c>
    </row>
    <row r="13" spans="1:14" x14ac:dyDescent="0.25">
      <c r="A13">
        <v>3</v>
      </c>
      <c r="B13">
        <v>12</v>
      </c>
      <c r="C13">
        <f>IF(ISNUMBER(VLOOKUP(B13,$E$2:$I$1048576,5)), VLOOKUP(B13,$E$2:$I$1048576,5), 0)</f>
        <v>3186</v>
      </c>
      <c r="E13">
        <v>11</v>
      </c>
      <c r="F13" t="s">
        <v>11</v>
      </c>
      <c r="H13" t="s">
        <v>20</v>
      </c>
      <c r="I13" s="1">
        <f t="shared" si="0"/>
        <v>61938</v>
      </c>
      <c r="J13" s="2">
        <f t="shared" si="1"/>
        <v>0.39602808220053964</v>
      </c>
      <c r="K13" t="str">
        <f t="shared" si="2"/>
        <v>Lost Lifetime Earnings - $61,938M (39.6%)</v>
      </c>
      <c r="M13">
        <v>8</v>
      </c>
      <c r="N13" s="1">
        <v>681</v>
      </c>
    </row>
    <row r="14" spans="1:14" x14ac:dyDescent="0.25">
      <c r="A14">
        <v>3</v>
      </c>
      <c r="B14">
        <v>13</v>
      </c>
      <c r="C14">
        <f>IF(ISNUMBER(VLOOKUP(B14,$E$2:$I$1048576,5)), VLOOKUP(B14,$E$2:$I$1048576,5), 0)</f>
        <v>1417</v>
      </c>
      <c r="E14">
        <v>12</v>
      </c>
      <c r="F14" t="s">
        <v>12</v>
      </c>
      <c r="H14" t="s">
        <v>21</v>
      </c>
      <c r="I14" s="1">
        <f t="shared" si="0"/>
        <v>3186</v>
      </c>
      <c r="J14" s="2">
        <f t="shared" si="1"/>
        <v>2.0371104489827235E-2</v>
      </c>
      <c r="K14" t="str">
        <f t="shared" si="2"/>
        <v>Police Protection - $3,186M (2.04%)</v>
      </c>
      <c r="M14">
        <v>35</v>
      </c>
      <c r="N14" s="1">
        <v>915</v>
      </c>
    </row>
    <row r="15" spans="1:14" x14ac:dyDescent="0.25">
      <c r="A15">
        <v>3</v>
      </c>
      <c r="B15">
        <v>14</v>
      </c>
      <c r="C15">
        <f>IF(ISNUMBER(VLOOKUP(B15,$E$2:$I$1048576,5)), VLOOKUP(B15,$E$2:$I$1048576,5), 0)</f>
        <v>942</v>
      </c>
      <c r="E15">
        <v>13</v>
      </c>
      <c r="F15" t="s">
        <v>12</v>
      </c>
      <c r="H15" t="s">
        <v>22</v>
      </c>
      <c r="I15" s="1">
        <f t="shared" si="0"/>
        <v>1417</v>
      </c>
      <c r="J15" s="2">
        <f t="shared" si="1"/>
        <v>9.0602181613575628E-3</v>
      </c>
      <c r="K15" t="str">
        <f t="shared" si="2"/>
        <v>Legal and Adjudication Activities - $1,417M (.91%)</v>
      </c>
      <c r="M15">
        <v>36</v>
      </c>
      <c r="N15" s="1">
        <v>524</v>
      </c>
    </row>
    <row r="16" spans="1:14" x14ac:dyDescent="0.25">
      <c r="A16">
        <v>3</v>
      </c>
      <c r="B16">
        <v>15</v>
      </c>
      <c r="C16">
        <f>IF(ISNUMBER(VLOOKUP(B16,$E$2:$I$1048576,5)), VLOOKUP(B16,$E$2:$I$1048576,5), 0)</f>
        <v>3610</v>
      </c>
      <c r="E16">
        <v>14</v>
      </c>
      <c r="F16" t="s">
        <v>12</v>
      </c>
      <c r="H16" t="s">
        <v>23</v>
      </c>
      <c r="I16" s="1">
        <f t="shared" si="0"/>
        <v>942</v>
      </c>
      <c r="J16" s="2">
        <f t="shared" si="1"/>
        <v>6.0230949244875253E-3</v>
      </c>
      <c r="K16" t="str">
        <f t="shared" si="2"/>
        <v>Property Lost Due to Crime - $942M (.6%)</v>
      </c>
      <c r="M16">
        <v>37</v>
      </c>
      <c r="N16" s="1">
        <v>430</v>
      </c>
    </row>
    <row r="17" spans="1:14" x14ac:dyDescent="0.25">
      <c r="A17">
        <v>4</v>
      </c>
      <c r="B17">
        <v>16</v>
      </c>
      <c r="C17">
        <f>IF(ISNUMBER(VLOOKUP(B17,$E$2:$I$1048576,5)), VLOOKUP(B17,$E$2:$I$1048576,5), 0)</f>
        <v>1269</v>
      </c>
      <c r="E17">
        <v>15</v>
      </c>
      <c r="F17" t="s">
        <v>12</v>
      </c>
      <c r="H17" t="s">
        <v>24</v>
      </c>
      <c r="I17" s="1">
        <f t="shared" si="0"/>
        <v>3610</v>
      </c>
      <c r="J17" s="2">
        <f t="shared" si="1"/>
        <v>2.3082136600212279E-2</v>
      </c>
      <c r="K17" t="str">
        <f t="shared" si="2"/>
        <v>Correctional Facilities - $3,610M (2.31%)</v>
      </c>
      <c r="M17">
        <v>38</v>
      </c>
      <c r="N17" s="1">
        <v>27</v>
      </c>
    </row>
    <row r="18" spans="1:14" x14ac:dyDescent="0.25">
      <c r="A18">
        <v>4</v>
      </c>
      <c r="B18">
        <v>17</v>
      </c>
      <c r="C18">
        <f>IF(ISNUMBER(VLOOKUP(B18,$E$2:$I$1048576,5)), VLOOKUP(B18,$E$2:$I$1048576,5), 0)</f>
        <v>3214</v>
      </c>
      <c r="E18">
        <v>16</v>
      </c>
      <c r="F18" t="s">
        <v>25</v>
      </c>
      <c r="H18" t="s">
        <v>26</v>
      </c>
      <c r="I18" s="1">
        <f t="shared" si="0"/>
        <v>1269</v>
      </c>
      <c r="J18" s="2">
        <f t="shared" si="1"/>
        <v>8.1139145001854242E-3</v>
      </c>
      <c r="K18" t="str">
        <f t="shared" si="2"/>
        <v>Child Welfare - $1,269M (.81%)</v>
      </c>
      <c r="M18">
        <v>39</v>
      </c>
      <c r="N18" s="1">
        <v>327</v>
      </c>
    </row>
    <row r="19" spans="1:14" x14ac:dyDescent="0.25">
      <c r="A19">
        <v>4</v>
      </c>
      <c r="B19">
        <v>18</v>
      </c>
      <c r="C19">
        <f>IF(ISNUMBER(VLOOKUP(B19,$E$2:$I$1048576,5)), VLOOKUP(B19,$E$2:$I$1048576,5), 0)</f>
        <v>646</v>
      </c>
      <c r="E19">
        <v>17</v>
      </c>
      <c r="F19" t="s">
        <v>25</v>
      </c>
      <c r="H19" t="s">
        <v>27</v>
      </c>
      <c r="I19" s="1">
        <f t="shared" si="0"/>
        <v>3214</v>
      </c>
      <c r="J19" s="2">
        <f t="shared" si="1"/>
        <v>2.0550134912211155E-2</v>
      </c>
      <c r="K19" t="str">
        <f t="shared" si="2"/>
        <v>Food and Nutritional Assistance - $3,214M (2.06%)</v>
      </c>
      <c r="M19">
        <v>9</v>
      </c>
      <c r="N19" s="1">
        <v>2223</v>
      </c>
    </row>
    <row r="20" spans="1:14" x14ac:dyDescent="0.25">
      <c r="A20">
        <v>4</v>
      </c>
      <c r="B20">
        <v>19</v>
      </c>
      <c r="C20">
        <f>IF(ISNUMBER(VLOOKUP(B20,$E$2:$I$1048576,5)), VLOOKUP(B20,$E$2:$I$1048576,5), 0)</f>
        <v>3417</v>
      </c>
      <c r="E20">
        <v>18</v>
      </c>
      <c r="F20" t="s">
        <v>25</v>
      </c>
      <c r="H20" t="s">
        <v>28</v>
      </c>
      <c r="I20" s="1">
        <f t="shared" si="0"/>
        <v>646</v>
      </c>
      <c r="J20" s="2">
        <f t="shared" si="1"/>
        <v>4.1304876021432497E-3</v>
      </c>
      <c r="K20" t="str">
        <f t="shared" si="2"/>
        <v>Income Assistance - $646M (.41%)</v>
      </c>
      <c r="M20">
        <v>1</v>
      </c>
      <c r="N20" s="1">
        <v>51731</v>
      </c>
    </row>
    <row r="21" spans="1:14" x14ac:dyDescent="0.25">
      <c r="A21">
        <v>6</v>
      </c>
      <c r="B21">
        <v>20</v>
      </c>
      <c r="C21">
        <f>IF(ISNUMBER(VLOOKUP(B21,$E$2:$I$1048576,5)), VLOOKUP(B21,$E$2:$I$1048576,5), 0)</f>
        <v>19356</v>
      </c>
      <c r="E21">
        <v>19</v>
      </c>
      <c r="F21" t="s">
        <v>25</v>
      </c>
      <c r="H21" t="s">
        <v>29</v>
      </c>
      <c r="I21" s="1">
        <f t="shared" si="0"/>
        <v>3417</v>
      </c>
      <c r="J21" s="2">
        <f t="shared" si="1"/>
        <v>2.1848105474494558E-2</v>
      </c>
      <c r="K21" t="str">
        <f t="shared" si="2"/>
        <v>Housing/Homelessness Assistance - $3,417M (2.18%)</v>
      </c>
      <c r="M21">
        <v>10</v>
      </c>
      <c r="N21" s="1">
        <v>225</v>
      </c>
    </row>
    <row r="22" spans="1:14" x14ac:dyDescent="0.25">
      <c r="A22">
        <v>6</v>
      </c>
      <c r="B22">
        <v>21</v>
      </c>
      <c r="C22">
        <f>IF(ISNUMBER(VLOOKUP(B22,$E$2:$I$1048576,5)), VLOOKUP(B22,$E$2:$I$1048576,5), 0)</f>
        <v>3264</v>
      </c>
      <c r="E22">
        <v>20</v>
      </c>
      <c r="F22" t="s">
        <v>15</v>
      </c>
      <c r="H22" t="s">
        <v>30</v>
      </c>
      <c r="I22" s="1">
        <f t="shared" si="0"/>
        <v>19356</v>
      </c>
      <c r="J22" s="2">
        <f t="shared" si="1"/>
        <v>0.12376117341653986</v>
      </c>
      <c r="K22" t="str">
        <f t="shared" si="2"/>
        <v>Reduced Labor Force Participation and Absenteeism - $19,356M (12.38%)</v>
      </c>
      <c r="M22">
        <v>11</v>
      </c>
      <c r="N22" s="1">
        <v>61938</v>
      </c>
    </row>
    <row r="23" spans="1:14" x14ac:dyDescent="0.25">
      <c r="A23">
        <v>6</v>
      </c>
      <c r="B23">
        <v>22</v>
      </c>
      <c r="C23">
        <f>IF(ISNUMBER(VLOOKUP(B23,$E$2:$I$1048576,5)), VLOOKUP(B23,$E$2:$I$1048576,5), 0)</f>
        <v>372</v>
      </c>
      <c r="E23">
        <v>21</v>
      </c>
      <c r="F23" t="s">
        <v>15</v>
      </c>
      <c r="H23" t="s">
        <v>31</v>
      </c>
      <c r="I23" s="1">
        <f t="shared" si="0"/>
        <v>3264</v>
      </c>
      <c r="J23" s="2">
        <f t="shared" si="1"/>
        <v>2.0869832095039578E-2</v>
      </c>
      <c r="K23" t="str">
        <f t="shared" si="2"/>
        <v>Incarceration - $3,264M (2.09%)</v>
      </c>
      <c r="M23">
        <v>2</v>
      </c>
      <c r="N23" s="1">
        <v>62163</v>
      </c>
    </row>
    <row r="24" spans="1:14" x14ac:dyDescent="0.25">
      <c r="A24">
        <v>6</v>
      </c>
      <c r="B24">
        <v>23</v>
      </c>
      <c r="C24">
        <f>IF(ISNUMBER(VLOOKUP(B24,$E$2:$I$1048576,5)), VLOOKUP(B24,$E$2:$I$1048576,5), 0)</f>
        <v>34</v>
      </c>
      <c r="E24">
        <v>22</v>
      </c>
      <c r="F24" t="s">
        <v>15</v>
      </c>
      <c r="H24" t="s">
        <v>32</v>
      </c>
      <c r="I24" s="1">
        <f t="shared" si="0"/>
        <v>372</v>
      </c>
      <c r="J24" s="2">
        <f t="shared" si="1"/>
        <v>2.3785470402434812E-3</v>
      </c>
      <c r="K24" t="str">
        <f t="shared" si="2"/>
        <v>Short-Term Disability - $372M (.24%)</v>
      </c>
      <c r="M24">
        <v>12</v>
      </c>
      <c r="N24" s="1">
        <v>3186</v>
      </c>
    </row>
    <row r="25" spans="1:14" x14ac:dyDescent="0.25">
      <c r="A25">
        <v>6</v>
      </c>
      <c r="B25">
        <v>24</v>
      </c>
      <c r="C25">
        <f>IF(ISNUMBER(VLOOKUP(B25,$E$2:$I$1048576,5)), VLOOKUP(B25,$E$2:$I$1048576,5), 0)</f>
        <v>442</v>
      </c>
      <c r="E25">
        <v>23</v>
      </c>
      <c r="F25" t="s">
        <v>15</v>
      </c>
      <c r="H25" t="s">
        <v>33</v>
      </c>
      <c r="I25" s="1">
        <f t="shared" si="0"/>
        <v>34</v>
      </c>
      <c r="J25" s="2">
        <f t="shared" si="1"/>
        <v>2.1739408432332893E-4</v>
      </c>
      <c r="K25" t="str">
        <f t="shared" si="2"/>
        <v>Long-Term Disability - $34M (.02%)</v>
      </c>
      <c r="M25">
        <v>13</v>
      </c>
      <c r="N25" s="1">
        <v>1417</v>
      </c>
    </row>
    <row r="26" spans="1:14" x14ac:dyDescent="0.25">
      <c r="A26">
        <v>7</v>
      </c>
      <c r="B26">
        <v>25</v>
      </c>
      <c r="C26">
        <f>IF(ISNUMBER(VLOOKUP(B26,$E$2:$I$1048576,5)), VLOOKUP(B26,$E$2:$I$1048576,5), 0)</f>
        <v>15761</v>
      </c>
      <c r="E26">
        <v>24</v>
      </c>
      <c r="F26" t="s">
        <v>15</v>
      </c>
      <c r="H26" t="s">
        <v>34</v>
      </c>
      <c r="I26" s="1">
        <f t="shared" si="0"/>
        <v>442</v>
      </c>
      <c r="J26" s="2">
        <f t="shared" si="1"/>
        <v>2.8261230962032761E-3</v>
      </c>
      <c r="K26" t="str">
        <f t="shared" si="2"/>
        <v>Workers' Compensation - $442M (.28%)</v>
      </c>
      <c r="M26">
        <v>14</v>
      </c>
      <c r="N26" s="1">
        <v>942</v>
      </c>
    </row>
    <row r="27" spans="1:14" x14ac:dyDescent="0.25">
      <c r="A27">
        <v>7</v>
      </c>
      <c r="B27">
        <v>26</v>
      </c>
      <c r="C27">
        <f>IF(ISNUMBER(VLOOKUP(B27,$E$2:$I$1048576,5)), VLOOKUP(B27,$E$2:$I$1048576,5), 0)</f>
        <v>19560</v>
      </c>
      <c r="E27">
        <v>25</v>
      </c>
      <c r="F27" t="s">
        <v>10</v>
      </c>
      <c r="G27" t="s">
        <v>16</v>
      </c>
      <c r="H27" t="s">
        <v>35</v>
      </c>
      <c r="I27" s="1">
        <f t="shared" si="0"/>
        <v>15761</v>
      </c>
      <c r="J27" s="2">
        <f t="shared" si="1"/>
        <v>0.1007749459711761</v>
      </c>
      <c r="K27" t="str">
        <f t="shared" si="2"/>
        <v>Commercial - $15,761M (10.08%)</v>
      </c>
      <c r="M27">
        <v>15</v>
      </c>
      <c r="N27" s="1">
        <v>3610</v>
      </c>
    </row>
    <row r="28" spans="1:14" x14ac:dyDescent="0.25">
      <c r="A28">
        <v>7</v>
      </c>
      <c r="B28">
        <v>27</v>
      </c>
      <c r="C28">
        <f>IF(ISNUMBER(VLOOKUP(B28,$E$2:$I$1048576,5)), VLOOKUP(B28,$E$2:$I$1048576,5), 0)</f>
        <v>7402</v>
      </c>
      <c r="E28">
        <v>26</v>
      </c>
      <c r="F28" t="s">
        <v>10</v>
      </c>
      <c r="G28" t="s">
        <v>16</v>
      </c>
      <c r="H28" t="s">
        <v>36</v>
      </c>
      <c r="I28" s="1">
        <f t="shared" si="0"/>
        <v>19560</v>
      </c>
      <c r="J28" s="2">
        <f t="shared" si="1"/>
        <v>0.12506553792247982</v>
      </c>
      <c r="K28" t="str">
        <f t="shared" si="2"/>
        <v>Medicare - $19,560M (12.51%)</v>
      </c>
      <c r="M28">
        <v>3</v>
      </c>
      <c r="N28" s="1">
        <v>9155</v>
      </c>
    </row>
    <row r="29" spans="1:14" x14ac:dyDescent="0.25">
      <c r="A29">
        <v>7</v>
      </c>
      <c r="B29">
        <v>28</v>
      </c>
      <c r="C29">
        <f>IF(ISNUMBER(VLOOKUP(B29,$E$2:$I$1048576,5)), VLOOKUP(B29,$E$2:$I$1048576,5), 0)</f>
        <v>467</v>
      </c>
      <c r="E29">
        <v>27</v>
      </c>
      <c r="F29" t="s">
        <v>10</v>
      </c>
      <c r="G29" t="s">
        <v>16</v>
      </c>
      <c r="H29" t="s">
        <v>37</v>
      </c>
      <c r="I29" s="1">
        <f t="shared" si="0"/>
        <v>7402</v>
      </c>
      <c r="J29" s="2">
        <f t="shared" si="1"/>
        <v>4.7327970945920027E-2</v>
      </c>
      <c r="K29" t="str">
        <f t="shared" si="2"/>
        <v>Medicaid - $7,402M (4.73%)</v>
      </c>
      <c r="M29">
        <v>16</v>
      </c>
      <c r="N29" s="1">
        <v>1269</v>
      </c>
    </row>
    <row r="30" spans="1:14" x14ac:dyDescent="0.25">
      <c r="A30">
        <v>7</v>
      </c>
      <c r="B30">
        <v>29</v>
      </c>
      <c r="C30">
        <f>IF(ISNUMBER(VLOOKUP(B30,$E$2:$I$1048576,5)), VLOOKUP(B30,$E$2:$I$1048576,5), 0)</f>
        <v>5638</v>
      </c>
      <c r="E30">
        <v>28</v>
      </c>
      <c r="F30" t="s">
        <v>10</v>
      </c>
      <c r="G30" t="s">
        <v>16</v>
      </c>
      <c r="H30" t="s">
        <v>38</v>
      </c>
      <c r="I30" s="1">
        <f t="shared" si="0"/>
        <v>467</v>
      </c>
      <c r="J30" s="2">
        <f t="shared" si="1"/>
        <v>2.9859716876174886E-3</v>
      </c>
      <c r="K30" t="str">
        <f t="shared" si="2"/>
        <v>Other Public Insurance - $467M (.3%)</v>
      </c>
      <c r="M30">
        <v>17</v>
      </c>
      <c r="N30" s="1">
        <v>3214</v>
      </c>
    </row>
    <row r="31" spans="1:14" x14ac:dyDescent="0.25">
      <c r="A31">
        <v>8</v>
      </c>
      <c r="B31">
        <v>30</v>
      </c>
      <c r="C31">
        <f>IF(ISNUMBER(VLOOKUP(B31,$E$2:$I$1048576,5)), VLOOKUP(B31,$E$2:$I$1048576,5), 0)</f>
        <v>82</v>
      </c>
      <c r="E31">
        <v>29</v>
      </c>
      <c r="F31" t="s">
        <v>10</v>
      </c>
      <c r="G31" t="s">
        <v>16</v>
      </c>
      <c r="H31" t="s">
        <v>39</v>
      </c>
      <c r="I31" s="1">
        <f t="shared" si="0"/>
        <v>5638</v>
      </c>
      <c r="J31" s="2">
        <f t="shared" si="1"/>
        <v>3.6049054335733195E-2</v>
      </c>
      <c r="K31" t="str">
        <f t="shared" si="2"/>
        <v>Uninsured - $5,638M (3.6%)</v>
      </c>
      <c r="M31">
        <v>18</v>
      </c>
      <c r="N31" s="1">
        <v>646</v>
      </c>
    </row>
    <row r="32" spans="1:14" x14ac:dyDescent="0.25">
      <c r="A32">
        <v>8</v>
      </c>
      <c r="B32">
        <v>31</v>
      </c>
      <c r="C32">
        <f>IF(ISNUMBER(VLOOKUP(B32,$E$2:$I$1048576,5)), VLOOKUP(B32,$E$2:$I$1048576,5), 0)</f>
        <v>0</v>
      </c>
      <c r="E32">
        <v>30</v>
      </c>
      <c r="F32" t="s">
        <v>10</v>
      </c>
      <c r="G32" t="s">
        <v>17</v>
      </c>
      <c r="H32" t="s">
        <v>35</v>
      </c>
      <c r="I32" s="1">
        <f t="shared" si="0"/>
        <v>82</v>
      </c>
      <c r="J32" s="2">
        <f t="shared" si="1"/>
        <v>5.2430337983861688E-4</v>
      </c>
      <c r="K32" t="str">
        <f t="shared" si="2"/>
        <v>Commercial - $82M (.05%)</v>
      </c>
      <c r="M32">
        <v>19</v>
      </c>
      <c r="N32" s="1">
        <v>3417</v>
      </c>
    </row>
    <row r="33" spans="1:14" x14ac:dyDescent="0.25">
      <c r="A33">
        <v>8</v>
      </c>
      <c r="B33">
        <v>32</v>
      </c>
      <c r="C33">
        <f>IF(ISNUMBER(VLOOKUP(B33,$E$2:$I$1048576,5)), VLOOKUP(B33,$E$2:$I$1048576,5), 0)</f>
        <v>540</v>
      </c>
      <c r="E33">
        <v>31</v>
      </c>
      <c r="F33" t="s">
        <v>10</v>
      </c>
      <c r="G33" t="s">
        <v>17</v>
      </c>
      <c r="H33" t="s">
        <v>36</v>
      </c>
      <c r="I33" s="1" t="str">
        <f t="shared" si="0"/>
        <v>N/A</v>
      </c>
      <c r="J33" s="2" t="e">
        <f t="shared" si="1"/>
        <v>#VALUE!</v>
      </c>
      <c r="K33" t="s">
        <v>46</v>
      </c>
      <c r="M33">
        <v>4</v>
      </c>
      <c r="N33" s="1">
        <v>8546</v>
      </c>
    </row>
    <row r="34" spans="1:14" x14ac:dyDescent="0.25">
      <c r="A34">
        <v>8</v>
      </c>
      <c r="B34">
        <v>33</v>
      </c>
      <c r="C34">
        <f>IF(ISNUMBER(VLOOKUP(B34,$E$2:$I$1048576,5)), VLOOKUP(B34,$E$2:$I$1048576,5), 0)</f>
        <v>7</v>
      </c>
      <c r="E34">
        <v>32</v>
      </c>
      <c r="F34" t="s">
        <v>10</v>
      </c>
      <c r="G34" t="s">
        <v>17</v>
      </c>
      <c r="H34" t="s">
        <v>37</v>
      </c>
      <c r="I34" s="1">
        <f t="shared" si="0"/>
        <v>540</v>
      </c>
      <c r="J34" s="2">
        <f t="shared" si="1"/>
        <v>3.4527295745469893E-3</v>
      </c>
      <c r="K34" t="str">
        <f t="shared" si="2"/>
        <v>Medicaid - $540M (.35%)</v>
      </c>
      <c r="M34">
        <v>5</v>
      </c>
      <c r="N34" s="1">
        <v>1335</v>
      </c>
    </row>
    <row r="35" spans="1:14" x14ac:dyDescent="0.25">
      <c r="A35">
        <v>8</v>
      </c>
      <c r="B35">
        <v>34</v>
      </c>
      <c r="C35">
        <f>IF(ISNUMBER(VLOOKUP(B35,$E$2:$I$1048576,5)), VLOOKUP(B35,$E$2:$I$1048576,5), 0)</f>
        <v>52</v>
      </c>
      <c r="E35">
        <v>33</v>
      </c>
      <c r="F35" t="s">
        <v>10</v>
      </c>
      <c r="G35" t="s">
        <v>17</v>
      </c>
      <c r="H35" t="s">
        <v>38</v>
      </c>
      <c r="I35" s="1">
        <f t="shared" si="0"/>
        <v>7</v>
      </c>
      <c r="J35" s="2">
        <f t="shared" si="1"/>
        <v>4.475760559597949E-5</v>
      </c>
      <c r="K35" t="str">
        <f>CONCATENATE(H35," - ",TEXT(I35,"$#,###"),IF(I35="N/A","","M"), " (", TEXT(J35,"##.###%"), ")")</f>
        <v>Other Public Insurance - $7M (.004%)</v>
      </c>
      <c r="M35">
        <v>20</v>
      </c>
      <c r="N35" s="1">
        <v>19356</v>
      </c>
    </row>
    <row r="36" spans="1:14" x14ac:dyDescent="0.25">
      <c r="A36">
        <v>9</v>
      </c>
      <c r="B36">
        <v>35</v>
      </c>
      <c r="C36">
        <f>IF(ISNUMBER(VLOOKUP(B36,$E$2:$I$1048576,5)), VLOOKUP(B36,$E$2:$I$1048576,5), 0)</f>
        <v>915</v>
      </c>
      <c r="E36">
        <v>34</v>
      </c>
      <c r="F36" t="s">
        <v>10</v>
      </c>
      <c r="G36" t="s">
        <v>17</v>
      </c>
      <c r="H36" t="s">
        <v>39</v>
      </c>
      <c r="I36" s="1">
        <f t="shared" si="0"/>
        <v>52</v>
      </c>
      <c r="J36" s="2">
        <f t="shared" si="1"/>
        <v>3.3248507014156192E-4</v>
      </c>
      <c r="K36" t="str">
        <f t="shared" si="2"/>
        <v>Uninsured - $52M (.03%)</v>
      </c>
      <c r="M36">
        <v>21</v>
      </c>
      <c r="N36" s="1">
        <v>3264</v>
      </c>
    </row>
    <row r="37" spans="1:14" x14ac:dyDescent="0.25">
      <c r="A37">
        <v>9</v>
      </c>
      <c r="B37">
        <v>36</v>
      </c>
      <c r="C37">
        <f>IF(ISNUMBER(VLOOKUP(B37,$E$2:$I$1048576,5)), VLOOKUP(B37,$E$2:$I$1048576,5), 0)</f>
        <v>524</v>
      </c>
      <c r="E37">
        <v>35</v>
      </c>
      <c r="F37" t="s">
        <v>10</v>
      </c>
      <c r="G37" t="s">
        <v>18</v>
      </c>
      <c r="H37" t="s">
        <v>35</v>
      </c>
      <c r="I37" s="1">
        <f t="shared" si="0"/>
        <v>915</v>
      </c>
      <c r="J37" s="2">
        <f t="shared" si="1"/>
        <v>5.8504584457601764E-3</v>
      </c>
      <c r="K37" t="str">
        <f t="shared" si="2"/>
        <v>Commercial - $915M (.59%)</v>
      </c>
      <c r="M37">
        <v>22</v>
      </c>
      <c r="N37" s="1">
        <v>372</v>
      </c>
    </row>
    <row r="38" spans="1:14" x14ac:dyDescent="0.25">
      <c r="A38">
        <v>9</v>
      </c>
      <c r="B38">
        <v>37</v>
      </c>
      <c r="C38">
        <f>IF(ISNUMBER(VLOOKUP(B38,$E$2:$I$1048576,5)), VLOOKUP(B38,$E$2:$I$1048576,5), 0)</f>
        <v>430</v>
      </c>
      <c r="E38">
        <v>36</v>
      </c>
      <c r="F38" t="s">
        <v>10</v>
      </c>
      <c r="G38" t="s">
        <v>18</v>
      </c>
      <c r="H38" t="s">
        <v>36</v>
      </c>
      <c r="I38" s="1">
        <f t="shared" si="0"/>
        <v>524</v>
      </c>
      <c r="J38" s="2">
        <f t="shared" si="1"/>
        <v>3.3504264760418931E-3</v>
      </c>
      <c r="K38" t="str">
        <f t="shared" si="2"/>
        <v>Medicare - $524M (.34%)</v>
      </c>
      <c r="M38">
        <v>23</v>
      </c>
      <c r="N38" s="1">
        <v>34</v>
      </c>
    </row>
    <row r="39" spans="1:14" x14ac:dyDescent="0.25">
      <c r="A39">
        <v>9</v>
      </c>
      <c r="B39">
        <v>38</v>
      </c>
      <c r="C39">
        <f>IF(ISNUMBER(VLOOKUP(B39,$E$2:$I$1048576,5)), VLOOKUP(B39,$E$2:$I$1048576,5), 0)</f>
        <v>27</v>
      </c>
      <c r="E39">
        <v>37</v>
      </c>
      <c r="F39" t="s">
        <v>10</v>
      </c>
      <c r="G39" t="s">
        <v>18</v>
      </c>
      <c r="H39" t="s">
        <v>37</v>
      </c>
      <c r="I39" s="1">
        <f t="shared" si="0"/>
        <v>430</v>
      </c>
      <c r="J39" s="2">
        <f t="shared" si="1"/>
        <v>2.7493957723244544E-3</v>
      </c>
      <c r="K39" t="str">
        <f t="shared" si="2"/>
        <v>Medicaid - $430M (.27%)</v>
      </c>
      <c r="M39">
        <v>24</v>
      </c>
      <c r="N39" s="1">
        <v>442</v>
      </c>
    </row>
    <row r="40" spans="1:14" x14ac:dyDescent="0.25">
      <c r="A40">
        <v>9</v>
      </c>
      <c r="B40">
        <v>39</v>
      </c>
      <c r="C40">
        <f>IF(ISNUMBER(VLOOKUP(B40,$E$2:$I$1048576,5)), VLOOKUP(B40,$E$2:$I$1048576,5), 0)</f>
        <v>327</v>
      </c>
      <c r="E40">
        <v>38</v>
      </c>
      <c r="F40" t="s">
        <v>10</v>
      </c>
      <c r="G40" t="s">
        <v>18</v>
      </c>
      <c r="H40" t="s">
        <v>38</v>
      </c>
      <c r="I40" s="1">
        <f t="shared" si="0"/>
        <v>27</v>
      </c>
      <c r="J40" s="2">
        <f t="shared" si="1"/>
        <v>1.7263647872734945E-4</v>
      </c>
      <c r="K40" t="str">
        <f t="shared" si="2"/>
        <v>Other Public Insurance - $27M (.02%)</v>
      </c>
      <c r="M40">
        <v>6</v>
      </c>
      <c r="N40" s="1">
        <v>23468</v>
      </c>
    </row>
    <row r="41" spans="1:14" x14ac:dyDescent="0.25">
      <c r="A41">
        <v>26</v>
      </c>
      <c r="B41">
        <v>40</v>
      </c>
      <c r="C41">
        <f>IF(ISNUMBER(VLOOKUP(A41,$E$2:$I$1048576,5)), VLOOKUP(A41,$E$2:$I$1048576,5), 0)</f>
        <v>19560</v>
      </c>
      <c r="E41">
        <v>39</v>
      </c>
      <c r="F41" t="s">
        <v>10</v>
      </c>
      <c r="G41" t="s">
        <v>18</v>
      </c>
      <c r="H41" t="s">
        <v>39</v>
      </c>
      <c r="I41" s="1">
        <f t="shared" si="0"/>
        <v>327</v>
      </c>
      <c r="J41" s="2">
        <f t="shared" si="1"/>
        <v>2.0908195756978989E-3</v>
      </c>
      <c r="K41" t="str">
        <f t="shared" si="2"/>
        <v>Uninsured - $327M (.21%)</v>
      </c>
      <c r="M41">
        <v>0</v>
      </c>
      <c r="N41" s="1">
        <v>156398</v>
      </c>
    </row>
    <row r="42" spans="1:14" x14ac:dyDescent="0.25">
      <c r="A42">
        <v>27</v>
      </c>
      <c r="B42">
        <v>40</v>
      </c>
      <c r="C42">
        <f t="shared" ref="C42:C71" si="3">IF(ISNUMBER(VLOOKUP(A42,$E$2:$I$1048576,5)), VLOOKUP(A42,$E$2:$I$1048576,5), 0)</f>
        <v>7402</v>
      </c>
      <c r="E42">
        <v>40</v>
      </c>
      <c r="H42" t="s">
        <v>41</v>
      </c>
      <c r="I42" s="1">
        <f t="shared" si="0"/>
        <v>47049</v>
      </c>
      <c r="J42" s="2">
        <f t="shared" si="1"/>
        <v>0.30082865509789125</v>
      </c>
      <c r="K42" t="str">
        <f t="shared" si="2"/>
        <v>Federal, State, and Local Governments - $47,049M (30.08%)</v>
      </c>
      <c r="M42">
        <v>40</v>
      </c>
      <c r="N42" s="1">
        <v>47049</v>
      </c>
    </row>
    <row r="43" spans="1:14" x14ac:dyDescent="0.25">
      <c r="A43">
        <v>28</v>
      </c>
      <c r="B43">
        <v>40</v>
      </c>
      <c r="C43">
        <f t="shared" si="3"/>
        <v>467</v>
      </c>
      <c r="E43">
        <v>41</v>
      </c>
      <c r="H43" t="s">
        <v>42</v>
      </c>
      <c r="I43" s="1">
        <f t="shared" si="0"/>
        <v>109349</v>
      </c>
      <c r="J43" s="2">
        <f t="shared" si="1"/>
        <v>0.69917134490210875</v>
      </c>
      <c r="K43" t="str">
        <f>CONCATENATE(H43," - ",TEXT(I43,"$#,###"),IF(I43="N/A","","M"), " (", TEXT(J43,"##.##%"), ")")</f>
        <v>Private Sector and Individuals - $109,349M (69.92%)</v>
      </c>
      <c r="M43">
        <v>41</v>
      </c>
      <c r="N43" s="1">
        <v>109349</v>
      </c>
    </row>
    <row r="44" spans="1:14" x14ac:dyDescent="0.25">
      <c r="A44">
        <v>31</v>
      </c>
      <c r="B44">
        <v>40</v>
      </c>
      <c r="C44">
        <f t="shared" si="3"/>
        <v>0</v>
      </c>
    </row>
    <row r="45" spans="1:14" x14ac:dyDescent="0.25">
      <c r="A45">
        <v>32</v>
      </c>
      <c r="B45">
        <v>40</v>
      </c>
      <c r="C45">
        <f t="shared" si="3"/>
        <v>540</v>
      </c>
    </row>
    <row r="46" spans="1:14" x14ac:dyDescent="0.25">
      <c r="A46">
        <v>33</v>
      </c>
      <c r="B46">
        <v>40</v>
      </c>
      <c r="C46">
        <f t="shared" si="3"/>
        <v>7</v>
      </c>
    </row>
    <row r="47" spans="1:14" x14ac:dyDescent="0.25">
      <c r="A47">
        <v>36</v>
      </c>
      <c r="B47">
        <v>40</v>
      </c>
      <c r="C47">
        <f t="shared" si="3"/>
        <v>524</v>
      </c>
    </row>
    <row r="48" spans="1:14" x14ac:dyDescent="0.25">
      <c r="A48">
        <v>37</v>
      </c>
      <c r="B48">
        <v>40</v>
      </c>
      <c r="C48">
        <f t="shared" si="3"/>
        <v>430</v>
      </c>
    </row>
    <row r="49" spans="1:3" x14ac:dyDescent="0.25">
      <c r="A49">
        <v>38</v>
      </c>
      <c r="B49">
        <v>40</v>
      </c>
      <c r="C49">
        <f t="shared" si="3"/>
        <v>27</v>
      </c>
    </row>
    <row r="50" spans="1:3" x14ac:dyDescent="0.25">
      <c r="A50">
        <v>12</v>
      </c>
      <c r="B50">
        <v>40</v>
      </c>
      <c r="C50">
        <f t="shared" si="3"/>
        <v>3186</v>
      </c>
    </row>
    <row r="51" spans="1:3" x14ac:dyDescent="0.25">
      <c r="A51">
        <v>13</v>
      </c>
      <c r="B51">
        <v>40</v>
      </c>
      <c r="C51">
        <f t="shared" si="3"/>
        <v>1417</v>
      </c>
    </row>
    <row r="52" spans="1:3" x14ac:dyDescent="0.25">
      <c r="A52">
        <v>15</v>
      </c>
      <c r="B52">
        <v>40</v>
      </c>
      <c r="C52">
        <f t="shared" si="3"/>
        <v>3610</v>
      </c>
    </row>
    <row r="53" spans="1:3" x14ac:dyDescent="0.25">
      <c r="A53">
        <v>16</v>
      </c>
      <c r="B53">
        <v>40</v>
      </c>
      <c r="C53">
        <f t="shared" si="3"/>
        <v>1269</v>
      </c>
    </row>
    <row r="54" spans="1:3" x14ac:dyDescent="0.25">
      <c r="A54">
        <v>17</v>
      </c>
      <c r="B54">
        <v>40</v>
      </c>
      <c r="C54">
        <f t="shared" si="3"/>
        <v>3214</v>
      </c>
    </row>
    <row r="55" spans="1:3" x14ac:dyDescent="0.25">
      <c r="A55">
        <v>18</v>
      </c>
      <c r="B55">
        <v>40</v>
      </c>
      <c r="C55">
        <f t="shared" si="3"/>
        <v>646</v>
      </c>
    </row>
    <row r="56" spans="1:3" x14ac:dyDescent="0.25">
      <c r="A56">
        <v>19</v>
      </c>
      <c r="B56">
        <v>40</v>
      </c>
      <c r="C56">
        <f t="shared" si="3"/>
        <v>3417</v>
      </c>
    </row>
    <row r="57" spans="1:3" x14ac:dyDescent="0.25">
      <c r="A57">
        <v>5</v>
      </c>
      <c r="B57">
        <v>40</v>
      </c>
      <c r="C57">
        <f t="shared" si="3"/>
        <v>1335</v>
      </c>
    </row>
    <row r="58" spans="1:3" x14ac:dyDescent="0.25">
      <c r="A58">
        <v>25</v>
      </c>
      <c r="B58">
        <v>41</v>
      </c>
      <c r="C58">
        <f t="shared" si="3"/>
        <v>15761</v>
      </c>
    </row>
    <row r="59" spans="1:3" x14ac:dyDescent="0.25">
      <c r="A59">
        <v>29</v>
      </c>
      <c r="B59">
        <v>41</v>
      </c>
      <c r="C59">
        <f t="shared" si="3"/>
        <v>5638</v>
      </c>
    </row>
    <row r="60" spans="1:3" x14ac:dyDescent="0.25">
      <c r="A60">
        <v>30</v>
      </c>
      <c r="B60">
        <v>41</v>
      </c>
      <c r="C60">
        <f t="shared" si="3"/>
        <v>82</v>
      </c>
    </row>
    <row r="61" spans="1:3" x14ac:dyDescent="0.25">
      <c r="A61">
        <v>34</v>
      </c>
      <c r="B61">
        <v>41</v>
      </c>
      <c r="C61">
        <f t="shared" si="3"/>
        <v>52</v>
      </c>
    </row>
    <row r="62" spans="1:3" x14ac:dyDescent="0.25">
      <c r="A62">
        <v>35</v>
      </c>
      <c r="B62">
        <v>41</v>
      </c>
      <c r="C62">
        <f t="shared" si="3"/>
        <v>915</v>
      </c>
    </row>
    <row r="63" spans="1:3" x14ac:dyDescent="0.25">
      <c r="A63">
        <v>39</v>
      </c>
      <c r="B63">
        <v>41</v>
      </c>
      <c r="C63">
        <f t="shared" si="3"/>
        <v>327</v>
      </c>
    </row>
    <row r="64" spans="1:3" x14ac:dyDescent="0.25">
      <c r="A64">
        <v>10</v>
      </c>
      <c r="B64">
        <v>41</v>
      </c>
      <c r="C64">
        <f t="shared" si="3"/>
        <v>225</v>
      </c>
    </row>
    <row r="65" spans="1:3" x14ac:dyDescent="0.25">
      <c r="A65">
        <v>11</v>
      </c>
      <c r="B65">
        <v>41</v>
      </c>
      <c r="C65">
        <f t="shared" si="3"/>
        <v>61938</v>
      </c>
    </row>
    <row r="66" spans="1:3" x14ac:dyDescent="0.25">
      <c r="A66">
        <v>14</v>
      </c>
      <c r="B66">
        <v>41</v>
      </c>
      <c r="C66">
        <f t="shared" si="3"/>
        <v>942</v>
      </c>
    </row>
    <row r="67" spans="1:3" x14ac:dyDescent="0.25">
      <c r="A67">
        <v>20</v>
      </c>
      <c r="B67">
        <v>41</v>
      </c>
      <c r="C67">
        <f t="shared" si="3"/>
        <v>19356</v>
      </c>
    </row>
    <row r="68" spans="1:3" x14ac:dyDescent="0.25">
      <c r="A68">
        <v>21</v>
      </c>
      <c r="B68">
        <v>41</v>
      </c>
      <c r="C68">
        <f t="shared" si="3"/>
        <v>3264</v>
      </c>
    </row>
    <row r="69" spans="1:3" x14ac:dyDescent="0.25">
      <c r="A69">
        <v>22</v>
      </c>
      <c r="B69">
        <v>41</v>
      </c>
      <c r="C69">
        <f t="shared" si="3"/>
        <v>372</v>
      </c>
    </row>
    <row r="70" spans="1:3" x14ac:dyDescent="0.25">
      <c r="A70">
        <v>23</v>
      </c>
      <c r="B70">
        <v>41</v>
      </c>
      <c r="C70">
        <f t="shared" si="3"/>
        <v>34</v>
      </c>
    </row>
    <row r="71" spans="1:3" x14ac:dyDescent="0.25">
      <c r="A71">
        <v>24</v>
      </c>
      <c r="B71">
        <v>41</v>
      </c>
      <c r="C71">
        <f t="shared" si="3"/>
        <v>442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B1" workbookViewId="0">
      <selection activeCell="J1" sqref="J1:K1048576"/>
    </sheetView>
  </sheetViews>
  <sheetFormatPr defaultRowHeight="15" x14ac:dyDescent="0.25"/>
  <cols>
    <col min="6" max="6" width="14.28515625" customWidth="1"/>
    <col min="7" max="7" width="11.5703125" customWidth="1"/>
    <col min="8" max="8" width="14.140625" customWidth="1"/>
    <col min="9" max="9" width="9.85546875" style="1" bestFit="1" customWidth="1"/>
    <col min="10" max="10" width="18.42578125" style="2" bestFit="1" customWidth="1"/>
    <col min="11" max="11" width="58.28515625" bestFit="1" customWidth="1"/>
    <col min="12" max="12" width="10.42578125" customWidth="1"/>
    <col min="13" max="13" width="1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  <c r="M1" t="s">
        <v>43</v>
      </c>
      <c r="N1" t="s">
        <v>44</v>
      </c>
    </row>
    <row r="2" spans="1:14" x14ac:dyDescent="0.25">
      <c r="A2">
        <v>0</v>
      </c>
      <c r="B2">
        <v>1</v>
      </c>
      <c r="C2">
        <f>IF(ISNUMBER(VLOOKUP(B2,$E$2:$I$1048576,5)), VLOOKUP(B2,$E$2:$I$1048576,5), 0)</f>
        <v>36697</v>
      </c>
      <c r="E2">
        <v>0</v>
      </c>
      <c r="H2" t="s">
        <v>9</v>
      </c>
      <c r="I2" s="1">
        <f>INDEX($M$2:$N$1048576, MATCH(E2,$M$2:$M$1048576, FALSE),2)</f>
        <v>124317</v>
      </c>
      <c r="J2" s="2">
        <f>I2/$I$2</f>
        <v>1</v>
      </c>
      <c r="K2" t="str">
        <f>CONCATENATE(H2," - ",TEXT(I2,"$#,###"),IF(I2="N/A","","M"), " (", TEXT(J2,"##.##%"), ")")</f>
        <v>Total Cost  - $124,317M (100.%)</v>
      </c>
      <c r="M2">
        <v>25</v>
      </c>
      <c r="N2" s="1">
        <v>12547</v>
      </c>
    </row>
    <row r="3" spans="1:14" x14ac:dyDescent="0.25">
      <c r="A3">
        <v>0</v>
      </c>
      <c r="B3">
        <v>2</v>
      </c>
      <c r="C3">
        <f>IF(ISNUMBER(VLOOKUP(B3,$E$2:$I$1048576,5)), VLOOKUP(B3,$E$2:$I$1048576,5), 0)</f>
        <v>47334</v>
      </c>
      <c r="E3">
        <v>1</v>
      </c>
      <c r="H3" t="s">
        <v>10</v>
      </c>
      <c r="I3" s="1">
        <f>INDEX($M$2:$N$1048576, MATCH(E3,$M$2:$M$1048576, FALSE),2)</f>
        <v>36697</v>
      </c>
      <c r="J3" s="2">
        <f t="shared" ref="J3:J43" si="0">I3/$I$2</f>
        <v>0.29518891221635013</v>
      </c>
      <c r="K3" t="str">
        <f t="shared" ref="K3:K43" si="1">CONCATENATE(H3," - ",TEXT(I3,"$#,###"),IF(I3="N/A","","M"), " (", TEXT(J3,"##.##%"), ")")</f>
        <v>Healthcare - $36,697M (29.52%)</v>
      </c>
      <c r="M3">
        <v>26</v>
      </c>
      <c r="N3" s="1">
        <v>10531</v>
      </c>
    </row>
    <row r="4" spans="1:14" x14ac:dyDescent="0.25">
      <c r="A4">
        <v>0</v>
      </c>
      <c r="B4">
        <v>3</v>
      </c>
      <c r="C4">
        <f>IF(ISNUMBER(VLOOKUP(B4,$E$2:$I$1048576,5)), VLOOKUP(B4,$E$2:$I$1048576,5), 0)</f>
        <v>8870</v>
      </c>
      <c r="E4">
        <v>2</v>
      </c>
      <c r="H4" t="s">
        <v>11</v>
      </c>
      <c r="I4" s="1">
        <f>INDEX($M$2:$N$1048576, MATCH(E4,$M$2:$M$1048576, FALSE),2)</f>
        <v>47334</v>
      </c>
      <c r="J4" s="2">
        <f t="shared" si="0"/>
        <v>0.38075243128453873</v>
      </c>
      <c r="K4" t="str">
        <f t="shared" si="1"/>
        <v>Mortality - $47,334M (38.08%)</v>
      </c>
      <c r="M4">
        <v>27</v>
      </c>
      <c r="N4" s="1">
        <v>5902</v>
      </c>
    </row>
    <row r="5" spans="1:14" x14ac:dyDescent="0.25">
      <c r="A5">
        <v>0</v>
      </c>
      <c r="B5">
        <v>4</v>
      </c>
      <c r="C5">
        <f>IF(ISNUMBER(VLOOKUP(B5,$E$2:$I$1048576,5)), VLOOKUP(B5,$E$2:$I$1048576,5), 0)</f>
        <v>9288</v>
      </c>
      <c r="E5">
        <v>3</v>
      </c>
      <c r="H5" t="s">
        <v>12</v>
      </c>
      <c r="I5" s="1">
        <f>INDEX($M$2:$N$1048576, MATCH(E5,$M$2:$M$1048576, FALSE),2)</f>
        <v>8870</v>
      </c>
      <c r="J5" s="2">
        <f t="shared" si="0"/>
        <v>7.1349855611058832E-2</v>
      </c>
      <c r="K5" t="str">
        <f t="shared" si="1"/>
        <v>Criminal Justice - $8,870M (7.13%)</v>
      </c>
      <c r="M5">
        <v>28</v>
      </c>
      <c r="N5" s="1">
        <v>345</v>
      </c>
    </row>
    <row r="6" spans="1:14" x14ac:dyDescent="0.25">
      <c r="A6">
        <v>0</v>
      </c>
      <c r="B6">
        <v>5</v>
      </c>
      <c r="C6">
        <f>IF(ISNUMBER(VLOOKUP(B6,$E$2:$I$1048576,5)), VLOOKUP(B6,$E$2:$I$1048576,5), 0)</f>
        <v>1426</v>
      </c>
      <c r="E6">
        <v>4</v>
      </c>
      <c r="H6" t="s">
        <v>13</v>
      </c>
      <c r="I6" s="1">
        <f>INDEX($M$2:$N$1048576, MATCH(E6,$M$2:$M$1048576, FALSE),2)</f>
        <v>9288</v>
      </c>
      <c r="J6" s="2">
        <f t="shared" si="0"/>
        <v>7.4712227611670165E-2</v>
      </c>
      <c r="K6" t="str">
        <f t="shared" si="1"/>
        <v>Child and Family Assistance - $9,288M (7.47%)</v>
      </c>
      <c r="M6">
        <v>29</v>
      </c>
      <c r="N6" s="1">
        <v>5083</v>
      </c>
    </row>
    <row r="7" spans="1:14" x14ac:dyDescent="0.25">
      <c r="A7">
        <v>0</v>
      </c>
      <c r="B7">
        <v>6</v>
      </c>
      <c r="C7">
        <f>IF(ISNUMBER(VLOOKUP(B7,$E$2:$I$1048576,5)), VLOOKUP(B7,$E$2:$I$1048576,5), 0)</f>
        <v>20701</v>
      </c>
      <c r="E7">
        <v>5</v>
      </c>
      <c r="H7" t="s">
        <v>14</v>
      </c>
      <c r="I7" s="1">
        <f>INDEX($M$2:$N$1048576, MATCH(E7,$M$2:$M$1048576, FALSE),2)</f>
        <v>1426</v>
      </c>
      <c r="J7" s="2">
        <f t="shared" si="0"/>
        <v>1.1470675772420506E-2</v>
      </c>
      <c r="K7" t="str">
        <f t="shared" si="1"/>
        <v>Education - $1,426M (1.15%)</v>
      </c>
      <c r="M7">
        <v>7</v>
      </c>
      <c r="N7" s="1">
        <v>34408</v>
      </c>
    </row>
    <row r="8" spans="1:14" x14ac:dyDescent="0.25">
      <c r="A8">
        <v>1</v>
      </c>
      <c r="B8">
        <v>7</v>
      </c>
      <c r="C8">
        <f>IF(ISNUMBER(VLOOKUP(B8,$E$2:$I$1048576,5)), VLOOKUP(B8,$E$2:$I$1048576,5), 0)</f>
        <v>34408</v>
      </c>
      <c r="E8">
        <v>6</v>
      </c>
      <c r="H8" t="s">
        <v>15</v>
      </c>
      <c r="I8" s="1">
        <f>INDEX($M$2:$N$1048576, MATCH(E8,$M$2:$M$1048576, FALSE),2)</f>
        <v>20701</v>
      </c>
      <c r="J8" s="2">
        <f t="shared" si="0"/>
        <v>0.16651785355180707</v>
      </c>
      <c r="K8" t="str">
        <f t="shared" si="1"/>
        <v>Lost Productivity - $20,701M (16.65%)</v>
      </c>
      <c r="M8">
        <v>30</v>
      </c>
      <c r="N8" s="1">
        <v>76</v>
      </c>
    </row>
    <row r="9" spans="1:14" x14ac:dyDescent="0.25">
      <c r="A9">
        <v>1</v>
      </c>
      <c r="B9">
        <v>8</v>
      </c>
      <c r="C9">
        <f>IF(ISNUMBER(VLOOKUP(B9,$E$2:$I$1048576,5)), VLOOKUP(B9,$E$2:$I$1048576,5), 0)</f>
        <v>624</v>
      </c>
      <c r="E9">
        <v>7</v>
      </c>
      <c r="F9" t="s">
        <v>10</v>
      </c>
      <c r="H9" t="s">
        <v>16</v>
      </c>
      <c r="I9" s="1">
        <f>INDEX($M$2:$N$1048576, MATCH(E9,$M$2:$M$1048576, FALSE),2)</f>
        <v>34408</v>
      </c>
      <c r="J9" s="2">
        <f t="shared" si="0"/>
        <v>0.27677630573453349</v>
      </c>
      <c r="K9" t="str">
        <f t="shared" si="1"/>
        <v>For individuals with OUD - $34,408M (27.68%)</v>
      </c>
      <c r="M9">
        <v>31</v>
      </c>
      <c r="N9" s="1" t="s">
        <v>40</v>
      </c>
    </row>
    <row r="10" spans="1:14" x14ac:dyDescent="0.25">
      <c r="A10">
        <v>1</v>
      </c>
      <c r="B10">
        <v>9</v>
      </c>
      <c r="C10">
        <f>IF(ISNUMBER(VLOOKUP(B10,$E$2:$I$1048576,5)), VLOOKUP(B10,$E$2:$I$1048576,5), 0)</f>
        <v>1665</v>
      </c>
      <c r="E10">
        <v>8</v>
      </c>
      <c r="F10" t="s">
        <v>10</v>
      </c>
      <c r="H10" t="s">
        <v>17</v>
      </c>
      <c r="I10" s="1">
        <f>INDEX($M$2:$N$1048576, MATCH(E10,$M$2:$M$1048576, FALSE),2)</f>
        <v>624</v>
      </c>
      <c r="J10" s="2">
        <f t="shared" si="0"/>
        <v>5.0194261444532927E-3</v>
      </c>
      <c r="K10" t="str">
        <f t="shared" si="1"/>
        <v>For infants born with NAS or NOWS - $624M (.5%)</v>
      </c>
      <c r="M10">
        <v>32</v>
      </c>
      <c r="N10" s="1">
        <v>495</v>
      </c>
    </row>
    <row r="11" spans="1:14" x14ac:dyDescent="0.25">
      <c r="A11">
        <v>2</v>
      </c>
      <c r="B11">
        <v>10</v>
      </c>
      <c r="C11">
        <f>IF(ISNUMBER(VLOOKUP(B11,$E$2:$I$1048576,5)), VLOOKUP(B11,$E$2:$I$1048576,5), 0)</f>
        <v>173</v>
      </c>
      <c r="E11">
        <v>9</v>
      </c>
      <c r="F11" t="s">
        <v>10</v>
      </c>
      <c r="H11" t="s">
        <v>18</v>
      </c>
      <c r="I11" s="1">
        <f>INDEX($M$2:$N$1048576, MATCH(E11,$M$2:$M$1048576, FALSE),2)</f>
        <v>1665</v>
      </c>
      <c r="J11" s="2">
        <f t="shared" si="0"/>
        <v>1.3393180337363354E-2</v>
      </c>
      <c r="K11" t="str">
        <f t="shared" si="1"/>
        <v>For family members of individual with OUD - $1,665M (1.34%)</v>
      </c>
      <c r="M11">
        <v>33</v>
      </c>
      <c r="N11" s="1">
        <v>6</v>
      </c>
    </row>
    <row r="12" spans="1:14" x14ac:dyDescent="0.25">
      <c r="A12">
        <v>2</v>
      </c>
      <c r="B12">
        <v>11</v>
      </c>
      <c r="C12">
        <f>IF(ISNUMBER(VLOOKUP(B12,$E$2:$I$1048576,5)), VLOOKUP(B12,$E$2:$I$1048576,5), 0)</f>
        <v>47161</v>
      </c>
      <c r="E12">
        <v>10</v>
      </c>
      <c r="F12" t="s">
        <v>11</v>
      </c>
      <c r="H12" t="s">
        <v>19</v>
      </c>
      <c r="I12" s="1">
        <f>INDEX($M$2:$N$1048576, MATCH(E12,$M$2:$M$1048576, FALSE),2)</f>
        <v>173</v>
      </c>
      <c r="J12" s="2">
        <f t="shared" si="0"/>
        <v>1.391603722741057E-3</v>
      </c>
      <c r="K12" t="str">
        <f t="shared" si="1"/>
        <v>Medical Costs - $173M (.14%)</v>
      </c>
      <c r="M12">
        <v>34</v>
      </c>
      <c r="N12" s="1">
        <v>47</v>
      </c>
    </row>
    <row r="13" spans="1:14" x14ac:dyDescent="0.25">
      <c r="A13">
        <v>3</v>
      </c>
      <c r="B13">
        <v>12</v>
      </c>
      <c r="C13">
        <f>IF(ISNUMBER(VLOOKUP(B13,$E$2:$I$1048576,5)), VLOOKUP(B13,$E$2:$I$1048576,5), 0)</f>
        <v>3013</v>
      </c>
      <c r="E13">
        <v>11</v>
      </c>
      <c r="F13" t="s">
        <v>11</v>
      </c>
      <c r="H13" t="s">
        <v>20</v>
      </c>
      <c r="I13" s="1">
        <f>INDEX($M$2:$N$1048576, MATCH(E13,$M$2:$M$1048576, FALSE),2)</f>
        <v>47161</v>
      </c>
      <c r="J13" s="2">
        <f t="shared" si="0"/>
        <v>0.37936082756179768</v>
      </c>
      <c r="K13" t="str">
        <f t="shared" si="1"/>
        <v>Lost Lifetime Earnings - $47,161M (37.94%)</v>
      </c>
      <c r="M13">
        <v>8</v>
      </c>
      <c r="N13" s="1">
        <v>624</v>
      </c>
    </row>
    <row r="14" spans="1:14" x14ac:dyDescent="0.25">
      <c r="A14">
        <v>3</v>
      </c>
      <c r="B14">
        <v>13</v>
      </c>
      <c r="C14">
        <f>IF(ISNUMBER(VLOOKUP(B14,$E$2:$I$1048576,5)), VLOOKUP(B14,$E$2:$I$1048576,5), 0)</f>
        <v>1355</v>
      </c>
      <c r="E14">
        <v>12</v>
      </c>
      <c r="F14" t="s">
        <v>12</v>
      </c>
      <c r="H14" t="s">
        <v>21</v>
      </c>
      <c r="I14" s="1">
        <f>INDEX($M$2:$N$1048576, MATCH(E14,$M$2:$M$1048576, FALSE),2)</f>
        <v>3013</v>
      </c>
      <c r="J14" s="2">
        <f t="shared" si="0"/>
        <v>2.4236427841727196E-2</v>
      </c>
      <c r="K14" t="str">
        <f t="shared" si="1"/>
        <v>Police Protection - $3,013M (2.42%)</v>
      </c>
      <c r="M14">
        <v>35</v>
      </c>
      <c r="N14" s="1">
        <v>727</v>
      </c>
    </row>
    <row r="15" spans="1:14" x14ac:dyDescent="0.25">
      <c r="A15">
        <v>3</v>
      </c>
      <c r="B15">
        <v>14</v>
      </c>
      <c r="C15">
        <f>IF(ISNUMBER(VLOOKUP(B15,$E$2:$I$1048576,5)), VLOOKUP(B15,$E$2:$I$1048576,5), 0)</f>
        <v>938</v>
      </c>
      <c r="E15">
        <v>13</v>
      </c>
      <c r="F15" t="s">
        <v>12</v>
      </c>
      <c r="H15" t="s">
        <v>22</v>
      </c>
      <c r="I15" s="1">
        <f>INDEX($M$2:$N$1048576, MATCH(E15,$M$2:$M$1048576, FALSE),2)</f>
        <v>1355</v>
      </c>
      <c r="J15" s="2">
        <f t="shared" si="0"/>
        <v>1.0899555169445851E-2</v>
      </c>
      <c r="K15" t="str">
        <f t="shared" si="1"/>
        <v>Legal and Adjudication Activities - $1,355M (1.09%)</v>
      </c>
      <c r="M15">
        <v>36</v>
      </c>
      <c r="N15" s="1">
        <v>281</v>
      </c>
    </row>
    <row r="16" spans="1:14" x14ac:dyDescent="0.25">
      <c r="A16">
        <v>3</v>
      </c>
      <c r="B16">
        <v>15</v>
      </c>
      <c r="C16">
        <f>IF(ISNUMBER(VLOOKUP(B16,$E$2:$I$1048576,5)), VLOOKUP(B16,$E$2:$I$1048576,5), 0)</f>
        <v>3564</v>
      </c>
      <c r="E16">
        <v>14</v>
      </c>
      <c r="F16" t="s">
        <v>12</v>
      </c>
      <c r="H16" t="s">
        <v>23</v>
      </c>
      <c r="I16" s="1">
        <f>INDEX($M$2:$N$1048576, MATCH(E16,$M$2:$M$1048576, FALSE),2)</f>
        <v>938</v>
      </c>
      <c r="J16" s="2">
        <f t="shared" si="0"/>
        <v>7.545227120989084E-3</v>
      </c>
      <c r="K16" t="str">
        <f t="shared" si="1"/>
        <v>Property Lost Due to Crime - $938M (.75%)</v>
      </c>
      <c r="M16">
        <v>37</v>
      </c>
      <c r="N16" s="1">
        <v>342</v>
      </c>
    </row>
    <row r="17" spans="1:14" x14ac:dyDescent="0.25">
      <c r="A17">
        <v>4</v>
      </c>
      <c r="B17">
        <v>16</v>
      </c>
      <c r="C17">
        <f>IF(ISNUMBER(VLOOKUP(B17,$E$2:$I$1048576,5)), VLOOKUP(B17,$E$2:$I$1048576,5), 0)</f>
        <v>1313</v>
      </c>
      <c r="E17">
        <v>15</v>
      </c>
      <c r="F17" t="s">
        <v>12</v>
      </c>
      <c r="H17" t="s">
        <v>24</v>
      </c>
      <c r="I17" s="1">
        <f>INDEX($M$2:$N$1048576, MATCH(E17,$M$2:$M$1048576, FALSE),2)</f>
        <v>3564</v>
      </c>
      <c r="J17" s="2">
        <f t="shared" si="0"/>
        <v>2.8668645478896693E-2</v>
      </c>
      <c r="K17" t="str">
        <f t="shared" si="1"/>
        <v>Correctional Facilities - $3,564M (2.87%)</v>
      </c>
      <c r="M17">
        <v>38</v>
      </c>
      <c r="N17" s="1">
        <v>20</v>
      </c>
    </row>
    <row r="18" spans="1:14" x14ac:dyDescent="0.25">
      <c r="A18">
        <v>4</v>
      </c>
      <c r="B18">
        <v>17</v>
      </c>
      <c r="C18">
        <f>IF(ISNUMBER(VLOOKUP(B18,$E$2:$I$1048576,5)), VLOOKUP(B18,$E$2:$I$1048576,5), 0)</f>
        <v>3640</v>
      </c>
      <c r="E18">
        <v>16</v>
      </c>
      <c r="F18" t="s">
        <v>25</v>
      </c>
      <c r="H18" t="s">
        <v>26</v>
      </c>
      <c r="I18" s="1">
        <f>INDEX($M$2:$N$1048576, MATCH(E18,$M$2:$M$1048576, FALSE),2)</f>
        <v>1313</v>
      </c>
      <c r="J18" s="2">
        <f t="shared" si="0"/>
        <v>1.0561709178953804E-2</v>
      </c>
      <c r="K18" t="str">
        <f t="shared" si="1"/>
        <v>Child Welfare - $1,313M (1.06%)</v>
      </c>
      <c r="M18">
        <v>39</v>
      </c>
      <c r="N18" s="1">
        <v>295</v>
      </c>
    </row>
    <row r="19" spans="1:14" x14ac:dyDescent="0.25">
      <c r="A19">
        <v>4</v>
      </c>
      <c r="B19">
        <v>18</v>
      </c>
      <c r="C19">
        <f>IF(ISNUMBER(VLOOKUP(B19,$E$2:$I$1048576,5)), VLOOKUP(B19,$E$2:$I$1048576,5), 0)</f>
        <v>708</v>
      </c>
      <c r="E19">
        <v>17</v>
      </c>
      <c r="F19" t="s">
        <v>25</v>
      </c>
      <c r="H19" t="s">
        <v>27</v>
      </c>
      <c r="I19" s="1">
        <f>INDEX($M$2:$N$1048576, MATCH(E19,$M$2:$M$1048576, FALSE),2)</f>
        <v>3640</v>
      </c>
      <c r="J19" s="2">
        <f t="shared" si="0"/>
        <v>2.9279985842644209E-2</v>
      </c>
      <c r="K19" t="str">
        <f t="shared" si="1"/>
        <v>Food and Nutritional Assistance - $3,640M (2.93%)</v>
      </c>
      <c r="M19">
        <v>9</v>
      </c>
      <c r="N19" s="1">
        <v>1665</v>
      </c>
    </row>
    <row r="20" spans="1:14" x14ac:dyDescent="0.25">
      <c r="A20">
        <v>4</v>
      </c>
      <c r="B20">
        <v>19</v>
      </c>
      <c r="C20">
        <f>IF(ISNUMBER(VLOOKUP(B20,$E$2:$I$1048576,5)), VLOOKUP(B20,$E$2:$I$1048576,5), 0)</f>
        <v>3627</v>
      </c>
      <c r="E20">
        <v>18</v>
      </c>
      <c r="F20" t="s">
        <v>25</v>
      </c>
      <c r="H20" t="s">
        <v>28</v>
      </c>
      <c r="I20" s="1">
        <f>INDEX($M$2:$N$1048576, MATCH(E20,$M$2:$M$1048576, FALSE),2)</f>
        <v>708</v>
      </c>
      <c r="J20" s="2">
        <f t="shared" si="0"/>
        <v>5.6951181254373895E-3</v>
      </c>
      <c r="K20" t="str">
        <f t="shared" si="1"/>
        <v>Income Assistance - $708M (.57%)</v>
      </c>
      <c r="M20">
        <v>1</v>
      </c>
      <c r="N20" s="1">
        <v>36697</v>
      </c>
    </row>
    <row r="21" spans="1:14" x14ac:dyDescent="0.25">
      <c r="A21">
        <v>6</v>
      </c>
      <c r="B21">
        <v>20</v>
      </c>
      <c r="C21">
        <f>IF(ISNUMBER(VLOOKUP(B21,$E$2:$I$1048576,5)), VLOOKUP(B21,$E$2:$I$1048576,5), 0)</f>
        <v>16719</v>
      </c>
      <c r="E21">
        <v>19</v>
      </c>
      <c r="F21" t="s">
        <v>25</v>
      </c>
      <c r="H21" t="s">
        <v>29</v>
      </c>
      <c r="I21" s="1">
        <f>INDEX($M$2:$N$1048576, MATCH(E21,$M$2:$M$1048576, FALSE),2)</f>
        <v>3627</v>
      </c>
      <c r="J21" s="2">
        <f t="shared" si="0"/>
        <v>2.9175414464634765E-2</v>
      </c>
      <c r="K21" t="str">
        <f t="shared" si="1"/>
        <v>Housing/Homelessness Assistance - $3,627M (2.92%)</v>
      </c>
      <c r="M21">
        <v>10</v>
      </c>
      <c r="N21" s="1">
        <v>173</v>
      </c>
    </row>
    <row r="22" spans="1:14" x14ac:dyDescent="0.25">
      <c r="A22">
        <v>6</v>
      </c>
      <c r="B22">
        <v>21</v>
      </c>
      <c r="C22">
        <f>IF(ISNUMBER(VLOOKUP(B22,$E$2:$I$1048576,5)), VLOOKUP(B22,$E$2:$I$1048576,5), 0)</f>
        <v>3280</v>
      </c>
      <c r="E22">
        <v>20</v>
      </c>
      <c r="F22" t="s">
        <v>15</v>
      </c>
      <c r="H22" t="s">
        <v>30</v>
      </c>
      <c r="I22" s="1">
        <f>INDEX($M$2:$N$1048576, MATCH(E22,$M$2:$M$1048576, FALSE),2)</f>
        <v>16719</v>
      </c>
      <c r="J22" s="2">
        <f t="shared" si="0"/>
        <v>0.13448683607229905</v>
      </c>
      <c r="K22" t="str">
        <f t="shared" si="1"/>
        <v>Reduced Labor Force Participation and Absenteeism - $16,719M (13.45%)</v>
      </c>
      <c r="M22">
        <v>11</v>
      </c>
      <c r="N22" s="1">
        <v>47161</v>
      </c>
    </row>
    <row r="23" spans="1:14" x14ac:dyDescent="0.25">
      <c r="A23">
        <v>6</v>
      </c>
      <c r="B23">
        <v>22</v>
      </c>
      <c r="C23">
        <f>IF(ISNUMBER(VLOOKUP(B23,$E$2:$I$1048576,5)), VLOOKUP(B23,$E$2:$I$1048576,5), 0)</f>
        <v>312</v>
      </c>
      <c r="E23">
        <v>21</v>
      </c>
      <c r="F23" t="s">
        <v>15</v>
      </c>
      <c r="H23" t="s">
        <v>31</v>
      </c>
      <c r="I23" s="1">
        <f>INDEX($M$2:$N$1048576, MATCH(E23,$M$2:$M$1048576, FALSE),2)</f>
        <v>3280</v>
      </c>
      <c r="J23" s="2">
        <f t="shared" si="0"/>
        <v>2.6384163066998076E-2</v>
      </c>
      <c r="K23" t="str">
        <f t="shared" si="1"/>
        <v>Incarceration - $3,280M (2.64%)</v>
      </c>
      <c r="M23">
        <v>2</v>
      </c>
      <c r="N23" s="1">
        <v>47334</v>
      </c>
    </row>
    <row r="24" spans="1:14" x14ac:dyDescent="0.25">
      <c r="A24">
        <v>6</v>
      </c>
      <c r="B24">
        <v>23</v>
      </c>
      <c r="C24">
        <f>IF(ISNUMBER(VLOOKUP(B24,$E$2:$I$1048576,5)), VLOOKUP(B24,$E$2:$I$1048576,5), 0)</f>
        <v>28</v>
      </c>
      <c r="E24">
        <v>22</v>
      </c>
      <c r="F24" t="s">
        <v>15</v>
      </c>
      <c r="H24" t="s">
        <v>32</v>
      </c>
      <c r="I24" s="1">
        <f>INDEX($M$2:$N$1048576, MATCH(E24,$M$2:$M$1048576, FALSE),2)</f>
        <v>312</v>
      </c>
      <c r="J24" s="2">
        <f t="shared" si="0"/>
        <v>2.5097130722266463E-3</v>
      </c>
      <c r="K24" t="str">
        <f t="shared" si="1"/>
        <v>Short-Term Disability - $312M (.25%)</v>
      </c>
      <c r="M24">
        <v>12</v>
      </c>
      <c r="N24" s="1">
        <v>3013</v>
      </c>
    </row>
    <row r="25" spans="1:14" x14ac:dyDescent="0.25">
      <c r="A25">
        <v>6</v>
      </c>
      <c r="B25">
        <v>24</v>
      </c>
      <c r="C25">
        <f>IF(ISNUMBER(VLOOKUP(B25,$E$2:$I$1048576,5)), VLOOKUP(B25,$E$2:$I$1048576,5), 0)</f>
        <v>362</v>
      </c>
      <c r="E25">
        <v>23</v>
      </c>
      <c r="F25" t="s">
        <v>15</v>
      </c>
      <c r="H25" t="s">
        <v>33</v>
      </c>
      <c r="I25" s="1">
        <f>INDEX($M$2:$N$1048576, MATCH(E25,$M$2:$M$1048576, FALSE),2)</f>
        <v>28</v>
      </c>
      <c r="J25" s="2">
        <f t="shared" si="0"/>
        <v>2.2523066032803236E-4</v>
      </c>
      <c r="K25" t="str">
        <f t="shared" si="1"/>
        <v>Long-Term Disability - $28M (.02%)</v>
      </c>
      <c r="M25">
        <v>13</v>
      </c>
      <c r="N25" s="1">
        <v>1355</v>
      </c>
    </row>
    <row r="26" spans="1:14" x14ac:dyDescent="0.25">
      <c r="A26">
        <v>7</v>
      </c>
      <c r="B26">
        <v>25</v>
      </c>
      <c r="C26">
        <f>IF(ISNUMBER(VLOOKUP(B26,$E$2:$I$1048576,5)), VLOOKUP(B26,$E$2:$I$1048576,5), 0)</f>
        <v>12547</v>
      </c>
      <c r="E26">
        <v>24</v>
      </c>
      <c r="F26" t="s">
        <v>15</v>
      </c>
      <c r="H26" t="s">
        <v>34</v>
      </c>
      <c r="I26" s="1">
        <f>INDEX($M$2:$N$1048576, MATCH(E26,$M$2:$M$1048576, FALSE),2)</f>
        <v>362</v>
      </c>
      <c r="J26" s="2">
        <f t="shared" si="0"/>
        <v>2.9119106799552754E-3</v>
      </c>
      <c r="K26" t="str">
        <f t="shared" si="1"/>
        <v>Workers' Compensation - $362M (.29%)</v>
      </c>
      <c r="M26">
        <v>14</v>
      </c>
      <c r="N26" s="1">
        <v>938</v>
      </c>
    </row>
    <row r="27" spans="1:14" x14ac:dyDescent="0.25">
      <c r="A27">
        <v>7</v>
      </c>
      <c r="B27">
        <v>26</v>
      </c>
      <c r="C27">
        <f>IF(ISNUMBER(VLOOKUP(B27,$E$2:$I$1048576,5)), VLOOKUP(B27,$E$2:$I$1048576,5), 0)</f>
        <v>10531</v>
      </c>
      <c r="E27">
        <v>25</v>
      </c>
      <c r="F27" t="s">
        <v>10</v>
      </c>
      <c r="G27" t="s">
        <v>16</v>
      </c>
      <c r="H27" t="s">
        <v>35</v>
      </c>
      <c r="I27" s="1">
        <f>INDEX($M$2:$N$1048576, MATCH(E27,$M$2:$M$1048576, FALSE),2)</f>
        <v>12547</v>
      </c>
      <c r="J27" s="2">
        <f t="shared" si="0"/>
        <v>0.10092746768342221</v>
      </c>
      <c r="K27" t="str">
        <f t="shared" si="1"/>
        <v>Commercial - $12,547M (10.09%)</v>
      </c>
      <c r="M27">
        <v>15</v>
      </c>
      <c r="N27" s="1">
        <v>3564</v>
      </c>
    </row>
    <row r="28" spans="1:14" x14ac:dyDescent="0.25">
      <c r="A28">
        <v>7</v>
      </c>
      <c r="B28">
        <v>27</v>
      </c>
      <c r="C28">
        <f>IF(ISNUMBER(VLOOKUP(B28,$E$2:$I$1048576,5)), VLOOKUP(B28,$E$2:$I$1048576,5), 0)</f>
        <v>5902</v>
      </c>
      <c r="E28">
        <v>26</v>
      </c>
      <c r="F28" t="s">
        <v>10</v>
      </c>
      <c r="G28" t="s">
        <v>16</v>
      </c>
      <c r="H28" t="s">
        <v>36</v>
      </c>
      <c r="I28" s="1">
        <f>INDEX($M$2:$N$1048576, MATCH(E28,$M$2:$M$1048576, FALSE),2)</f>
        <v>10531</v>
      </c>
      <c r="J28" s="2">
        <f t="shared" si="0"/>
        <v>8.471086013980389E-2</v>
      </c>
      <c r="K28" t="str">
        <f t="shared" si="1"/>
        <v>Medicare - $10,531M (8.47%)</v>
      </c>
      <c r="M28">
        <v>3</v>
      </c>
      <c r="N28" s="1">
        <v>8870</v>
      </c>
    </row>
    <row r="29" spans="1:14" x14ac:dyDescent="0.25">
      <c r="A29">
        <v>7</v>
      </c>
      <c r="B29">
        <v>28</v>
      </c>
      <c r="C29">
        <f>IF(ISNUMBER(VLOOKUP(B29,$E$2:$I$1048576,5)), VLOOKUP(B29,$E$2:$I$1048576,5), 0)</f>
        <v>345</v>
      </c>
      <c r="E29">
        <v>27</v>
      </c>
      <c r="F29" t="s">
        <v>10</v>
      </c>
      <c r="G29" t="s">
        <v>16</v>
      </c>
      <c r="H29" t="s">
        <v>37</v>
      </c>
      <c r="I29" s="1">
        <f>INDEX($M$2:$N$1048576, MATCH(E29,$M$2:$M$1048576, FALSE),2)</f>
        <v>5902</v>
      </c>
      <c r="J29" s="2">
        <f t="shared" si="0"/>
        <v>4.7475405616287394E-2</v>
      </c>
      <c r="K29" t="str">
        <f t="shared" si="1"/>
        <v>Medicaid - $5,902M (4.75%)</v>
      </c>
      <c r="M29">
        <v>16</v>
      </c>
      <c r="N29" s="1">
        <v>1313</v>
      </c>
    </row>
    <row r="30" spans="1:14" x14ac:dyDescent="0.25">
      <c r="A30">
        <v>7</v>
      </c>
      <c r="B30">
        <v>29</v>
      </c>
      <c r="C30">
        <f>IF(ISNUMBER(VLOOKUP(B30,$E$2:$I$1048576,5)), VLOOKUP(B30,$E$2:$I$1048576,5), 0)</f>
        <v>5083</v>
      </c>
      <c r="E30">
        <v>28</v>
      </c>
      <c r="F30" t="s">
        <v>10</v>
      </c>
      <c r="G30" t="s">
        <v>16</v>
      </c>
      <c r="H30" t="s">
        <v>38</v>
      </c>
      <c r="I30" s="1">
        <f>INDEX($M$2:$N$1048576, MATCH(E30,$M$2:$M$1048576, FALSE),2)</f>
        <v>345</v>
      </c>
      <c r="J30" s="2">
        <f t="shared" si="0"/>
        <v>2.7751634933275418E-3</v>
      </c>
      <c r="K30" t="str">
        <f t="shared" si="1"/>
        <v>Other Public Insurance - $345M (.28%)</v>
      </c>
      <c r="M30">
        <v>17</v>
      </c>
      <c r="N30" s="1">
        <v>3640</v>
      </c>
    </row>
    <row r="31" spans="1:14" x14ac:dyDescent="0.25">
      <c r="A31">
        <v>8</v>
      </c>
      <c r="B31">
        <v>30</v>
      </c>
      <c r="C31">
        <f>IF(ISNUMBER(VLOOKUP(B31,$E$2:$I$1048576,5)), VLOOKUP(B31,$E$2:$I$1048576,5), 0)</f>
        <v>76</v>
      </c>
      <c r="E31">
        <v>29</v>
      </c>
      <c r="F31" t="s">
        <v>10</v>
      </c>
      <c r="G31" t="s">
        <v>16</v>
      </c>
      <c r="H31" t="s">
        <v>39</v>
      </c>
      <c r="I31" s="1">
        <f>INDEX($M$2:$N$1048576, MATCH(E31,$M$2:$M$1048576, FALSE),2)</f>
        <v>5083</v>
      </c>
      <c r="J31" s="2">
        <f t="shared" si="0"/>
        <v>4.0887408801692449E-2</v>
      </c>
      <c r="K31" t="str">
        <f t="shared" si="1"/>
        <v>Uninsured - $5,083M (4.09%)</v>
      </c>
      <c r="M31">
        <v>18</v>
      </c>
      <c r="N31" s="1">
        <v>708</v>
      </c>
    </row>
    <row r="32" spans="1:14" x14ac:dyDescent="0.25">
      <c r="A32">
        <v>8</v>
      </c>
      <c r="B32">
        <v>31</v>
      </c>
      <c r="C32">
        <f>IF(ISNUMBER(VLOOKUP(B32,$E$2:$I$1048576,5)), VLOOKUP(B32,$E$2:$I$1048576,5), 0)</f>
        <v>0</v>
      </c>
      <c r="E32">
        <v>30</v>
      </c>
      <c r="F32" t="s">
        <v>10</v>
      </c>
      <c r="G32" t="s">
        <v>17</v>
      </c>
      <c r="H32" t="s">
        <v>35</v>
      </c>
      <c r="I32" s="1">
        <f>INDEX($M$2:$N$1048576, MATCH(E32,$M$2:$M$1048576, FALSE),2)</f>
        <v>76</v>
      </c>
      <c r="J32" s="2">
        <f t="shared" si="0"/>
        <v>6.1134036374751641E-4</v>
      </c>
      <c r="K32" t="str">
        <f t="shared" si="1"/>
        <v>Commercial - $76M (.06%)</v>
      </c>
      <c r="M32">
        <v>19</v>
      </c>
      <c r="N32" s="1">
        <v>3627</v>
      </c>
    </row>
    <row r="33" spans="1:14" x14ac:dyDescent="0.25">
      <c r="A33">
        <v>8</v>
      </c>
      <c r="B33">
        <v>32</v>
      </c>
      <c r="C33">
        <f>IF(ISNUMBER(VLOOKUP(B33,$E$2:$I$1048576,5)), VLOOKUP(B33,$E$2:$I$1048576,5), 0)</f>
        <v>495</v>
      </c>
      <c r="E33">
        <v>31</v>
      </c>
      <c r="F33" t="s">
        <v>10</v>
      </c>
      <c r="G33" t="s">
        <v>17</v>
      </c>
      <c r="H33" t="s">
        <v>36</v>
      </c>
      <c r="I33" s="1" t="str">
        <f>INDEX($M$2:$N$1048576, MATCH(E33,$M$2:$M$1048576, FALSE),2)</f>
        <v>N/A</v>
      </c>
      <c r="J33" s="2" t="e">
        <f t="shared" si="0"/>
        <v>#VALUE!</v>
      </c>
      <c r="K33" t="s">
        <v>46</v>
      </c>
      <c r="M33">
        <v>4</v>
      </c>
      <c r="N33" s="1">
        <v>9288</v>
      </c>
    </row>
    <row r="34" spans="1:14" x14ac:dyDescent="0.25">
      <c r="A34">
        <v>8</v>
      </c>
      <c r="B34">
        <v>33</v>
      </c>
      <c r="C34">
        <f>IF(ISNUMBER(VLOOKUP(B34,$E$2:$I$1048576,5)), VLOOKUP(B34,$E$2:$I$1048576,5), 0)</f>
        <v>6</v>
      </c>
      <c r="E34">
        <v>32</v>
      </c>
      <c r="F34" t="s">
        <v>10</v>
      </c>
      <c r="G34" t="s">
        <v>17</v>
      </c>
      <c r="H34" t="s">
        <v>37</v>
      </c>
      <c r="I34" s="1">
        <f>INDEX($M$2:$N$1048576, MATCH(E34,$M$2:$M$1048576, FALSE),2)</f>
        <v>495</v>
      </c>
      <c r="J34" s="2">
        <f t="shared" si="0"/>
        <v>3.9817563165134295E-3</v>
      </c>
      <c r="K34" t="str">
        <f t="shared" si="1"/>
        <v>Medicaid - $495M (.4%)</v>
      </c>
      <c r="M34">
        <v>5</v>
      </c>
      <c r="N34" s="1">
        <v>1426</v>
      </c>
    </row>
    <row r="35" spans="1:14" x14ac:dyDescent="0.25">
      <c r="A35">
        <v>8</v>
      </c>
      <c r="B35">
        <v>34</v>
      </c>
      <c r="C35">
        <f>IF(ISNUMBER(VLOOKUP(B35,$E$2:$I$1048576,5)), VLOOKUP(B35,$E$2:$I$1048576,5), 0)</f>
        <v>47</v>
      </c>
      <c r="E35">
        <v>33</v>
      </c>
      <c r="F35" t="s">
        <v>10</v>
      </c>
      <c r="G35" t="s">
        <v>17</v>
      </c>
      <c r="H35" t="s">
        <v>38</v>
      </c>
      <c r="I35" s="1">
        <f>INDEX($M$2:$N$1048576, MATCH(E35,$M$2:$M$1048576, FALSE),2)</f>
        <v>6</v>
      </c>
      <c r="J35" s="2">
        <f t="shared" si="0"/>
        <v>4.8263712927435506E-5</v>
      </c>
      <c r="K35" t="str">
        <f>CONCATENATE(H35," - ",TEXT(I35,"$#,###"),IF(I35="N/A","","M"), " (", TEXT(J35,"##.###%"), ")")</f>
        <v>Other Public Insurance - $6M (.005%)</v>
      </c>
      <c r="M35">
        <v>20</v>
      </c>
      <c r="N35" s="1">
        <v>16719</v>
      </c>
    </row>
    <row r="36" spans="1:14" x14ac:dyDescent="0.25">
      <c r="A36">
        <v>9</v>
      </c>
      <c r="B36">
        <v>35</v>
      </c>
      <c r="C36">
        <f>IF(ISNUMBER(VLOOKUP(B36,$E$2:$I$1048576,5)), VLOOKUP(B36,$E$2:$I$1048576,5), 0)</f>
        <v>727</v>
      </c>
      <c r="E36">
        <v>34</v>
      </c>
      <c r="F36" t="s">
        <v>10</v>
      </c>
      <c r="G36" t="s">
        <v>17</v>
      </c>
      <c r="H36" t="s">
        <v>39</v>
      </c>
      <c r="I36" s="1">
        <f>INDEX($M$2:$N$1048576, MATCH(E36,$M$2:$M$1048576, FALSE),2)</f>
        <v>47</v>
      </c>
      <c r="J36" s="2">
        <f t="shared" si="0"/>
        <v>3.7806575126491147E-4</v>
      </c>
      <c r="K36" t="str">
        <f t="shared" si="1"/>
        <v>Uninsured - $47M (.04%)</v>
      </c>
      <c r="M36">
        <v>21</v>
      </c>
      <c r="N36" s="1">
        <v>3280</v>
      </c>
    </row>
    <row r="37" spans="1:14" x14ac:dyDescent="0.25">
      <c r="A37">
        <v>9</v>
      </c>
      <c r="B37">
        <v>36</v>
      </c>
      <c r="C37">
        <f>IF(ISNUMBER(VLOOKUP(B37,$E$2:$I$1048576,5)), VLOOKUP(B37,$E$2:$I$1048576,5), 0)</f>
        <v>281</v>
      </c>
      <c r="E37">
        <v>35</v>
      </c>
      <c r="F37" t="s">
        <v>10</v>
      </c>
      <c r="G37" t="s">
        <v>18</v>
      </c>
      <c r="H37" t="s">
        <v>35</v>
      </c>
      <c r="I37" s="1">
        <f>INDEX($M$2:$N$1048576, MATCH(E37,$M$2:$M$1048576, FALSE),2)</f>
        <v>727</v>
      </c>
      <c r="J37" s="2">
        <f t="shared" si="0"/>
        <v>5.8479532163742687E-3</v>
      </c>
      <c r="K37" t="str">
        <f t="shared" si="1"/>
        <v>Commercial - $727M (.58%)</v>
      </c>
      <c r="M37">
        <v>22</v>
      </c>
      <c r="N37" s="1">
        <v>312</v>
      </c>
    </row>
    <row r="38" spans="1:14" x14ac:dyDescent="0.25">
      <c r="A38">
        <v>9</v>
      </c>
      <c r="B38">
        <v>37</v>
      </c>
      <c r="C38">
        <f>IF(ISNUMBER(VLOOKUP(B38,$E$2:$I$1048576,5)), VLOOKUP(B38,$E$2:$I$1048576,5), 0)</f>
        <v>342</v>
      </c>
      <c r="E38">
        <v>36</v>
      </c>
      <c r="F38" t="s">
        <v>10</v>
      </c>
      <c r="G38" t="s">
        <v>18</v>
      </c>
      <c r="H38" t="s">
        <v>36</v>
      </c>
      <c r="I38" s="1">
        <f>INDEX($M$2:$N$1048576, MATCH(E38,$M$2:$M$1048576, FALSE),2)</f>
        <v>281</v>
      </c>
      <c r="J38" s="2">
        <f t="shared" si="0"/>
        <v>2.2603505554348964E-3</v>
      </c>
      <c r="K38" t="str">
        <f t="shared" si="1"/>
        <v>Medicare - $281M (.23%)</v>
      </c>
      <c r="M38">
        <v>23</v>
      </c>
      <c r="N38" s="1">
        <v>28</v>
      </c>
    </row>
    <row r="39" spans="1:14" x14ac:dyDescent="0.25">
      <c r="A39">
        <v>9</v>
      </c>
      <c r="B39">
        <v>38</v>
      </c>
      <c r="C39">
        <f>IF(ISNUMBER(VLOOKUP(B39,$E$2:$I$1048576,5)), VLOOKUP(B39,$E$2:$I$1048576,5), 0)</f>
        <v>20</v>
      </c>
      <c r="E39">
        <v>37</v>
      </c>
      <c r="F39" t="s">
        <v>10</v>
      </c>
      <c r="G39" t="s">
        <v>18</v>
      </c>
      <c r="H39" t="s">
        <v>37</v>
      </c>
      <c r="I39" s="1">
        <f>INDEX($M$2:$N$1048576, MATCH(E39,$M$2:$M$1048576, FALSE),2)</f>
        <v>342</v>
      </c>
      <c r="J39" s="2">
        <f t="shared" si="0"/>
        <v>2.751031636863824E-3</v>
      </c>
      <c r="K39" t="str">
        <f t="shared" si="1"/>
        <v>Medicaid - $342M (.28%)</v>
      </c>
      <c r="M39">
        <v>24</v>
      </c>
      <c r="N39" s="1">
        <v>362</v>
      </c>
    </row>
    <row r="40" spans="1:14" x14ac:dyDescent="0.25">
      <c r="A40">
        <v>9</v>
      </c>
      <c r="B40">
        <v>39</v>
      </c>
      <c r="C40">
        <f>IF(ISNUMBER(VLOOKUP(B40,$E$2:$I$1048576,5)), VLOOKUP(B40,$E$2:$I$1048576,5), 0)</f>
        <v>295</v>
      </c>
      <c r="E40">
        <v>38</v>
      </c>
      <c r="F40" t="s">
        <v>10</v>
      </c>
      <c r="G40" t="s">
        <v>18</v>
      </c>
      <c r="H40" t="s">
        <v>38</v>
      </c>
      <c r="I40" s="1">
        <f>INDEX($M$2:$N$1048576, MATCH(E40,$M$2:$M$1048576, FALSE),2)</f>
        <v>20</v>
      </c>
      <c r="J40" s="2">
        <f t="shared" si="0"/>
        <v>1.6087904309145169E-4</v>
      </c>
      <c r="K40" t="str">
        <f t="shared" si="1"/>
        <v>Other Public Insurance - $20M (.02%)</v>
      </c>
      <c r="M40">
        <v>6</v>
      </c>
      <c r="N40" s="1">
        <v>20701</v>
      </c>
    </row>
    <row r="41" spans="1:14" x14ac:dyDescent="0.25">
      <c r="A41">
        <v>26</v>
      </c>
      <c r="B41">
        <v>40</v>
      </c>
      <c r="C41">
        <f>IF(ISNUMBER(VLOOKUP(A41,$E$2:$I$1048576,5)), VLOOKUP(A41,$E$2:$I$1048576,5), 0)</f>
        <v>10531</v>
      </c>
      <c r="E41">
        <v>39</v>
      </c>
      <c r="F41" t="s">
        <v>10</v>
      </c>
      <c r="G41" t="s">
        <v>18</v>
      </c>
      <c r="H41" t="s">
        <v>39</v>
      </c>
      <c r="I41" s="1">
        <f>INDEX($M$2:$N$1048576, MATCH(E41,$M$2:$M$1048576, FALSE),2)</f>
        <v>295</v>
      </c>
      <c r="J41" s="2">
        <f t="shared" si="0"/>
        <v>2.3729658855989127E-3</v>
      </c>
      <c r="K41" t="str">
        <f t="shared" si="1"/>
        <v>Uninsured - $295M (.24%)</v>
      </c>
      <c r="M41">
        <v>0</v>
      </c>
      <c r="N41" s="1">
        <v>124317</v>
      </c>
    </row>
    <row r="42" spans="1:14" x14ac:dyDescent="0.25">
      <c r="A42">
        <v>27</v>
      </c>
      <c r="B42">
        <v>40</v>
      </c>
      <c r="C42">
        <f>IF(ISNUMBER(VLOOKUP(A42,$E$2:$I$1048576,5)), VLOOKUP(A42,$E$2:$I$1048576,5), 0)</f>
        <v>5902</v>
      </c>
      <c r="E42">
        <v>40</v>
      </c>
      <c r="H42" t="s">
        <v>41</v>
      </c>
      <c r="I42" s="1">
        <f>INDEX($M$2:$N$1048576, MATCH(E42,$M$2:$M$1048576, FALSE),2)</f>
        <v>36568</v>
      </c>
      <c r="J42" s="2">
        <f t="shared" si="0"/>
        <v>0.29415124238841028</v>
      </c>
      <c r="K42" t="str">
        <f t="shared" si="1"/>
        <v>Federal, State, and Local Governments - $36,568M (29.42%)</v>
      </c>
      <c r="M42">
        <v>40</v>
      </c>
      <c r="N42" s="1">
        <v>36568</v>
      </c>
    </row>
    <row r="43" spans="1:14" x14ac:dyDescent="0.25">
      <c r="A43">
        <v>28</v>
      </c>
      <c r="B43">
        <v>40</v>
      </c>
      <c r="C43">
        <f>IF(ISNUMBER(VLOOKUP(A43,$E$2:$I$1048576,5)), VLOOKUP(A43,$E$2:$I$1048576,5), 0)</f>
        <v>345</v>
      </c>
      <c r="E43">
        <v>41</v>
      </c>
      <c r="H43" t="s">
        <v>42</v>
      </c>
      <c r="I43" s="1">
        <f>INDEX($M$2:$N$1048576, MATCH(E43,$M$2:$M$1048576, FALSE),2)</f>
        <v>87749</v>
      </c>
      <c r="J43" s="2">
        <f t="shared" si="0"/>
        <v>0.70584875761158972</v>
      </c>
      <c r="K43" t="str">
        <f>CONCATENATE(H43," - ",TEXT(I43,"$#,###"),IF(I43="N/A","","M"), " (", TEXT(J43,"##.##%"), ")")</f>
        <v>Private Sector and Individuals - $87,749M (70.58%)</v>
      </c>
      <c r="M43">
        <v>41</v>
      </c>
      <c r="N43" s="1">
        <v>87749</v>
      </c>
    </row>
    <row r="44" spans="1:14" x14ac:dyDescent="0.25">
      <c r="A44">
        <v>31</v>
      </c>
      <c r="B44">
        <v>40</v>
      </c>
      <c r="C44">
        <f>IF(ISNUMBER(VLOOKUP(A44,$E$2:$I$1048576,5)), VLOOKUP(A44,$E$2:$I$1048576,5), 0)</f>
        <v>0</v>
      </c>
    </row>
    <row r="45" spans="1:14" x14ac:dyDescent="0.25">
      <c r="A45">
        <v>32</v>
      </c>
      <c r="B45">
        <v>40</v>
      </c>
      <c r="C45">
        <f>IF(ISNUMBER(VLOOKUP(A45,$E$2:$I$1048576,5)), VLOOKUP(A45,$E$2:$I$1048576,5), 0)</f>
        <v>495</v>
      </c>
    </row>
    <row r="46" spans="1:14" x14ac:dyDescent="0.25">
      <c r="A46">
        <v>33</v>
      </c>
      <c r="B46">
        <v>40</v>
      </c>
      <c r="C46">
        <f>IF(ISNUMBER(VLOOKUP(A46,$E$2:$I$1048576,5)), VLOOKUP(A46,$E$2:$I$1048576,5), 0)</f>
        <v>6</v>
      </c>
    </row>
    <row r="47" spans="1:14" x14ac:dyDescent="0.25">
      <c r="A47">
        <v>36</v>
      </c>
      <c r="B47">
        <v>40</v>
      </c>
      <c r="C47">
        <f>IF(ISNUMBER(VLOOKUP(A47,$E$2:$I$1048576,5)), VLOOKUP(A47,$E$2:$I$1048576,5), 0)</f>
        <v>281</v>
      </c>
    </row>
    <row r="48" spans="1:14" x14ac:dyDescent="0.25">
      <c r="A48">
        <v>37</v>
      </c>
      <c r="B48">
        <v>40</v>
      </c>
      <c r="C48">
        <f>IF(ISNUMBER(VLOOKUP(A48,$E$2:$I$1048576,5)), VLOOKUP(A48,$E$2:$I$1048576,5), 0)</f>
        <v>342</v>
      </c>
    </row>
    <row r="49" spans="1:3" x14ac:dyDescent="0.25">
      <c r="A49">
        <v>38</v>
      </c>
      <c r="B49">
        <v>40</v>
      </c>
      <c r="C49">
        <f>IF(ISNUMBER(VLOOKUP(A49,$E$2:$I$1048576,5)), VLOOKUP(A49,$E$2:$I$1048576,5), 0)</f>
        <v>20</v>
      </c>
    </row>
    <row r="50" spans="1:3" x14ac:dyDescent="0.25">
      <c r="A50">
        <v>12</v>
      </c>
      <c r="B50">
        <v>40</v>
      </c>
      <c r="C50">
        <f>IF(ISNUMBER(VLOOKUP(A50,$E$2:$I$1048576,5)), VLOOKUP(A50,$E$2:$I$1048576,5), 0)</f>
        <v>3013</v>
      </c>
    </row>
    <row r="51" spans="1:3" x14ac:dyDescent="0.25">
      <c r="A51">
        <v>13</v>
      </c>
      <c r="B51">
        <v>40</v>
      </c>
      <c r="C51">
        <f>IF(ISNUMBER(VLOOKUP(A51,$E$2:$I$1048576,5)), VLOOKUP(A51,$E$2:$I$1048576,5), 0)</f>
        <v>1355</v>
      </c>
    </row>
    <row r="52" spans="1:3" x14ac:dyDescent="0.25">
      <c r="A52">
        <v>15</v>
      </c>
      <c r="B52">
        <v>40</v>
      </c>
      <c r="C52">
        <f>IF(ISNUMBER(VLOOKUP(A52,$E$2:$I$1048576,5)), VLOOKUP(A52,$E$2:$I$1048576,5), 0)</f>
        <v>3564</v>
      </c>
    </row>
    <row r="53" spans="1:3" x14ac:dyDescent="0.25">
      <c r="A53">
        <v>16</v>
      </c>
      <c r="B53">
        <v>40</v>
      </c>
      <c r="C53">
        <f>IF(ISNUMBER(VLOOKUP(A53,$E$2:$I$1048576,5)), VLOOKUP(A53,$E$2:$I$1048576,5), 0)</f>
        <v>1313</v>
      </c>
    </row>
    <row r="54" spans="1:3" x14ac:dyDescent="0.25">
      <c r="A54">
        <v>17</v>
      </c>
      <c r="B54">
        <v>40</v>
      </c>
      <c r="C54">
        <f>IF(ISNUMBER(VLOOKUP(A54,$E$2:$I$1048576,5)), VLOOKUP(A54,$E$2:$I$1048576,5), 0)</f>
        <v>3640</v>
      </c>
    </row>
    <row r="55" spans="1:3" x14ac:dyDescent="0.25">
      <c r="A55">
        <v>18</v>
      </c>
      <c r="B55">
        <v>40</v>
      </c>
      <c r="C55">
        <f>IF(ISNUMBER(VLOOKUP(A55,$E$2:$I$1048576,5)), VLOOKUP(A55,$E$2:$I$1048576,5), 0)</f>
        <v>708</v>
      </c>
    </row>
    <row r="56" spans="1:3" x14ac:dyDescent="0.25">
      <c r="A56">
        <v>19</v>
      </c>
      <c r="B56">
        <v>40</v>
      </c>
      <c r="C56">
        <f>IF(ISNUMBER(VLOOKUP(A56,$E$2:$I$1048576,5)), VLOOKUP(A56,$E$2:$I$1048576,5), 0)</f>
        <v>3627</v>
      </c>
    </row>
    <row r="57" spans="1:3" x14ac:dyDescent="0.25">
      <c r="A57">
        <v>5</v>
      </c>
      <c r="B57">
        <v>40</v>
      </c>
      <c r="C57">
        <f>IF(ISNUMBER(VLOOKUP(A57,$E$2:$I$1048576,5)), VLOOKUP(A57,$E$2:$I$1048576,5), 0)</f>
        <v>1426</v>
      </c>
    </row>
    <row r="58" spans="1:3" x14ac:dyDescent="0.25">
      <c r="A58">
        <v>25</v>
      </c>
      <c r="B58">
        <v>41</v>
      </c>
      <c r="C58">
        <f>IF(ISNUMBER(VLOOKUP(A58,$E$2:$I$1048576,5)), VLOOKUP(A58,$E$2:$I$1048576,5), 0)</f>
        <v>12547</v>
      </c>
    </row>
    <row r="59" spans="1:3" x14ac:dyDescent="0.25">
      <c r="A59">
        <v>29</v>
      </c>
      <c r="B59">
        <v>41</v>
      </c>
      <c r="C59">
        <f>IF(ISNUMBER(VLOOKUP(A59,$E$2:$I$1048576,5)), VLOOKUP(A59,$E$2:$I$1048576,5), 0)</f>
        <v>5083</v>
      </c>
    </row>
    <row r="60" spans="1:3" x14ac:dyDescent="0.25">
      <c r="A60">
        <v>30</v>
      </c>
      <c r="B60">
        <v>41</v>
      </c>
      <c r="C60">
        <f>IF(ISNUMBER(VLOOKUP(A60,$E$2:$I$1048576,5)), VLOOKUP(A60,$E$2:$I$1048576,5), 0)</f>
        <v>76</v>
      </c>
    </row>
    <row r="61" spans="1:3" x14ac:dyDescent="0.25">
      <c r="A61">
        <v>34</v>
      </c>
      <c r="B61">
        <v>41</v>
      </c>
      <c r="C61">
        <f>IF(ISNUMBER(VLOOKUP(A61,$E$2:$I$1048576,5)), VLOOKUP(A61,$E$2:$I$1048576,5), 0)</f>
        <v>47</v>
      </c>
    </row>
    <row r="62" spans="1:3" x14ac:dyDescent="0.25">
      <c r="A62">
        <v>35</v>
      </c>
      <c r="B62">
        <v>41</v>
      </c>
      <c r="C62">
        <f>IF(ISNUMBER(VLOOKUP(A62,$E$2:$I$1048576,5)), VLOOKUP(A62,$E$2:$I$1048576,5), 0)</f>
        <v>727</v>
      </c>
    </row>
    <row r="63" spans="1:3" x14ac:dyDescent="0.25">
      <c r="A63">
        <v>39</v>
      </c>
      <c r="B63">
        <v>41</v>
      </c>
      <c r="C63">
        <f>IF(ISNUMBER(VLOOKUP(A63,$E$2:$I$1048576,5)), VLOOKUP(A63,$E$2:$I$1048576,5), 0)</f>
        <v>295</v>
      </c>
    </row>
    <row r="64" spans="1:3" x14ac:dyDescent="0.25">
      <c r="A64">
        <v>10</v>
      </c>
      <c r="B64">
        <v>41</v>
      </c>
      <c r="C64">
        <f>IF(ISNUMBER(VLOOKUP(A64,$E$2:$I$1048576,5)), VLOOKUP(A64,$E$2:$I$1048576,5), 0)</f>
        <v>173</v>
      </c>
    </row>
    <row r="65" spans="1:3" x14ac:dyDescent="0.25">
      <c r="A65">
        <v>11</v>
      </c>
      <c r="B65">
        <v>41</v>
      </c>
      <c r="C65">
        <f>IF(ISNUMBER(VLOOKUP(A65,$E$2:$I$1048576,5)), VLOOKUP(A65,$E$2:$I$1048576,5), 0)</f>
        <v>47161</v>
      </c>
    </row>
    <row r="66" spans="1:3" x14ac:dyDescent="0.25">
      <c r="A66">
        <v>14</v>
      </c>
      <c r="B66">
        <v>41</v>
      </c>
      <c r="C66">
        <f>IF(ISNUMBER(VLOOKUP(A66,$E$2:$I$1048576,5)), VLOOKUP(A66,$E$2:$I$1048576,5), 0)</f>
        <v>938</v>
      </c>
    </row>
    <row r="67" spans="1:3" x14ac:dyDescent="0.25">
      <c r="A67">
        <v>20</v>
      </c>
      <c r="B67">
        <v>41</v>
      </c>
      <c r="C67">
        <f>IF(ISNUMBER(VLOOKUP(A67,$E$2:$I$1048576,5)), VLOOKUP(A67,$E$2:$I$1048576,5), 0)</f>
        <v>16719</v>
      </c>
    </row>
    <row r="68" spans="1:3" x14ac:dyDescent="0.25">
      <c r="A68">
        <v>21</v>
      </c>
      <c r="B68">
        <v>41</v>
      </c>
      <c r="C68">
        <f>IF(ISNUMBER(VLOOKUP(A68,$E$2:$I$1048576,5)), VLOOKUP(A68,$E$2:$I$1048576,5), 0)</f>
        <v>3280</v>
      </c>
    </row>
    <row r="69" spans="1:3" x14ac:dyDescent="0.25">
      <c r="A69">
        <v>22</v>
      </c>
      <c r="B69">
        <v>41</v>
      </c>
      <c r="C69">
        <f>IF(ISNUMBER(VLOOKUP(A69,$E$2:$I$1048576,5)), VLOOKUP(A69,$E$2:$I$1048576,5), 0)</f>
        <v>312</v>
      </c>
    </row>
    <row r="70" spans="1:3" x14ac:dyDescent="0.25">
      <c r="A70">
        <v>23</v>
      </c>
      <c r="B70">
        <v>41</v>
      </c>
      <c r="C70">
        <f>IF(ISNUMBER(VLOOKUP(A70,$E$2:$I$1048576,5)), VLOOKUP(A70,$E$2:$I$1048576,5), 0)</f>
        <v>28</v>
      </c>
    </row>
    <row r="71" spans="1:3" x14ac:dyDescent="0.25">
      <c r="A71">
        <v>24</v>
      </c>
      <c r="B71">
        <v>41</v>
      </c>
      <c r="C71">
        <f>IF(ISNUMBER(VLOOKUP(A71,$E$2:$I$1048576,5)), VLOOKUP(A71,$E$2:$I$1048576,5), 0)</f>
        <v>362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I40" sqref="I40"/>
    </sheetView>
  </sheetViews>
  <sheetFormatPr defaultRowHeight="15" x14ac:dyDescent="0.25"/>
  <cols>
    <col min="6" max="6" width="27.140625" bestFit="1" customWidth="1"/>
    <col min="7" max="7" width="35.140625" bestFit="1" customWidth="1"/>
    <col min="8" max="8" width="42" bestFit="1" customWidth="1"/>
    <col min="9" max="9" width="11.5703125" style="1" bestFit="1" customWidth="1"/>
    <col min="10" max="10" width="18.42578125" style="2" bestFit="1" customWidth="1"/>
    <col min="11" max="11" width="5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</row>
    <row r="2" spans="1:11" x14ac:dyDescent="0.25">
      <c r="A2">
        <v>0</v>
      </c>
      <c r="B2">
        <v>1</v>
      </c>
      <c r="C2" s="4">
        <f t="shared" ref="C2:C40" si="0">IF(ISNUMBER(VLOOKUP(B2,$E$2:$I$1048576,5)), VLOOKUP(B2,$E$2:$I$1048576,5), 0)</f>
        <v>978.72825599999999</v>
      </c>
      <c r="E2">
        <v>0</v>
      </c>
      <c r="H2" t="s">
        <v>9</v>
      </c>
      <c r="I2" s="3">
        <f>'2019_mid_estimate'!I2*0.015037</f>
        <v>2832.685097</v>
      </c>
      <c r="J2" s="2">
        <f>I2/$I$2</f>
        <v>1</v>
      </c>
      <c r="K2" t="str">
        <f>CONCATENATE(H2," - ",TEXT(I2,"$#,###"),IF(I2="N/A","","M"), " (", TEXT(J2,"##.##%"), ")")</f>
        <v>Total Cost  - $2,833M (100.%)</v>
      </c>
    </row>
    <row r="3" spans="1:11" x14ac:dyDescent="0.25">
      <c r="A3">
        <v>0</v>
      </c>
      <c r="B3">
        <v>2</v>
      </c>
      <c r="C3" s="4">
        <f t="shared" si="0"/>
        <v>1114.0462190000001</v>
      </c>
      <c r="E3">
        <v>1</v>
      </c>
      <c r="H3" t="s">
        <v>10</v>
      </c>
      <c r="I3" s="3">
        <f>'2019_mid_estimate'!I3*0.015037</f>
        <v>978.72825599999999</v>
      </c>
      <c r="J3" s="2">
        <f t="shared" ref="J3:J43" si="1">I3/$I$2</f>
        <v>0.34551255169045708</v>
      </c>
      <c r="K3" t="str">
        <f t="shared" ref="K3:K42" si="2">CONCATENATE(H3," - ",TEXT(I3,"$#,###"),IF(I3="N/A","","M"), " (", TEXT(J3,"##.##%"), ")")</f>
        <v>Healthcare - $979M (34.55%)</v>
      </c>
    </row>
    <row r="4" spans="1:11" x14ac:dyDescent="0.25">
      <c r="A4">
        <v>0</v>
      </c>
      <c r="B4">
        <v>3</v>
      </c>
      <c r="C4" s="4">
        <f t="shared" si="0"/>
        <v>183.07547500000001</v>
      </c>
      <c r="E4">
        <v>2</v>
      </c>
      <c r="H4" t="s">
        <v>11</v>
      </c>
      <c r="I4" s="3">
        <f>'2019_mid_estimate'!I4*0.015037</f>
        <v>1114.0462190000001</v>
      </c>
      <c r="J4" s="2">
        <f t="shared" si="1"/>
        <v>0.39328276206199142</v>
      </c>
      <c r="K4" t="str">
        <f t="shared" si="2"/>
        <v>Mortality - $1,114M (39.33%)</v>
      </c>
    </row>
    <row r="5" spans="1:11" x14ac:dyDescent="0.25">
      <c r="A5">
        <v>0</v>
      </c>
      <c r="B5">
        <v>4</v>
      </c>
      <c r="C5" s="4">
        <f t="shared" si="0"/>
        <v>116.566824</v>
      </c>
      <c r="E5">
        <v>3</v>
      </c>
      <c r="H5" t="s">
        <v>12</v>
      </c>
      <c r="I5" s="3">
        <f>'2019_mid_estimate'!I5*0.015037</f>
        <v>183.07547500000001</v>
      </c>
      <c r="J5" s="2">
        <f t="shared" si="1"/>
        <v>6.4629660103725964E-2</v>
      </c>
      <c r="K5" t="str">
        <f t="shared" si="2"/>
        <v>Criminal Justice - $183M (6.46%)</v>
      </c>
    </row>
    <row r="6" spans="1:11" x14ac:dyDescent="0.25">
      <c r="A6">
        <v>0</v>
      </c>
      <c r="B6">
        <v>5</v>
      </c>
      <c r="C6" s="4">
        <f t="shared" si="0"/>
        <v>18.901509000000001</v>
      </c>
      <c r="E6">
        <v>4</v>
      </c>
      <c r="H6" t="s">
        <v>13</v>
      </c>
      <c r="I6" s="3">
        <f>'2019_mid_estimate'!I6*0.015037</f>
        <v>116.566824</v>
      </c>
      <c r="J6" s="2">
        <f t="shared" si="1"/>
        <v>4.1150646827440136E-2</v>
      </c>
      <c r="K6" t="str">
        <f t="shared" si="2"/>
        <v>Child and Family Assistance - $117M (4.12%)</v>
      </c>
    </row>
    <row r="7" spans="1:11" x14ac:dyDescent="0.25">
      <c r="A7">
        <v>0</v>
      </c>
      <c r="B7">
        <v>6</v>
      </c>
      <c r="C7" s="4">
        <f t="shared" si="0"/>
        <v>421.36681399999998</v>
      </c>
      <c r="E7">
        <v>5</v>
      </c>
      <c r="H7" t="s">
        <v>14</v>
      </c>
      <c r="I7" s="3">
        <f>'2019_mid_estimate'!I7*0.015037</f>
        <v>18.901509000000001</v>
      </c>
      <c r="J7" s="2">
        <f t="shared" si="1"/>
        <v>6.6726474538302697E-3</v>
      </c>
      <c r="K7" t="str">
        <f t="shared" si="2"/>
        <v>Education - $19M (.67%)</v>
      </c>
    </row>
    <row r="8" spans="1:11" x14ac:dyDescent="0.25">
      <c r="A8">
        <v>1</v>
      </c>
      <c r="B8">
        <v>7</v>
      </c>
      <c r="C8" s="4">
        <f t="shared" si="0"/>
        <v>923.37705900000003</v>
      </c>
      <c r="E8">
        <v>6</v>
      </c>
      <c r="H8" t="s">
        <v>15</v>
      </c>
      <c r="I8" s="3">
        <f>'2019_mid_estimate'!I8*0.015037</f>
        <v>421.36681399999998</v>
      </c>
      <c r="J8" s="2">
        <f t="shared" si="1"/>
        <v>0.14875173186255514</v>
      </c>
      <c r="K8" t="str">
        <f t="shared" si="2"/>
        <v>Lost Productivity - $421M (14.88%)</v>
      </c>
    </row>
    <row r="9" spans="1:11" x14ac:dyDescent="0.25">
      <c r="A9">
        <v>1</v>
      </c>
      <c r="B9">
        <v>8</v>
      </c>
      <c r="C9" s="4">
        <f t="shared" si="0"/>
        <v>13.007004999999999</v>
      </c>
      <c r="E9">
        <v>7</v>
      </c>
      <c r="F9" t="s">
        <v>10</v>
      </c>
      <c r="H9" t="s">
        <v>16</v>
      </c>
      <c r="I9" s="3">
        <f>'2019_mid_estimate'!I9*0.015037</f>
        <v>923.37705900000003</v>
      </c>
      <c r="J9" s="2">
        <f t="shared" si="1"/>
        <v>0.3259723645165914</v>
      </c>
      <c r="K9" t="str">
        <f t="shared" si="2"/>
        <v>For individuals with OUD - $923M (32.6%)</v>
      </c>
    </row>
    <row r="10" spans="1:11" x14ac:dyDescent="0.25">
      <c r="A10">
        <v>1</v>
      </c>
      <c r="B10">
        <v>9</v>
      </c>
      <c r="C10" s="4">
        <f t="shared" si="0"/>
        <v>42.344192</v>
      </c>
      <c r="E10">
        <v>8</v>
      </c>
      <c r="F10" t="s">
        <v>10</v>
      </c>
      <c r="H10" t="s">
        <v>17</v>
      </c>
      <c r="I10" s="3">
        <f>'2019_mid_estimate'!I10*0.015037</f>
        <v>13.007004999999999</v>
      </c>
      <c r="J10" s="2">
        <f t="shared" si="1"/>
        <v>4.5917581921743698E-3</v>
      </c>
      <c r="K10" t="str">
        <f t="shared" si="2"/>
        <v>For infants born with NAS or NOWS - $13M (.46%)</v>
      </c>
    </row>
    <row r="11" spans="1:11" x14ac:dyDescent="0.25">
      <c r="A11">
        <v>2</v>
      </c>
      <c r="B11">
        <v>10</v>
      </c>
      <c r="C11" s="4">
        <f t="shared" si="0"/>
        <v>4.05999</v>
      </c>
      <c r="E11">
        <v>9</v>
      </c>
      <c r="F11" t="s">
        <v>10</v>
      </c>
      <c r="H11" t="s">
        <v>18</v>
      </c>
      <c r="I11" s="3">
        <f>'2019_mid_estimate'!I11*0.015037</f>
        <v>42.344192</v>
      </c>
      <c r="J11" s="2">
        <f t="shared" si="1"/>
        <v>1.494842898169136E-2</v>
      </c>
      <c r="K11" t="str">
        <f t="shared" si="2"/>
        <v>For family members of individual with OUD - $42M (1.49%)</v>
      </c>
    </row>
    <row r="12" spans="1:11" x14ac:dyDescent="0.25">
      <c r="A12">
        <v>2</v>
      </c>
      <c r="B12">
        <v>11</v>
      </c>
      <c r="C12" s="4">
        <f t="shared" si="0"/>
        <v>1109.9862290000001</v>
      </c>
      <c r="E12">
        <v>10</v>
      </c>
      <c r="F12" t="s">
        <v>11</v>
      </c>
      <c r="H12" t="s">
        <v>19</v>
      </c>
      <c r="I12" s="3">
        <f>'2019_mid_estimate'!I12*0.015037</f>
        <v>4.05999</v>
      </c>
      <c r="J12" s="2">
        <f t="shared" si="1"/>
        <v>1.4332655628752368E-3</v>
      </c>
      <c r="K12" t="str">
        <f t="shared" si="2"/>
        <v>Medical Costs - $4M (.14%)</v>
      </c>
    </row>
    <row r="13" spans="1:11" x14ac:dyDescent="0.25">
      <c r="A13">
        <v>3</v>
      </c>
      <c r="B13">
        <v>12</v>
      </c>
      <c r="C13" s="4">
        <f t="shared" si="0"/>
        <v>71.591156999999995</v>
      </c>
      <c r="E13">
        <v>11</v>
      </c>
      <c r="F13" t="s">
        <v>11</v>
      </c>
      <c r="H13" t="s">
        <v>20</v>
      </c>
      <c r="I13" s="3">
        <f>'2019_mid_estimate'!I13*0.015037</f>
        <v>1109.9862290000001</v>
      </c>
      <c r="J13" s="2">
        <f t="shared" si="1"/>
        <v>0.39184949649911616</v>
      </c>
      <c r="K13" t="str">
        <f t="shared" si="2"/>
        <v>Lost Lifetime Earnings - $1,110M (39.18%)</v>
      </c>
    </row>
    <row r="14" spans="1:11" x14ac:dyDescent="0.25">
      <c r="A14">
        <v>3</v>
      </c>
      <c r="B14">
        <v>13</v>
      </c>
      <c r="C14" s="4">
        <f t="shared" si="0"/>
        <v>30.825849999999999</v>
      </c>
      <c r="E14">
        <v>12</v>
      </c>
      <c r="F14" t="s">
        <v>12</v>
      </c>
      <c r="H14" t="s">
        <v>21</v>
      </c>
      <c r="I14" s="3">
        <f>'2019_mid_estimate'!I14*0.015037</f>
        <v>71.591156999999995</v>
      </c>
      <c r="J14" s="2">
        <f t="shared" si="1"/>
        <v>2.5273249425366674E-2</v>
      </c>
      <c r="K14" t="str">
        <f t="shared" si="2"/>
        <v>Police Protection - $72M (2.53%)</v>
      </c>
    </row>
    <row r="15" spans="1:11" x14ac:dyDescent="0.25">
      <c r="A15">
        <v>3</v>
      </c>
      <c r="B15">
        <v>14</v>
      </c>
      <c r="C15" s="4">
        <f t="shared" si="0"/>
        <v>13.443078</v>
      </c>
      <c r="E15">
        <v>13</v>
      </c>
      <c r="F15" t="s">
        <v>12</v>
      </c>
      <c r="H15" t="s">
        <v>22</v>
      </c>
      <c r="I15" s="3">
        <f>'2019_mid_estimate'!I15*0.015037</f>
        <v>30.825849999999999</v>
      </c>
      <c r="J15" s="2">
        <f t="shared" si="1"/>
        <v>1.0882201495904575E-2</v>
      </c>
      <c r="K15" t="str">
        <f t="shared" si="2"/>
        <v>Legal and Adjudication Activities - $31M (1.09%)</v>
      </c>
    </row>
    <row r="16" spans="1:11" x14ac:dyDescent="0.25">
      <c r="A16">
        <v>3</v>
      </c>
      <c r="B16">
        <v>15</v>
      </c>
      <c r="C16" s="4">
        <f t="shared" si="0"/>
        <v>67.215389999999999</v>
      </c>
      <c r="E16">
        <v>14</v>
      </c>
      <c r="F16" t="s">
        <v>12</v>
      </c>
      <c r="H16" t="s">
        <v>23</v>
      </c>
      <c r="I16" s="3">
        <f>'2019_mid_estimate'!I16*0.015037</f>
        <v>13.443078</v>
      </c>
      <c r="J16" s="2">
        <f t="shared" si="1"/>
        <v>4.7457015304091174E-3</v>
      </c>
      <c r="K16" t="str">
        <f t="shared" si="2"/>
        <v>Property Lost Due to Crime - $13M (.47%)</v>
      </c>
    </row>
    <row r="17" spans="1:11" x14ac:dyDescent="0.25">
      <c r="A17">
        <v>4</v>
      </c>
      <c r="B17">
        <v>16</v>
      </c>
      <c r="C17" s="4">
        <f t="shared" si="0"/>
        <v>20.615727</v>
      </c>
      <c r="E17">
        <v>15</v>
      </c>
      <c r="F17" t="s">
        <v>12</v>
      </c>
      <c r="H17" t="s">
        <v>24</v>
      </c>
      <c r="I17" s="3">
        <f>'2019_mid_estimate'!I17*0.015037</f>
        <v>67.215389999999999</v>
      </c>
      <c r="J17" s="2">
        <f t="shared" si="1"/>
        <v>2.3728507652045587E-2</v>
      </c>
      <c r="K17" t="str">
        <f t="shared" si="2"/>
        <v>Correctional Facilities - $67M (2.37%)</v>
      </c>
    </row>
    <row r="18" spans="1:11" x14ac:dyDescent="0.25">
      <c r="A18">
        <v>4</v>
      </c>
      <c r="B18">
        <v>17</v>
      </c>
      <c r="C18" s="4">
        <f t="shared" si="0"/>
        <v>38.599978999999998</v>
      </c>
      <c r="E18">
        <v>16</v>
      </c>
      <c r="F18" t="s">
        <v>25</v>
      </c>
      <c r="H18" t="s">
        <v>26</v>
      </c>
      <c r="I18" s="3">
        <f>'2019_mid_estimate'!I18*0.015037</f>
        <v>20.615727</v>
      </c>
      <c r="J18" s="2">
        <f t="shared" si="1"/>
        <v>7.2778040248220356E-3</v>
      </c>
      <c r="K18" t="str">
        <f t="shared" si="2"/>
        <v>Child Welfare - $21M (.73%)</v>
      </c>
    </row>
    <row r="19" spans="1:11" x14ac:dyDescent="0.25">
      <c r="A19">
        <v>4</v>
      </c>
      <c r="B19">
        <v>18</v>
      </c>
      <c r="C19" s="4">
        <f t="shared" si="0"/>
        <v>8.6913859999999996</v>
      </c>
      <c r="E19">
        <v>17</v>
      </c>
      <c r="F19" t="s">
        <v>25</v>
      </c>
      <c r="H19" t="s">
        <v>27</v>
      </c>
      <c r="I19" s="3">
        <f>'2019_mid_estimate'!I19*0.015037</f>
        <v>38.599978999999998</v>
      </c>
      <c r="J19" s="2">
        <f t="shared" si="1"/>
        <v>1.3626639629261974E-2</v>
      </c>
      <c r="K19" t="str">
        <f t="shared" si="2"/>
        <v>Food and Nutritional Assistance - $39M (1.36%)</v>
      </c>
    </row>
    <row r="20" spans="1:11" x14ac:dyDescent="0.25">
      <c r="A20">
        <v>4</v>
      </c>
      <c r="B20">
        <v>19</v>
      </c>
      <c r="C20" s="4">
        <f t="shared" si="0"/>
        <v>48.659731999999998</v>
      </c>
      <c r="E20">
        <v>18</v>
      </c>
      <c r="F20" t="s">
        <v>25</v>
      </c>
      <c r="H20" t="s">
        <v>28</v>
      </c>
      <c r="I20" s="3">
        <f>'2019_mid_estimate'!I20*0.015037</f>
        <v>8.6913859999999996</v>
      </c>
      <c r="J20" s="2">
        <f t="shared" si="1"/>
        <v>3.068249982747729E-3</v>
      </c>
      <c r="K20" t="str">
        <f t="shared" si="2"/>
        <v>Income Assistance - $9M (.31%)</v>
      </c>
    </row>
    <row r="21" spans="1:11" x14ac:dyDescent="0.25">
      <c r="A21">
        <v>6</v>
      </c>
      <c r="B21">
        <v>20</v>
      </c>
      <c r="C21" s="4">
        <f t="shared" si="0"/>
        <v>347.264478</v>
      </c>
      <c r="E21">
        <v>19</v>
      </c>
      <c r="F21" t="s">
        <v>25</v>
      </c>
      <c r="H21" t="s">
        <v>29</v>
      </c>
      <c r="I21" s="3">
        <f>'2019_mid_estimate'!I21*0.015037</f>
        <v>48.659731999999998</v>
      </c>
      <c r="J21" s="2">
        <f t="shared" si="1"/>
        <v>1.7177953190608393E-2</v>
      </c>
      <c r="K21" t="str">
        <f t="shared" si="2"/>
        <v>Housing/Homelessness Assistance - $49M (1.72%)</v>
      </c>
    </row>
    <row r="22" spans="1:11" x14ac:dyDescent="0.25">
      <c r="A22">
        <v>6</v>
      </c>
      <c r="B22">
        <v>21</v>
      </c>
      <c r="C22" s="4">
        <f t="shared" si="0"/>
        <v>58.779632999999997</v>
      </c>
      <c r="E22">
        <v>20</v>
      </c>
      <c r="F22" t="s">
        <v>15</v>
      </c>
      <c r="H22" t="s">
        <v>30</v>
      </c>
      <c r="I22" s="3">
        <f>'2019_mid_estimate'!I22*0.015037</f>
        <v>347.264478</v>
      </c>
      <c r="J22" s="2">
        <f t="shared" si="1"/>
        <v>0.12259198114459526</v>
      </c>
      <c r="K22" t="str">
        <f t="shared" si="2"/>
        <v>Reduced Labor Force Participation and Absenteeism - $347M (12.26%)</v>
      </c>
    </row>
    <row r="23" spans="1:11" x14ac:dyDescent="0.25">
      <c r="A23">
        <v>6</v>
      </c>
      <c r="B23">
        <v>22</v>
      </c>
      <c r="C23" s="4">
        <f t="shared" si="0"/>
        <v>6.6613910000000001</v>
      </c>
      <c r="E23">
        <v>21</v>
      </c>
      <c r="F23" t="s">
        <v>15</v>
      </c>
      <c r="H23" t="s">
        <v>31</v>
      </c>
      <c r="I23" s="3">
        <f>'2019_mid_estimate'!I23*0.015037</f>
        <v>58.779632999999997</v>
      </c>
      <c r="J23" s="2">
        <f t="shared" si="1"/>
        <v>2.0750500315849262E-2</v>
      </c>
      <c r="K23" t="str">
        <f t="shared" si="2"/>
        <v>Incarceration - $59M (2.08%)</v>
      </c>
    </row>
    <row r="24" spans="1:11" x14ac:dyDescent="0.25">
      <c r="A24">
        <v>6</v>
      </c>
      <c r="B24">
        <v>23</v>
      </c>
      <c r="C24" s="4">
        <f t="shared" si="0"/>
        <v>0.60148000000000001</v>
      </c>
      <c r="E24">
        <v>22</v>
      </c>
      <c r="F24" t="s">
        <v>15</v>
      </c>
      <c r="H24" t="s">
        <v>32</v>
      </c>
      <c r="I24" s="3">
        <f>'2019_mid_estimate'!I24*0.015037</f>
        <v>6.6613910000000001</v>
      </c>
      <c r="J24" s="2">
        <f t="shared" si="1"/>
        <v>2.3516172013101108E-3</v>
      </c>
      <c r="K24" t="str">
        <f t="shared" si="2"/>
        <v>Short-Term Disability - $7M (.24%)</v>
      </c>
    </row>
    <row r="25" spans="1:11" x14ac:dyDescent="0.25">
      <c r="A25">
        <v>6</v>
      </c>
      <c r="B25">
        <v>24</v>
      </c>
      <c r="C25" s="4">
        <f t="shared" si="0"/>
        <v>8.0447950000000006</v>
      </c>
      <c r="E25">
        <v>23</v>
      </c>
      <c r="F25" t="s">
        <v>15</v>
      </c>
      <c r="H25" t="s">
        <v>33</v>
      </c>
      <c r="I25" s="3">
        <f>'2019_mid_estimate'!I25*0.015037</f>
        <v>0.60148000000000001</v>
      </c>
      <c r="J25" s="2">
        <f t="shared" si="1"/>
        <v>2.1233563894447954E-4</v>
      </c>
      <c r="K25" t="str">
        <f t="shared" si="2"/>
        <v>Long-Term Disability - $1M (.02%)</v>
      </c>
    </row>
    <row r="26" spans="1:11" x14ac:dyDescent="0.25">
      <c r="A26">
        <v>7</v>
      </c>
      <c r="B26">
        <v>25</v>
      </c>
      <c r="C26" s="4">
        <f t="shared" si="0"/>
        <v>287.97358700000001</v>
      </c>
      <c r="E26">
        <v>24</v>
      </c>
      <c r="F26" t="s">
        <v>15</v>
      </c>
      <c r="H26" t="s">
        <v>34</v>
      </c>
      <c r="I26" s="3">
        <f>'2019_mid_estimate'!I26*0.015037</f>
        <v>8.0447950000000006</v>
      </c>
      <c r="J26" s="2">
        <f t="shared" si="1"/>
        <v>2.8399891708824139E-3</v>
      </c>
      <c r="K26" t="str">
        <f t="shared" si="2"/>
        <v>Workers' Compensation - $8M (.28%)</v>
      </c>
    </row>
    <row r="27" spans="1:11" x14ac:dyDescent="0.25">
      <c r="A27">
        <v>7</v>
      </c>
      <c r="B27">
        <v>26</v>
      </c>
      <c r="C27" s="4">
        <f t="shared" si="0"/>
        <v>381.26313499999998</v>
      </c>
      <c r="E27">
        <v>25</v>
      </c>
      <c r="F27" t="s">
        <v>10</v>
      </c>
      <c r="G27" t="s">
        <v>16</v>
      </c>
      <c r="H27" t="s">
        <v>35</v>
      </c>
      <c r="I27" s="3">
        <f>'2019_mid_estimate'!I27*0.015037</f>
        <v>287.97358700000001</v>
      </c>
      <c r="J27" s="2">
        <f t="shared" si="1"/>
        <v>0.10166099553564319</v>
      </c>
      <c r="K27" t="str">
        <f t="shared" si="2"/>
        <v>Commercial - $288M (10.17%)</v>
      </c>
    </row>
    <row r="28" spans="1:11" x14ac:dyDescent="0.25">
      <c r="A28">
        <v>7</v>
      </c>
      <c r="B28">
        <v>27</v>
      </c>
      <c r="C28" s="4">
        <f t="shared" si="0"/>
        <v>131.87449000000001</v>
      </c>
      <c r="E28">
        <v>26</v>
      </c>
      <c r="F28" t="s">
        <v>10</v>
      </c>
      <c r="G28" t="s">
        <v>16</v>
      </c>
      <c r="H28" t="s">
        <v>36</v>
      </c>
      <c r="I28" s="3">
        <f>'2019_mid_estimate'!I28*0.015037</f>
        <v>381.26313499999998</v>
      </c>
      <c r="J28" s="2">
        <f t="shared" si="1"/>
        <v>0.13459425313593196</v>
      </c>
      <c r="K28" t="str">
        <f t="shared" si="2"/>
        <v>Medicare - $381M (13.46%)</v>
      </c>
    </row>
    <row r="29" spans="1:11" x14ac:dyDescent="0.25">
      <c r="A29">
        <v>7</v>
      </c>
      <c r="B29">
        <v>28</v>
      </c>
      <c r="C29" s="4">
        <f t="shared" si="0"/>
        <v>8.3455349999999999</v>
      </c>
      <c r="E29">
        <v>27</v>
      </c>
      <c r="F29" t="s">
        <v>10</v>
      </c>
      <c r="G29" t="s">
        <v>16</v>
      </c>
      <c r="H29" t="s">
        <v>37</v>
      </c>
      <c r="I29" s="3">
        <f>'2019_mid_estimate'!I29*0.015037</f>
        <v>131.87449000000001</v>
      </c>
      <c r="J29" s="2">
        <f t="shared" si="1"/>
        <v>4.6554588838577139E-2</v>
      </c>
      <c r="K29" t="str">
        <f t="shared" si="2"/>
        <v>Medicaid - $132M (4.66%)</v>
      </c>
    </row>
    <row r="30" spans="1:11" x14ac:dyDescent="0.25">
      <c r="A30">
        <v>7</v>
      </c>
      <c r="B30">
        <v>29</v>
      </c>
      <c r="C30" s="4">
        <f t="shared" si="0"/>
        <v>113.935349</v>
      </c>
      <c r="E30">
        <v>28</v>
      </c>
      <c r="F30" t="s">
        <v>10</v>
      </c>
      <c r="G30" t="s">
        <v>16</v>
      </c>
      <c r="H30" t="s">
        <v>38</v>
      </c>
      <c r="I30" s="3">
        <f>'2019_mid_estimate'!I30*0.015037</f>
        <v>8.3455349999999999</v>
      </c>
      <c r="J30" s="2">
        <f t="shared" si="1"/>
        <v>2.9461569903546534E-3</v>
      </c>
      <c r="K30" t="str">
        <f t="shared" si="2"/>
        <v>Other Public Insurance - $8M (.29%)</v>
      </c>
    </row>
    <row r="31" spans="1:11" x14ac:dyDescent="0.25">
      <c r="A31">
        <v>8</v>
      </c>
      <c r="B31">
        <v>30</v>
      </c>
      <c r="C31" s="4">
        <f t="shared" si="0"/>
        <v>1.4585889999999999</v>
      </c>
      <c r="E31">
        <v>29</v>
      </c>
      <c r="F31" t="s">
        <v>10</v>
      </c>
      <c r="G31" t="s">
        <v>16</v>
      </c>
      <c r="H31" t="s">
        <v>39</v>
      </c>
      <c r="I31" s="3">
        <f>'2019_mid_estimate'!I31*0.015037</f>
        <v>113.935349</v>
      </c>
      <c r="J31" s="2">
        <f t="shared" si="1"/>
        <v>4.0221678407058037E-2</v>
      </c>
      <c r="K31" t="str">
        <f t="shared" si="2"/>
        <v>Uninsured - $114M (4.02%)</v>
      </c>
    </row>
    <row r="32" spans="1:11" x14ac:dyDescent="0.25">
      <c r="A32">
        <v>8</v>
      </c>
      <c r="B32">
        <v>31</v>
      </c>
      <c r="C32" s="4">
        <f t="shared" si="0"/>
        <v>0</v>
      </c>
      <c r="E32">
        <v>30</v>
      </c>
      <c r="F32" t="s">
        <v>10</v>
      </c>
      <c r="G32" t="s">
        <v>17</v>
      </c>
      <c r="H32" t="s">
        <v>35</v>
      </c>
      <c r="I32" s="3">
        <f>'2019_mid_estimate'!I32*0.015037</f>
        <v>1.4585889999999999</v>
      </c>
      <c r="J32" s="2">
        <f t="shared" si="1"/>
        <v>5.1491392444036289E-4</v>
      </c>
      <c r="K32" t="str">
        <f t="shared" si="2"/>
        <v>Commercial - $1M (.05%)</v>
      </c>
    </row>
    <row r="33" spans="1:11" x14ac:dyDescent="0.25">
      <c r="A33">
        <v>8</v>
      </c>
      <c r="B33">
        <v>32</v>
      </c>
      <c r="C33" s="4">
        <f t="shared" si="0"/>
        <v>10.450715000000001</v>
      </c>
      <c r="E33">
        <v>31</v>
      </c>
      <c r="F33" t="s">
        <v>10</v>
      </c>
      <c r="G33" t="s">
        <v>17</v>
      </c>
      <c r="H33" t="s">
        <v>36</v>
      </c>
      <c r="I33" s="3" t="e">
        <f>'2019_mid_estimate'!I33*0.015037</f>
        <v>#VALUE!</v>
      </c>
      <c r="J33" s="2" t="e">
        <f t="shared" si="1"/>
        <v>#VALUE!</v>
      </c>
      <c r="K33" t="s">
        <v>46</v>
      </c>
    </row>
    <row r="34" spans="1:11" x14ac:dyDescent="0.25">
      <c r="A34">
        <v>8</v>
      </c>
      <c r="B34">
        <v>33</v>
      </c>
      <c r="C34" s="4">
        <f t="shared" si="0"/>
        <v>0.10525900000000001</v>
      </c>
      <c r="E34">
        <v>32</v>
      </c>
      <c r="F34" t="s">
        <v>10</v>
      </c>
      <c r="G34" t="s">
        <v>17</v>
      </c>
      <c r="H34" t="s">
        <v>37</v>
      </c>
      <c r="I34" s="3">
        <f>'2019_mid_estimate'!I34*0.015037</f>
        <v>10.450715000000001</v>
      </c>
      <c r="J34" s="2">
        <f t="shared" si="1"/>
        <v>3.6893317266603323E-3</v>
      </c>
      <c r="K34" t="str">
        <f t="shared" si="2"/>
        <v>Medicaid - $10M (.37%)</v>
      </c>
    </row>
    <row r="35" spans="1:11" x14ac:dyDescent="0.25">
      <c r="A35">
        <v>8</v>
      </c>
      <c r="B35">
        <v>34</v>
      </c>
      <c r="C35" s="4">
        <f t="shared" si="0"/>
        <v>0.99244200000000005</v>
      </c>
      <c r="E35">
        <v>33</v>
      </c>
      <c r="F35" t="s">
        <v>10</v>
      </c>
      <c r="G35" t="s">
        <v>17</v>
      </c>
      <c r="H35" t="s">
        <v>38</v>
      </c>
      <c r="I35" s="3">
        <f>'2019_mid_estimate'!I35*0.015037</f>
        <v>0.10525900000000001</v>
      </c>
      <c r="J35" s="2">
        <f t="shared" si="1"/>
        <v>3.7158736815283922E-5</v>
      </c>
      <c r="K35" t="str">
        <f>CONCATENATE(H35," - ",TEXT(I35,"$#,###"),IF(I35="N/A","","M"), " (", TEXT(J35,"##.###%"), ")")</f>
        <v>Other Public Insurance - $M (.004%)</v>
      </c>
    </row>
    <row r="36" spans="1:11" x14ac:dyDescent="0.25">
      <c r="A36">
        <v>9</v>
      </c>
      <c r="B36">
        <v>35</v>
      </c>
      <c r="C36" s="4">
        <f t="shared" si="0"/>
        <v>16.991810000000001</v>
      </c>
      <c r="E36">
        <v>34</v>
      </c>
      <c r="F36" t="s">
        <v>10</v>
      </c>
      <c r="G36" t="s">
        <v>17</v>
      </c>
      <c r="H36" t="s">
        <v>39</v>
      </c>
      <c r="I36" s="3">
        <f>'2019_mid_estimate'!I36*0.015037</f>
        <v>0.99244200000000005</v>
      </c>
      <c r="J36" s="2">
        <f t="shared" si="1"/>
        <v>3.5035380425839125E-4</v>
      </c>
      <c r="K36" t="str">
        <f t="shared" si="2"/>
        <v>Uninsured - $1M (.04%)</v>
      </c>
    </row>
    <row r="37" spans="1:11" x14ac:dyDescent="0.25">
      <c r="A37">
        <v>9</v>
      </c>
      <c r="B37">
        <v>36</v>
      </c>
      <c r="C37" s="4">
        <f t="shared" si="0"/>
        <v>10.375529999999999</v>
      </c>
      <c r="E37">
        <v>35</v>
      </c>
      <c r="F37" t="s">
        <v>10</v>
      </c>
      <c r="G37" t="s">
        <v>18</v>
      </c>
      <c r="H37" t="s">
        <v>35</v>
      </c>
      <c r="I37" s="3">
        <f>'2019_mid_estimate'!I37*0.015037</f>
        <v>16.991810000000001</v>
      </c>
      <c r="J37" s="2">
        <f t="shared" si="1"/>
        <v>5.9984818001815468E-3</v>
      </c>
      <c r="K37" t="str">
        <f t="shared" si="2"/>
        <v>Commercial - $17M (.6%)</v>
      </c>
    </row>
    <row r="38" spans="1:11" x14ac:dyDescent="0.25">
      <c r="A38">
        <v>9</v>
      </c>
      <c r="B38">
        <v>37</v>
      </c>
      <c r="C38" s="4">
        <f t="shared" si="0"/>
        <v>7.7741290000000003</v>
      </c>
      <c r="E38">
        <v>36</v>
      </c>
      <c r="F38" t="s">
        <v>10</v>
      </c>
      <c r="G38" t="s">
        <v>18</v>
      </c>
      <c r="H38" t="s">
        <v>36</v>
      </c>
      <c r="I38" s="3">
        <f>'2019_mid_estimate'!I38*0.015037</f>
        <v>10.375529999999999</v>
      </c>
      <c r="J38" s="2">
        <f t="shared" si="1"/>
        <v>3.6627897717922716E-3</v>
      </c>
      <c r="K38" t="str">
        <f t="shared" si="2"/>
        <v>Medicare - $10M (.37%)</v>
      </c>
    </row>
    <row r="39" spans="1:11" x14ac:dyDescent="0.25">
      <c r="A39">
        <v>9</v>
      </c>
      <c r="B39">
        <v>38</v>
      </c>
      <c r="C39" s="4">
        <f t="shared" si="0"/>
        <v>0.49622100000000002</v>
      </c>
      <c r="E39">
        <v>37</v>
      </c>
      <c r="F39" t="s">
        <v>10</v>
      </c>
      <c r="G39" t="s">
        <v>18</v>
      </c>
      <c r="H39" t="s">
        <v>37</v>
      </c>
      <c r="I39" s="3">
        <f>'2019_mid_estimate'!I39*0.015037</f>
        <v>7.7741290000000003</v>
      </c>
      <c r="J39" s="2">
        <f t="shared" si="1"/>
        <v>2.7444381333573981E-3</v>
      </c>
      <c r="K39" t="str">
        <f t="shared" si="2"/>
        <v>Medicaid - $8M (.27%)</v>
      </c>
    </row>
    <row r="40" spans="1:11" x14ac:dyDescent="0.25">
      <c r="A40">
        <v>9</v>
      </c>
      <c r="B40">
        <v>39</v>
      </c>
      <c r="C40" s="4">
        <f t="shared" si="0"/>
        <v>6.7215389999999999</v>
      </c>
      <c r="E40">
        <v>38</v>
      </c>
      <c r="F40" t="s">
        <v>10</v>
      </c>
      <c r="G40" t="s">
        <v>18</v>
      </c>
      <c r="H40" t="s">
        <v>38</v>
      </c>
      <c r="I40" s="3">
        <f>'2019_mid_estimate'!I40*0.015037</f>
        <v>0.49622100000000002</v>
      </c>
      <c r="J40" s="2">
        <f t="shared" si="1"/>
        <v>1.7517690212919562E-4</v>
      </c>
      <c r="K40" t="str">
        <f t="shared" si="2"/>
        <v>Other Public Insurance - $M (.02%)</v>
      </c>
    </row>
    <row r="41" spans="1:11" x14ac:dyDescent="0.25">
      <c r="A41">
        <v>26</v>
      </c>
      <c r="B41">
        <v>40</v>
      </c>
      <c r="C41" s="4">
        <f t="shared" ref="C41:C71" si="3">IF(ISNUMBER(VLOOKUP(A41,$E$2:$I$1048576,5)), VLOOKUP(A41,$E$2:$I$1048576,5), 0)</f>
        <v>381.26313499999998</v>
      </c>
      <c r="E41">
        <v>39</v>
      </c>
      <c r="F41" t="s">
        <v>10</v>
      </c>
      <c r="G41" t="s">
        <v>18</v>
      </c>
      <c r="H41" t="s">
        <v>39</v>
      </c>
      <c r="I41" s="3">
        <f>'2019_mid_estimate'!I41*0.015037</f>
        <v>6.7215389999999999</v>
      </c>
      <c r="J41" s="2">
        <f t="shared" si="1"/>
        <v>2.3728507652045587E-3</v>
      </c>
      <c r="K41" t="str">
        <f t="shared" si="2"/>
        <v>Uninsured - $7M (.24%)</v>
      </c>
    </row>
    <row r="42" spans="1:11" x14ac:dyDescent="0.25">
      <c r="A42">
        <v>27</v>
      </c>
      <c r="B42">
        <v>40</v>
      </c>
      <c r="C42" s="4">
        <f t="shared" si="3"/>
        <v>131.87449000000001</v>
      </c>
      <c r="E42">
        <v>40</v>
      </c>
      <c r="H42" t="s">
        <v>41</v>
      </c>
      <c r="I42" s="3">
        <f>'2019_mid_estimate'!I42*0.015037</f>
        <v>855.77070700000002</v>
      </c>
      <c r="J42" s="2">
        <f t="shared" si="1"/>
        <v>0.30210583869923185</v>
      </c>
      <c r="K42" t="str">
        <f t="shared" si="2"/>
        <v>Federal, State, and Local Governments - $856M (30.21%)</v>
      </c>
    </row>
    <row r="43" spans="1:11" x14ac:dyDescent="0.25">
      <c r="A43">
        <v>28</v>
      </c>
      <c r="B43">
        <v>40</v>
      </c>
      <c r="C43" s="4">
        <f t="shared" si="3"/>
        <v>8.3455349999999999</v>
      </c>
      <c r="E43">
        <v>41</v>
      </c>
      <c r="H43" t="s">
        <v>42</v>
      </c>
      <c r="I43" s="3">
        <f>'2019_mid_estimate'!I43*0.015037</f>
        <v>1976.9143899999999</v>
      </c>
      <c r="J43" s="2">
        <f t="shared" si="1"/>
        <v>0.69789416130076809</v>
      </c>
      <c r="K43" t="str">
        <f>CONCATENATE(H43," - ",TEXT(I43,"$#,###"),IF(I43="N/A","","M"), " (", TEXT(J43,"##.##%"), ")")</f>
        <v>Private Sector and Individuals - $1,977M (69.79%)</v>
      </c>
    </row>
    <row r="44" spans="1:11" x14ac:dyDescent="0.25">
      <c r="A44">
        <v>31</v>
      </c>
      <c r="B44">
        <v>40</v>
      </c>
      <c r="C44" s="4">
        <f t="shared" si="3"/>
        <v>0</v>
      </c>
    </row>
    <row r="45" spans="1:11" x14ac:dyDescent="0.25">
      <c r="A45">
        <v>32</v>
      </c>
      <c r="B45">
        <v>40</v>
      </c>
      <c r="C45" s="4">
        <f t="shared" si="3"/>
        <v>10.450715000000001</v>
      </c>
    </row>
    <row r="46" spans="1:11" x14ac:dyDescent="0.25">
      <c r="A46">
        <v>33</v>
      </c>
      <c r="B46">
        <v>40</v>
      </c>
      <c r="C46" s="4">
        <f t="shared" si="3"/>
        <v>0.10525900000000001</v>
      </c>
    </row>
    <row r="47" spans="1:11" x14ac:dyDescent="0.25">
      <c r="A47">
        <v>36</v>
      </c>
      <c r="B47">
        <v>40</v>
      </c>
      <c r="C47" s="4">
        <f t="shared" si="3"/>
        <v>10.375529999999999</v>
      </c>
    </row>
    <row r="48" spans="1:11" x14ac:dyDescent="0.25">
      <c r="A48">
        <v>37</v>
      </c>
      <c r="B48">
        <v>40</v>
      </c>
      <c r="C48" s="4">
        <f t="shared" si="3"/>
        <v>7.7741290000000003</v>
      </c>
    </row>
    <row r="49" spans="1:3" x14ac:dyDescent="0.25">
      <c r="A49">
        <v>38</v>
      </c>
      <c r="B49">
        <v>40</v>
      </c>
      <c r="C49" s="4">
        <f t="shared" si="3"/>
        <v>0.49622100000000002</v>
      </c>
    </row>
    <row r="50" spans="1:3" x14ac:dyDescent="0.25">
      <c r="A50">
        <v>12</v>
      </c>
      <c r="B50">
        <v>40</v>
      </c>
      <c r="C50" s="4">
        <f t="shared" si="3"/>
        <v>71.591156999999995</v>
      </c>
    </row>
    <row r="51" spans="1:3" x14ac:dyDescent="0.25">
      <c r="A51">
        <v>13</v>
      </c>
      <c r="B51">
        <v>40</v>
      </c>
      <c r="C51" s="4">
        <f t="shared" si="3"/>
        <v>30.825849999999999</v>
      </c>
    </row>
    <row r="52" spans="1:3" x14ac:dyDescent="0.25">
      <c r="A52">
        <v>15</v>
      </c>
      <c r="B52">
        <v>40</v>
      </c>
      <c r="C52" s="4">
        <f t="shared" si="3"/>
        <v>67.215389999999999</v>
      </c>
    </row>
    <row r="53" spans="1:3" x14ac:dyDescent="0.25">
      <c r="A53">
        <v>16</v>
      </c>
      <c r="B53">
        <v>40</v>
      </c>
      <c r="C53" s="4">
        <f t="shared" si="3"/>
        <v>20.615727</v>
      </c>
    </row>
    <row r="54" spans="1:3" x14ac:dyDescent="0.25">
      <c r="A54">
        <v>17</v>
      </c>
      <c r="B54">
        <v>40</v>
      </c>
      <c r="C54" s="4">
        <f t="shared" si="3"/>
        <v>38.599978999999998</v>
      </c>
    </row>
    <row r="55" spans="1:3" x14ac:dyDescent="0.25">
      <c r="A55">
        <v>18</v>
      </c>
      <c r="B55">
        <v>40</v>
      </c>
      <c r="C55" s="4">
        <f t="shared" si="3"/>
        <v>8.6913859999999996</v>
      </c>
    </row>
    <row r="56" spans="1:3" x14ac:dyDescent="0.25">
      <c r="A56">
        <v>19</v>
      </c>
      <c r="B56">
        <v>40</v>
      </c>
      <c r="C56" s="4">
        <f t="shared" si="3"/>
        <v>48.659731999999998</v>
      </c>
    </row>
    <row r="57" spans="1:3" x14ac:dyDescent="0.25">
      <c r="A57">
        <v>5</v>
      </c>
      <c r="B57">
        <v>40</v>
      </c>
      <c r="C57" s="4">
        <f t="shared" si="3"/>
        <v>18.901509000000001</v>
      </c>
    </row>
    <row r="58" spans="1:3" x14ac:dyDescent="0.25">
      <c r="A58">
        <v>25</v>
      </c>
      <c r="B58">
        <v>41</v>
      </c>
      <c r="C58" s="4">
        <f t="shared" si="3"/>
        <v>287.97358700000001</v>
      </c>
    </row>
    <row r="59" spans="1:3" x14ac:dyDescent="0.25">
      <c r="A59">
        <v>29</v>
      </c>
      <c r="B59">
        <v>41</v>
      </c>
      <c r="C59" s="4">
        <f t="shared" si="3"/>
        <v>113.935349</v>
      </c>
    </row>
    <row r="60" spans="1:3" x14ac:dyDescent="0.25">
      <c r="A60">
        <v>30</v>
      </c>
      <c r="B60">
        <v>41</v>
      </c>
      <c r="C60" s="4">
        <f t="shared" si="3"/>
        <v>1.4585889999999999</v>
      </c>
    </row>
    <row r="61" spans="1:3" x14ac:dyDescent="0.25">
      <c r="A61">
        <v>34</v>
      </c>
      <c r="B61">
        <v>41</v>
      </c>
      <c r="C61" s="4">
        <f t="shared" si="3"/>
        <v>0.99244200000000005</v>
      </c>
    </row>
    <row r="62" spans="1:3" x14ac:dyDescent="0.25">
      <c r="A62">
        <v>35</v>
      </c>
      <c r="B62">
        <v>41</v>
      </c>
      <c r="C62" s="4">
        <f t="shared" si="3"/>
        <v>16.991810000000001</v>
      </c>
    </row>
    <row r="63" spans="1:3" x14ac:dyDescent="0.25">
      <c r="A63">
        <v>39</v>
      </c>
      <c r="B63">
        <v>41</v>
      </c>
      <c r="C63" s="4">
        <f t="shared" si="3"/>
        <v>6.7215389999999999</v>
      </c>
    </row>
    <row r="64" spans="1:3" x14ac:dyDescent="0.25">
      <c r="A64">
        <v>10</v>
      </c>
      <c r="B64">
        <v>41</v>
      </c>
      <c r="C64" s="4">
        <f t="shared" si="3"/>
        <v>4.05999</v>
      </c>
    </row>
    <row r="65" spans="1:3" x14ac:dyDescent="0.25">
      <c r="A65">
        <v>11</v>
      </c>
      <c r="B65">
        <v>41</v>
      </c>
      <c r="C65" s="4">
        <f t="shared" si="3"/>
        <v>1109.9862290000001</v>
      </c>
    </row>
    <row r="66" spans="1:3" x14ac:dyDescent="0.25">
      <c r="A66">
        <v>14</v>
      </c>
      <c r="B66">
        <v>41</v>
      </c>
      <c r="C66" s="4">
        <f t="shared" si="3"/>
        <v>13.443078</v>
      </c>
    </row>
    <row r="67" spans="1:3" x14ac:dyDescent="0.25">
      <c r="A67">
        <v>20</v>
      </c>
      <c r="B67">
        <v>41</v>
      </c>
      <c r="C67" s="4">
        <f t="shared" si="3"/>
        <v>347.264478</v>
      </c>
    </row>
    <row r="68" spans="1:3" x14ac:dyDescent="0.25">
      <c r="A68">
        <v>21</v>
      </c>
      <c r="B68">
        <v>41</v>
      </c>
      <c r="C68" s="4">
        <f t="shared" si="3"/>
        <v>58.779632999999997</v>
      </c>
    </row>
    <row r="69" spans="1:3" x14ac:dyDescent="0.25">
      <c r="A69">
        <v>22</v>
      </c>
      <c r="B69">
        <v>41</v>
      </c>
      <c r="C69" s="4">
        <f t="shared" si="3"/>
        <v>6.6613910000000001</v>
      </c>
    </row>
    <row r="70" spans="1:3" x14ac:dyDescent="0.25">
      <c r="A70">
        <v>23</v>
      </c>
      <c r="B70">
        <v>41</v>
      </c>
      <c r="C70" s="4">
        <f t="shared" si="3"/>
        <v>0.60148000000000001</v>
      </c>
    </row>
    <row r="71" spans="1:3" x14ac:dyDescent="0.25">
      <c r="A71">
        <v>24</v>
      </c>
      <c r="B71">
        <v>41</v>
      </c>
      <c r="C71" s="4">
        <f t="shared" si="3"/>
        <v>8.0447950000000006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28" workbookViewId="0">
      <selection activeCell="D56" sqref="D56"/>
    </sheetView>
  </sheetViews>
  <sheetFormatPr defaultRowHeight="15" x14ac:dyDescent="0.25"/>
  <cols>
    <col min="3" max="3" width="11.5703125" bestFit="1" customWidth="1"/>
    <col min="6" max="6" width="14.28515625" customWidth="1"/>
    <col min="7" max="7" width="11.5703125" customWidth="1"/>
    <col min="8" max="8" width="14.140625" customWidth="1"/>
    <col min="9" max="9" width="10.5703125" style="1" bestFit="1" customWidth="1"/>
    <col min="10" max="10" width="18.42578125" style="2" bestFit="1" customWidth="1"/>
    <col min="11" max="11" width="58.28515625" bestFit="1" customWidth="1"/>
    <col min="12" max="12" width="10.42578125" customWidth="1"/>
    <col min="13" max="13" width="1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  <c r="M1" t="s">
        <v>43</v>
      </c>
      <c r="N1" t="s">
        <v>44</v>
      </c>
    </row>
    <row r="2" spans="1:14" x14ac:dyDescent="0.25">
      <c r="A2">
        <v>0</v>
      </c>
      <c r="B2">
        <v>1</v>
      </c>
      <c r="C2" s="4">
        <f>IF(ISNUMBER(VLOOKUP(B2,$E$2:$I$1048576,5)), VLOOKUP(B2,$E$2:$I$1048576,5), 0)</f>
        <v>1004.8961549999999</v>
      </c>
      <c r="E2">
        <v>0</v>
      </c>
      <c r="H2" t="s">
        <v>9</v>
      </c>
      <c r="I2" s="3">
        <f>'2018'!I2*0.016647</f>
        <v>2985.8059199999998</v>
      </c>
      <c r="J2" s="2">
        <f>I2/$I$2</f>
        <v>1</v>
      </c>
      <c r="K2" t="str">
        <f>CONCATENATE(H2," - ",TEXT(I2,"$#,###"),IF(I2="N/A","","M"), " (", TEXT(J2,"##.##%"), ")")</f>
        <v>Total Cost  - $2,986M (100.%)</v>
      </c>
      <c r="M2">
        <v>25</v>
      </c>
      <c r="N2" s="1">
        <v>17867</v>
      </c>
    </row>
    <row r="3" spans="1:14" x14ac:dyDescent="0.25">
      <c r="A3">
        <v>0</v>
      </c>
      <c r="B3">
        <v>2</v>
      </c>
      <c r="C3" s="4">
        <f>IF(ISNUMBER(VLOOKUP(B3,$E$2:$I$1048576,5)), VLOOKUP(B3,$E$2:$I$1048576,5), 0)</f>
        <v>1209.1049039999998</v>
      </c>
      <c r="E3">
        <v>1</v>
      </c>
      <c r="H3" t="s">
        <v>10</v>
      </c>
      <c r="I3" s="3">
        <f>'2018'!I3*0.016647</f>
        <v>1004.8961549999999</v>
      </c>
      <c r="J3" s="2">
        <f t="shared" ref="J3:J43" si="0">I3/$I$2</f>
        <v>0.33655776092774309</v>
      </c>
      <c r="K3" t="str">
        <f t="shared" ref="K3:K42" si="1">CONCATENATE(H3," - ",TEXT(I3,"$#,###"),IF(I3="N/A","","M"), " (", TEXT(J3,"##.##%"), ")")</f>
        <v>Healthcare - $1,005M (33.66%)</v>
      </c>
      <c r="M3">
        <v>26</v>
      </c>
      <c r="N3" s="1">
        <v>23162</v>
      </c>
    </row>
    <row r="4" spans="1:14" x14ac:dyDescent="0.25">
      <c r="A4">
        <v>0</v>
      </c>
      <c r="B4">
        <v>3</v>
      </c>
      <c r="C4" s="4">
        <f>IF(ISNUMBER(VLOOKUP(B4,$E$2:$I$1048576,5)), VLOOKUP(B4,$E$2:$I$1048576,5), 0)</f>
        <v>181.53553499999998</v>
      </c>
      <c r="E4">
        <v>2</v>
      </c>
      <c r="H4" t="s">
        <v>11</v>
      </c>
      <c r="I4" s="3">
        <f>'2018'!I4*0.016647</f>
        <v>1209.1049039999998</v>
      </c>
      <c r="J4" s="2">
        <f t="shared" si="0"/>
        <v>0.40495093666369308</v>
      </c>
      <c r="K4" t="str">
        <f t="shared" si="1"/>
        <v>Mortality - $1,209M (40.5%)</v>
      </c>
      <c r="M4">
        <v>27</v>
      </c>
      <c r="N4" s="1">
        <v>8294</v>
      </c>
    </row>
    <row r="5" spans="1:14" x14ac:dyDescent="0.25">
      <c r="A5">
        <v>0</v>
      </c>
      <c r="B5">
        <v>4</v>
      </c>
      <c r="C5" s="4">
        <f>IF(ISNUMBER(VLOOKUP(B5,$E$2:$I$1048576,5)), VLOOKUP(B5,$E$2:$I$1048576,5), 0)</f>
        <v>129.06419099999999</v>
      </c>
      <c r="E5">
        <v>3</v>
      </c>
      <c r="H5" t="s">
        <v>12</v>
      </c>
      <c r="I5" s="3">
        <f>'2018'!I5*0.016647</f>
        <v>181.53553499999998</v>
      </c>
      <c r="J5" s="2">
        <f t="shared" si="0"/>
        <v>6.0799509366636931E-2</v>
      </c>
      <c r="K5" t="str">
        <f t="shared" si="1"/>
        <v>Criminal Justice - $182M (6.08%)</v>
      </c>
      <c r="M5">
        <v>28</v>
      </c>
      <c r="N5" s="1">
        <v>523</v>
      </c>
    </row>
    <row r="6" spans="1:14" x14ac:dyDescent="0.25">
      <c r="A6">
        <v>0</v>
      </c>
      <c r="B6">
        <v>5</v>
      </c>
      <c r="C6" s="4">
        <f>IF(ISNUMBER(VLOOKUP(B6,$E$2:$I$1048576,5)), VLOOKUP(B6,$E$2:$I$1048576,5), 0)</f>
        <v>20.708867999999999</v>
      </c>
      <c r="E6">
        <v>4</v>
      </c>
      <c r="H6" t="s">
        <v>13</v>
      </c>
      <c r="I6" s="3">
        <f>'2018'!I6*0.016647</f>
        <v>129.06419099999999</v>
      </c>
      <c r="J6" s="2">
        <f t="shared" si="0"/>
        <v>4.3225914362176626E-2</v>
      </c>
      <c r="K6" t="str">
        <f t="shared" si="1"/>
        <v>Child and Family Assistance - $129M (4.32%)</v>
      </c>
      <c r="M6">
        <v>29</v>
      </c>
      <c r="N6" s="1">
        <v>7095</v>
      </c>
    </row>
    <row r="7" spans="1:14" x14ac:dyDescent="0.25">
      <c r="A7">
        <v>0</v>
      </c>
      <c r="B7">
        <v>6</v>
      </c>
      <c r="C7" s="4">
        <f>IF(ISNUMBER(VLOOKUP(B7,$E$2:$I$1048576,5)), VLOOKUP(B7,$E$2:$I$1048576,5), 0)</f>
        <v>440.51291399999997</v>
      </c>
      <c r="E7">
        <v>5</v>
      </c>
      <c r="H7" t="s">
        <v>14</v>
      </c>
      <c r="I7" s="3">
        <f>'2018'!I7*0.016647</f>
        <v>20.708867999999999</v>
      </c>
      <c r="J7" s="2">
        <f t="shared" si="0"/>
        <v>6.9357716324710082E-3</v>
      </c>
      <c r="K7" t="str">
        <f t="shared" si="1"/>
        <v>Education - $21M (.69%)</v>
      </c>
      <c r="M7">
        <v>7</v>
      </c>
      <c r="N7" s="1">
        <v>56941</v>
      </c>
    </row>
    <row r="8" spans="1:14" x14ac:dyDescent="0.25">
      <c r="A8">
        <v>1</v>
      </c>
      <c r="B8">
        <v>7</v>
      </c>
      <c r="C8" s="4">
        <f>IF(ISNUMBER(VLOOKUP(B8,$E$2:$I$1048576,5)), VLOOKUP(B8,$E$2:$I$1048576,5), 0)</f>
        <v>947.89682699999992</v>
      </c>
      <c r="E8">
        <v>6</v>
      </c>
      <c r="H8" t="s">
        <v>15</v>
      </c>
      <c r="I8" s="3">
        <f>'2018'!I8*0.016647</f>
        <v>440.51291399999997</v>
      </c>
      <c r="J8" s="2">
        <f t="shared" si="0"/>
        <v>0.147535682426405</v>
      </c>
      <c r="K8" t="str">
        <f t="shared" si="1"/>
        <v>Lost Productivity - $441M (14.75%)</v>
      </c>
      <c r="M8">
        <v>30</v>
      </c>
      <c r="N8" s="1">
        <v>92</v>
      </c>
    </row>
    <row r="9" spans="1:14" x14ac:dyDescent="0.25">
      <c r="A9">
        <v>1</v>
      </c>
      <c r="B9">
        <v>8</v>
      </c>
      <c r="C9" s="4">
        <f>IF(ISNUMBER(VLOOKUP(B9,$E$2:$I$1048576,5)), VLOOKUP(B9,$E$2:$I$1048576,5), 0)</f>
        <v>13.334247</v>
      </c>
      <c r="E9">
        <v>7</v>
      </c>
      <c r="F9" t="s">
        <v>10</v>
      </c>
      <c r="H9" t="s">
        <v>16</v>
      </c>
      <c r="I9" s="3">
        <f>'2018'!I9*0.016647</f>
        <v>947.89682699999992</v>
      </c>
      <c r="J9" s="2">
        <f t="shared" si="0"/>
        <v>0.31746766280107047</v>
      </c>
      <c r="K9" t="str">
        <f t="shared" si="1"/>
        <v>For individuals with OUD - $948M (31.75%)</v>
      </c>
      <c r="M9">
        <v>31</v>
      </c>
      <c r="N9" s="1" t="s">
        <v>40</v>
      </c>
    </row>
    <row r="10" spans="1:14" x14ac:dyDescent="0.25">
      <c r="A10">
        <v>1</v>
      </c>
      <c r="B10">
        <v>9</v>
      </c>
      <c r="C10" s="4">
        <f>IF(ISNUMBER(VLOOKUP(B10,$E$2:$I$1048576,5)), VLOOKUP(B10,$E$2:$I$1048576,5), 0)</f>
        <v>43.665080999999994</v>
      </c>
      <c r="E10">
        <v>8</v>
      </c>
      <c r="F10" t="s">
        <v>10</v>
      </c>
      <c r="H10" t="s">
        <v>17</v>
      </c>
      <c r="I10" s="3">
        <f>'2018'!I10*0.016647</f>
        <v>13.334247</v>
      </c>
      <c r="J10" s="2">
        <f t="shared" si="0"/>
        <v>4.4658786797502235E-3</v>
      </c>
      <c r="K10" t="str">
        <f t="shared" si="1"/>
        <v>For infants born with NAS or NOWS - $13M (.45%)</v>
      </c>
      <c r="M10">
        <v>32</v>
      </c>
      <c r="N10" s="1">
        <v>642</v>
      </c>
    </row>
    <row r="11" spans="1:14" x14ac:dyDescent="0.25">
      <c r="A11">
        <v>2</v>
      </c>
      <c r="B11">
        <v>10</v>
      </c>
      <c r="C11" s="4">
        <f>IF(ISNUMBER(VLOOKUP(B11,$E$2:$I$1048576,5)), VLOOKUP(B11,$E$2:$I$1048576,5), 0)</f>
        <v>4.3948079999999994</v>
      </c>
      <c r="E11">
        <v>9</v>
      </c>
      <c r="F11" t="s">
        <v>10</v>
      </c>
      <c r="H11" t="s">
        <v>18</v>
      </c>
      <c r="I11" s="3">
        <f>'2018'!I11*0.016647</f>
        <v>43.665080999999994</v>
      </c>
      <c r="J11" s="2">
        <f t="shared" si="0"/>
        <v>1.4624219446922389E-2</v>
      </c>
      <c r="K11" t="str">
        <f t="shared" si="1"/>
        <v>For family members of individual with OUD - $44M (1.46%)</v>
      </c>
      <c r="M11">
        <v>33</v>
      </c>
      <c r="N11" s="1">
        <v>7</v>
      </c>
    </row>
    <row r="12" spans="1:14" x14ac:dyDescent="0.25">
      <c r="A12">
        <v>2</v>
      </c>
      <c r="B12">
        <v>11</v>
      </c>
      <c r="C12" s="4">
        <f>IF(ISNUMBER(VLOOKUP(B12,$E$2:$I$1048576,5)), VLOOKUP(B12,$E$2:$I$1048576,5), 0)</f>
        <v>1204.7100959999998</v>
      </c>
      <c r="E12">
        <v>10</v>
      </c>
      <c r="F12" t="s">
        <v>11</v>
      </c>
      <c r="H12" t="s">
        <v>19</v>
      </c>
      <c r="I12" s="3">
        <f>'2018'!I12*0.016647</f>
        <v>4.3948079999999994</v>
      </c>
      <c r="J12" s="2">
        <f t="shared" si="0"/>
        <v>1.4719000892060659E-3</v>
      </c>
      <c r="K12" t="str">
        <f t="shared" si="1"/>
        <v>Medical Costs - $4M (.15%)</v>
      </c>
      <c r="M12">
        <v>34</v>
      </c>
      <c r="N12" s="1">
        <v>61</v>
      </c>
    </row>
    <row r="13" spans="1:14" x14ac:dyDescent="0.25">
      <c r="A13">
        <v>3</v>
      </c>
      <c r="B13">
        <v>12</v>
      </c>
      <c r="C13" s="4">
        <f>IF(ISNUMBER(VLOOKUP(B13,$E$2:$I$1048576,5)), VLOOKUP(B13,$E$2:$I$1048576,5), 0)</f>
        <v>68.48575799999999</v>
      </c>
      <c r="E13">
        <v>11</v>
      </c>
      <c r="F13" t="s">
        <v>11</v>
      </c>
      <c r="H13" t="s">
        <v>20</v>
      </c>
      <c r="I13" s="3">
        <f>'2018'!I13*0.016647</f>
        <v>1204.7100959999998</v>
      </c>
      <c r="J13" s="2">
        <f t="shared" si="0"/>
        <v>0.40347903657448703</v>
      </c>
      <c r="K13" t="str">
        <f t="shared" si="1"/>
        <v>Lost Lifetime Earnings - $1,205M (40.35%)</v>
      </c>
      <c r="M13">
        <v>8</v>
      </c>
      <c r="N13" s="1">
        <v>801</v>
      </c>
    </row>
    <row r="14" spans="1:14" x14ac:dyDescent="0.25">
      <c r="A14">
        <v>3</v>
      </c>
      <c r="B14">
        <v>13</v>
      </c>
      <c r="C14" s="4">
        <f>IF(ISNUMBER(VLOOKUP(B14,$E$2:$I$1048576,5)), VLOOKUP(B14,$E$2:$I$1048576,5), 0)</f>
        <v>29.814776999999996</v>
      </c>
      <c r="E14">
        <v>12</v>
      </c>
      <c r="F14" t="s">
        <v>12</v>
      </c>
      <c r="H14" t="s">
        <v>21</v>
      </c>
      <c r="I14" s="3">
        <f>'2018'!I14*0.016647</f>
        <v>68.48575799999999</v>
      </c>
      <c r="J14" s="2">
        <f t="shared" si="0"/>
        <v>2.2937109723461194E-2</v>
      </c>
      <c r="K14" t="str">
        <f t="shared" si="1"/>
        <v>Police Protection - $68M (2.29%)</v>
      </c>
      <c r="M14">
        <v>35</v>
      </c>
      <c r="N14" s="1">
        <v>1054</v>
      </c>
    </row>
    <row r="15" spans="1:14" x14ac:dyDescent="0.25">
      <c r="A15">
        <v>3</v>
      </c>
      <c r="B15">
        <v>14</v>
      </c>
      <c r="C15" s="4">
        <f>IF(ISNUMBER(VLOOKUP(B15,$E$2:$I$1048576,5)), VLOOKUP(B15,$E$2:$I$1048576,5), 0)</f>
        <v>14.432948999999999</v>
      </c>
      <c r="E15">
        <v>13</v>
      </c>
      <c r="F15" t="s">
        <v>12</v>
      </c>
      <c r="H15" t="s">
        <v>22</v>
      </c>
      <c r="I15" s="3">
        <f>'2018'!I15*0.016647</f>
        <v>29.814776999999996</v>
      </c>
      <c r="J15" s="2">
        <f t="shared" si="0"/>
        <v>9.9855040142729692E-3</v>
      </c>
      <c r="K15" t="str">
        <f t="shared" si="1"/>
        <v>Legal and Adjudication Activities - $30M (1.%)</v>
      </c>
      <c r="M15">
        <v>36</v>
      </c>
      <c r="N15" s="1">
        <v>630</v>
      </c>
    </row>
    <row r="16" spans="1:14" x14ac:dyDescent="0.25">
      <c r="A16">
        <v>3</v>
      </c>
      <c r="B16">
        <v>15</v>
      </c>
      <c r="C16" s="4">
        <f>IF(ISNUMBER(VLOOKUP(B16,$E$2:$I$1048576,5)), VLOOKUP(B16,$E$2:$I$1048576,5), 0)</f>
        <v>68.802050999999992</v>
      </c>
      <c r="E16">
        <v>14</v>
      </c>
      <c r="F16" t="s">
        <v>12</v>
      </c>
      <c r="H16" t="s">
        <v>23</v>
      </c>
      <c r="I16" s="3">
        <f>'2018'!I16*0.016647</f>
        <v>14.432948999999999</v>
      </c>
      <c r="J16" s="2">
        <f t="shared" si="0"/>
        <v>4.8338537020517396E-3</v>
      </c>
      <c r="K16" t="str">
        <f t="shared" si="1"/>
        <v>Property Lost Due to Crime - $14M (.48%)</v>
      </c>
      <c r="M16">
        <v>37</v>
      </c>
      <c r="N16" s="1">
        <v>489</v>
      </c>
    </row>
    <row r="17" spans="1:14" x14ac:dyDescent="0.25">
      <c r="A17">
        <v>4</v>
      </c>
      <c r="B17">
        <v>16</v>
      </c>
      <c r="C17" s="4">
        <f>IF(ISNUMBER(VLOOKUP(B17,$E$2:$I$1048576,5)), VLOOKUP(B17,$E$2:$I$1048576,5), 0)</f>
        <v>21.624452999999999</v>
      </c>
      <c r="E17">
        <v>15</v>
      </c>
      <c r="F17" t="s">
        <v>12</v>
      </c>
      <c r="H17" t="s">
        <v>24</v>
      </c>
      <c r="I17" s="3">
        <f>'2018'!I17*0.016647</f>
        <v>68.802050999999992</v>
      </c>
      <c r="J17" s="2">
        <f t="shared" si="0"/>
        <v>2.3043041926851023E-2</v>
      </c>
      <c r="K17" t="str">
        <f t="shared" si="1"/>
        <v>Correctional Facilities - $69M (2.3%)</v>
      </c>
      <c r="M17">
        <v>38</v>
      </c>
      <c r="N17" s="1">
        <v>31</v>
      </c>
    </row>
    <row r="18" spans="1:14" x14ac:dyDescent="0.25">
      <c r="A18">
        <v>4</v>
      </c>
      <c r="B18">
        <v>17</v>
      </c>
      <c r="C18" s="4">
        <f>IF(ISNUMBER(VLOOKUP(B18,$E$2:$I$1048576,5)), VLOOKUP(B18,$E$2:$I$1048576,5), 0)</f>
        <v>44.663900999999996</v>
      </c>
      <c r="E18">
        <v>16</v>
      </c>
      <c r="F18" t="s">
        <v>25</v>
      </c>
      <c r="H18" t="s">
        <v>26</v>
      </c>
      <c r="I18" s="3">
        <f>'2018'!I18*0.016647</f>
        <v>21.624452999999999</v>
      </c>
      <c r="J18" s="2">
        <f t="shared" si="0"/>
        <v>7.2424174843889388E-3</v>
      </c>
      <c r="K18" t="str">
        <f t="shared" si="1"/>
        <v>Child Welfare - $22M (.72%)</v>
      </c>
      <c r="M18">
        <v>39</v>
      </c>
      <c r="N18" s="1">
        <v>419</v>
      </c>
    </row>
    <row r="19" spans="1:14" x14ac:dyDescent="0.25">
      <c r="A19">
        <v>4</v>
      </c>
      <c r="B19">
        <v>18</v>
      </c>
      <c r="C19" s="4">
        <f>IF(ISNUMBER(VLOOKUP(B19,$E$2:$I$1048576,5)), VLOOKUP(B19,$E$2:$I$1048576,5), 0)</f>
        <v>9.6885539999999999</v>
      </c>
      <c r="E19">
        <v>17</v>
      </c>
      <c r="F19" t="s">
        <v>25</v>
      </c>
      <c r="H19" t="s">
        <v>27</v>
      </c>
      <c r="I19" s="3">
        <f>'2018'!I19*0.016647</f>
        <v>44.663900999999996</v>
      </c>
      <c r="J19" s="2">
        <f t="shared" si="0"/>
        <v>1.4958742194469224E-2</v>
      </c>
      <c r="K19" t="str">
        <f t="shared" si="1"/>
        <v>Food and Nutritional Assistance - $45M (1.5%)</v>
      </c>
      <c r="M19">
        <v>9</v>
      </c>
      <c r="N19" s="1">
        <v>2623</v>
      </c>
    </row>
    <row r="20" spans="1:14" x14ac:dyDescent="0.25">
      <c r="A20">
        <v>4</v>
      </c>
      <c r="B20">
        <v>19</v>
      </c>
      <c r="C20" s="4">
        <f>IF(ISNUMBER(VLOOKUP(B20,$E$2:$I$1048576,5)), VLOOKUP(B20,$E$2:$I$1048576,5), 0)</f>
        <v>53.087282999999992</v>
      </c>
      <c r="E20">
        <v>18</v>
      </c>
      <c r="F20" t="s">
        <v>25</v>
      </c>
      <c r="H20" t="s">
        <v>28</v>
      </c>
      <c r="I20" s="3">
        <f>'2018'!I20*0.016647</f>
        <v>9.6885539999999999</v>
      </c>
      <c r="J20" s="2">
        <f t="shared" si="0"/>
        <v>3.2448706512042823E-3</v>
      </c>
      <c r="K20" t="str">
        <f t="shared" si="1"/>
        <v>Income Assistance - $10M (.32%)</v>
      </c>
      <c r="M20">
        <v>1</v>
      </c>
      <c r="N20" s="1">
        <v>60365</v>
      </c>
    </row>
    <row r="21" spans="1:14" x14ac:dyDescent="0.25">
      <c r="A21">
        <v>6</v>
      </c>
      <c r="B21">
        <v>20</v>
      </c>
      <c r="C21" s="4">
        <f>IF(ISNUMBER(VLOOKUP(B21,$E$2:$I$1048576,5)), VLOOKUP(B21,$E$2:$I$1048576,5), 0)</f>
        <v>363.77024399999999</v>
      </c>
      <c r="E21">
        <v>19</v>
      </c>
      <c r="F21" t="s">
        <v>25</v>
      </c>
      <c r="H21" t="s">
        <v>29</v>
      </c>
      <c r="I21" s="3">
        <f>'2018'!I21*0.016647</f>
        <v>53.087282999999992</v>
      </c>
      <c r="J21" s="2">
        <f t="shared" si="0"/>
        <v>1.7779884032114182E-2</v>
      </c>
      <c r="K21" t="str">
        <f t="shared" si="1"/>
        <v>Housing/Homelessness Assistance - $53M (1.78%)</v>
      </c>
      <c r="M21">
        <v>10</v>
      </c>
      <c r="N21" s="1">
        <v>264</v>
      </c>
    </row>
    <row r="22" spans="1:14" x14ac:dyDescent="0.25">
      <c r="A22">
        <v>6</v>
      </c>
      <c r="B22">
        <v>21</v>
      </c>
      <c r="C22" s="4">
        <f>IF(ISNUMBER(VLOOKUP(B22,$E$2:$I$1048576,5)), VLOOKUP(B22,$E$2:$I$1048576,5), 0)</f>
        <v>60.844784999999995</v>
      </c>
      <c r="E22">
        <v>20</v>
      </c>
      <c r="F22" t="s">
        <v>15</v>
      </c>
      <c r="H22" t="s">
        <v>30</v>
      </c>
      <c r="I22" s="3">
        <f>'2018'!I22*0.016647</f>
        <v>363.77024399999999</v>
      </c>
      <c r="J22" s="2">
        <f t="shared" si="0"/>
        <v>0.12183318465655665</v>
      </c>
      <c r="K22" t="str">
        <f t="shared" si="1"/>
        <v>Reduced Labor Force Participation and Absenteeism - $364M (12.18%)</v>
      </c>
      <c r="M22">
        <v>11</v>
      </c>
      <c r="N22" s="1">
        <v>72368</v>
      </c>
    </row>
    <row r="23" spans="1:14" x14ac:dyDescent="0.25">
      <c r="A23">
        <v>6</v>
      </c>
      <c r="B23">
        <v>22</v>
      </c>
      <c r="C23" s="4">
        <f>IF(ISNUMBER(VLOOKUP(B23,$E$2:$I$1048576,5)), VLOOKUP(B23,$E$2:$I$1048576,5), 0)</f>
        <v>6.9417989999999996</v>
      </c>
      <c r="E23">
        <v>21</v>
      </c>
      <c r="F23" t="s">
        <v>15</v>
      </c>
      <c r="H23" t="s">
        <v>31</v>
      </c>
      <c r="I23" s="3">
        <f>'2018'!I23*0.016647</f>
        <v>60.844784999999995</v>
      </c>
      <c r="J23" s="2">
        <f t="shared" si="0"/>
        <v>2.037801070472792E-2</v>
      </c>
      <c r="K23" t="str">
        <f t="shared" si="1"/>
        <v>Incarceration - $61M (2.04%)</v>
      </c>
      <c r="M23">
        <v>2</v>
      </c>
      <c r="N23" s="1">
        <v>72632</v>
      </c>
    </row>
    <row r="24" spans="1:14" x14ac:dyDescent="0.25">
      <c r="A24">
        <v>6</v>
      </c>
      <c r="B24">
        <v>23</v>
      </c>
      <c r="C24" s="4">
        <f>IF(ISNUMBER(VLOOKUP(B24,$E$2:$I$1048576,5)), VLOOKUP(B24,$E$2:$I$1048576,5), 0)</f>
        <v>0.63258599999999998</v>
      </c>
      <c r="E24">
        <v>22</v>
      </c>
      <c r="F24" t="s">
        <v>15</v>
      </c>
      <c r="H24" t="s">
        <v>32</v>
      </c>
      <c r="I24" s="3">
        <f>'2018'!I24*0.016647</f>
        <v>6.9417989999999996</v>
      </c>
      <c r="J24" s="2">
        <f t="shared" si="0"/>
        <v>2.3249330954504908E-3</v>
      </c>
      <c r="K24" t="str">
        <f t="shared" si="1"/>
        <v>Short-Term Disability - $7M (.23%)</v>
      </c>
      <c r="M24">
        <v>12</v>
      </c>
      <c r="N24" s="1">
        <v>4114</v>
      </c>
    </row>
    <row r="25" spans="1:14" x14ac:dyDescent="0.25">
      <c r="A25">
        <v>6</v>
      </c>
      <c r="B25">
        <v>24</v>
      </c>
      <c r="C25" s="4">
        <f>IF(ISNUMBER(VLOOKUP(B25,$E$2:$I$1048576,5)), VLOOKUP(B25,$E$2:$I$1048576,5), 0)</f>
        <v>8.3234999999999992</v>
      </c>
      <c r="E25">
        <v>23</v>
      </c>
      <c r="F25" t="s">
        <v>15</v>
      </c>
      <c r="H25" t="s">
        <v>33</v>
      </c>
      <c r="I25" s="3">
        <f>'2018'!I25*0.016647</f>
        <v>0.63258599999999998</v>
      </c>
      <c r="J25" s="2">
        <f t="shared" si="0"/>
        <v>2.1186440677966104E-4</v>
      </c>
      <c r="K25" t="str">
        <f t="shared" si="1"/>
        <v>Long-Term Disability - $1M (.02%)</v>
      </c>
      <c r="M25">
        <v>13</v>
      </c>
      <c r="N25" s="1">
        <v>1791</v>
      </c>
    </row>
    <row r="26" spans="1:14" x14ac:dyDescent="0.25">
      <c r="A26">
        <v>7</v>
      </c>
      <c r="B26">
        <v>25</v>
      </c>
      <c r="C26" s="4">
        <f>IF(ISNUMBER(VLOOKUP(B26,$E$2:$I$1048576,5)), VLOOKUP(B26,$E$2:$I$1048576,5), 0)</f>
        <v>297.43194899999997</v>
      </c>
      <c r="E26">
        <v>24</v>
      </c>
      <c r="F26" t="s">
        <v>15</v>
      </c>
      <c r="H26" t="s">
        <v>34</v>
      </c>
      <c r="I26" s="3">
        <f>'2018'!I26*0.016647</f>
        <v>8.3234999999999992</v>
      </c>
      <c r="J26" s="2">
        <f t="shared" si="0"/>
        <v>2.7876895628902764E-3</v>
      </c>
      <c r="K26" t="str">
        <f t="shared" si="1"/>
        <v>Workers' Compensation - $8M (.28%)</v>
      </c>
      <c r="M26">
        <v>14</v>
      </c>
      <c r="N26" s="1">
        <v>867</v>
      </c>
    </row>
    <row r="27" spans="1:14" x14ac:dyDescent="0.25">
      <c r="A27">
        <v>7</v>
      </c>
      <c r="B27">
        <v>26</v>
      </c>
      <c r="C27" s="4">
        <f>IF(ISNUMBER(VLOOKUP(B27,$E$2:$I$1048576,5)), VLOOKUP(B27,$E$2:$I$1048576,5), 0)</f>
        <v>385.57781399999999</v>
      </c>
      <c r="E27">
        <v>25</v>
      </c>
      <c r="F27" t="s">
        <v>10</v>
      </c>
      <c r="G27" t="s">
        <v>16</v>
      </c>
      <c r="H27" t="s">
        <v>35</v>
      </c>
      <c r="I27" s="3">
        <f>'2018'!I27*0.016647</f>
        <v>297.43194899999997</v>
      </c>
      <c r="J27" s="2">
        <f t="shared" si="0"/>
        <v>9.9615298840321137E-2</v>
      </c>
      <c r="K27" t="str">
        <f t="shared" si="1"/>
        <v>Commercial - $297M (9.96%)</v>
      </c>
      <c r="M27">
        <v>15</v>
      </c>
      <c r="N27" s="1">
        <v>4133</v>
      </c>
    </row>
    <row r="28" spans="1:14" x14ac:dyDescent="0.25">
      <c r="A28">
        <v>7</v>
      </c>
      <c r="B28">
        <v>27</v>
      </c>
      <c r="C28" s="4">
        <f>IF(ISNUMBER(VLOOKUP(B28,$E$2:$I$1048576,5)), VLOOKUP(B28,$E$2:$I$1048576,5), 0)</f>
        <v>138.07021799999998</v>
      </c>
      <c r="E28">
        <v>26</v>
      </c>
      <c r="F28" t="s">
        <v>10</v>
      </c>
      <c r="G28" t="s">
        <v>16</v>
      </c>
      <c r="H28" t="s">
        <v>36</v>
      </c>
      <c r="I28" s="3">
        <f>'2018'!I28*0.016647</f>
        <v>385.57781399999999</v>
      </c>
      <c r="J28" s="2">
        <f t="shared" si="0"/>
        <v>0.12913693131132917</v>
      </c>
      <c r="K28" t="str">
        <f t="shared" si="1"/>
        <v>Medicare - $386M (12.91%)</v>
      </c>
      <c r="M28">
        <v>3</v>
      </c>
      <c r="N28" s="1">
        <v>10905</v>
      </c>
    </row>
    <row r="29" spans="1:14" x14ac:dyDescent="0.25">
      <c r="A29">
        <v>7</v>
      </c>
      <c r="B29">
        <v>28</v>
      </c>
      <c r="C29" s="4">
        <f>IF(ISNUMBER(VLOOKUP(B29,$E$2:$I$1048576,5)), VLOOKUP(B29,$E$2:$I$1048576,5), 0)</f>
        <v>8.7063809999999986</v>
      </c>
      <c r="E29">
        <v>27</v>
      </c>
      <c r="F29" t="s">
        <v>10</v>
      </c>
      <c r="G29" t="s">
        <v>16</v>
      </c>
      <c r="H29" t="s">
        <v>37</v>
      </c>
      <c r="I29" s="3">
        <f>'2018'!I29*0.016647</f>
        <v>138.07021799999998</v>
      </c>
      <c r="J29" s="2">
        <f t="shared" si="0"/>
        <v>4.6242194469223903E-2</v>
      </c>
      <c r="K29" t="str">
        <f t="shared" si="1"/>
        <v>Medicaid - $138M (4.62%)</v>
      </c>
      <c r="M29">
        <v>16</v>
      </c>
      <c r="N29" s="1">
        <v>1299</v>
      </c>
    </row>
    <row r="30" spans="1:14" x14ac:dyDescent="0.25">
      <c r="A30">
        <v>7</v>
      </c>
      <c r="B30">
        <v>29</v>
      </c>
      <c r="C30" s="4">
        <f>IF(ISNUMBER(VLOOKUP(B30,$E$2:$I$1048576,5)), VLOOKUP(B30,$E$2:$I$1048576,5), 0)</f>
        <v>118.11046499999999</v>
      </c>
      <c r="E30">
        <v>28</v>
      </c>
      <c r="F30" t="s">
        <v>10</v>
      </c>
      <c r="G30" t="s">
        <v>16</v>
      </c>
      <c r="H30" t="s">
        <v>38</v>
      </c>
      <c r="I30" s="3">
        <f>'2018'!I30*0.016647</f>
        <v>8.7063809999999986</v>
      </c>
      <c r="J30" s="2">
        <f t="shared" si="0"/>
        <v>2.9159232827832291E-3</v>
      </c>
      <c r="K30" t="str">
        <f t="shared" si="1"/>
        <v>Other Public Insurance - $9M (.29%)</v>
      </c>
      <c r="M30">
        <v>17</v>
      </c>
      <c r="N30" s="1">
        <v>2683</v>
      </c>
    </row>
    <row r="31" spans="1:14" x14ac:dyDescent="0.25">
      <c r="A31">
        <v>8</v>
      </c>
      <c r="B31">
        <v>30</v>
      </c>
      <c r="C31" s="4">
        <f>IF(ISNUMBER(VLOOKUP(B31,$E$2:$I$1048576,5)), VLOOKUP(B31,$E$2:$I$1048576,5), 0)</f>
        <v>1.5315239999999999</v>
      </c>
      <c r="E31">
        <v>29</v>
      </c>
      <c r="F31" t="s">
        <v>10</v>
      </c>
      <c r="G31" t="s">
        <v>16</v>
      </c>
      <c r="H31" t="s">
        <v>39</v>
      </c>
      <c r="I31" s="3">
        <f>'2018'!I31*0.016647</f>
        <v>118.11046499999999</v>
      </c>
      <c r="J31" s="2">
        <f t="shared" si="0"/>
        <v>3.9557314897413022E-2</v>
      </c>
      <c r="K31" t="str">
        <f t="shared" si="1"/>
        <v>Uninsured - $118M (3.96%)</v>
      </c>
      <c r="M31">
        <v>18</v>
      </c>
      <c r="N31" s="1">
        <v>582</v>
      </c>
    </row>
    <row r="32" spans="1:14" x14ac:dyDescent="0.25">
      <c r="A32">
        <v>8</v>
      </c>
      <c r="B32">
        <v>31</v>
      </c>
      <c r="C32" s="4">
        <f>IF(ISNUMBER(VLOOKUP(B32,$E$2:$I$1048576,5)), VLOOKUP(B32,$E$2:$I$1048576,5), 0)</f>
        <v>0</v>
      </c>
      <c r="E32">
        <v>30</v>
      </c>
      <c r="F32" t="s">
        <v>10</v>
      </c>
      <c r="G32" t="s">
        <v>17</v>
      </c>
      <c r="H32" t="s">
        <v>35</v>
      </c>
      <c r="I32" s="3">
        <f>'2018'!I32*0.016647</f>
        <v>1.5315239999999999</v>
      </c>
      <c r="J32" s="2">
        <f t="shared" si="0"/>
        <v>5.1293487957181083E-4</v>
      </c>
      <c r="K32" t="str">
        <f t="shared" si="1"/>
        <v>Commercial - $2M (.05%)</v>
      </c>
      <c r="M32">
        <v>19</v>
      </c>
      <c r="N32" s="1">
        <v>3189</v>
      </c>
    </row>
    <row r="33" spans="1:14" x14ac:dyDescent="0.25">
      <c r="A33">
        <v>8</v>
      </c>
      <c r="B33">
        <v>32</v>
      </c>
      <c r="C33" s="4">
        <f>IF(ISNUMBER(VLOOKUP(B33,$E$2:$I$1048576,5)), VLOOKUP(B33,$E$2:$I$1048576,5), 0)</f>
        <v>10.687373999999998</v>
      </c>
      <c r="E33">
        <v>31</v>
      </c>
      <c r="F33" t="s">
        <v>10</v>
      </c>
      <c r="G33" t="s">
        <v>17</v>
      </c>
      <c r="H33" t="s">
        <v>36</v>
      </c>
      <c r="I33" s="3" t="e">
        <f>'2018'!I33*0.016647</f>
        <v>#VALUE!</v>
      </c>
      <c r="J33" s="2" t="e">
        <f t="shared" si="0"/>
        <v>#VALUE!</v>
      </c>
      <c r="K33" t="s">
        <v>46</v>
      </c>
      <c r="M33">
        <v>4</v>
      </c>
      <c r="N33" s="1">
        <v>7753</v>
      </c>
    </row>
    <row r="34" spans="1:14" x14ac:dyDescent="0.25">
      <c r="A34">
        <v>8</v>
      </c>
      <c r="B34">
        <v>33</v>
      </c>
      <c r="C34" s="4">
        <f>IF(ISNUMBER(VLOOKUP(B34,$E$2:$I$1048576,5)), VLOOKUP(B34,$E$2:$I$1048576,5), 0)</f>
        <v>0.11652899999999999</v>
      </c>
      <c r="E34">
        <v>32</v>
      </c>
      <c r="F34" t="s">
        <v>10</v>
      </c>
      <c r="G34" t="s">
        <v>17</v>
      </c>
      <c r="H34" t="s">
        <v>37</v>
      </c>
      <c r="I34" s="3">
        <f>'2018'!I34*0.016647</f>
        <v>10.687373999999998</v>
      </c>
      <c r="J34" s="2">
        <f t="shared" si="0"/>
        <v>3.5793933987511148E-3</v>
      </c>
      <c r="K34" t="str">
        <f t="shared" si="1"/>
        <v>Medicaid - $11M (.36%)</v>
      </c>
      <c r="M34">
        <v>5</v>
      </c>
      <c r="N34" s="1">
        <v>1244</v>
      </c>
    </row>
    <row r="35" spans="1:14" x14ac:dyDescent="0.25">
      <c r="A35">
        <v>8</v>
      </c>
      <c r="B35">
        <v>34</v>
      </c>
      <c r="C35" s="4">
        <f>IF(ISNUMBER(VLOOKUP(B35,$E$2:$I$1048576,5)), VLOOKUP(B35,$E$2:$I$1048576,5), 0)</f>
        <v>1.0154669999999999</v>
      </c>
      <c r="E35">
        <v>33</v>
      </c>
      <c r="F35" t="s">
        <v>10</v>
      </c>
      <c r="G35" t="s">
        <v>17</v>
      </c>
      <c r="H35" t="s">
        <v>38</v>
      </c>
      <c r="I35" s="3">
        <f>'2018'!I35*0.016647</f>
        <v>0.11652899999999999</v>
      </c>
      <c r="J35" s="2">
        <f t="shared" si="0"/>
        <v>3.9027653880463871E-5</v>
      </c>
      <c r="K35" t="str">
        <f>CONCATENATE(H35," - ",TEXT(I35,"$#,###"),IF(I35="N/A","","M"), " (", TEXT(J35,"##.###%"), ")")</f>
        <v>Other Public Insurance - $M (.004%)</v>
      </c>
      <c r="M35">
        <v>20</v>
      </c>
      <c r="N35" s="1">
        <v>21852</v>
      </c>
    </row>
    <row r="36" spans="1:14" x14ac:dyDescent="0.25">
      <c r="A36">
        <v>9</v>
      </c>
      <c r="B36">
        <v>35</v>
      </c>
      <c r="C36" s="4">
        <f>IF(ISNUMBER(VLOOKUP(B36,$E$2:$I$1048576,5)), VLOOKUP(B36,$E$2:$I$1048576,5), 0)</f>
        <v>17.545938</v>
      </c>
      <c r="E36">
        <v>34</v>
      </c>
      <c r="F36" t="s">
        <v>10</v>
      </c>
      <c r="G36" t="s">
        <v>17</v>
      </c>
      <c r="H36" t="s">
        <v>39</v>
      </c>
      <c r="I36" s="3">
        <f>'2018'!I36*0.016647</f>
        <v>1.0154669999999999</v>
      </c>
      <c r="J36" s="2">
        <f t="shared" si="0"/>
        <v>3.4009812667261375E-4</v>
      </c>
      <c r="K36" t="str">
        <f t="shared" si="1"/>
        <v>Uninsured - $1M (.03%)</v>
      </c>
      <c r="M36">
        <v>21</v>
      </c>
      <c r="N36" s="1">
        <v>3655</v>
      </c>
    </row>
    <row r="37" spans="1:14" x14ac:dyDescent="0.25">
      <c r="A37">
        <v>9</v>
      </c>
      <c r="B37">
        <v>36</v>
      </c>
      <c r="C37" s="4">
        <f>IF(ISNUMBER(VLOOKUP(B37,$E$2:$I$1048576,5)), VLOOKUP(B37,$E$2:$I$1048576,5), 0)</f>
        <v>10.487609999999998</v>
      </c>
      <c r="E37">
        <v>35</v>
      </c>
      <c r="F37" t="s">
        <v>10</v>
      </c>
      <c r="G37" t="s">
        <v>18</v>
      </c>
      <c r="H37" t="s">
        <v>35</v>
      </c>
      <c r="I37" s="3">
        <f>'2018'!I37*0.016647</f>
        <v>17.545938</v>
      </c>
      <c r="J37" s="2">
        <f t="shared" si="0"/>
        <v>5.8764495985727033E-3</v>
      </c>
      <c r="K37" t="str">
        <f t="shared" si="1"/>
        <v>Commercial - $18M (.59%)</v>
      </c>
      <c r="M37">
        <v>22</v>
      </c>
      <c r="N37" s="1">
        <v>417</v>
      </c>
    </row>
    <row r="38" spans="1:14" x14ac:dyDescent="0.25">
      <c r="A38">
        <v>9</v>
      </c>
      <c r="B38">
        <v>37</v>
      </c>
      <c r="C38" s="4">
        <f>IF(ISNUMBER(VLOOKUP(B38,$E$2:$I$1048576,5)), VLOOKUP(B38,$E$2:$I$1048576,5), 0)</f>
        <v>8.1403829999999999</v>
      </c>
      <c r="E38">
        <v>36</v>
      </c>
      <c r="F38" t="s">
        <v>10</v>
      </c>
      <c r="G38" t="s">
        <v>18</v>
      </c>
      <c r="H38" t="s">
        <v>36</v>
      </c>
      <c r="I38" s="3">
        <f>'2018'!I38*0.016647</f>
        <v>10.487609999999998</v>
      </c>
      <c r="J38" s="2">
        <f t="shared" si="0"/>
        <v>3.5124888492417479E-3</v>
      </c>
      <c r="K38" t="str">
        <f t="shared" si="1"/>
        <v>Medicare - $10M (.35%)</v>
      </c>
      <c r="M38">
        <v>23</v>
      </c>
      <c r="N38" s="1">
        <v>38</v>
      </c>
    </row>
    <row r="39" spans="1:14" x14ac:dyDescent="0.25">
      <c r="A39">
        <v>9</v>
      </c>
      <c r="B39">
        <v>38</v>
      </c>
      <c r="C39" s="4">
        <f>IF(ISNUMBER(VLOOKUP(B39,$E$2:$I$1048576,5)), VLOOKUP(B39,$E$2:$I$1048576,5), 0)</f>
        <v>0.51605699999999999</v>
      </c>
      <c r="E39">
        <v>37</v>
      </c>
      <c r="F39" t="s">
        <v>10</v>
      </c>
      <c r="G39" t="s">
        <v>18</v>
      </c>
      <c r="H39" t="s">
        <v>37</v>
      </c>
      <c r="I39" s="3">
        <f>'2018'!I39*0.016647</f>
        <v>8.1403829999999999</v>
      </c>
      <c r="J39" s="2">
        <f t="shared" si="0"/>
        <v>2.7263603925066905E-3</v>
      </c>
      <c r="K39" t="str">
        <f t="shared" si="1"/>
        <v>Medicaid - $8M (.27%)</v>
      </c>
      <c r="M39">
        <v>24</v>
      </c>
      <c r="N39" s="1">
        <v>500</v>
      </c>
    </row>
    <row r="40" spans="1:14" x14ac:dyDescent="0.25">
      <c r="A40">
        <v>9</v>
      </c>
      <c r="B40">
        <v>39</v>
      </c>
      <c r="C40" s="4">
        <f>IF(ISNUMBER(VLOOKUP(B40,$E$2:$I$1048576,5)), VLOOKUP(B40,$E$2:$I$1048576,5), 0)</f>
        <v>6.9750929999999993</v>
      </c>
      <c r="E40">
        <v>38</v>
      </c>
      <c r="F40" t="s">
        <v>10</v>
      </c>
      <c r="G40" t="s">
        <v>18</v>
      </c>
      <c r="H40" t="s">
        <v>38</v>
      </c>
      <c r="I40" s="3">
        <f>'2018'!I40*0.016647</f>
        <v>0.51605699999999999</v>
      </c>
      <c r="J40" s="2">
        <f t="shared" si="0"/>
        <v>1.7283675289919717E-4</v>
      </c>
      <c r="K40" t="str">
        <f t="shared" si="1"/>
        <v>Other Public Insurance - $1M (.02%)</v>
      </c>
      <c r="M40">
        <v>6</v>
      </c>
      <c r="N40" s="1">
        <v>26462</v>
      </c>
    </row>
    <row r="41" spans="1:14" x14ac:dyDescent="0.25">
      <c r="A41">
        <v>26</v>
      </c>
      <c r="B41">
        <v>40</v>
      </c>
      <c r="C41" s="4">
        <f>IF(ISNUMBER(VLOOKUP(A41,$E$2:$I$1048576,5)), VLOOKUP(A41,$E$2:$I$1048576,5), 0)</f>
        <v>385.57781399999999</v>
      </c>
      <c r="E41">
        <v>39</v>
      </c>
      <c r="F41" t="s">
        <v>10</v>
      </c>
      <c r="G41" t="s">
        <v>18</v>
      </c>
      <c r="H41" t="s">
        <v>39</v>
      </c>
      <c r="I41" s="3">
        <f>'2018'!I41*0.016647</f>
        <v>6.9750929999999993</v>
      </c>
      <c r="J41" s="2">
        <f t="shared" si="0"/>
        <v>2.3360838537020518E-3</v>
      </c>
      <c r="K41" t="str">
        <f t="shared" si="1"/>
        <v>Uninsured - $7M (.23%)</v>
      </c>
      <c r="M41">
        <v>0</v>
      </c>
      <c r="N41" s="1">
        <v>179360</v>
      </c>
    </row>
    <row r="42" spans="1:14" x14ac:dyDescent="0.25">
      <c r="A42">
        <v>27</v>
      </c>
      <c r="B42">
        <v>40</v>
      </c>
      <c r="C42" s="4">
        <f t="shared" ref="C42:C71" si="2">IF(ISNUMBER(VLOOKUP(A42,$E$2:$I$1048576,5)), VLOOKUP(A42,$E$2:$I$1048576,5), 0)</f>
        <v>138.07021799999998</v>
      </c>
      <c r="E42">
        <v>40</v>
      </c>
      <c r="H42" t="s">
        <v>41</v>
      </c>
      <c r="I42" s="3">
        <f>'2018'!I42*0.016647</f>
        <v>879.16136399999994</v>
      </c>
      <c r="J42" s="2">
        <f t="shared" si="0"/>
        <v>0.29444692239072257</v>
      </c>
      <c r="K42" t="str">
        <f t="shared" si="1"/>
        <v>Federal, State, and Local Governments - $879M (29.44%)</v>
      </c>
      <c r="M42">
        <v>40</v>
      </c>
      <c r="N42" s="1">
        <v>52812</v>
      </c>
    </row>
    <row r="43" spans="1:14" x14ac:dyDescent="0.25">
      <c r="A43">
        <v>28</v>
      </c>
      <c r="B43">
        <v>40</v>
      </c>
      <c r="C43" s="4">
        <f t="shared" si="2"/>
        <v>8.7063809999999986</v>
      </c>
      <c r="E43">
        <v>41</v>
      </c>
      <c r="H43" t="s">
        <v>42</v>
      </c>
      <c r="I43" s="3">
        <f>'2018'!I43*0.016647</f>
        <v>2106.6445559999997</v>
      </c>
      <c r="J43" s="2">
        <f t="shared" si="0"/>
        <v>0.70555307760927743</v>
      </c>
      <c r="K43" t="str">
        <f>CONCATENATE(H43," - ",TEXT(I43,"$#,###"),IF(I43="N/A","","M"), " (", TEXT(J43,"##.##%"), ")")</f>
        <v>Private Sector and Individuals - $2,107M (70.56%)</v>
      </c>
      <c r="M43">
        <v>41</v>
      </c>
      <c r="N43" s="1">
        <v>126548</v>
      </c>
    </row>
    <row r="44" spans="1:14" x14ac:dyDescent="0.25">
      <c r="A44">
        <v>31</v>
      </c>
      <c r="B44">
        <v>40</v>
      </c>
      <c r="C44" s="4">
        <f t="shared" si="2"/>
        <v>0</v>
      </c>
    </row>
    <row r="45" spans="1:14" x14ac:dyDescent="0.25">
      <c r="A45">
        <v>32</v>
      </c>
      <c r="B45">
        <v>40</v>
      </c>
      <c r="C45" s="4">
        <f t="shared" si="2"/>
        <v>10.687373999999998</v>
      </c>
    </row>
    <row r="46" spans="1:14" x14ac:dyDescent="0.25">
      <c r="A46">
        <v>33</v>
      </c>
      <c r="B46">
        <v>40</v>
      </c>
      <c r="C46" s="4">
        <f t="shared" si="2"/>
        <v>0.11652899999999999</v>
      </c>
    </row>
    <row r="47" spans="1:14" x14ac:dyDescent="0.25">
      <c r="A47">
        <v>36</v>
      </c>
      <c r="B47">
        <v>40</v>
      </c>
      <c r="C47" s="4">
        <f t="shared" si="2"/>
        <v>10.487609999999998</v>
      </c>
    </row>
    <row r="48" spans="1:14" x14ac:dyDescent="0.25">
      <c r="A48">
        <v>37</v>
      </c>
      <c r="B48">
        <v>40</v>
      </c>
      <c r="C48" s="4">
        <f t="shared" si="2"/>
        <v>8.1403829999999999</v>
      </c>
    </row>
    <row r="49" spans="1:3" x14ac:dyDescent="0.25">
      <c r="A49">
        <v>38</v>
      </c>
      <c r="B49">
        <v>40</v>
      </c>
      <c r="C49" s="4">
        <f t="shared" si="2"/>
        <v>0.51605699999999999</v>
      </c>
    </row>
    <row r="50" spans="1:3" x14ac:dyDescent="0.25">
      <c r="A50">
        <v>12</v>
      </c>
      <c r="B50">
        <v>40</v>
      </c>
      <c r="C50" s="4">
        <f t="shared" si="2"/>
        <v>68.48575799999999</v>
      </c>
    </row>
    <row r="51" spans="1:3" x14ac:dyDescent="0.25">
      <c r="A51">
        <v>13</v>
      </c>
      <c r="B51">
        <v>40</v>
      </c>
      <c r="C51" s="4">
        <f t="shared" si="2"/>
        <v>29.814776999999996</v>
      </c>
    </row>
    <row r="52" spans="1:3" x14ac:dyDescent="0.25">
      <c r="A52">
        <v>15</v>
      </c>
      <c r="B52">
        <v>40</v>
      </c>
      <c r="C52" s="4">
        <f t="shared" si="2"/>
        <v>68.802050999999992</v>
      </c>
    </row>
    <row r="53" spans="1:3" x14ac:dyDescent="0.25">
      <c r="A53">
        <v>16</v>
      </c>
      <c r="B53">
        <v>40</v>
      </c>
      <c r="C53" s="4">
        <f t="shared" si="2"/>
        <v>21.624452999999999</v>
      </c>
    </row>
    <row r="54" spans="1:3" x14ac:dyDescent="0.25">
      <c r="A54">
        <v>17</v>
      </c>
      <c r="B54">
        <v>40</v>
      </c>
      <c r="C54" s="4">
        <f t="shared" si="2"/>
        <v>44.663900999999996</v>
      </c>
    </row>
    <row r="55" spans="1:3" x14ac:dyDescent="0.25">
      <c r="A55">
        <v>18</v>
      </c>
      <c r="B55">
        <v>40</v>
      </c>
      <c r="C55" s="4">
        <f t="shared" si="2"/>
        <v>9.6885539999999999</v>
      </c>
    </row>
    <row r="56" spans="1:3" x14ac:dyDescent="0.25">
      <c r="A56">
        <v>19</v>
      </c>
      <c r="B56">
        <v>40</v>
      </c>
      <c r="C56" s="4">
        <f t="shared" si="2"/>
        <v>53.087282999999992</v>
      </c>
    </row>
    <row r="57" spans="1:3" x14ac:dyDescent="0.25">
      <c r="A57">
        <v>5</v>
      </c>
      <c r="B57">
        <v>40</v>
      </c>
      <c r="C57" s="4">
        <f t="shared" si="2"/>
        <v>20.708867999999999</v>
      </c>
    </row>
    <row r="58" spans="1:3" x14ac:dyDescent="0.25">
      <c r="A58">
        <v>25</v>
      </c>
      <c r="B58">
        <v>41</v>
      </c>
      <c r="C58" s="4">
        <f t="shared" si="2"/>
        <v>297.43194899999997</v>
      </c>
    </row>
    <row r="59" spans="1:3" x14ac:dyDescent="0.25">
      <c r="A59">
        <v>29</v>
      </c>
      <c r="B59">
        <v>41</v>
      </c>
      <c r="C59" s="4">
        <f t="shared" si="2"/>
        <v>118.11046499999999</v>
      </c>
    </row>
    <row r="60" spans="1:3" x14ac:dyDescent="0.25">
      <c r="A60">
        <v>30</v>
      </c>
      <c r="B60">
        <v>41</v>
      </c>
      <c r="C60" s="4">
        <f t="shared" si="2"/>
        <v>1.5315239999999999</v>
      </c>
    </row>
    <row r="61" spans="1:3" x14ac:dyDescent="0.25">
      <c r="A61">
        <v>34</v>
      </c>
      <c r="B61">
        <v>41</v>
      </c>
      <c r="C61" s="4">
        <f t="shared" si="2"/>
        <v>1.0154669999999999</v>
      </c>
    </row>
    <row r="62" spans="1:3" x14ac:dyDescent="0.25">
      <c r="A62">
        <v>35</v>
      </c>
      <c r="B62">
        <v>41</v>
      </c>
      <c r="C62" s="4">
        <f t="shared" si="2"/>
        <v>17.545938</v>
      </c>
    </row>
    <row r="63" spans="1:3" x14ac:dyDescent="0.25">
      <c r="A63">
        <v>39</v>
      </c>
      <c r="B63">
        <v>41</v>
      </c>
      <c r="C63" s="4">
        <f t="shared" si="2"/>
        <v>6.9750929999999993</v>
      </c>
    </row>
    <row r="64" spans="1:3" x14ac:dyDescent="0.25">
      <c r="A64">
        <v>10</v>
      </c>
      <c r="B64">
        <v>41</v>
      </c>
      <c r="C64" s="4">
        <f t="shared" si="2"/>
        <v>4.3948079999999994</v>
      </c>
    </row>
    <row r="65" spans="1:3" x14ac:dyDescent="0.25">
      <c r="A65">
        <v>11</v>
      </c>
      <c r="B65">
        <v>41</v>
      </c>
      <c r="C65" s="4">
        <f t="shared" si="2"/>
        <v>1204.7100959999998</v>
      </c>
    </row>
    <row r="66" spans="1:3" x14ac:dyDescent="0.25">
      <c r="A66">
        <v>14</v>
      </c>
      <c r="B66">
        <v>41</v>
      </c>
      <c r="C66" s="4">
        <f t="shared" si="2"/>
        <v>14.432948999999999</v>
      </c>
    </row>
    <row r="67" spans="1:3" x14ac:dyDescent="0.25">
      <c r="A67">
        <v>20</v>
      </c>
      <c r="B67">
        <v>41</v>
      </c>
      <c r="C67" s="4">
        <f t="shared" si="2"/>
        <v>363.77024399999999</v>
      </c>
    </row>
    <row r="68" spans="1:3" x14ac:dyDescent="0.25">
      <c r="A68">
        <v>21</v>
      </c>
      <c r="B68">
        <v>41</v>
      </c>
      <c r="C68" s="4">
        <f t="shared" si="2"/>
        <v>60.844784999999995</v>
      </c>
    </row>
    <row r="69" spans="1:3" x14ac:dyDescent="0.25">
      <c r="A69">
        <v>22</v>
      </c>
      <c r="B69">
        <v>41</v>
      </c>
      <c r="C69" s="4">
        <f t="shared" si="2"/>
        <v>6.9417989999999996</v>
      </c>
    </row>
    <row r="70" spans="1:3" x14ac:dyDescent="0.25">
      <c r="A70">
        <v>23</v>
      </c>
      <c r="B70">
        <v>41</v>
      </c>
      <c r="C70" s="4">
        <f t="shared" si="2"/>
        <v>0.63258599999999998</v>
      </c>
    </row>
    <row r="71" spans="1:3" x14ac:dyDescent="0.25">
      <c r="A71">
        <v>24</v>
      </c>
      <c r="B71">
        <v>41</v>
      </c>
      <c r="C71" s="4">
        <f t="shared" si="2"/>
        <v>8.3234999999999992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D10" sqref="D10"/>
    </sheetView>
  </sheetViews>
  <sheetFormatPr defaultRowHeight="15" x14ac:dyDescent="0.25"/>
  <cols>
    <col min="6" max="6" width="14.28515625" customWidth="1"/>
    <col min="7" max="7" width="11.5703125" customWidth="1"/>
    <col min="8" max="8" width="14.140625" customWidth="1"/>
    <col min="9" max="9" width="9.85546875" style="1" bestFit="1" customWidth="1"/>
    <col min="10" max="10" width="18.42578125" style="2" bestFit="1" customWidth="1"/>
    <col min="11" max="11" width="58.28515625" bestFit="1" customWidth="1"/>
    <col min="12" max="12" width="10.42578125" customWidth="1"/>
    <col min="13" max="13" width="1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  <c r="M1" t="s">
        <v>43</v>
      </c>
      <c r="N1" t="s">
        <v>44</v>
      </c>
    </row>
    <row r="2" spans="1:14" x14ac:dyDescent="0.25">
      <c r="A2">
        <v>0</v>
      </c>
      <c r="B2">
        <v>1</v>
      </c>
      <c r="C2" s="4">
        <f>IF(ISNUMBER(VLOOKUP(B2,$E$2:$I$1048576,5)), VLOOKUP(B2,$E$2:$I$1048576,5), 0)</f>
        <v>967.64514099999997</v>
      </c>
      <c r="E2">
        <v>0</v>
      </c>
      <c r="H2" t="s">
        <v>9</v>
      </c>
      <c r="I2" s="3">
        <f>'2017'!I2*0.017341</f>
        <v>2963.3341259999997</v>
      </c>
      <c r="J2" s="2">
        <f>I2/$I$2</f>
        <v>1</v>
      </c>
      <c r="K2" t="str">
        <f>CONCATENATE(H2," - ",TEXT(I2,"$#,###"),IF(I2="N/A","","M"), " (", TEXT(J2,"##.##%"), ")")</f>
        <v>Total Cost  - $2,963M (100.%)</v>
      </c>
      <c r="M2">
        <v>25</v>
      </c>
      <c r="N2" s="1">
        <v>16780</v>
      </c>
    </row>
    <row r="3" spans="1:14" x14ac:dyDescent="0.25">
      <c r="A3">
        <v>0</v>
      </c>
      <c r="B3">
        <v>2</v>
      </c>
      <c r="C3" s="4">
        <f>IF(ISNUMBER(VLOOKUP(B3,$E$2:$I$1048576,5)), VLOOKUP(B3,$E$2:$I$1048576,5), 0)</f>
        <v>1234.713882</v>
      </c>
      <c r="E3">
        <v>1</v>
      </c>
      <c r="H3" t="s">
        <v>10</v>
      </c>
      <c r="I3" s="3">
        <f>'2017'!I3*0.017341</f>
        <v>967.64514099999997</v>
      </c>
      <c r="J3" s="2">
        <f t="shared" ref="J3:J43" si="0">I3/$I$2</f>
        <v>0.32653933031377647</v>
      </c>
      <c r="K3" t="str">
        <f t="shared" ref="K3:K42" si="1">CONCATENATE(H3," - ",TEXT(I3,"$#,###"),IF(I3="N/A","","M"), " (", TEXT(J3,"##.##%"), ")")</f>
        <v>Healthcare - $968M (32.65%)</v>
      </c>
      <c r="M3">
        <v>26</v>
      </c>
      <c r="N3" s="1">
        <v>21297</v>
      </c>
    </row>
    <row r="4" spans="1:14" x14ac:dyDescent="0.25">
      <c r="A4">
        <v>0</v>
      </c>
      <c r="B4">
        <v>3</v>
      </c>
      <c r="C4" s="4">
        <f>IF(ISNUMBER(VLOOKUP(B4,$E$2:$I$1048576,5)), VLOOKUP(B4,$E$2:$I$1048576,5), 0)</f>
        <v>170.583417</v>
      </c>
      <c r="E4">
        <v>2</v>
      </c>
      <c r="H4" t="s">
        <v>11</v>
      </c>
      <c r="I4" s="3">
        <f>'2017'!I4*0.017341</f>
        <v>1234.713882</v>
      </c>
      <c r="J4" s="2">
        <f t="shared" si="0"/>
        <v>0.41666374073944035</v>
      </c>
      <c r="K4" t="str">
        <f t="shared" si="1"/>
        <v>Mortality - $1,235M (41.67%)</v>
      </c>
      <c r="M4">
        <v>27</v>
      </c>
      <c r="N4" s="1">
        <v>7896</v>
      </c>
    </row>
    <row r="5" spans="1:14" x14ac:dyDescent="0.25">
      <c r="A5">
        <v>0</v>
      </c>
      <c r="B5">
        <v>4</v>
      </c>
      <c r="C5" s="4">
        <f>IF(ISNUMBER(VLOOKUP(B5,$E$2:$I$1048576,5)), VLOOKUP(B5,$E$2:$I$1048576,5), 0)</f>
        <v>134.67020599999998</v>
      </c>
      <c r="E5">
        <v>3</v>
      </c>
      <c r="H5" t="s">
        <v>12</v>
      </c>
      <c r="I5" s="3">
        <f>'2017'!I5*0.017341</f>
        <v>170.583417</v>
      </c>
      <c r="J5" s="2">
        <f t="shared" si="0"/>
        <v>5.7564692250974339E-2</v>
      </c>
      <c r="K5" t="str">
        <f t="shared" si="1"/>
        <v>Criminal Justice - $171M (5.76%)</v>
      </c>
      <c r="M5">
        <v>28</v>
      </c>
      <c r="N5" s="1">
        <v>495</v>
      </c>
    </row>
    <row r="6" spans="1:14" x14ac:dyDescent="0.25">
      <c r="A6">
        <v>0</v>
      </c>
      <c r="B6">
        <v>5</v>
      </c>
      <c r="C6" s="4">
        <f>IF(ISNUMBER(VLOOKUP(B6,$E$2:$I$1048576,5)), VLOOKUP(B6,$E$2:$I$1048576,5), 0)</f>
        <v>21.346770999999997</v>
      </c>
      <c r="E6">
        <v>4</v>
      </c>
      <c r="H6" t="s">
        <v>13</v>
      </c>
      <c r="I6" s="3">
        <f>'2017'!I6*0.017341</f>
        <v>134.67020599999998</v>
      </c>
      <c r="J6" s="2">
        <f t="shared" si="0"/>
        <v>4.5445501679482227E-2</v>
      </c>
      <c r="K6" t="str">
        <f t="shared" si="1"/>
        <v>Child and Family Assistance - $135M (4.54%)</v>
      </c>
      <c r="M6">
        <v>29</v>
      </c>
      <c r="N6" s="1">
        <v>6171</v>
      </c>
    </row>
    <row r="7" spans="1:14" x14ac:dyDescent="0.25">
      <c r="A7">
        <v>0</v>
      </c>
      <c r="B7">
        <v>6</v>
      </c>
      <c r="C7" s="4">
        <f>IF(ISNUMBER(VLOOKUP(B7,$E$2:$I$1048576,5)), VLOOKUP(B7,$E$2:$I$1048576,5), 0)</f>
        <v>434.374709</v>
      </c>
      <c r="E7">
        <v>5</v>
      </c>
      <c r="H7" t="s">
        <v>14</v>
      </c>
      <c r="I7" s="3">
        <f>'2017'!I7*0.017341</f>
        <v>21.346770999999997</v>
      </c>
      <c r="J7" s="2">
        <f t="shared" si="0"/>
        <v>7.2036328312442208E-3</v>
      </c>
      <c r="K7" t="str">
        <f t="shared" si="1"/>
        <v>Education - $21M (.72%)</v>
      </c>
      <c r="M7">
        <v>7</v>
      </c>
      <c r="N7" s="1">
        <v>52639</v>
      </c>
    </row>
    <row r="8" spans="1:14" x14ac:dyDescent="0.25">
      <c r="A8">
        <v>1</v>
      </c>
      <c r="B8">
        <v>7</v>
      </c>
      <c r="C8" s="4">
        <f>IF(ISNUMBER(VLOOKUP(B8,$E$2:$I$1048576,5)), VLOOKUP(B8,$E$2:$I$1048576,5), 0)</f>
        <v>912.8128989999999</v>
      </c>
      <c r="E8">
        <v>6</v>
      </c>
      <c r="H8" t="s">
        <v>15</v>
      </c>
      <c r="I8" s="3">
        <f>'2017'!I8*0.017341</f>
        <v>434.374709</v>
      </c>
      <c r="J8" s="2">
        <f t="shared" si="0"/>
        <v>0.14658310218508247</v>
      </c>
      <c r="K8" t="str">
        <f t="shared" si="1"/>
        <v>Lost Productivity - $434M (14.66%)</v>
      </c>
      <c r="M8">
        <v>30</v>
      </c>
      <c r="N8" s="1">
        <v>86</v>
      </c>
    </row>
    <row r="9" spans="1:14" x14ac:dyDescent="0.25">
      <c r="A9">
        <v>1</v>
      </c>
      <c r="B9">
        <v>8</v>
      </c>
      <c r="C9" s="4">
        <f>IF(ISNUMBER(VLOOKUP(B9,$E$2:$I$1048576,5)), VLOOKUP(B9,$E$2:$I$1048576,5), 0)</f>
        <v>12.728293999999998</v>
      </c>
      <c r="E9">
        <v>7</v>
      </c>
      <c r="F9" t="s">
        <v>10</v>
      </c>
      <c r="H9" t="s">
        <v>16</v>
      </c>
      <c r="I9" s="3">
        <f>'2017'!I9*0.017341</f>
        <v>912.8128989999999</v>
      </c>
      <c r="J9" s="2">
        <f t="shared" si="0"/>
        <v>0.30803576653441472</v>
      </c>
      <c r="K9" t="str">
        <f t="shared" si="1"/>
        <v>For individuals with OUD - $913M (30.8%)</v>
      </c>
      <c r="M9">
        <v>31</v>
      </c>
      <c r="N9" s="1" t="s">
        <v>40</v>
      </c>
    </row>
    <row r="10" spans="1:14" x14ac:dyDescent="0.25">
      <c r="A10">
        <v>1</v>
      </c>
      <c r="B10">
        <v>9</v>
      </c>
      <c r="C10" s="4">
        <f>IF(ISNUMBER(VLOOKUP(B10,$E$2:$I$1048576,5)), VLOOKUP(B10,$E$2:$I$1048576,5), 0)</f>
        <v>42.103947999999995</v>
      </c>
      <c r="E10">
        <v>8</v>
      </c>
      <c r="F10" t="s">
        <v>10</v>
      </c>
      <c r="H10" t="s">
        <v>17</v>
      </c>
      <c r="I10" s="3">
        <f>'2017'!I10*0.017341</f>
        <v>12.728293999999998</v>
      </c>
      <c r="J10" s="2">
        <f t="shared" si="0"/>
        <v>4.2952611682642227E-3</v>
      </c>
      <c r="K10" t="str">
        <f t="shared" si="1"/>
        <v>For infants born with NAS or NOWS - $13M (.43%)</v>
      </c>
      <c r="M10">
        <v>32</v>
      </c>
      <c r="N10" s="1">
        <v>586</v>
      </c>
    </row>
    <row r="11" spans="1:14" x14ac:dyDescent="0.25">
      <c r="A11">
        <v>2</v>
      </c>
      <c r="B11">
        <v>10</v>
      </c>
      <c r="C11" s="4">
        <f>IF(ISNUMBER(VLOOKUP(B11,$E$2:$I$1048576,5)), VLOOKUP(B11,$E$2:$I$1048576,5), 0)</f>
        <v>4.4913189999999998</v>
      </c>
      <c r="E11">
        <v>9</v>
      </c>
      <c r="F11" t="s">
        <v>10</v>
      </c>
      <c r="H11" t="s">
        <v>18</v>
      </c>
      <c r="I11" s="3">
        <f>'2017'!I11*0.017341</f>
        <v>42.103947999999995</v>
      </c>
      <c r="J11" s="2">
        <f t="shared" si="0"/>
        <v>1.4208302611097456E-2</v>
      </c>
      <c r="K11" t="str">
        <f t="shared" si="1"/>
        <v>For family members of individual with OUD - $42M (1.42%)</v>
      </c>
      <c r="M11">
        <v>33</v>
      </c>
      <c r="N11" s="1">
        <v>7</v>
      </c>
    </row>
    <row r="12" spans="1:14" x14ac:dyDescent="0.25">
      <c r="A12">
        <v>2</v>
      </c>
      <c r="B12">
        <v>11</v>
      </c>
      <c r="C12" s="4">
        <f>IF(ISNUMBER(VLOOKUP(B12,$E$2:$I$1048576,5)), VLOOKUP(B12,$E$2:$I$1048576,5), 0)</f>
        <v>1230.2225629999998</v>
      </c>
      <c r="E12">
        <v>10</v>
      </c>
      <c r="F12" t="s">
        <v>11</v>
      </c>
      <c r="H12" t="s">
        <v>19</v>
      </c>
      <c r="I12" s="3">
        <f>'2017'!I12*0.017341</f>
        <v>4.4913189999999998</v>
      </c>
      <c r="J12" s="2">
        <f t="shared" si="0"/>
        <v>1.5156303032430977E-3</v>
      </c>
      <c r="K12" t="str">
        <f t="shared" si="1"/>
        <v>Medical Costs - $4M (.15%)</v>
      </c>
      <c r="M12">
        <v>34</v>
      </c>
      <c r="N12" s="1">
        <v>56</v>
      </c>
    </row>
    <row r="13" spans="1:14" x14ac:dyDescent="0.25">
      <c r="A13">
        <v>3</v>
      </c>
      <c r="B13">
        <v>12</v>
      </c>
      <c r="C13" s="4">
        <f>IF(ISNUMBER(VLOOKUP(B13,$E$2:$I$1048576,5)), VLOOKUP(B13,$E$2:$I$1048576,5), 0)</f>
        <v>62.254189999999994</v>
      </c>
      <c r="E13">
        <v>11</v>
      </c>
      <c r="F13" t="s">
        <v>11</v>
      </c>
      <c r="H13" t="s">
        <v>20</v>
      </c>
      <c r="I13" s="3">
        <f>'2017'!I13*0.017341</f>
        <v>1230.2225629999998</v>
      </c>
      <c r="J13" s="2">
        <f t="shared" si="0"/>
        <v>0.4151481104361972</v>
      </c>
      <c r="K13" t="str">
        <f t="shared" si="1"/>
        <v>Lost Lifetime Earnings - $1,230M (41.51%)</v>
      </c>
      <c r="M13">
        <v>8</v>
      </c>
      <c r="N13" s="1">
        <v>734</v>
      </c>
    </row>
    <row r="14" spans="1:14" x14ac:dyDescent="0.25">
      <c r="A14">
        <v>3</v>
      </c>
      <c r="B14">
        <v>13</v>
      </c>
      <c r="C14" s="4">
        <f>IF(ISNUMBER(VLOOKUP(B14,$E$2:$I$1048576,5)), VLOOKUP(B14,$E$2:$I$1048576,5), 0)</f>
        <v>27.398779999999999</v>
      </c>
      <c r="E14">
        <v>12</v>
      </c>
      <c r="F14" t="s">
        <v>12</v>
      </c>
      <c r="H14" t="s">
        <v>21</v>
      </c>
      <c r="I14" s="3">
        <f>'2017'!I14*0.017341</f>
        <v>62.254189999999994</v>
      </c>
      <c r="J14" s="2">
        <f t="shared" si="0"/>
        <v>2.100815748510703E-2</v>
      </c>
      <c r="K14" t="str">
        <f t="shared" si="1"/>
        <v>Police Protection - $62M (2.1%)</v>
      </c>
      <c r="M14">
        <v>35</v>
      </c>
      <c r="N14" s="1">
        <v>990</v>
      </c>
    </row>
    <row r="15" spans="1:14" x14ac:dyDescent="0.25">
      <c r="A15">
        <v>3</v>
      </c>
      <c r="B15">
        <v>14</v>
      </c>
      <c r="C15" s="4">
        <f>IF(ISNUMBER(VLOOKUP(B15,$E$2:$I$1048576,5)), VLOOKUP(B15,$E$2:$I$1048576,5), 0)</f>
        <v>14.583780999999998</v>
      </c>
      <c r="E15">
        <v>13</v>
      </c>
      <c r="F15" t="s">
        <v>12</v>
      </c>
      <c r="H15" t="s">
        <v>22</v>
      </c>
      <c r="I15" s="3">
        <f>'2017'!I15*0.017341</f>
        <v>27.398779999999999</v>
      </c>
      <c r="J15" s="2">
        <f t="shared" si="0"/>
        <v>9.2459300352281636E-3</v>
      </c>
      <c r="K15" t="str">
        <f t="shared" si="1"/>
        <v>Legal and Adjudication Activities - $27M (.92%)</v>
      </c>
      <c r="M15">
        <v>36</v>
      </c>
      <c r="N15" s="1">
        <v>579</v>
      </c>
    </row>
    <row r="16" spans="1:14" x14ac:dyDescent="0.25">
      <c r="A16">
        <v>3</v>
      </c>
      <c r="B16">
        <v>15</v>
      </c>
      <c r="C16" s="4">
        <f>IF(ISNUMBER(VLOOKUP(B16,$E$2:$I$1048576,5)), VLOOKUP(B16,$E$2:$I$1048576,5), 0)</f>
        <v>66.346665999999999</v>
      </c>
      <c r="E16">
        <v>14</v>
      </c>
      <c r="F16" t="s">
        <v>12</v>
      </c>
      <c r="H16" t="s">
        <v>23</v>
      </c>
      <c r="I16" s="3">
        <f>'2017'!I16*0.017341</f>
        <v>14.583780999999998</v>
      </c>
      <c r="J16" s="2">
        <f t="shared" si="0"/>
        <v>4.9214095947005604E-3</v>
      </c>
      <c r="K16" t="str">
        <f t="shared" si="1"/>
        <v>Property Lost Due to Crime - $15M (.49%)</v>
      </c>
      <c r="M16">
        <v>37</v>
      </c>
      <c r="N16" s="1">
        <v>466</v>
      </c>
    </row>
    <row r="17" spans="1:14" x14ac:dyDescent="0.25">
      <c r="A17">
        <v>4</v>
      </c>
      <c r="B17">
        <v>16</v>
      </c>
      <c r="C17" s="4">
        <f>IF(ISNUMBER(VLOOKUP(B17,$E$2:$I$1048576,5)), VLOOKUP(B17,$E$2:$I$1048576,5), 0)</f>
        <v>21.346770999999997</v>
      </c>
      <c r="E17">
        <v>15</v>
      </c>
      <c r="F17" t="s">
        <v>12</v>
      </c>
      <c r="H17" t="s">
        <v>24</v>
      </c>
      <c r="I17" s="3">
        <f>'2017'!I17*0.017341</f>
        <v>66.346665999999999</v>
      </c>
      <c r="J17" s="2">
        <f t="shared" si="0"/>
        <v>2.238919513593858E-2</v>
      </c>
      <c r="K17" t="str">
        <f t="shared" si="1"/>
        <v>Correctional Facilities - $66M (2.24%)</v>
      </c>
      <c r="M17">
        <v>38</v>
      </c>
      <c r="N17" s="1">
        <v>29</v>
      </c>
    </row>
    <row r="18" spans="1:14" x14ac:dyDescent="0.25">
      <c r="A18">
        <v>4</v>
      </c>
      <c r="B18">
        <v>17</v>
      </c>
      <c r="C18" s="4">
        <f>IF(ISNUMBER(VLOOKUP(B18,$E$2:$I$1048576,5)), VLOOKUP(B18,$E$2:$I$1048576,5), 0)</f>
        <v>48.641504999999995</v>
      </c>
      <c r="E18">
        <v>16</v>
      </c>
      <c r="F18" t="s">
        <v>25</v>
      </c>
      <c r="H18" t="s">
        <v>26</v>
      </c>
      <c r="I18" s="3">
        <f>'2017'!I18*0.017341</f>
        <v>21.346770999999997</v>
      </c>
      <c r="J18" s="2">
        <f t="shared" si="0"/>
        <v>7.2036328312442208E-3</v>
      </c>
      <c r="K18" t="str">
        <f t="shared" si="1"/>
        <v>Child Welfare - $21M (.72%)</v>
      </c>
      <c r="M18">
        <v>39</v>
      </c>
      <c r="N18" s="1">
        <v>364</v>
      </c>
    </row>
    <row r="19" spans="1:14" x14ac:dyDescent="0.25">
      <c r="A19">
        <v>4</v>
      </c>
      <c r="B19">
        <v>18</v>
      </c>
      <c r="C19" s="4">
        <f>IF(ISNUMBER(VLOOKUP(B19,$E$2:$I$1048576,5)), VLOOKUP(B19,$E$2:$I$1048576,5), 0)</f>
        <v>10.179167</v>
      </c>
      <c r="E19">
        <v>17</v>
      </c>
      <c r="F19" t="s">
        <v>25</v>
      </c>
      <c r="H19" t="s">
        <v>27</v>
      </c>
      <c r="I19" s="3">
        <f>'2017'!I19*0.017341</f>
        <v>48.641504999999995</v>
      </c>
      <c r="J19" s="2">
        <f t="shared" si="0"/>
        <v>1.6414451739756329E-2</v>
      </c>
      <c r="K19" t="str">
        <f t="shared" si="1"/>
        <v>Food and Nutritional Assistance - $49M (1.64%)</v>
      </c>
      <c r="M19">
        <v>9</v>
      </c>
      <c r="N19" s="1">
        <v>2428</v>
      </c>
    </row>
    <row r="20" spans="1:14" x14ac:dyDescent="0.25">
      <c r="A20">
        <v>4</v>
      </c>
      <c r="B20">
        <v>19</v>
      </c>
      <c r="C20" s="4">
        <f>IF(ISNUMBER(VLOOKUP(B20,$E$2:$I$1048576,5)), VLOOKUP(B20,$E$2:$I$1048576,5), 0)</f>
        <v>54.502762999999995</v>
      </c>
      <c r="E20">
        <v>18</v>
      </c>
      <c r="F20" t="s">
        <v>25</v>
      </c>
      <c r="H20" t="s">
        <v>28</v>
      </c>
      <c r="I20" s="3">
        <f>'2017'!I20*0.017341</f>
        <v>10.179167</v>
      </c>
      <c r="J20" s="2">
        <f t="shared" si="0"/>
        <v>3.4350385637208435E-3</v>
      </c>
      <c r="K20" t="str">
        <f t="shared" si="1"/>
        <v>Income Assistance - $10M (.34%)</v>
      </c>
      <c r="M20">
        <v>1</v>
      </c>
      <c r="N20" s="1">
        <v>55801</v>
      </c>
    </row>
    <row r="21" spans="1:14" x14ac:dyDescent="0.25">
      <c r="A21">
        <v>6</v>
      </c>
      <c r="B21">
        <v>20</v>
      </c>
      <c r="C21" s="4">
        <f>IF(ISNUMBER(VLOOKUP(B21,$E$2:$I$1048576,5)), VLOOKUP(B21,$E$2:$I$1048576,5), 0)</f>
        <v>359.25349699999998</v>
      </c>
      <c r="E21">
        <v>19</v>
      </c>
      <c r="F21" t="s">
        <v>25</v>
      </c>
      <c r="H21" t="s">
        <v>29</v>
      </c>
      <c r="I21" s="3">
        <f>'2017'!I21*0.017341</f>
        <v>54.502762999999995</v>
      </c>
      <c r="J21" s="2">
        <f t="shared" si="0"/>
        <v>1.8392378544760835E-2</v>
      </c>
      <c r="K21" t="str">
        <f t="shared" si="1"/>
        <v>Housing/Homelessness Assistance - $55M (1.84%)</v>
      </c>
      <c r="M21">
        <v>10</v>
      </c>
      <c r="N21" s="1">
        <v>259</v>
      </c>
    </row>
    <row r="22" spans="1:14" x14ac:dyDescent="0.25">
      <c r="A22">
        <v>6</v>
      </c>
      <c r="B22">
        <v>21</v>
      </c>
      <c r="C22" s="4">
        <f>IF(ISNUMBER(VLOOKUP(B22,$E$2:$I$1048576,5)), VLOOKUP(B22,$E$2:$I$1048576,5), 0)</f>
        <v>59.531652999999999</v>
      </c>
      <c r="E22">
        <v>20</v>
      </c>
      <c r="F22" t="s">
        <v>15</v>
      </c>
      <c r="H22" t="s">
        <v>30</v>
      </c>
      <c r="I22" s="3">
        <f>'2017'!I22*0.017341</f>
        <v>359.25349699999998</v>
      </c>
      <c r="J22" s="2">
        <f t="shared" si="0"/>
        <v>0.12123286869608979</v>
      </c>
      <c r="K22" t="str">
        <f t="shared" si="1"/>
        <v>Reduced Labor Force Participation and Absenteeism - $359M (12.12%)</v>
      </c>
      <c r="M22">
        <v>11</v>
      </c>
      <c r="N22" s="1">
        <v>70943</v>
      </c>
    </row>
    <row r="23" spans="1:14" x14ac:dyDescent="0.25">
      <c r="A23">
        <v>6</v>
      </c>
      <c r="B23">
        <v>22</v>
      </c>
      <c r="C23" s="4">
        <f>IF(ISNUMBER(VLOOKUP(B23,$E$2:$I$1048576,5)), VLOOKUP(B23,$E$2:$I$1048576,5), 0)</f>
        <v>6.8150129999999995</v>
      </c>
      <c r="E23">
        <v>21</v>
      </c>
      <c r="F23" t="s">
        <v>15</v>
      </c>
      <c r="H23" t="s">
        <v>31</v>
      </c>
      <c r="I23" s="3">
        <f>'2017'!I23*0.017341</f>
        <v>59.531652999999999</v>
      </c>
      <c r="J23" s="2">
        <f t="shared" si="0"/>
        <v>2.0089416336036892E-2</v>
      </c>
      <c r="K23" t="str">
        <f t="shared" si="1"/>
        <v>Incarceration - $60M (2.01%)</v>
      </c>
      <c r="M23">
        <v>2</v>
      </c>
      <c r="N23" s="1">
        <v>71202</v>
      </c>
    </row>
    <row r="24" spans="1:14" x14ac:dyDescent="0.25">
      <c r="A24">
        <v>6</v>
      </c>
      <c r="B24">
        <v>23</v>
      </c>
      <c r="C24" s="4">
        <f>IF(ISNUMBER(VLOOKUP(B24,$E$2:$I$1048576,5)), VLOOKUP(B24,$E$2:$I$1048576,5), 0)</f>
        <v>0.62427599999999994</v>
      </c>
      <c r="E24">
        <v>22</v>
      </c>
      <c r="F24" t="s">
        <v>15</v>
      </c>
      <c r="H24" t="s">
        <v>32</v>
      </c>
      <c r="I24" s="3">
        <f>'2017'!I24*0.017341</f>
        <v>6.8150129999999995</v>
      </c>
      <c r="J24" s="2">
        <f t="shared" si="0"/>
        <v>2.2997787999016889E-3</v>
      </c>
      <c r="K24" t="str">
        <f t="shared" si="1"/>
        <v>Short-Term Disability - $7M (.23%)</v>
      </c>
      <c r="M24">
        <v>12</v>
      </c>
      <c r="N24" s="1">
        <v>3590</v>
      </c>
    </row>
    <row r="25" spans="1:14" x14ac:dyDescent="0.25">
      <c r="A25">
        <v>6</v>
      </c>
      <c r="B25">
        <v>24</v>
      </c>
      <c r="C25" s="4">
        <f>IF(ISNUMBER(VLOOKUP(B25,$E$2:$I$1048576,5)), VLOOKUP(B25,$E$2:$I$1048576,5), 0)</f>
        <v>8.150269999999999</v>
      </c>
      <c r="E25">
        <v>23</v>
      </c>
      <c r="F25" t="s">
        <v>15</v>
      </c>
      <c r="H25" t="s">
        <v>33</v>
      </c>
      <c r="I25" s="3">
        <f>'2017'!I25*0.017341</f>
        <v>0.62427599999999994</v>
      </c>
      <c r="J25" s="2">
        <f t="shared" si="0"/>
        <v>2.1066676029633791E-4</v>
      </c>
      <c r="K25" t="str">
        <f t="shared" si="1"/>
        <v>Long-Term Disability - $1M (.02%)</v>
      </c>
      <c r="M25">
        <v>13</v>
      </c>
      <c r="N25" s="1">
        <v>1580</v>
      </c>
    </row>
    <row r="26" spans="1:14" x14ac:dyDescent="0.25">
      <c r="A26">
        <v>7</v>
      </c>
      <c r="B26">
        <v>25</v>
      </c>
      <c r="C26" s="4">
        <f>IF(ISNUMBER(VLOOKUP(B26,$E$2:$I$1048576,5)), VLOOKUP(B26,$E$2:$I$1048576,5), 0)</f>
        <v>290.98197999999996</v>
      </c>
      <c r="E26">
        <v>24</v>
      </c>
      <c r="F26" t="s">
        <v>15</v>
      </c>
      <c r="H26" t="s">
        <v>34</v>
      </c>
      <c r="I26" s="3">
        <f>'2017'!I26*0.017341</f>
        <v>8.150269999999999</v>
      </c>
      <c r="J26" s="2">
        <f t="shared" si="0"/>
        <v>2.750371592757745E-3</v>
      </c>
      <c r="K26" t="str">
        <f t="shared" si="1"/>
        <v>Workers' Compensation - $8M (.28%)</v>
      </c>
      <c r="M26">
        <v>14</v>
      </c>
      <c r="N26" s="1">
        <v>841</v>
      </c>
    </row>
    <row r="27" spans="1:14" x14ac:dyDescent="0.25">
      <c r="A27">
        <v>7</v>
      </c>
      <c r="B27">
        <v>26</v>
      </c>
      <c r="C27" s="4">
        <f>IF(ISNUMBER(VLOOKUP(B27,$E$2:$I$1048576,5)), VLOOKUP(B27,$E$2:$I$1048576,5), 0)</f>
        <v>369.31127699999996</v>
      </c>
      <c r="E27">
        <v>25</v>
      </c>
      <c r="F27" t="s">
        <v>10</v>
      </c>
      <c r="G27" t="s">
        <v>16</v>
      </c>
      <c r="H27" t="s">
        <v>35</v>
      </c>
      <c r="I27" s="3">
        <f>'2017'!I27*0.017341</f>
        <v>290.98197999999996</v>
      </c>
      <c r="J27" s="2">
        <f t="shared" si="0"/>
        <v>9.8194117715904167E-2</v>
      </c>
      <c r="K27" t="str">
        <f t="shared" si="1"/>
        <v>Commercial - $291M (9.82%)</v>
      </c>
      <c r="M27">
        <v>15</v>
      </c>
      <c r="N27" s="1">
        <v>3826</v>
      </c>
    </row>
    <row r="28" spans="1:14" x14ac:dyDescent="0.25">
      <c r="A28">
        <v>7</v>
      </c>
      <c r="B28">
        <v>27</v>
      </c>
      <c r="C28" s="4">
        <f>IF(ISNUMBER(VLOOKUP(B28,$E$2:$I$1048576,5)), VLOOKUP(B28,$E$2:$I$1048576,5), 0)</f>
        <v>136.92453599999999</v>
      </c>
      <c r="E28">
        <v>26</v>
      </c>
      <c r="F28" t="s">
        <v>10</v>
      </c>
      <c r="G28" t="s">
        <v>16</v>
      </c>
      <c r="H28" t="s">
        <v>36</v>
      </c>
      <c r="I28" s="3">
        <f>'2017'!I28*0.017341</f>
        <v>369.31127699999996</v>
      </c>
      <c r="J28" s="2">
        <f t="shared" si="0"/>
        <v>0.1246269442786419</v>
      </c>
      <c r="K28" t="str">
        <f t="shared" si="1"/>
        <v>Medicare - $369M (12.46%)</v>
      </c>
      <c r="M28">
        <v>3</v>
      </c>
      <c r="N28" s="1">
        <v>9837</v>
      </c>
    </row>
    <row r="29" spans="1:14" x14ac:dyDescent="0.25">
      <c r="A29">
        <v>7</v>
      </c>
      <c r="B29">
        <v>28</v>
      </c>
      <c r="C29" s="4">
        <f>IF(ISNUMBER(VLOOKUP(B29,$E$2:$I$1048576,5)), VLOOKUP(B29,$E$2:$I$1048576,5), 0)</f>
        <v>8.5837949999999985</v>
      </c>
      <c r="E29">
        <v>27</v>
      </c>
      <c r="F29" t="s">
        <v>10</v>
      </c>
      <c r="G29" t="s">
        <v>16</v>
      </c>
      <c r="H29" t="s">
        <v>37</v>
      </c>
      <c r="I29" s="3">
        <f>'2017'!I29*0.017341</f>
        <v>136.92453599999999</v>
      </c>
      <c r="J29" s="2">
        <f t="shared" si="0"/>
        <v>4.6206242758330116E-2</v>
      </c>
      <c r="K29" t="str">
        <f t="shared" si="1"/>
        <v>Medicaid - $137M (4.62%)</v>
      </c>
      <c r="M29">
        <v>16</v>
      </c>
      <c r="N29" s="1">
        <v>1231</v>
      </c>
    </row>
    <row r="30" spans="1:14" x14ac:dyDescent="0.25">
      <c r="A30">
        <v>7</v>
      </c>
      <c r="B30">
        <v>29</v>
      </c>
      <c r="C30" s="4">
        <f>IF(ISNUMBER(VLOOKUP(B30,$E$2:$I$1048576,5)), VLOOKUP(B30,$E$2:$I$1048576,5), 0)</f>
        <v>107.01131099999999</v>
      </c>
      <c r="E30">
        <v>28</v>
      </c>
      <c r="F30" t="s">
        <v>10</v>
      </c>
      <c r="G30" t="s">
        <v>16</v>
      </c>
      <c r="H30" t="s">
        <v>38</v>
      </c>
      <c r="I30" s="3">
        <f>'2017'!I30*0.017341</f>
        <v>8.5837949999999985</v>
      </c>
      <c r="J30" s="2">
        <f t="shared" si="0"/>
        <v>2.896667954074646E-3</v>
      </c>
      <c r="K30" t="str">
        <f t="shared" si="1"/>
        <v>Other Public Insurance - $9M (.29%)</v>
      </c>
      <c r="M30">
        <v>17</v>
      </c>
      <c r="N30" s="1">
        <v>2805</v>
      </c>
    </row>
    <row r="31" spans="1:14" x14ac:dyDescent="0.25">
      <c r="A31">
        <v>8</v>
      </c>
      <c r="B31">
        <v>30</v>
      </c>
      <c r="C31" s="4">
        <f>IF(ISNUMBER(VLOOKUP(B31,$E$2:$I$1048576,5)), VLOOKUP(B31,$E$2:$I$1048576,5), 0)</f>
        <v>1.4913259999999999</v>
      </c>
      <c r="E31">
        <v>29</v>
      </c>
      <c r="F31" t="s">
        <v>10</v>
      </c>
      <c r="G31" t="s">
        <v>16</v>
      </c>
      <c r="H31" t="s">
        <v>39</v>
      </c>
      <c r="I31" s="3">
        <f>'2017'!I31*0.017341</f>
        <v>107.01131099999999</v>
      </c>
      <c r="J31" s="2">
        <f t="shared" si="0"/>
        <v>3.6111793827463927E-2</v>
      </c>
      <c r="K31" t="str">
        <f t="shared" si="1"/>
        <v>Uninsured - $107M (3.61%)</v>
      </c>
      <c r="M31">
        <v>18</v>
      </c>
      <c r="N31" s="1">
        <v>587</v>
      </c>
    </row>
    <row r="32" spans="1:14" x14ac:dyDescent="0.25">
      <c r="A32">
        <v>8</v>
      </c>
      <c r="B32">
        <v>31</v>
      </c>
      <c r="C32" s="4">
        <f>IF(ISNUMBER(VLOOKUP(B32,$E$2:$I$1048576,5)), VLOOKUP(B32,$E$2:$I$1048576,5), 0)</f>
        <v>0</v>
      </c>
      <c r="E32">
        <v>30</v>
      </c>
      <c r="F32" t="s">
        <v>10</v>
      </c>
      <c r="G32" t="s">
        <v>17</v>
      </c>
      <c r="H32" t="s">
        <v>35</v>
      </c>
      <c r="I32" s="3">
        <f>'2017'!I32*0.017341</f>
        <v>1.4913259999999999</v>
      </c>
      <c r="J32" s="2">
        <f t="shared" si="0"/>
        <v>5.0325948293014058E-4</v>
      </c>
      <c r="K32" t="str">
        <f t="shared" si="1"/>
        <v>Commercial - $1M (.05%)</v>
      </c>
      <c r="M32">
        <v>19</v>
      </c>
      <c r="N32" s="1">
        <v>3143</v>
      </c>
    </row>
    <row r="33" spans="1:14" x14ac:dyDescent="0.25">
      <c r="A33">
        <v>8</v>
      </c>
      <c r="B33">
        <v>32</v>
      </c>
      <c r="C33" s="4">
        <f>IF(ISNUMBER(VLOOKUP(B33,$E$2:$I$1048576,5)), VLOOKUP(B33,$E$2:$I$1048576,5), 0)</f>
        <v>10.161826</v>
      </c>
      <c r="E33">
        <v>31</v>
      </c>
      <c r="F33" t="s">
        <v>10</v>
      </c>
      <c r="G33" t="s">
        <v>17</v>
      </c>
      <c r="H33" t="s">
        <v>36</v>
      </c>
      <c r="I33" s="3" t="e">
        <f>'2017'!I33*0.017341</f>
        <v>#VALUE!</v>
      </c>
      <c r="J33" s="2" t="e">
        <f t="shared" si="0"/>
        <v>#VALUE!</v>
      </c>
      <c r="K33" t="s">
        <v>46</v>
      </c>
      <c r="M33">
        <v>4</v>
      </c>
      <c r="N33" s="1">
        <v>7766</v>
      </c>
    </row>
    <row r="34" spans="1:14" x14ac:dyDescent="0.25">
      <c r="A34">
        <v>8</v>
      </c>
      <c r="B34">
        <v>33</v>
      </c>
      <c r="C34" s="4">
        <f>IF(ISNUMBER(VLOOKUP(B34,$E$2:$I$1048576,5)), VLOOKUP(B34,$E$2:$I$1048576,5), 0)</f>
        <v>0.12138699999999999</v>
      </c>
      <c r="E34">
        <v>32</v>
      </c>
      <c r="F34" t="s">
        <v>10</v>
      </c>
      <c r="G34" t="s">
        <v>17</v>
      </c>
      <c r="H34" t="s">
        <v>37</v>
      </c>
      <c r="I34" s="3">
        <f>'2017'!I34*0.017341</f>
        <v>10.161826</v>
      </c>
      <c r="J34" s="2">
        <f t="shared" si="0"/>
        <v>3.4291867092681671E-3</v>
      </c>
      <c r="K34" t="str">
        <f t="shared" si="1"/>
        <v>Medicaid - $10M (.34%)</v>
      </c>
      <c r="M34">
        <v>5</v>
      </c>
      <c r="N34" s="1">
        <v>1231</v>
      </c>
    </row>
    <row r="35" spans="1:14" x14ac:dyDescent="0.25">
      <c r="A35">
        <v>8</v>
      </c>
      <c r="B35">
        <v>34</v>
      </c>
      <c r="C35" s="4">
        <f>IF(ISNUMBER(VLOOKUP(B35,$E$2:$I$1048576,5)), VLOOKUP(B35,$E$2:$I$1048576,5), 0)</f>
        <v>0.97109599999999996</v>
      </c>
      <c r="E35">
        <v>33</v>
      </c>
      <c r="F35" t="s">
        <v>10</v>
      </c>
      <c r="G35" t="s">
        <v>17</v>
      </c>
      <c r="H35" t="s">
        <v>38</v>
      </c>
      <c r="I35" s="3">
        <f>'2017'!I35*0.017341</f>
        <v>0.12138699999999999</v>
      </c>
      <c r="J35" s="2">
        <f t="shared" si="0"/>
        <v>4.0962981168732374E-5</v>
      </c>
      <c r="K35" t="str">
        <f>CONCATENATE(H35," - ",TEXT(I35,"$#,###"),IF(I35="N/A","","M"), " (", TEXT(J35,"##.###%"), ")")</f>
        <v>Other Public Insurance - $M (.004%)</v>
      </c>
      <c r="M35">
        <v>20</v>
      </c>
      <c r="N35" s="1">
        <v>20717</v>
      </c>
    </row>
    <row r="36" spans="1:14" x14ac:dyDescent="0.25">
      <c r="A36">
        <v>9</v>
      </c>
      <c r="B36">
        <v>35</v>
      </c>
      <c r="C36" s="4">
        <f>IF(ISNUMBER(VLOOKUP(B36,$E$2:$I$1048576,5)), VLOOKUP(B36,$E$2:$I$1048576,5), 0)</f>
        <v>17.167589999999997</v>
      </c>
      <c r="E36">
        <v>34</v>
      </c>
      <c r="F36" t="s">
        <v>10</v>
      </c>
      <c r="G36" t="s">
        <v>17</v>
      </c>
      <c r="H36" t="s">
        <v>39</v>
      </c>
      <c r="I36" s="3">
        <f>'2017'!I36*0.017341</f>
        <v>0.97109599999999996</v>
      </c>
      <c r="J36" s="2">
        <f t="shared" si="0"/>
        <v>3.2770384934985899E-4</v>
      </c>
      <c r="K36" t="str">
        <f t="shared" si="1"/>
        <v>Uninsured - $1M (.03%)</v>
      </c>
      <c r="M36">
        <v>21</v>
      </c>
      <c r="N36" s="1">
        <v>3433</v>
      </c>
    </row>
    <row r="37" spans="1:14" x14ac:dyDescent="0.25">
      <c r="A37">
        <v>9</v>
      </c>
      <c r="B37">
        <v>36</v>
      </c>
      <c r="C37" s="4">
        <f>IF(ISNUMBER(VLOOKUP(B37,$E$2:$I$1048576,5)), VLOOKUP(B37,$E$2:$I$1048576,5), 0)</f>
        <v>10.040438999999999</v>
      </c>
      <c r="E37">
        <v>35</v>
      </c>
      <c r="F37" t="s">
        <v>10</v>
      </c>
      <c r="G37" t="s">
        <v>18</v>
      </c>
      <c r="H37" t="s">
        <v>35</v>
      </c>
      <c r="I37" s="3">
        <f>'2017'!I37*0.017341</f>
        <v>17.167589999999997</v>
      </c>
      <c r="J37" s="2">
        <f t="shared" si="0"/>
        <v>5.793335908149292E-3</v>
      </c>
      <c r="K37" t="str">
        <f t="shared" si="1"/>
        <v>Commercial - $17M (.58%)</v>
      </c>
      <c r="M37">
        <v>22</v>
      </c>
      <c r="N37" s="1">
        <v>393</v>
      </c>
    </row>
    <row r="38" spans="1:14" x14ac:dyDescent="0.25">
      <c r="A38">
        <v>9</v>
      </c>
      <c r="B38">
        <v>37</v>
      </c>
      <c r="C38" s="4">
        <f>IF(ISNUMBER(VLOOKUP(B38,$E$2:$I$1048576,5)), VLOOKUP(B38,$E$2:$I$1048576,5), 0)</f>
        <v>8.0809059999999988</v>
      </c>
      <c r="E38">
        <v>36</v>
      </c>
      <c r="F38" t="s">
        <v>10</v>
      </c>
      <c r="G38" t="s">
        <v>18</v>
      </c>
      <c r="H38" t="s">
        <v>36</v>
      </c>
      <c r="I38" s="3">
        <f>'2017'!I38*0.017341</f>
        <v>10.040438999999999</v>
      </c>
      <c r="J38" s="2">
        <f t="shared" si="0"/>
        <v>3.3882237280994346E-3</v>
      </c>
      <c r="K38" t="str">
        <f t="shared" si="1"/>
        <v>Medicare - $10M (.34%)</v>
      </c>
      <c r="M38">
        <v>23</v>
      </c>
      <c r="N38" s="1">
        <v>36</v>
      </c>
    </row>
    <row r="39" spans="1:14" x14ac:dyDescent="0.25">
      <c r="A39">
        <v>9</v>
      </c>
      <c r="B39">
        <v>38</v>
      </c>
      <c r="C39" s="4">
        <f>IF(ISNUMBER(VLOOKUP(B39,$E$2:$I$1048576,5)), VLOOKUP(B39,$E$2:$I$1048576,5), 0)</f>
        <v>0.50288899999999992</v>
      </c>
      <c r="E39">
        <v>37</v>
      </c>
      <c r="F39" t="s">
        <v>10</v>
      </c>
      <c r="G39" t="s">
        <v>18</v>
      </c>
      <c r="H39" t="s">
        <v>37</v>
      </c>
      <c r="I39" s="3">
        <f>'2017'!I39*0.017341</f>
        <v>8.0809059999999988</v>
      </c>
      <c r="J39" s="2">
        <f t="shared" si="0"/>
        <v>2.7269641749470405E-3</v>
      </c>
      <c r="K39" t="str">
        <f t="shared" si="1"/>
        <v>Medicaid - $8M (.27%)</v>
      </c>
      <c r="M39">
        <v>24</v>
      </c>
      <c r="N39" s="1">
        <v>470</v>
      </c>
    </row>
    <row r="40" spans="1:14" x14ac:dyDescent="0.25">
      <c r="A40">
        <v>9</v>
      </c>
      <c r="B40">
        <v>39</v>
      </c>
      <c r="C40" s="4">
        <f>IF(ISNUMBER(VLOOKUP(B40,$E$2:$I$1048576,5)), VLOOKUP(B40,$E$2:$I$1048576,5), 0)</f>
        <v>6.3121239999999998</v>
      </c>
      <c r="E40">
        <v>38</v>
      </c>
      <c r="F40" t="s">
        <v>10</v>
      </c>
      <c r="G40" t="s">
        <v>18</v>
      </c>
      <c r="H40" t="s">
        <v>38</v>
      </c>
      <c r="I40" s="3">
        <f>'2017'!I40*0.017341</f>
        <v>0.50288899999999992</v>
      </c>
      <c r="J40" s="2">
        <f t="shared" si="0"/>
        <v>1.6970377912760553E-4</v>
      </c>
      <c r="K40" t="str">
        <f t="shared" si="1"/>
        <v>Other Public Insurance - $1M (.02%)</v>
      </c>
      <c r="M40">
        <v>6</v>
      </c>
      <c r="N40" s="1">
        <v>25049</v>
      </c>
    </row>
    <row r="41" spans="1:14" x14ac:dyDescent="0.25">
      <c r="A41">
        <v>26</v>
      </c>
      <c r="B41">
        <v>40</v>
      </c>
      <c r="C41" s="4">
        <f>IF(ISNUMBER(VLOOKUP(A41,$E$2:$I$1048576,5)), VLOOKUP(A41,$E$2:$I$1048576,5), 0)</f>
        <v>369.31127699999996</v>
      </c>
      <c r="E41">
        <v>39</v>
      </c>
      <c r="F41" t="s">
        <v>10</v>
      </c>
      <c r="G41" t="s">
        <v>18</v>
      </c>
      <c r="H41" t="s">
        <v>39</v>
      </c>
      <c r="I41" s="3">
        <f>'2017'!I41*0.017341</f>
        <v>6.3121239999999998</v>
      </c>
      <c r="J41" s="2">
        <f t="shared" si="0"/>
        <v>2.1300750207740833E-3</v>
      </c>
      <c r="K41" t="str">
        <f t="shared" si="1"/>
        <v>Uninsured - $6M (.21%)</v>
      </c>
      <c r="M41">
        <v>0</v>
      </c>
      <c r="N41" s="1">
        <v>170886</v>
      </c>
    </row>
    <row r="42" spans="1:14" x14ac:dyDescent="0.25">
      <c r="A42">
        <v>27</v>
      </c>
      <c r="B42">
        <v>40</v>
      </c>
      <c r="C42" s="4">
        <f t="shared" ref="C42:C71" si="2">IF(ISNUMBER(VLOOKUP(A42,$E$2:$I$1048576,5)), VLOOKUP(A42,$E$2:$I$1048576,5), 0)</f>
        <v>136.92453599999999</v>
      </c>
      <c r="E42">
        <v>40</v>
      </c>
      <c r="H42" t="s">
        <v>41</v>
      </c>
      <c r="I42" s="3">
        <f>'2017'!I42*0.017341</f>
        <v>855.74366799999996</v>
      </c>
      <c r="J42" s="2">
        <f t="shared" si="0"/>
        <v>0.28877731353065789</v>
      </c>
      <c r="K42" t="str">
        <f t="shared" si="1"/>
        <v>Federal, State, and Local Governments - $856M (28.88%)</v>
      </c>
      <c r="M42">
        <v>40</v>
      </c>
      <c r="N42" s="1">
        <v>49348</v>
      </c>
    </row>
    <row r="43" spans="1:14" x14ac:dyDescent="0.25">
      <c r="A43">
        <v>28</v>
      </c>
      <c r="B43">
        <v>40</v>
      </c>
      <c r="C43" s="4">
        <f t="shared" si="2"/>
        <v>8.5837949999999985</v>
      </c>
      <c r="E43">
        <v>41</v>
      </c>
      <c r="H43" t="s">
        <v>42</v>
      </c>
      <c r="I43" s="3">
        <f>'2017'!I43*0.017341</f>
        <v>2107.5904579999997</v>
      </c>
      <c r="J43" s="2">
        <f t="shared" si="0"/>
        <v>0.71122268646934206</v>
      </c>
      <c r="K43" t="str">
        <f>CONCATENATE(H43," - ",TEXT(I43,"$#,###"),IF(I43="N/A","","M"), " (", TEXT(J43,"##.##%"), ")")</f>
        <v>Private Sector and Individuals - $2,108M (71.12%)</v>
      </c>
      <c r="M43">
        <v>41</v>
      </c>
      <c r="N43" s="1">
        <v>121538</v>
      </c>
    </row>
    <row r="44" spans="1:14" x14ac:dyDescent="0.25">
      <c r="A44">
        <v>31</v>
      </c>
      <c r="B44">
        <v>40</v>
      </c>
      <c r="C44" s="4">
        <f t="shared" si="2"/>
        <v>0</v>
      </c>
    </row>
    <row r="45" spans="1:14" x14ac:dyDescent="0.25">
      <c r="A45">
        <v>32</v>
      </c>
      <c r="B45">
        <v>40</v>
      </c>
      <c r="C45" s="4">
        <f t="shared" si="2"/>
        <v>10.161826</v>
      </c>
    </row>
    <row r="46" spans="1:14" x14ac:dyDescent="0.25">
      <c r="A46">
        <v>33</v>
      </c>
      <c r="B46">
        <v>40</v>
      </c>
      <c r="C46" s="4">
        <f t="shared" si="2"/>
        <v>0.12138699999999999</v>
      </c>
    </row>
    <row r="47" spans="1:14" x14ac:dyDescent="0.25">
      <c r="A47">
        <v>36</v>
      </c>
      <c r="B47">
        <v>40</v>
      </c>
      <c r="C47" s="4">
        <f t="shared" si="2"/>
        <v>10.040438999999999</v>
      </c>
    </row>
    <row r="48" spans="1:14" x14ac:dyDescent="0.25">
      <c r="A48">
        <v>37</v>
      </c>
      <c r="B48">
        <v>40</v>
      </c>
      <c r="C48" s="4">
        <f t="shared" si="2"/>
        <v>8.0809059999999988</v>
      </c>
    </row>
    <row r="49" spans="1:3" x14ac:dyDescent="0.25">
      <c r="A49">
        <v>38</v>
      </c>
      <c r="B49">
        <v>40</v>
      </c>
      <c r="C49" s="4">
        <f t="shared" si="2"/>
        <v>0.50288899999999992</v>
      </c>
    </row>
    <row r="50" spans="1:3" x14ac:dyDescent="0.25">
      <c r="A50">
        <v>12</v>
      </c>
      <c r="B50">
        <v>40</v>
      </c>
      <c r="C50" s="4">
        <f t="shared" si="2"/>
        <v>62.254189999999994</v>
      </c>
    </row>
    <row r="51" spans="1:3" x14ac:dyDescent="0.25">
      <c r="A51">
        <v>13</v>
      </c>
      <c r="B51">
        <v>40</v>
      </c>
      <c r="C51" s="4">
        <f t="shared" si="2"/>
        <v>27.398779999999999</v>
      </c>
    </row>
    <row r="52" spans="1:3" x14ac:dyDescent="0.25">
      <c r="A52">
        <v>15</v>
      </c>
      <c r="B52">
        <v>40</v>
      </c>
      <c r="C52" s="4">
        <f t="shared" si="2"/>
        <v>66.346665999999999</v>
      </c>
    </row>
    <row r="53" spans="1:3" x14ac:dyDescent="0.25">
      <c r="A53">
        <v>16</v>
      </c>
      <c r="B53">
        <v>40</v>
      </c>
      <c r="C53" s="4">
        <f t="shared" si="2"/>
        <v>21.346770999999997</v>
      </c>
    </row>
    <row r="54" spans="1:3" x14ac:dyDescent="0.25">
      <c r="A54">
        <v>17</v>
      </c>
      <c r="B54">
        <v>40</v>
      </c>
      <c r="C54" s="4">
        <f t="shared" si="2"/>
        <v>48.641504999999995</v>
      </c>
    </row>
    <row r="55" spans="1:3" x14ac:dyDescent="0.25">
      <c r="A55">
        <v>18</v>
      </c>
      <c r="B55">
        <v>40</v>
      </c>
      <c r="C55" s="4">
        <f t="shared" si="2"/>
        <v>10.179167</v>
      </c>
    </row>
    <row r="56" spans="1:3" x14ac:dyDescent="0.25">
      <c r="A56">
        <v>19</v>
      </c>
      <c r="B56">
        <v>40</v>
      </c>
      <c r="C56" s="4">
        <f t="shared" si="2"/>
        <v>54.502762999999995</v>
      </c>
    </row>
    <row r="57" spans="1:3" x14ac:dyDescent="0.25">
      <c r="A57">
        <v>5</v>
      </c>
      <c r="B57">
        <v>40</v>
      </c>
      <c r="C57" s="4">
        <f t="shared" si="2"/>
        <v>21.346770999999997</v>
      </c>
    </row>
    <row r="58" spans="1:3" x14ac:dyDescent="0.25">
      <c r="A58">
        <v>25</v>
      </c>
      <c r="B58">
        <v>41</v>
      </c>
      <c r="C58" s="4">
        <f t="shared" si="2"/>
        <v>290.98197999999996</v>
      </c>
    </row>
    <row r="59" spans="1:3" x14ac:dyDescent="0.25">
      <c r="A59">
        <v>29</v>
      </c>
      <c r="B59">
        <v>41</v>
      </c>
      <c r="C59" s="4">
        <f t="shared" si="2"/>
        <v>107.01131099999999</v>
      </c>
    </row>
    <row r="60" spans="1:3" x14ac:dyDescent="0.25">
      <c r="A60">
        <v>30</v>
      </c>
      <c r="B60">
        <v>41</v>
      </c>
      <c r="C60" s="4">
        <f t="shared" si="2"/>
        <v>1.4913259999999999</v>
      </c>
    </row>
    <row r="61" spans="1:3" x14ac:dyDescent="0.25">
      <c r="A61">
        <v>34</v>
      </c>
      <c r="B61">
        <v>41</v>
      </c>
      <c r="C61" s="4">
        <f t="shared" si="2"/>
        <v>0.97109599999999996</v>
      </c>
    </row>
    <row r="62" spans="1:3" x14ac:dyDescent="0.25">
      <c r="A62">
        <v>35</v>
      </c>
      <c r="B62">
        <v>41</v>
      </c>
      <c r="C62" s="4">
        <f t="shared" si="2"/>
        <v>17.167589999999997</v>
      </c>
    </row>
    <row r="63" spans="1:3" x14ac:dyDescent="0.25">
      <c r="A63">
        <v>39</v>
      </c>
      <c r="B63">
        <v>41</v>
      </c>
      <c r="C63" s="4">
        <f t="shared" si="2"/>
        <v>6.3121239999999998</v>
      </c>
    </row>
    <row r="64" spans="1:3" x14ac:dyDescent="0.25">
      <c r="A64">
        <v>10</v>
      </c>
      <c r="B64">
        <v>41</v>
      </c>
      <c r="C64" s="4">
        <f t="shared" si="2"/>
        <v>4.4913189999999998</v>
      </c>
    </row>
    <row r="65" spans="1:3" x14ac:dyDescent="0.25">
      <c r="A65">
        <v>11</v>
      </c>
      <c r="B65">
        <v>41</v>
      </c>
      <c r="C65" s="4">
        <f t="shared" si="2"/>
        <v>1230.2225629999998</v>
      </c>
    </row>
    <row r="66" spans="1:3" x14ac:dyDescent="0.25">
      <c r="A66">
        <v>14</v>
      </c>
      <c r="B66">
        <v>41</v>
      </c>
      <c r="C66" s="4">
        <f t="shared" si="2"/>
        <v>14.583780999999998</v>
      </c>
    </row>
    <row r="67" spans="1:3" x14ac:dyDescent="0.25">
      <c r="A67">
        <v>20</v>
      </c>
      <c r="B67">
        <v>41</v>
      </c>
      <c r="C67" s="4">
        <f t="shared" si="2"/>
        <v>359.25349699999998</v>
      </c>
    </row>
    <row r="68" spans="1:3" x14ac:dyDescent="0.25">
      <c r="A68">
        <v>21</v>
      </c>
      <c r="B68">
        <v>41</v>
      </c>
      <c r="C68" s="4">
        <f t="shared" si="2"/>
        <v>59.531652999999999</v>
      </c>
    </row>
    <row r="69" spans="1:3" x14ac:dyDescent="0.25">
      <c r="A69">
        <v>22</v>
      </c>
      <c r="B69">
        <v>41</v>
      </c>
      <c r="C69" s="4">
        <f t="shared" si="2"/>
        <v>6.8150129999999995</v>
      </c>
    </row>
    <row r="70" spans="1:3" x14ac:dyDescent="0.25">
      <c r="A70">
        <v>23</v>
      </c>
      <c r="B70">
        <v>41</v>
      </c>
      <c r="C70" s="4">
        <f t="shared" si="2"/>
        <v>0.62427599999999994</v>
      </c>
    </row>
    <row r="71" spans="1:3" x14ac:dyDescent="0.25">
      <c r="A71">
        <v>24</v>
      </c>
      <c r="B71">
        <v>41</v>
      </c>
      <c r="C71" s="4">
        <f t="shared" si="2"/>
        <v>8.150269999999999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G1" workbookViewId="0">
      <selection activeCell="I2" sqref="I2"/>
    </sheetView>
  </sheetViews>
  <sheetFormatPr defaultRowHeight="15" x14ac:dyDescent="0.25"/>
  <cols>
    <col min="6" max="6" width="14.28515625" customWidth="1"/>
    <col min="7" max="7" width="11.5703125" customWidth="1"/>
    <col min="8" max="8" width="14.140625" customWidth="1"/>
    <col min="9" max="9" width="9.85546875" style="1" bestFit="1" customWidth="1"/>
    <col min="10" max="10" width="18.42578125" style="2" bestFit="1" customWidth="1"/>
    <col min="11" max="11" width="58.28515625" bestFit="1" customWidth="1"/>
    <col min="12" max="12" width="10.42578125" customWidth="1"/>
    <col min="13" max="13" width="1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45</v>
      </c>
      <c r="K1" t="s">
        <v>8</v>
      </c>
      <c r="M1" t="s">
        <v>43</v>
      </c>
      <c r="N1" t="s">
        <v>44</v>
      </c>
    </row>
    <row r="2" spans="1:14" x14ac:dyDescent="0.25">
      <c r="A2">
        <v>0</v>
      </c>
      <c r="B2">
        <v>1</v>
      </c>
      <c r="C2" s="4">
        <f>IF(ISNUMBER(VLOOKUP(B2,$E$2:$I$1048576,5)), VLOOKUP(B2,$E$2:$I$1048576,5), 0)</f>
        <v>730.85556799999995</v>
      </c>
      <c r="E2">
        <v>0</v>
      </c>
      <c r="H2" t="s">
        <v>9</v>
      </c>
      <c r="I2" s="3">
        <f>'2016'!I2*0.014128</f>
        <v>2209.590944</v>
      </c>
      <c r="J2" s="2">
        <f>I2/$I$2</f>
        <v>1</v>
      </c>
      <c r="K2" t="str">
        <f>CONCATENATE(H2," - ",TEXT(I2,"$#,###"),IF(I2="N/A","","M"), " (", TEXT(J2,"##.##%"), ")")</f>
        <v>Total Cost  - $2,210M (100.%)</v>
      </c>
      <c r="M2">
        <v>25</v>
      </c>
      <c r="N2" s="1">
        <v>15761</v>
      </c>
    </row>
    <row r="3" spans="1:14" x14ac:dyDescent="0.25">
      <c r="A3">
        <v>0</v>
      </c>
      <c r="B3">
        <v>2</v>
      </c>
      <c r="C3" s="4">
        <f>IF(ISNUMBER(VLOOKUP(B3,$E$2:$I$1048576,5)), VLOOKUP(B3,$E$2:$I$1048576,5), 0)</f>
        <v>878.23886400000004</v>
      </c>
      <c r="E3">
        <v>1</v>
      </c>
      <c r="H3" t="s">
        <v>10</v>
      </c>
      <c r="I3" s="3">
        <f>'2016'!I3*0.014128</f>
        <v>730.85556799999995</v>
      </c>
      <c r="J3" s="2">
        <f t="shared" ref="J3:J43" si="0">I3/$I$2</f>
        <v>0.33076509929794495</v>
      </c>
      <c r="K3" t="str">
        <f t="shared" ref="K3:K42" si="1">CONCATENATE(H3," - ",TEXT(I3,"$#,###"),IF(I3="N/A","","M"), " (", TEXT(J3,"##.##%"), ")")</f>
        <v>Healthcare - $731M (33.08%)</v>
      </c>
      <c r="M3">
        <v>26</v>
      </c>
      <c r="N3" s="1">
        <v>19560</v>
      </c>
    </row>
    <row r="4" spans="1:14" x14ac:dyDescent="0.25">
      <c r="A4">
        <v>0</v>
      </c>
      <c r="B4">
        <v>3</v>
      </c>
      <c r="C4" s="4">
        <f>IF(ISNUMBER(VLOOKUP(B4,$E$2:$I$1048576,5)), VLOOKUP(B4,$E$2:$I$1048576,5), 0)</f>
        <v>129.34183999999999</v>
      </c>
      <c r="E4">
        <v>2</v>
      </c>
      <c r="H4" t="s">
        <v>11</v>
      </c>
      <c r="I4" s="3">
        <f>'2016'!I4*0.014128</f>
        <v>878.23886400000004</v>
      </c>
      <c r="J4" s="2">
        <f t="shared" si="0"/>
        <v>0.39746671952326756</v>
      </c>
      <c r="K4" t="str">
        <f t="shared" si="1"/>
        <v>Mortality - $878M (39.75%)</v>
      </c>
      <c r="M4">
        <v>27</v>
      </c>
      <c r="N4" s="1">
        <v>7402</v>
      </c>
    </row>
    <row r="5" spans="1:14" x14ac:dyDescent="0.25">
      <c r="A5">
        <v>0</v>
      </c>
      <c r="B5">
        <v>4</v>
      </c>
      <c r="C5" s="4">
        <f>IF(ISNUMBER(VLOOKUP(B5,$E$2:$I$1048576,5)), VLOOKUP(B5,$E$2:$I$1048576,5), 0)</f>
        <v>120.737888</v>
      </c>
      <c r="E5">
        <v>3</v>
      </c>
      <c r="H5" t="s">
        <v>12</v>
      </c>
      <c r="I5" s="3">
        <f>'2016'!I5*0.014128</f>
        <v>129.34183999999999</v>
      </c>
      <c r="J5" s="2">
        <f t="shared" si="0"/>
        <v>5.8536554175884596E-2</v>
      </c>
      <c r="K5" t="str">
        <f t="shared" si="1"/>
        <v>Criminal Justice - $129M (5.85%)</v>
      </c>
      <c r="M5">
        <v>28</v>
      </c>
      <c r="N5" s="1">
        <v>467</v>
      </c>
    </row>
    <row r="6" spans="1:14" x14ac:dyDescent="0.25">
      <c r="A6">
        <v>0</v>
      </c>
      <c r="B6">
        <v>5</v>
      </c>
      <c r="C6" s="4">
        <f>IF(ISNUMBER(VLOOKUP(B6,$E$2:$I$1048576,5)), VLOOKUP(B6,$E$2:$I$1048576,5), 0)</f>
        <v>18.860880000000002</v>
      </c>
      <c r="E6">
        <v>4</v>
      </c>
      <c r="H6" t="s">
        <v>13</v>
      </c>
      <c r="I6" s="3">
        <f>'2016'!I6*0.014128</f>
        <v>120.737888</v>
      </c>
      <c r="J6" s="2">
        <f t="shared" si="0"/>
        <v>5.4642642489034388E-2</v>
      </c>
      <c r="K6" t="str">
        <f t="shared" si="1"/>
        <v>Child and Family Assistance - $121M (5.46%)</v>
      </c>
      <c r="M6">
        <v>29</v>
      </c>
      <c r="N6" s="1">
        <v>5638</v>
      </c>
    </row>
    <row r="7" spans="1:14" x14ac:dyDescent="0.25">
      <c r="A7">
        <v>0</v>
      </c>
      <c r="B7">
        <v>6</v>
      </c>
      <c r="C7" s="4">
        <f>IF(ISNUMBER(VLOOKUP(B7,$E$2:$I$1048576,5)), VLOOKUP(B7,$E$2:$I$1048576,5), 0)</f>
        <v>331.555904</v>
      </c>
      <c r="E7">
        <v>5</v>
      </c>
      <c r="H7" t="s">
        <v>14</v>
      </c>
      <c r="I7" s="3">
        <f>'2016'!I7*0.014128</f>
        <v>18.860880000000002</v>
      </c>
      <c r="J7" s="2">
        <f t="shared" si="0"/>
        <v>8.5359147815189454E-3</v>
      </c>
      <c r="K7" t="str">
        <f t="shared" si="1"/>
        <v>Education - $19M (.85%)</v>
      </c>
      <c r="M7">
        <v>7</v>
      </c>
      <c r="N7" s="1">
        <v>48827</v>
      </c>
    </row>
    <row r="8" spans="1:14" x14ac:dyDescent="0.25">
      <c r="A8">
        <v>1</v>
      </c>
      <c r="B8">
        <v>7</v>
      </c>
      <c r="C8" s="4">
        <f>IF(ISNUMBER(VLOOKUP(B8,$E$2:$I$1048576,5)), VLOOKUP(B8,$E$2:$I$1048576,5), 0)</f>
        <v>689.827856</v>
      </c>
      <c r="E8">
        <v>6</v>
      </c>
      <c r="H8" t="s">
        <v>15</v>
      </c>
      <c r="I8" s="3">
        <f>'2016'!I8*0.014128</f>
        <v>331.555904</v>
      </c>
      <c r="J8" s="2">
        <f t="shared" si="0"/>
        <v>0.15005306973234953</v>
      </c>
      <c r="K8" t="str">
        <f t="shared" si="1"/>
        <v>Lost Productivity - $332M (15.01%)</v>
      </c>
      <c r="M8">
        <v>30</v>
      </c>
      <c r="N8" s="1">
        <v>82</v>
      </c>
    </row>
    <row r="9" spans="1:14" x14ac:dyDescent="0.25">
      <c r="A9">
        <v>1</v>
      </c>
      <c r="B9">
        <v>8</v>
      </c>
      <c r="C9" s="4">
        <f>IF(ISNUMBER(VLOOKUP(B9,$E$2:$I$1048576,5)), VLOOKUP(B9,$E$2:$I$1048576,5), 0)</f>
        <v>9.6211680000000008</v>
      </c>
      <c r="E9">
        <v>7</v>
      </c>
      <c r="F9" t="s">
        <v>10</v>
      </c>
      <c r="H9" t="s">
        <v>16</v>
      </c>
      <c r="I9" s="3">
        <f>'2016'!I9*0.014128</f>
        <v>689.827856</v>
      </c>
      <c r="J9" s="2">
        <f t="shared" si="0"/>
        <v>0.31219708691927006</v>
      </c>
      <c r="K9" t="str">
        <f t="shared" si="1"/>
        <v>For individuals with OUD - $690M (31.22%)</v>
      </c>
      <c r="M9">
        <v>31</v>
      </c>
      <c r="N9" s="1" t="s">
        <v>40</v>
      </c>
    </row>
    <row r="10" spans="1:14" x14ac:dyDescent="0.25">
      <c r="A10">
        <v>1</v>
      </c>
      <c r="B10">
        <v>9</v>
      </c>
      <c r="C10" s="4">
        <f>IF(ISNUMBER(VLOOKUP(B10,$E$2:$I$1048576,5)), VLOOKUP(B10,$E$2:$I$1048576,5), 0)</f>
        <v>31.406544</v>
      </c>
      <c r="E10">
        <v>8</v>
      </c>
      <c r="F10" t="s">
        <v>10</v>
      </c>
      <c r="H10" t="s">
        <v>17</v>
      </c>
      <c r="I10" s="3">
        <f>'2016'!I10*0.014128</f>
        <v>9.6211680000000008</v>
      </c>
      <c r="J10" s="2">
        <f t="shared" si="0"/>
        <v>4.3542756301231476E-3</v>
      </c>
      <c r="K10" t="str">
        <f t="shared" si="1"/>
        <v>For infants born with NAS or NOWS - $10M (.44%)</v>
      </c>
      <c r="M10">
        <v>32</v>
      </c>
      <c r="N10" s="1">
        <v>540</v>
      </c>
    </row>
    <row r="11" spans="1:14" x14ac:dyDescent="0.25">
      <c r="A11">
        <v>2</v>
      </c>
      <c r="B11">
        <v>10</v>
      </c>
      <c r="C11" s="4">
        <f>IF(ISNUMBER(VLOOKUP(B11,$E$2:$I$1048576,5)), VLOOKUP(B11,$E$2:$I$1048576,5), 0)</f>
        <v>3.1787999999999998</v>
      </c>
      <c r="E11">
        <v>9</v>
      </c>
      <c r="F11" t="s">
        <v>10</v>
      </c>
      <c r="H11" t="s">
        <v>18</v>
      </c>
      <c r="I11" s="3">
        <f>'2016'!I11*0.014128</f>
        <v>31.406544</v>
      </c>
      <c r="J11" s="2">
        <f t="shared" si="0"/>
        <v>1.4213736748551772E-2</v>
      </c>
      <c r="K11" t="str">
        <f t="shared" si="1"/>
        <v>For family members of individual with OUD - $31M (1.42%)</v>
      </c>
      <c r="M11">
        <v>33</v>
      </c>
      <c r="N11" s="1">
        <v>7</v>
      </c>
    </row>
    <row r="12" spans="1:14" x14ac:dyDescent="0.25">
      <c r="A12">
        <v>2</v>
      </c>
      <c r="B12">
        <v>11</v>
      </c>
      <c r="C12" s="4">
        <f>IF(ISNUMBER(VLOOKUP(B12,$E$2:$I$1048576,5)), VLOOKUP(B12,$E$2:$I$1048576,5), 0)</f>
        <v>875.06006400000001</v>
      </c>
      <c r="E12">
        <v>10</v>
      </c>
      <c r="F12" t="s">
        <v>11</v>
      </c>
      <c r="H12" t="s">
        <v>19</v>
      </c>
      <c r="I12" s="3">
        <f>'2016'!I12*0.014128</f>
        <v>3.1787999999999998</v>
      </c>
      <c r="J12" s="2">
        <f t="shared" si="0"/>
        <v>1.4386373227279121E-3</v>
      </c>
      <c r="K12" t="str">
        <f t="shared" si="1"/>
        <v>Medical Costs - $3M (.14%)</v>
      </c>
      <c r="M12">
        <v>34</v>
      </c>
      <c r="N12" s="1">
        <v>52</v>
      </c>
    </row>
    <row r="13" spans="1:14" x14ac:dyDescent="0.25">
      <c r="A13">
        <v>3</v>
      </c>
      <c r="B13">
        <v>12</v>
      </c>
      <c r="C13" s="4">
        <f>IF(ISNUMBER(VLOOKUP(B13,$E$2:$I$1048576,5)), VLOOKUP(B13,$E$2:$I$1048576,5), 0)</f>
        <v>45.011808000000002</v>
      </c>
      <c r="E13">
        <v>11</v>
      </c>
      <c r="F13" t="s">
        <v>11</v>
      </c>
      <c r="H13" t="s">
        <v>20</v>
      </c>
      <c r="I13" s="3">
        <f>'2016'!I13*0.014128</f>
        <v>875.06006400000001</v>
      </c>
      <c r="J13" s="2">
        <f t="shared" si="0"/>
        <v>0.39602808220053964</v>
      </c>
      <c r="K13" t="str">
        <f t="shared" si="1"/>
        <v>Lost Lifetime Earnings - $875M (39.6%)</v>
      </c>
      <c r="M13">
        <v>8</v>
      </c>
      <c r="N13" s="1">
        <v>681</v>
      </c>
    </row>
    <row r="14" spans="1:14" x14ac:dyDescent="0.25">
      <c r="A14">
        <v>3</v>
      </c>
      <c r="B14">
        <v>13</v>
      </c>
      <c r="C14" s="4">
        <f>IF(ISNUMBER(VLOOKUP(B14,$E$2:$I$1048576,5)), VLOOKUP(B14,$E$2:$I$1048576,5), 0)</f>
        <v>20.019376000000001</v>
      </c>
      <c r="E14">
        <v>12</v>
      </c>
      <c r="F14" t="s">
        <v>12</v>
      </c>
      <c r="H14" t="s">
        <v>21</v>
      </c>
      <c r="I14" s="3">
        <f>'2016'!I14*0.014128</f>
        <v>45.011808000000002</v>
      </c>
      <c r="J14" s="2">
        <f t="shared" si="0"/>
        <v>2.0371104489827235E-2</v>
      </c>
      <c r="K14" t="str">
        <f t="shared" si="1"/>
        <v>Police Protection - $45M (2.04%)</v>
      </c>
      <c r="M14">
        <v>35</v>
      </c>
      <c r="N14" s="1">
        <v>915</v>
      </c>
    </row>
    <row r="15" spans="1:14" x14ac:dyDescent="0.25">
      <c r="A15">
        <v>3</v>
      </c>
      <c r="B15">
        <v>14</v>
      </c>
      <c r="C15" s="4">
        <f>IF(ISNUMBER(VLOOKUP(B15,$E$2:$I$1048576,5)), VLOOKUP(B15,$E$2:$I$1048576,5), 0)</f>
        <v>13.308576</v>
      </c>
      <c r="E15">
        <v>13</v>
      </c>
      <c r="F15" t="s">
        <v>12</v>
      </c>
      <c r="H15" t="s">
        <v>22</v>
      </c>
      <c r="I15" s="3">
        <f>'2016'!I15*0.014128</f>
        <v>20.019376000000001</v>
      </c>
      <c r="J15" s="2">
        <f t="shared" si="0"/>
        <v>9.0602181613575628E-3</v>
      </c>
      <c r="K15" t="str">
        <f t="shared" si="1"/>
        <v>Legal and Adjudication Activities - $20M (.91%)</v>
      </c>
      <c r="M15">
        <v>36</v>
      </c>
      <c r="N15" s="1">
        <v>524</v>
      </c>
    </row>
    <row r="16" spans="1:14" x14ac:dyDescent="0.25">
      <c r="A16">
        <v>3</v>
      </c>
      <c r="B16">
        <v>15</v>
      </c>
      <c r="C16" s="4">
        <f>IF(ISNUMBER(VLOOKUP(B16,$E$2:$I$1048576,5)), VLOOKUP(B16,$E$2:$I$1048576,5), 0)</f>
        <v>51.002079999999999</v>
      </c>
      <c r="E16">
        <v>14</v>
      </c>
      <c r="F16" t="s">
        <v>12</v>
      </c>
      <c r="H16" t="s">
        <v>23</v>
      </c>
      <c r="I16" s="3">
        <f>'2016'!I16*0.014128</f>
        <v>13.308576</v>
      </c>
      <c r="J16" s="2">
        <f t="shared" si="0"/>
        <v>6.0230949244875253E-3</v>
      </c>
      <c r="K16" t="str">
        <f t="shared" si="1"/>
        <v>Property Lost Due to Crime - $13M (.6%)</v>
      </c>
      <c r="M16">
        <v>37</v>
      </c>
      <c r="N16" s="1">
        <v>430</v>
      </c>
    </row>
    <row r="17" spans="1:14" x14ac:dyDescent="0.25">
      <c r="A17">
        <v>4</v>
      </c>
      <c r="B17">
        <v>16</v>
      </c>
      <c r="C17" s="4">
        <f>IF(ISNUMBER(VLOOKUP(B17,$E$2:$I$1048576,5)), VLOOKUP(B17,$E$2:$I$1048576,5), 0)</f>
        <v>17.928432000000001</v>
      </c>
      <c r="E17">
        <v>15</v>
      </c>
      <c r="F17" t="s">
        <v>12</v>
      </c>
      <c r="H17" t="s">
        <v>24</v>
      </c>
      <c r="I17" s="3">
        <f>'2016'!I17*0.014128</f>
        <v>51.002079999999999</v>
      </c>
      <c r="J17" s="2">
        <f t="shared" si="0"/>
        <v>2.3082136600212279E-2</v>
      </c>
      <c r="K17" t="str">
        <f t="shared" si="1"/>
        <v>Correctional Facilities - $51M (2.31%)</v>
      </c>
      <c r="M17">
        <v>38</v>
      </c>
      <c r="N17" s="1">
        <v>27</v>
      </c>
    </row>
    <row r="18" spans="1:14" x14ac:dyDescent="0.25">
      <c r="A18">
        <v>4</v>
      </c>
      <c r="B18">
        <v>17</v>
      </c>
      <c r="C18" s="4">
        <f>IF(ISNUMBER(VLOOKUP(B18,$E$2:$I$1048576,5)), VLOOKUP(B18,$E$2:$I$1048576,5), 0)</f>
        <v>45.407392000000002</v>
      </c>
      <c r="E18">
        <v>16</v>
      </c>
      <c r="F18" t="s">
        <v>25</v>
      </c>
      <c r="H18" t="s">
        <v>26</v>
      </c>
      <c r="I18" s="3">
        <f>'2016'!I18*0.014128</f>
        <v>17.928432000000001</v>
      </c>
      <c r="J18" s="2">
        <f t="shared" si="0"/>
        <v>8.1139145001854242E-3</v>
      </c>
      <c r="K18" t="str">
        <f t="shared" si="1"/>
        <v>Child Welfare - $18M (.81%)</v>
      </c>
      <c r="M18">
        <v>39</v>
      </c>
      <c r="N18" s="1">
        <v>327</v>
      </c>
    </row>
    <row r="19" spans="1:14" x14ac:dyDescent="0.25">
      <c r="A19">
        <v>4</v>
      </c>
      <c r="B19">
        <v>18</v>
      </c>
      <c r="C19" s="4">
        <f>IF(ISNUMBER(VLOOKUP(B19,$E$2:$I$1048576,5)), VLOOKUP(B19,$E$2:$I$1048576,5), 0)</f>
        <v>9.1266879999999997</v>
      </c>
      <c r="E19">
        <v>17</v>
      </c>
      <c r="F19" t="s">
        <v>25</v>
      </c>
      <c r="H19" t="s">
        <v>27</v>
      </c>
      <c r="I19" s="3">
        <f>'2016'!I19*0.014128</f>
        <v>45.407392000000002</v>
      </c>
      <c r="J19" s="2">
        <f t="shared" si="0"/>
        <v>2.0550134912211155E-2</v>
      </c>
      <c r="K19" t="str">
        <f t="shared" si="1"/>
        <v>Food and Nutritional Assistance - $45M (2.06%)</v>
      </c>
      <c r="M19">
        <v>9</v>
      </c>
      <c r="N19" s="1">
        <v>2223</v>
      </c>
    </row>
    <row r="20" spans="1:14" x14ac:dyDescent="0.25">
      <c r="A20">
        <v>4</v>
      </c>
      <c r="B20">
        <v>19</v>
      </c>
      <c r="C20" s="4">
        <f>IF(ISNUMBER(VLOOKUP(B20,$E$2:$I$1048576,5)), VLOOKUP(B20,$E$2:$I$1048576,5), 0)</f>
        <v>48.275376000000001</v>
      </c>
      <c r="E20">
        <v>18</v>
      </c>
      <c r="F20" t="s">
        <v>25</v>
      </c>
      <c r="H20" t="s">
        <v>28</v>
      </c>
      <c r="I20" s="3">
        <f>'2016'!I20*0.014128</f>
        <v>9.1266879999999997</v>
      </c>
      <c r="J20" s="2">
        <f t="shared" si="0"/>
        <v>4.1304876021432497E-3</v>
      </c>
      <c r="K20" t="str">
        <f t="shared" si="1"/>
        <v>Income Assistance - $9M (.41%)</v>
      </c>
      <c r="M20">
        <v>1</v>
      </c>
      <c r="N20" s="1">
        <v>51731</v>
      </c>
    </row>
    <row r="21" spans="1:14" x14ac:dyDescent="0.25">
      <c r="A21">
        <v>6</v>
      </c>
      <c r="B21">
        <v>20</v>
      </c>
      <c r="C21" s="4">
        <f>IF(ISNUMBER(VLOOKUP(B21,$E$2:$I$1048576,5)), VLOOKUP(B21,$E$2:$I$1048576,5), 0)</f>
        <v>273.461568</v>
      </c>
      <c r="E21">
        <v>19</v>
      </c>
      <c r="F21" t="s">
        <v>25</v>
      </c>
      <c r="H21" t="s">
        <v>29</v>
      </c>
      <c r="I21" s="3">
        <f>'2016'!I21*0.014128</f>
        <v>48.275376000000001</v>
      </c>
      <c r="J21" s="2">
        <f t="shared" si="0"/>
        <v>2.1848105474494558E-2</v>
      </c>
      <c r="K21" t="str">
        <f t="shared" si="1"/>
        <v>Housing/Homelessness Assistance - $48M (2.18%)</v>
      </c>
      <c r="M21">
        <v>10</v>
      </c>
      <c r="N21" s="1">
        <v>225</v>
      </c>
    </row>
    <row r="22" spans="1:14" x14ac:dyDescent="0.25">
      <c r="A22">
        <v>6</v>
      </c>
      <c r="B22">
        <v>21</v>
      </c>
      <c r="C22" s="4">
        <f>IF(ISNUMBER(VLOOKUP(B22,$E$2:$I$1048576,5)), VLOOKUP(B22,$E$2:$I$1048576,5), 0)</f>
        <v>46.113791999999997</v>
      </c>
      <c r="E22">
        <v>20</v>
      </c>
      <c r="F22" t="s">
        <v>15</v>
      </c>
      <c r="H22" t="s">
        <v>30</v>
      </c>
      <c r="I22" s="3">
        <f>'2016'!I22*0.014128</f>
        <v>273.461568</v>
      </c>
      <c r="J22" s="2">
        <f t="shared" si="0"/>
        <v>0.12376117341653985</v>
      </c>
      <c r="K22" t="str">
        <f t="shared" si="1"/>
        <v>Reduced Labor Force Participation and Absenteeism - $273M (12.38%)</v>
      </c>
      <c r="M22">
        <v>11</v>
      </c>
      <c r="N22" s="1">
        <v>61938</v>
      </c>
    </row>
    <row r="23" spans="1:14" x14ac:dyDescent="0.25">
      <c r="A23">
        <v>6</v>
      </c>
      <c r="B23">
        <v>22</v>
      </c>
      <c r="C23" s="4">
        <f>IF(ISNUMBER(VLOOKUP(B23,$E$2:$I$1048576,5)), VLOOKUP(B23,$E$2:$I$1048576,5), 0)</f>
        <v>5.2556159999999998</v>
      </c>
      <c r="E23">
        <v>21</v>
      </c>
      <c r="F23" t="s">
        <v>15</v>
      </c>
      <c r="H23" t="s">
        <v>31</v>
      </c>
      <c r="I23" s="3">
        <f>'2016'!I23*0.014128</f>
        <v>46.113791999999997</v>
      </c>
      <c r="J23" s="2">
        <f t="shared" si="0"/>
        <v>2.0869832095039578E-2</v>
      </c>
      <c r="K23" t="str">
        <f t="shared" si="1"/>
        <v>Incarceration - $46M (2.09%)</v>
      </c>
      <c r="M23">
        <v>2</v>
      </c>
      <c r="N23" s="1">
        <v>62163</v>
      </c>
    </row>
    <row r="24" spans="1:14" x14ac:dyDescent="0.25">
      <c r="A24">
        <v>6</v>
      </c>
      <c r="B24">
        <v>23</v>
      </c>
      <c r="C24" s="4">
        <f>IF(ISNUMBER(VLOOKUP(B24,$E$2:$I$1048576,5)), VLOOKUP(B24,$E$2:$I$1048576,5), 0)</f>
        <v>0.480352</v>
      </c>
      <c r="E24">
        <v>22</v>
      </c>
      <c r="F24" t="s">
        <v>15</v>
      </c>
      <c r="H24" t="s">
        <v>32</v>
      </c>
      <c r="I24" s="3">
        <f>'2016'!I24*0.014128</f>
        <v>5.2556159999999998</v>
      </c>
      <c r="J24" s="2">
        <f t="shared" si="0"/>
        <v>2.3785470402434812E-3</v>
      </c>
      <c r="K24" t="str">
        <f t="shared" si="1"/>
        <v>Short-Term Disability - $5M (.24%)</v>
      </c>
      <c r="M24">
        <v>12</v>
      </c>
      <c r="N24" s="1">
        <v>3186</v>
      </c>
    </row>
    <row r="25" spans="1:14" x14ac:dyDescent="0.25">
      <c r="A25">
        <v>6</v>
      </c>
      <c r="B25">
        <v>24</v>
      </c>
      <c r="C25" s="4">
        <f>IF(ISNUMBER(VLOOKUP(B25,$E$2:$I$1048576,5)), VLOOKUP(B25,$E$2:$I$1048576,5), 0)</f>
        <v>6.2445760000000003</v>
      </c>
      <c r="E25">
        <v>23</v>
      </c>
      <c r="F25" t="s">
        <v>15</v>
      </c>
      <c r="H25" t="s">
        <v>33</v>
      </c>
      <c r="I25" s="3">
        <f>'2016'!I25*0.014128</f>
        <v>0.480352</v>
      </c>
      <c r="J25" s="2">
        <f t="shared" si="0"/>
        <v>2.1739408432332893E-4</v>
      </c>
      <c r="K25" t="str">
        <f t="shared" si="1"/>
        <v>Long-Term Disability - $M (.02%)</v>
      </c>
      <c r="M25">
        <v>13</v>
      </c>
      <c r="N25" s="1">
        <v>1417</v>
      </c>
    </row>
    <row r="26" spans="1:14" x14ac:dyDescent="0.25">
      <c r="A26">
        <v>7</v>
      </c>
      <c r="B26">
        <v>25</v>
      </c>
      <c r="C26" s="4">
        <f>IF(ISNUMBER(VLOOKUP(B26,$E$2:$I$1048576,5)), VLOOKUP(B26,$E$2:$I$1048576,5), 0)</f>
        <v>222.67140799999999</v>
      </c>
      <c r="E26">
        <v>24</v>
      </c>
      <c r="F26" t="s">
        <v>15</v>
      </c>
      <c r="H26" t="s">
        <v>34</v>
      </c>
      <c r="I26" s="3">
        <f>'2016'!I26*0.014128</f>
        <v>6.2445760000000003</v>
      </c>
      <c r="J26" s="2">
        <f t="shared" si="0"/>
        <v>2.8261230962032765E-3</v>
      </c>
      <c r="K26" t="str">
        <f t="shared" si="1"/>
        <v>Workers' Compensation - $6M (.28%)</v>
      </c>
      <c r="M26">
        <v>14</v>
      </c>
      <c r="N26" s="1">
        <v>942</v>
      </c>
    </row>
    <row r="27" spans="1:14" x14ac:dyDescent="0.25">
      <c r="A27">
        <v>7</v>
      </c>
      <c r="B27">
        <v>26</v>
      </c>
      <c r="C27" s="4">
        <f>IF(ISNUMBER(VLOOKUP(B27,$E$2:$I$1048576,5)), VLOOKUP(B27,$E$2:$I$1048576,5), 0)</f>
        <v>276.34368000000001</v>
      </c>
      <c r="E27">
        <v>25</v>
      </c>
      <c r="F27" t="s">
        <v>10</v>
      </c>
      <c r="G27" t="s">
        <v>16</v>
      </c>
      <c r="H27" t="s">
        <v>35</v>
      </c>
      <c r="I27" s="3">
        <f>'2016'!I27*0.014128</f>
        <v>222.67140799999999</v>
      </c>
      <c r="J27" s="2">
        <f t="shared" si="0"/>
        <v>0.10077494597117609</v>
      </c>
      <c r="K27" t="str">
        <f t="shared" si="1"/>
        <v>Commercial - $223M (10.08%)</v>
      </c>
      <c r="M27">
        <v>15</v>
      </c>
      <c r="N27" s="1">
        <v>3610</v>
      </c>
    </row>
    <row r="28" spans="1:14" x14ac:dyDescent="0.25">
      <c r="A28">
        <v>7</v>
      </c>
      <c r="B28">
        <v>27</v>
      </c>
      <c r="C28" s="4">
        <f>IF(ISNUMBER(VLOOKUP(B28,$E$2:$I$1048576,5)), VLOOKUP(B28,$E$2:$I$1048576,5), 0)</f>
        <v>104.575456</v>
      </c>
      <c r="E28">
        <v>26</v>
      </c>
      <c r="F28" t="s">
        <v>10</v>
      </c>
      <c r="G28" t="s">
        <v>16</v>
      </c>
      <c r="H28" t="s">
        <v>36</v>
      </c>
      <c r="I28" s="3">
        <f>'2016'!I28*0.014128</f>
        <v>276.34368000000001</v>
      </c>
      <c r="J28" s="2">
        <f t="shared" si="0"/>
        <v>0.12506553792247982</v>
      </c>
      <c r="K28" t="str">
        <f t="shared" si="1"/>
        <v>Medicare - $276M (12.51%)</v>
      </c>
      <c r="M28">
        <v>3</v>
      </c>
      <c r="N28" s="1">
        <v>9155</v>
      </c>
    </row>
    <row r="29" spans="1:14" x14ac:dyDescent="0.25">
      <c r="A29">
        <v>7</v>
      </c>
      <c r="B29">
        <v>28</v>
      </c>
      <c r="C29" s="4">
        <f>IF(ISNUMBER(VLOOKUP(B29,$E$2:$I$1048576,5)), VLOOKUP(B29,$E$2:$I$1048576,5), 0)</f>
        <v>6.5977759999999996</v>
      </c>
      <c r="E29">
        <v>27</v>
      </c>
      <c r="F29" t="s">
        <v>10</v>
      </c>
      <c r="G29" t="s">
        <v>16</v>
      </c>
      <c r="H29" t="s">
        <v>37</v>
      </c>
      <c r="I29" s="3">
        <f>'2016'!I29*0.014128</f>
        <v>104.575456</v>
      </c>
      <c r="J29" s="2">
        <f t="shared" si="0"/>
        <v>4.7327970945920027E-2</v>
      </c>
      <c r="K29" t="str">
        <f t="shared" si="1"/>
        <v>Medicaid - $105M (4.73%)</v>
      </c>
      <c r="M29">
        <v>16</v>
      </c>
      <c r="N29" s="1">
        <v>1269</v>
      </c>
    </row>
    <row r="30" spans="1:14" x14ac:dyDescent="0.25">
      <c r="A30">
        <v>7</v>
      </c>
      <c r="B30">
        <v>29</v>
      </c>
      <c r="C30" s="4">
        <f>IF(ISNUMBER(VLOOKUP(B30,$E$2:$I$1048576,5)), VLOOKUP(B30,$E$2:$I$1048576,5), 0)</f>
        <v>79.653664000000006</v>
      </c>
      <c r="E30">
        <v>28</v>
      </c>
      <c r="F30" t="s">
        <v>10</v>
      </c>
      <c r="G30" t="s">
        <v>16</v>
      </c>
      <c r="H30" t="s">
        <v>38</v>
      </c>
      <c r="I30" s="3">
        <f>'2016'!I30*0.014128</f>
        <v>6.5977759999999996</v>
      </c>
      <c r="J30" s="2">
        <f t="shared" si="0"/>
        <v>2.9859716876174886E-3</v>
      </c>
      <c r="K30" t="str">
        <f t="shared" si="1"/>
        <v>Other Public Insurance - $7M (.3%)</v>
      </c>
      <c r="M30">
        <v>17</v>
      </c>
      <c r="N30" s="1">
        <v>3214</v>
      </c>
    </row>
    <row r="31" spans="1:14" x14ac:dyDescent="0.25">
      <c r="A31">
        <v>8</v>
      </c>
      <c r="B31">
        <v>30</v>
      </c>
      <c r="C31" s="4">
        <f>IF(ISNUMBER(VLOOKUP(B31,$E$2:$I$1048576,5)), VLOOKUP(B31,$E$2:$I$1048576,5), 0)</f>
        <v>1.158496</v>
      </c>
      <c r="E31">
        <v>29</v>
      </c>
      <c r="F31" t="s">
        <v>10</v>
      </c>
      <c r="G31" t="s">
        <v>16</v>
      </c>
      <c r="H31" t="s">
        <v>39</v>
      </c>
      <c r="I31" s="3">
        <f>'2016'!I31*0.014128</f>
        <v>79.653664000000006</v>
      </c>
      <c r="J31" s="2">
        <f t="shared" si="0"/>
        <v>3.6049054335733195E-2</v>
      </c>
      <c r="K31" t="str">
        <f t="shared" si="1"/>
        <v>Uninsured - $80M (3.6%)</v>
      </c>
      <c r="M31">
        <v>18</v>
      </c>
      <c r="N31" s="1">
        <v>646</v>
      </c>
    </row>
    <row r="32" spans="1:14" x14ac:dyDescent="0.25">
      <c r="A32">
        <v>8</v>
      </c>
      <c r="B32">
        <v>31</v>
      </c>
      <c r="C32" s="4">
        <f>IF(ISNUMBER(VLOOKUP(B32,$E$2:$I$1048576,5)), VLOOKUP(B32,$E$2:$I$1048576,5), 0)</f>
        <v>0</v>
      </c>
      <c r="E32">
        <v>30</v>
      </c>
      <c r="F32" t="s">
        <v>10</v>
      </c>
      <c r="G32" t="s">
        <v>17</v>
      </c>
      <c r="H32" t="s">
        <v>35</v>
      </c>
      <c r="I32" s="3">
        <f>'2016'!I32*0.014128</f>
        <v>1.158496</v>
      </c>
      <c r="J32" s="2">
        <f t="shared" si="0"/>
        <v>5.2430337983861688E-4</v>
      </c>
      <c r="K32" t="str">
        <f t="shared" si="1"/>
        <v>Commercial - $1M (.05%)</v>
      </c>
      <c r="M32">
        <v>19</v>
      </c>
      <c r="N32" s="1">
        <v>3417</v>
      </c>
    </row>
    <row r="33" spans="1:14" x14ac:dyDescent="0.25">
      <c r="A33">
        <v>8</v>
      </c>
      <c r="B33">
        <v>32</v>
      </c>
      <c r="C33" s="4">
        <f>IF(ISNUMBER(VLOOKUP(B33,$E$2:$I$1048576,5)), VLOOKUP(B33,$E$2:$I$1048576,5), 0)</f>
        <v>7.6291200000000003</v>
      </c>
      <c r="E33">
        <v>31</v>
      </c>
      <c r="F33" t="s">
        <v>10</v>
      </c>
      <c r="G33" t="s">
        <v>17</v>
      </c>
      <c r="H33" t="s">
        <v>36</v>
      </c>
      <c r="I33" s="3" t="e">
        <f>'2016'!I33*0.014128</f>
        <v>#VALUE!</v>
      </c>
      <c r="J33" s="2" t="e">
        <f t="shared" si="0"/>
        <v>#VALUE!</v>
      </c>
      <c r="K33" t="s">
        <v>46</v>
      </c>
      <c r="M33">
        <v>4</v>
      </c>
      <c r="N33" s="1">
        <v>8546</v>
      </c>
    </row>
    <row r="34" spans="1:14" x14ac:dyDescent="0.25">
      <c r="A34">
        <v>8</v>
      </c>
      <c r="B34">
        <v>33</v>
      </c>
      <c r="C34" s="4">
        <f>IF(ISNUMBER(VLOOKUP(B34,$E$2:$I$1048576,5)), VLOOKUP(B34,$E$2:$I$1048576,5), 0)</f>
        <v>9.8895999999999998E-2</v>
      </c>
      <c r="E34">
        <v>32</v>
      </c>
      <c r="F34" t="s">
        <v>10</v>
      </c>
      <c r="G34" t="s">
        <v>17</v>
      </c>
      <c r="H34" t="s">
        <v>37</v>
      </c>
      <c r="I34" s="3">
        <f>'2016'!I34*0.014128</f>
        <v>7.6291200000000003</v>
      </c>
      <c r="J34" s="2">
        <f t="shared" si="0"/>
        <v>3.4527295745469893E-3</v>
      </c>
      <c r="K34" t="str">
        <f t="shared" si="1"/>
        <v>Medicaid - $8M (.35%)</v>
      </c>
      <c r="M34">
        <v>5</v>
      </c>
      <c r="N34" s="1">
        <v>1335</v>
      </c>
    </row>
    <row r="35" spans="1:14" x14ac:dyDescent="0.25">
      <c r="A35">
        <v>8</v>
      </c>
      <c r="B35">
        <v>34</v>
      </c>
      <c r="C35" s="4">
        <f>IF(ISNUMBER(VLOOKUP(B35,$E$2:$I$1048576,5)), VLOOKUP(B35,$E$2:$I$1048576,5), 0)</f>
        <v>0.73465599999999998</v>
      </c>
      <c r="E35">
        <v>33</v>
      </c>
      <c r="F35" t="s">
        <v>10</v>
      </c>
      <c r="G35" t="s">
        <v>17</v>
      </c>
      <c r="H35" t="s">
        <v>38</v>
      </c>
      <c r="I35" s="3">
        <f>'2016'!I35*0.014128</f>
        <v>9.8895999999999998E-2</v>
      </c>
      <c r="J35" s="2">
        <f t="shared" si="0"/>
        <v>4.4757605595979483E-5</v>
      </c>
      <c r="K35" t="str">
        <f>CONCATENATE(H35," - ",TEXT(I35,"$#,###"),IF(I35="N/A","","M"), " (", TEXT(J35,"##.###%"), ")")</f>
        <v>Other Public Insurance - $M (.004%)</v>
      </c>
      <c r="M35">
        <v>20</v>
      </c>
      <c r="N35" s="1">
        <v>19356</v>
      </c>
    </row>
    <row r="36" spans="1:14" x14ac:dyDescent="0.25">
      <c r="A36">
        <v>9</v>
      </c>
      <c r="B36">
        <v>35</v>
      </c>
      <c r="C36" s="4">
        <f>IF(ISNUMBER(VLOOKUP(B36,$E$2:$I$1048576,5)), VLOOKUP(B36,$E$2:$I$1048576,5), 0)</f>
        <v>12.92712</v>
      </c>
      <c r="E36">
        <v>34</v>
      </c>
      <c r="F36" t="s">
        <v>10</v>
      </c>
      <c r="G36" t="s">
        <v>17</v>
      </c>
      <c r="H36" t="s">
        <v>39</v>
      </c>
      <c r="I36" s="3">
        <f>'2016'!I36*0.014128</f>
        <v>0.73465599999999998</v>
      </c>
      <c r="J36" s="2">
        <f t="shared" si="0"/>
        <v>3.3248507014156187E-4</v>
      </c>
      <c r="K36" t="str">
        <f t="shared" si="1"/>
        <v>Uninsured - $1M (.03%)</v>
      </c>
      <c r="M36">
        <v>21</v>
      </c>
      <c r="N36" s="1">
        <v>3264</v>
      </c>
    </row>
    <row r="37" spans="1:14" x14ac:dyDescent="0.25">
      <c r="A37">
        <v>9</v>
      </c>
      <c r="B37">
        <v>36</v>
      </c>
      <c r="C37" s="4">
        <f>IF(ISNUMBER(VLOOKUP(B37,$E$2:$I$1048576,5)), VLOOKUP(B37,$E$2:$I$1048576,5), 0)</f>
        <v>7.4030719999999999</v>
      </c>
      <c r="E37">
        <v>35</v>
      </c>
      <c r="F37" t="s">
        <v>10</v>
      </c>
      <c r="G37" t="s">
        <v>18</v>
      </c>
      <c r="H37" t="s">
        <v>35</v>
      </c>
      <c r="I37" s="3">
        <f>'2016'!I37*0.014128</f>
        <v>12.92712</v>
      </c>
      <c r="J37" s="2">
        <f t="shared" si="0"/>
        <v>5.8504584457601764E-3</v>
      </c>
      <c r="K37" t="str">
        <f t="shared" si="1"/>
        <v>Commercial - $13M (.59%)</v>
      </c>
      <c r="M37">
        <v>22</v>
      </c>
      <c r="N37" s="1">
        <v>372</v>
      </c>
    </row>
    <row r="38" spans="1:14" x14ac:dyDescent="0.25">
      <c r="A38">
        <v>9</v>
      </c>
      <c r="B38">
        <v>37</v>
      </c>
      <c r="C38" s="4">
        <f>IF(ISNUMBER(VLOOKUP(B38,$E$2:$I$1048576,5)), VLOOKUP(B38,$E$2:$I$1048576,5), 0)</f>
        <v>6.0750399999999996</v>
      </c>
      <c r="E38">
        <v>36</v>
      </c>
      <c r="F38" t="s">
        <v>10</v>
      </c>
      <c r="G38" t="s">
        <v>18</v>
      </c>
      <c r="H38" t="s">
        <v>36</v>
      </c>
      <c r="I38" s="3">
        <f>'2016'!I38*0.014128</f>
        <v>7.4030719999999999</v>
      </c>
      <c r="J38" s="2">
        <f t="shared" si="0"/>
        <v>3.3504264760418931E-3</v>
      </c>
      <c r="K38" t="str">
        <f t="shared" si="1"/>
        <v>Medicare - $7M (.34%)</v>
      </c>
      <c r="M38">
        <v>23</v>
      </c>
      <c r="N38" s="1">
        <v>34</v>
      </c>
    </row>
    <row r="39" spans="1:14" x14ac:dyDescent="0.25">
      <c r="A39">
        <v>9</v>
      </c>
      <c r="B39">
        <v>38</v>
      </c>
      <c r="C39" s="4">
        <f>IF(ISNUMBER(VLOOKUP(B39,$E$2:$I$1048576,5)), VLOOKUP(B39,$E$2:$I$1048576,5), 0)</f>
        <v>0.38145600000000002</v>
      </c>
      <c r="E39">
        <v>37</v>
      </c>
      <c r="F39" t="s">
        <v>10</v>
      </c>
      <c r="G39" t="s">
        <v>18</v>
      </c>
      <c r="H39" t="s">
        <v>37</v>
      </c>
      <c r="I39" s="3">
        <f>'2016'!I39*0.014128</f>
        <v>6.0750399999999996</v>
      </c>
      <c r="J39" s="2">
        <f t="shared" si="0"/>
        <v>2.7493957723244539E-3</v>
      </c>
      <c r="K39" t="str">
        <f t="shared" si="1"/>
        <v>Medicaid - $6M (.27%)</v>
      </c>
      <c r="M39">
        <v>24</v>
      </c>
      <c r="N39" s="1">
        <v>442</v>
      </c>
    </row>
    <row r="40" spans="1:14" x14ac:dyDescent="0.25">
      <c r="A40">
        <v>9</v>
      </c>
      <c r="B40">
        <v>39</v>
      </c>
      <c r="C40" s="4">
        <f>IF(ISNUMBER(VLOOKUP(B40,$E$2:$I$1048576,5)), VLOOKUP(B40,$E$2:$I$1048576,5), 0)</f>
        <v>4.6198560000000004</v>
      </c>
      <c r="E40">
        <v>38</v>
      </c>
      <c r="F40" t="s">
        <v>10</v>
      </c>
      <c r="G40" t="s">
        <v>18</v>
      </c>
      <c r="H40" t="s">
        <v>38</v>
      </c>
      <c r="I40" s="3">
        <f>'2016'!I40*0.014128</f>
        <v>0.38145600000000002</v>
      </c>
      <c r="J40" s="2">
        <f t="shared" si="0"/>
        <v>1.7263647872734945E-4</v>
      </c>
      <c r="K40" t="str">
        <f t="shared" si="1"/>
        <v>Other Public Insurance - $M (.02%)</v>
      </c>
      <c r="M40">
        <v>6</v>
      </c>
      <c r="N40" s="1">
        <v>23468</v>
      </c>
    </row>
    <row r="41" spans="1:14" x14ac:dyDescent="0.25">
      <c r="A41">
        <v>26</v>
      </c>
      <c r="B41">
        <v>40</v>
      </c>
      <c r="C41" s="4">
        <f>IF(ISNUMBER(VLOOKUP(A41,$E$2:$I$1048576,5)), VLOOKUP(A41,$E$2:$I$1048576,5), 0)</f>
        <v>276.34368000000001</v>
      </c>
      <c r="E41">
        <v>39</v>
      </c>
      <c r="F41" t="s">
        <v>10</v>
      </c>
      <c r="G41" t="s">
        <v>18</v>
      </c>
      <c r="H41" t="s">
        <v>39</v>
      </c>
      <c r="I41" s="3">
        <f>'2016'!I41*0.014128</f>
        <v>4.6198560000000004</v>
      </c>
      <c r="J41" s="2">
        <f t="shared" si="0"/>
        <v>2.0908195756978989E-3</v>
      </c>
      <c r="K41" t="str">
        <f t="shared" si="1"/>
        <v>Uninsured - $5M (.21%)</v>
      </c>
      <c r="M41">
        <v>0</v>
      </c>
      <c r="N41" s="1">
        <v>156398</v>
      </c>
    </row>
    <row r="42" spans="1:14" x14ac:dyDescent="0.25">
      <c r="A42">
        <v>27</v>
      </c>
      <c r="B42">
        <v>40</v>
      </c>
      <c r="C42" s="4">
        <f t="shared" ref="C42:C71" si="2">IF(ISNUMBER(VLOOKUP(A42,$E$2:$I$1048576,5)), VLOOKUP(A42,$E$2:$I$1048576,5), 0)</f>
        <v>104.575456</v>
      </c>
      <c r="E42">
        <v>40</v>
      </c>
      <c r="H42" t="s">
        <v>41</v>
      </c>
      <c r="I42" s="3">
        <f>'2016'!I42*0.014128</f>
        <v>664.70827199999997</v>
      </c>
      <c r="J42" s="2">
        <f t="shared" si="0"/>
        <v>0.30082865509789125</v>
      </c>
      <c r="K42" t="str">
        <f t="shared" si="1"/>
        <v>Federal, State, and Local Governments - $665M (30.08%)</v>
      </c>
      <c r="M42">
        <v>40</v>
      </c>
      <c r="N42" s="1">
        <v>47049</v>
      </c>
    </row>
    <row r="43" spans="1:14" x14ac:dyDescent="0.25">
      <c r="A43">
        <v>28</v>
      </c>
      <c r="B43">
        <v>40</v>
      </c>
      <c r="C43" s="4">
        <f t="shared" si="2"/>
        <v>6.5977759999999996</v>
      </c>
      <c r="E43">
        <v>41</v>
      </c>
      <c r="H43" t="s">
        <v>42</v>
      </c>
      <c r="I43" s="3">
        <f>'2016'!I43*0.014128</f>
        <v>1544.882672</v>
      </c>
      <c r="J43" s="2">
        <f t="shared" si="0"/>
        <v>0.69917134490210864</v>
      </c>
      <c r="K43" t="str">
        <f>CONCATENATE(H43," - ",TEXT(I43,"$#,###"),IF(I43="N/A","","M"), " (", TEXT(J43,"##.##%"), ")")</f>
        <v>Private Sector and Individuals - $1,545M (69.92%)</v>
      </c>
      <c r="M43">
        <v>41</v>
      </c>
      <c r="N43" s="1">
        <v>109349</v>
      </c>
    </row>
    <row r="44" spans="1:14" x14ac:dyDescent="0.25">
      <c r="A44">
        <v>31</v>
      </c>
      <c r="B44">
        <v>40</v>
      </c>
      <c r="C44" s="4">
        <f t="shared" si="2"/>
        <v>0</v>
      </c>
    </row>
    <row r="45" spans="1:14" x14ac:dyDescent="0.25">
      <c r="A45">
        <v>32</v>
      </c>
      <c r="B45">
        <v>40</v>
      </c>
      <c r="C45" s="4">
        <f t="shared" si="2"/>
        <v>7.6291200000000003</v>
      </c>
    </row>
    <row r="46" spans="1:14" x14ac:dyDescent="0.25">
      <c r="A46">
        <v>33</v>
      </c>
      <c r="B46">
        <v>40</v>
      </c>
      <c r="C46" s="4">
        <f t="shared" si="2"/>
        <v>9.8895999999999998E-2</v>
      </c>
    </row>
    <row r="47" spans="1:14" x14ac:dyDescent="0.25">
      <c r="A47">
        <v>36</v>
      </c>
      <c r="B47">
        <v>40</v>
      </c>
      <c r="C47" s="4">
        <f t="shared" si="2"/>
        <v>7.4030719999999999</v>
      </c>
    </row>
    <row r="48" spans="1:14" x14ac:dyDescent="0.25">
      <c r="A48">
        <v>37</v>
      </c>
      <c r="B48">
        <v>40</v>
      </c>
      <c r="C48" s="4">
        <f t="shared" si="2"/>
        <v>6.0750399999999996</v>
      </c>
    </row>
    <row r="49" spans="1:3" x14ac:dyDescent="0.25">
      <c r="A49">
        <v>38</v>
      </c>
      <c r="B49">
        <v>40</v>
      </c>
      <c r="C49" s="4">
        <f t="shared" si="2"/>
        <v>0.38145600000000002</v>
      </c>
    </row>
    <row r="50" spans="1:3" x14ac:dyDescent="0.25">
      <c r="A50">
        <v>12</v>
      </c>
      <c r="B50">
        <v>40</v>
      </c>
      <c r="C50" s="4">
        <f t="shared" si="2"/>
        <v>45.011808000000002</v>
      </c>
    </row>
    <row r="51" spans="1:3" x14ac:dyDescent="0.25">
      <c r="A51">
        <v>13</v>
      </c>
      <c r="B51">
        <v>40</v>
      </c>
      <c r="C51" s="4">
        <f t="shared" si="2"/>
        <v>20.019376000000001</v>
      </c>
    </row>
    <row r="52" spans="1:3" x14ac:dyDescent="0.25">
      <c r="A52">
        <v>15</v>
      </c>
      <c r="B52">
        <v>40</v>
      </c>
      <c r="C52" s="4">
        <f t="shared" si="2"/>
        <v>51.002079999999999</v>
      </c>
    </row>
    <row r="53" spans="1:3" x14ac:dyDescent="0.25">
      <c r="A53">
        <v>16</v>
      </c>
      <c r="B53">
        <v>40</v>
      </c>
      <c r="C53" s="4">
        <f t="shared" si="2"/>
        <v>17.928432000000001</v>
      </c>
    </row>
    <row r="54" spans="1:3" x14ac:dyDescent="0.25">
      <c r="A54">
        <v>17</v>
      </c>
      <c r="B54">
        <v>40</v>
      </c>
      <c r="C54" s="4">
        <f t="shared" si="2"/>
        <v>45.407392000000002</v>
      </c>
    </row>
    <row r="55" spans="1:3" x14ac:dyDescent="0.25">
      <c r="A55">
        <v>18</v>
      </c>
      <c r="B55">
        <v>40</v>
      </c>
      <c r="C55" s="4">
        <f t="shared" si="2"/>
        <v>9.1266879999999997</v>
      </c>
    </row>
    <row r="56" spans="1:3" x14ac:dyDescent="0.25">
      <c r="A56">
        <v>19</v>
      </c>
      <c r="B56">
        <v>40</v>
      </c>
      <c r="C56" s="4">
        <f t="shared" si="2"/>
        <v>48.275376000000001</v>
      </c>
    </row>
    <row r="57" spans="1:3" x14ac:dyDescent="0.25">
      <c r="A57">
        <v>5</v>
      </c>
      <c r="B57">
        <v>40</v>
      </c>
      <c r="C57" s="4">
        <f t="shared" si="2"/>
        <v>18.860880000000002</v>
      </c>
    </row>
    <row r="58" spans="1:3" x14ac:dyDescent="0.25">
      <c r="A58">
        <v>25</v>
      </c>
      <c r="B58">
        <v>41</v>
      </c>
      <c r="C58" s="4">
        <f t="shared" si="2"/>
        <v>222.67140799999999</v>
      </c>
    </row>
    <row r="59" spans="1:3" x14ac:dyDescent="0.25">
      <c r="A59">
        <v>29</v>
      </c>
      <c r="B59">
        <v>41</v>
      </c>
      <c r="C59" s="4">
        <f t="shared" si="2"/>
        <v>79.653664000000006</v>
      </c>
    </row>
    <row r="60" spans="1:3" x14ac:dyDescent="0.25">
      <c r="A60">
        <v>30</v>
      </c>
      <c r="B60">
        <v>41</v>
      </c>
      <c r="C60" s="4">
        <f t="shared" si="2"/>
        <v>1.158496</v>
      </c>
    </row>
    <row r="61" spans="1:3" x14ac:dyDescent="0.25">
      <c r="A61">
        <v>34</v>
      </c>
      <c r="B61">
        <v>41</v>
      </c>
      <c r="C61" s="4">
        <f t="shared" si="2"/>
        <v>0.73465599999999998</v>
      </c>
    </row>
    <row r="62" spans="1:3" x14ac:dyDescent="0.25">
      <c r="A62">
        <v>35</v>
      </c>
      <c r="B62">
        <v>41</v>
      </c>
      <c r="C62" s="4">
        <f t="shared" si="2"/>
        <v>12.92712</v>
      </c>
    </row>
    <row r="63" spans="1:3" x14ac:dyDescent="0.25">
      <c r="A63">
        <v>39</v>
      </c>
      <c r="B63">
        <v>41</v>
      </c>
      <c r="C63" s="4">
        <f t="shared" si="2"/>
        <v>4.6198560000000004</v>
      </c>
    </row>
    <row r="64" spans="1:3" x14ac:dyDescent="0.25">
      <c r="A64">
        <v>10</v>
      </c>
      <c r="B64">
        <v>41</v>
      </c>
      <c r="C64" s="4">
        <f t="shared" si="2"/>
        <v>3.1787999999999998</v>
      </c>
    </row>
    <row r="65" spans="1:3" x14ac:dyDescent="0.25">
      <c r="A65">
        <v>11</v>
      </c>
      <c r="B65">
        <v>41</v>
      </c>
      <c r="C65" s="4">
        <f t="shared" si="2"/>
        <v>875.06006400000001</v>
      </c>
    </row>
    <row r="66" spans="1:3" x14ac:dyDescent="0.25">
      <c r="A66">
        <v>14</v>
      </c>
      <c r="B66">
        <v>41</v>
      </c>
      <c r="C66" s="4">
        <f t="shared" si="2"/>
        <v>13.308576</v>
      </c>
    </row>
    <row r="67" spans="1:3" x14ac:dyDescent="0.25">
      <c r="A67">
        <v>20</v>
      </c>
      <c r="B67">
        <v>41</v>
      </c>
      <c r="C67" s="4">
        <f t="shared" si="2"/>
        <v>273.461568</v>
      </c>
    </row>
    <row r="68" spans="1:3" x14ac:dyDescent="0.25">
      <c r="A68">
        <v>21</v>
      </c>
      <c r="B68">
        <v>41</v>
      </c>
      <c r="C68" s="4">
        <f t="shared" si="2"/>
        <v>46.113791999999997</v>
      </c>
    </row>
    <row r="69" spans="1:3" x14ac:dyDescent="0.25">
      <c r="A69">
        <v>22</v>
      </c>
      <c r="B69">
        <v>41</v>
      </c>
      <c r="C69" s="4">
        <f t="shared" si="2"/>
        <v>5.2556159999999998</v>
      </c>
    </row>
    <row r="70" spans="1:3" x14ac:dyDescent="0.25">
      <c r="A70">
        <v>23</v>
      </c>
      <c r="B70">
        <v>41</v>
      </c>
      <c r="C70" s="4">
        <f t="shared" si="2"/>
        <v>0.480352</v>
      </c>
    </row>
    <row r="71" spans="1:3" x14ac:dyDescent="0.25">
      <c r="A71">
        <v>24</v>
      </c>
      <c r="B71">
        <v>41</v>
      </c>
      <c r="C71" s="4">
        <f t="shared" si="2"/>
        <v>6.2445760000000003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2019_mid_estimate</vt:lpstr>
      <vt:lpstr>2018</vt:lpstr>
      <vt:lpstr>2017</vt:lpstr>
      <vt:lpstr>2016</vt:lpstr>
      <vt:lpstr>2015</vt:lpstr>
      <vt:lpstr>2019_mid_estimate_PHL</vt:lpstr>
      <vt:lpstr>2018_PHL</vt:lpstr>
      <vt:lpstr>2017_PHL</vt:lpstr>
      <vt:lpstr>2016_PHL</vt:lpstr>
      <vt:lpstr>2015_PHL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McHugh</dc:creator>
  <cp:lastModifiedBy>Quinn McHugh</cp:lastModifiedBy>
  <dcterms:created xsi:type="dcterms:W3CDTF">2020-03-15T18:42:15Z</dcterms:created>
  <dcterms:modified xsi:type="dcterms:W3CDTF">2020-03-17T01:51:29Z</dcterms:modified>
</cp:coreProperties>
</file>