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1451239d93d74d23/PhillyOpioids_2020Datathon/4_GitHub_Report/"/>
    </mc:Choice>
  </mc:AlternateContent>
  <xr:revisionPtr revIDLastSave="1" documentId="11_956C8144141A86FFBFFA535F89ED2F833112B376" xr6:coauthVersionLast="45" xr6:coauthVersionMax="45" xr10:uidLastSave="{5D817A67-9AE1-4441-9107-24EDD0203164}"/>
  <bookViews>
    <workbookView xWindow="-110" yWindow="-110" windowWidth="19420" windowHeight="10080" xr2:uid="{00000000-000D-0000-FFFF-FFFF00000000}"/>
  </bookViews>
  <sheets>
    <sheet name="Philly-MAT-cf-Overdos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4" i="1" l="1"/>
  <c r="AA40" i="1"/>
  <c r="V40" i="1"/>
  <c r="Q40" i="1"/>
  <c r="AD40" i="1" s="1"/>
  <c r="L40" i="1"/>
  <c r="G40" i="1"/>
  <c r="A40" i="1"/>
  <c r="X39" i="1"/>
  <c r="W39" i="1"/>
  <c r="U39" i="1"/>
  <c r="T39" i="1"/>
  <c r="S39" i="1"/>
  <c r="R39" i="1"/>
  <c r="P39" i="1"/>
  <c r="O39" i="1"/>
  <c r="N39" i="1"/>
  <c r="M39" i="1"/>
  <c r="AE38" i="1"/>
  <c r="AA38" i="1"/>
  <c r="V38" i="1"/>
  <c r="Q38" i="1"/>
  <c r="AA37" i="1"/>
  <c r="V37" i="1"/>
  <c r="Q37" i="1"/>
  <c r="AE37" i="1" s="1"/>
  <c r="AF37" i="1" s="1"/>
  <c r="AA36" i="1"/>
  <c r="V36" i="1"/>
  <c r="Q36" i="1"/>
  <c r="AE36" i="1" s="1"/>
  <c r="AA35" i="1"/>
  <c r="V35" i="1"/>
  <c r="Q35" i="1"/>
  <c r="AE35" i="1" s="1"/>
  <c r="AA34" i="1"/>
  <c r="AA39" i="1" s="1"/>
  <c r="V34" i="1"/>
  <c r="V39" i="1" s="1"/>
  <c r="Q34" i="1"/>
  <c r="A33" i="1"/>
  <c r="AD31" i="1"/>
  <c r="A31" i="1"/>
  <c r="AD30" i="1"/>
  <c r="AA30" i="1"/>
  <c r="V30" i="1"/>
  <c r="Q30" i="1"/>
  <c r="AE30" i="1" s="1"/>
  <c r="L30" i="1"/>
  <c r="G30" i="1"/>
  <c r="A30" i="1"/>
  <c r="U29" i="1"/>
  <c r="R29" i="1"/>
  <c r="N29" i="1"/>
  <c r="M29" i="1"/>
  <c r="J29" i="1"/>
  <c r="I29" i="1"/>
  <c r="F29" i="1"/>
  <c r="E29" i="1"/>
  <c r="A27" i="1"/>
  <c r="X26" i="1"/>
  <c r="X29" i="1" s="1"/>
  <c r="W26" i="1"/>
  <c r="W29" i="1" s="1"/>
  <c r="AA29" i="1" s="1"/>
  <c r="U26" i="1"/>
  <c r="T26" i="1"/>
  <c r="T29" i="1" s="1"/>
  <c r="S26" i="1"/>
  <c r="S29" i="1" s="1"/>
  <c r="R26" i="1"/>
  <c r="P26" i="1"/>
  <c r="P29" i="1" s="1"/>
  <c r="O26" i="1"/>
  <c r="O29" i="1" s="1"/>
  <c r="N26" i="1"/>
  <c r="M26" i="1"/>
  <c r="K26" i="1"/>
  <c r="K29" i="1" s="1"/>
  <c r="J26" i="1"/>
  <c r="I26" i="1"/>
  <c r="H26" i="1"/>
  <c r="H29" i="1" s="1"/>
  <c r="F26" i="1"/>
  <c r="E26" i="1"/>
  <c r="D26" i="1"/>
  <c r="D29" i="1" s="1"/>
  <c r="C26" i="1"/>
  <c r="C29" i="1" s="1"/>
  <c r="G29" i="1" s="1"/>
  <c r="AD25" i="1"/>
  <c r="AA25" i="1"/>
  <c r="V25" i="1"/>
  <c r="Q25" i="1"/>
  <c r="AG25" i="1" s="1"/>
  <c r="AD24" i="1"/>
  <c r="AA24" i="1"/>
  <c r="V24" i="1"/>
  <c r="Q24" i="1"/>
  <c r="Q26" i="1" s="1"/>
  <c r="L24" i="1"/>
  <c r="AG24" i="1" s="1"/>
  <c r="AA23" i="1"/>
  <c r="AA26" i="1" s="1"/>
  <c r="V23" i="1"/>
  <c r="V26" i="1" s="1"/>
  <c r="Q23" i="1"/>
  <c r="AD23" i="1" s="1"/>
  <c r="L23" i="1"/>
  <c r="G23" i="1"/>
  <c r="G26" i="1" s="1"/>
  <c r="A22" i="1"/>
  <c r="V21" i="1"/>
  <c r="Q21" i="1"/>
  <c r="AD21" i="1" s="1"/>
  <c r="L21" i="1"/>
  <c r="G21" i="1"/>
  <c r="A21" i="1"/>
  <c r="V19" i="1"/>
  <c r="Q19" i="1"/>
  <c r="L19" i="1"/>
  <c r="L18" i="1"/>
  <c r="W17" i="1"/>
  <c r="U17" i="1"/>
  <c r="T17" i="1"/>
  <c r="S17" i="1"/>
  <c r="R17" i="1"/>
  <c r="P17" i="1"/>
  <c r="O17" i="1"/>
  <c r="N17" i="1"/>
  <c r="M17" i="1"/>
  <c r="L16" i="1"/>
  <c r="G16" i="1"/>
  <c r="B13" i="1"/>
  <c r="V11" i="1"/>
  <c r="Q11" i="1"/>
  <c r="AD11" i="1" s="1"/>
  <c r="AD17" i="1" s="1"/>
  <c r="AA10" i="1"/>
  <c r="V10" i="1"/>
  <c r="V15" i="1" s="1"/>
  <c r="Q10" i="1"/>
  <c r="AD10" i="1" s="1"/>
  <c r="A9" i="1"/>
  <c r="V7" i="1"/>
  <c r="V45" i="1" s="1"/>
  <c r="Q7" i="1"/>
  <c r="Q16" i="1" s="1"/>
  <c r="L7" i="1"/>
  <c r="G7" i="1"/>
  <c r="AD6" i="1"/>
  <c r="AD5" i="1"/>
  <c r="AG4" i="1"/>
  <c r="AF4" i="1"/>
  <c r="AD4" i="1"/>
  <c r="A3" i="1"/>
  <c r="V41" i="1" l="1"/>
  <c r="V42" i="1"/>
  <c r="G41" i="1"/>
  <c r="Q29" i="1"/>
  <c r="AA41" i="1"/>
  <c r="AA42" i="1" s="1"/>
  <c r="AE26" i="1"/>
  <c r="AD26" i="1"/>
  <c r="G28" i="1"/>
  <c r="L29" i="1"/>
  <c r="G42" i="1"/>
  <c r="V29" i="1"/>
  <c r="V28" i="1" s="1"/>
  <c r="L26" i="1"/>
  <c r="L41" i="1" s="1"/>
  <c r="L42" i="1" s="1"/>
  <c r="Q44" i="1"/>
  <c r="Q15" i="1"/>
  <c r="V17" i="1"/>
  <c r="Q18" i="1"/>
  <c r="AE34" i="1"/>
  <c r="AF34" i="1" s="1"/>
  <c r="Q39" i="1"/>
  <c r="AD7" i="1"/>
  <c r="AD16" i="1" s="1"/>
  <c r="V16" i="1"/>
  <c r="V18" i="1"/>
  <c r="Q45" i="1"/>
  <c r="AE10" i="1"/>
  <c r="Q17" i="1"/>
  <c r="AF23" i="1"/>
  <c r="AG34" i="1" l="1"/>
  <c r="L28" i="1"/>
  <c r="AE39" i="1"/>
  <c r="AF39" i="1" s="1"/>
  <c r="Q41" i="1"/>
  <c r="Q42" i="1" s="1"/>
  <c r="AD39" i="1"/>
  <c r="AG26" i="1"/>
  <c r="AD29" i="1"/>
  <c r="AE29" i="1"/>
  <c r="Q28" i="1"/>
  <c r="AD41" i="1" l="1"/>
  <c r="AD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4" authorId="0" shapeId="0" xr:uid="{00000000-0006-0000-0000-000001000000}">
      <text>
        <r>
          <rPr>
            <sz val="10"/>
            <color rgb="FF000000"/>
            <rFont val="Arial"/>
          </rPr>
          <t>Likely counts 2x those individuals who continued 2017 prescriptions into 2018</t>
        </r>
      </text>
    </comment>
    <comment ref="AF4" authorId="0" shapeId="0" xr:uid="{00000000-0006-0000-0000-000002000000}">
      <text>
        <r>
          <rPr>
            <sz val="10"/>
            <color rgb="FF000000"/>
            <rFont val="Arial"/>
          </rPr>
          <t>2015--2018
~9770 for --2018H1 (to match DPH map): individuals receiving buprenorphine on Medicaid -- total for H1 guesstimated as 3900 from 5103 cf. ~2850  (https://www.phila.gov/media/20181205160905/Medication-Assisted-Treatment-Among-Medicaid-Beneficiaries-in-Philadelphia-.pdf)</t>
        </r>
      </text>
    </comment>
    <comment ref="G19" authorId="0" shapeId="0" xr:uid="{00000000-0006-0000-0000-000003000000}">
      <text>
        <r>
          <rPr>
            <sz val="10"/>
            <color rgb="FF000000"/>
            <rFont val="Arial"/>
          </rPr>
          <t>[No pre-2015 data for buprenorphine in Philly]</t>
        </r>
      </text>
    </comment>
    <comment ref="AF23" authorId="0" shapeId="0" xr:uid="{00000000-0006-0000-0000-000004000000}">
      <text>
        <r>
          <rPr>
            <sz val="10"/>
            <color rgb="FF000000"/>
            <rFont val="Arial"/>
          </rPr>
          <t>2014--2018 (naloxone admins by EMS: 18,958)</t>
        </r>
      </text>
    </comment>
    <comment ref="J24" authorId="0" shapeId="0" xr:uid="{00000000-0006-0000-0000-000005000000}">
      <text>
        <r>
          <rPr>
            <sz val="10"/>
            <color rgb="FF000000"/>
            <rFont val="Arial"/>
          </rPr>
          <t>Accidentally missing from dph_dash_n_naloxone_admins</t>
        </r>
      </text>
    </comment>
    <comment ref="Z24" authorId="0" shapeId="0" xr:uid="{00000000-0006-0000-0000-000006000000}">
      <text>
        <r>
          <rPr>
            <sz val="10"/>
            <color rgb="FF000000"/>
            <rFont val="Arial"/>
          </rPr>
          <t>Again, excludes 2 instances by EMS; 1 of these 10 incidents occurred in Bucks County</t>
        </r>
      </text>
    </comment>
    <comment ref="AA26" authorId="0" shapeId="0" xr:uid="{00000000-0006-0000-0000-000007000000}">
      <text>
        <r>
          <rPr>
            <sz val="10"/>
            <color rgb="FF000000"/>
            <rFont val="Arial"/>
          </rPr>
          <t>This total is missing some of the data available for 2018, 2017, etc.</t>
        </r>
      </text>
    </comment>
    <comment ref="B40" authorId="0" shapeId="0" xr:uid="{00000000-0006-0000-0000-000008000000}">
      <text>
        <r>
          <rPr>
            <sz val="10"/>
            <color rgb="FF000000"/>
            <rFont val="Arial"/>
          </rPr>
          <t>Annual totals match those in 2020-02-26 (on pages 41-50) and match or differ only very slightly from data on page 54 (collected above as "Fatal overdoses by type of location")</t>
        </r>
      </text>
    </comment>
    <comment ref="B41" authorId="0" shapeId="0" xr:uid="{00000000-0006-0000-0000-000009000000}">
      <text>
        <r>
          <rPr>
            <sz val="10"/>
            <color rgb="FF000000"/>
            <rFont val="Arial"/>
          </rPr>
          <t>Estimating INCIDENTS as SUM of OpioidFatalities + NaloxAdmins + (what seems to be distinct) NonFatalOpioidPoisonings</t>
        </r>
      </text>
    </comment>
  </commentList>
</comments>
</file>

<file path=xl/sharedStrings.xml><?xml version="1.0" encoding="utf-8"?>
<sst xmlns="http://schemas.openxmlformats.org/spreadsheetml/2006/main" count="73" uniqueCount="51">
  <si>
    <t>PhillyDataSource</t>
  </si>
  <si>
    <t>Year:</t>
  </si>
  <si>
    <t>Specified in Notes</t>
  </si>
  <si>
    <t>TimePeriod:</t>
  </si>
  <si>
    <t>Q1</t>
  </si>
  <si>
    <t>Q2</t>
  </si>
  <si>
    <t>Q3</t>
  </si>
  <si>
    <t>Q4</t>
  </si>
  <si>
    <t>AllYear</t>
  </si>
  <si>
    <t>2017-2018</t>
  </si>
  <si>
    <t>2017-2019H1</t>
  </si>
  <si>
    <t>Full time range represented here</t>
  </si>
  <si>
    <t>Individuals with OUD diagnosis receiving MAT on Medicaid</t>
  </si>
  <si>
    <t>Buprenorphine</t>
  </si>
  <si>
    <t>Methadone</t>
  </si>
  <si>
    <t>Naltrexone</t>
  </si>
  <si>
    <t>Total individuals receiving MAT on Medicaid</t>
  </si>
  <si>
    <t>TBD: What of</t>
  </si>
  <si>
    <t>MAT for people with other insurance or NO insurance?</t>
  </si>
  <si>
    <t>Prescriptions by drug type [Medicaid only?]</t>
  </si>
  <si>
    <t>[Other] Opioid</t>
  </si>
  <si>
    <t>(See source for Benzodiazepine and Stimulant stats)</t>
  </si>
  <si>
    <t>How to translate # of prescriptions into # of waivers or patients?</t>
  </si>
  <si>
    <t>Approx. buprenorphine prescriptions per individual</t>
  </si>
  <si>
    <t>Buprenorphine as % of all three MAT types</t>
  </si>
  <si>
    <t>Ratio of other opioid prescriptions to buprenorphine</t>
  </si>
  <si>
    <t>Annual rate of increase in # of individuals receiving MAT</t>
  </si>
  <si>
    <t>Annual rate of increase in # of individuals receiving buprenorphine</t>
  </si>
  <si>
    <t>Naloxone prescriptions via Medicaid (1 or 2 doses each)</t>
  </si>
  <si>
    <t>Naloxone administrations by official personnel</t>
  </si>
  <si>
    <t>EMS</t>
  </si>
  <si>
    <t>Police</t>
  </si>
  <si>
    <t>SEPTA</t>
  </si>
  <si>
    <t>[OD incidents (minimum totals, given missing data)]</t>
  </si>
  <si>
    <t>% people transported to hospital after naloxone administration</t>
  </si>
  <si>
    <t>Accepted transportation</t>
  </si>
  <si>
    <t>Hospitalizations relative to OD incident totals?</t>
  </si>
  <si>
    <t>10 hospitals: # people transported there after naloxone administration</t>
  </si>
  <si>
    <t>Hospitalizations for non-fatal opioid poisoning</t>
  </si>
  <si>
    <t>Fatal overdoses by type of location</t>
  </si>
  <si>
    <t>Residence</t>
  </si>
  <si>
    <t>Indoors</t>
  </si>
  <si>
    <t>Hotel or motel</t>
  </si>
  <si>
    <t>Other or unspecified</t>
  </si>
  <si>
    <t>Street or highway</t>
  </si>
  <si>
    <t>Outdoors</t>
  </si>
  <si>
    <t>Vehicle</t>
  </si>
  <si>
    <t>[Total fatalities]</t>
  </si>
  <si>
    <t>Unintentional fatal overdoses involving opioids</t>
  </si>
  <si>
    <t>Opioid overdose incidents reflected in official records (naloxone administration + fatalities):</t>
  </si>
  <si>
    <t>% of fatalities among recorded overdose incidents: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</si>
</sst>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0"/>
      <color rgb="FF000000"/>
      <name val="Arial"/>
    </font>
    <font>
      <sz val="10"/>
      <color rgb="FF0F4D9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rgb="FF0F4D90"/>
      <name val="Arial"/>
    </font>
    <font>
      <b/>
      <i/>
      <sz val="10"/>
      <color theme="1"/>
      <name val="Arial"/>
    </font>
    <font>
      <b/>
      <i/>
      <u/>
      <sz val="10"/>
      <color rgb="FF0000FF"/>
      <name val="Arial"/>
    </font>
    <font>
      <b/>
      <i/>
      <sz val="10"/>
      <color rgb="FFCC3000"/>
      <name val="Arial"/>
    </font>
    <font>
      <i/>
      <sz val="10"/>
      <color rgb="FFCC3000"/>
      <name val="Arial"/>
    </font>
    <font>
      <sz val="10"/>
      <color rgb="FFCC3000"/>
      <name val="Arial"/>
    </font>
    <font>
      <b/>
      <sz val="10"/>
      <color rgb="FFCC3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EFA2"/>
        <bgColor rgb="FFFFEFA2"/>
      </patternFill>
    </fill>
    <fill>
      <patternFill patternType="solid">
        <fgColor rgb="FF96C9FF"/>
        <bgColor rgb="FF96C9FF"/>
      </patternFill>
    </fill>
    <fill>
      <patternFill patternType="solid">
        <fgColor rgb="FFDAEDFE"/>
        <bgColor rgb="FFDAEDFE"/>
      </patternFill>
    </fill>
    <fill>
      <patternFill patternType="solid">
        <fgColor rgb="FFFED0D0"/>
        <bgColor rgb="FFFED0D0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2" fillId="3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164" fontId="6" fillId="3" borderId="0" xfId="0" applyNumberFormat="1" applyFont="1" applyFill="1" applyAlignment="1">
      <alignment vertical="top"/>
    </xf>
    <xf numFmtId="0" fontId="6" fillId="3" borderId="0" xfId="0" applyFont="1" applyFill="1" applyAlignment="1">
      <alignment vertical="top"/>
    </xf>
    <xf numFmtId="165" fontId="6" fillId="3" borderId="0" xfId="0" applyNumberFormat="1" applyFont="1" applyFill="1" applyAlignment="1">
      <alignment vertical="top"/>
    </xf>
    <xf numFmtId="0" fontId="4" fillId="0" borderId="0" xfId="0" applyFont="1" applyAlignment="1"/>
    <xf numFmtId="164" fontId="4" fillId="0" borderId="0" xfId="0" applyNumberFormat="1" applyFont="1" applyAlignment="1">
      <alignment vertical="top"/>
    </xf>
    <xf numFmtId="164" fontId="6" fillId="0" borderId="0" xfId="0" applyNumberFormat="1" applyFont="1" applyAlignment="1">
      <alignment vertical="top"/>
    </xf>
    <xf numFmtId="9" fontId="4" fillId="0" borderId="0" xfId="0" applyNumberFormat="1" applyFont="1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right" vertical="top"/>
    </xf>
    <xf numFmtId="9" fontId="4" fillId="3" borderId="0" xfId="0" applyNumberFormat="1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9" fontId="3" fillId="0" borderId="0" xfId="0" applyNumberFormat="1" applyFont="1" applyAlignment="1">
      <alignment vertical="top"/>
    </xf>
    <xf numFmtId="9" fontId="6" fillId="0" borderId="0" xfId="0" applyNumberFormat="1" applyFont="1" applyAlignment="1">
      <alignment vertical="top"/>
    </xf>
    <xf numFmtId="10" fontId="3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2" fillId="5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8" fillId="5" borderId="0" xfId="0" applyFont="1" applyFill="1" applyAlignment="1">
      <alignment vertical="top"/>
    </xf>
    <xf numFmtId="0" fontId="9" fillId="5" borderId="0" xfId="0" applyFont="1" applyFill="1" applyAlignment="1">
      <alignment vertical="top"/>
    </xf>
    <xf numFmtId="0" fontId="8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0" fontId="11" fillId="5" borderId="0" xfId="0" applyFont="1" applyFill="1" applyAlignment="1">
      <alignment vertical="top"/>
    </xf>
    <xf numFmtId="9" fontId="6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defaultColWidth="14.453125" defaultRowHeight="15.75" customHeight="1" x14ac:dyDescent="0.25"/>
  <cols>
    <col min="1" max="1" width="15.54296875" customWidth="1"/>
    <col min="2" max="2" width="41.26953125" customWidth="1"/>
    <col min="3" max="6" width="5.26953125" customWidth="1"/>
    <col min="7" max="7" width="7" customWidth="1"/>
    <col min="8" max="11" width="5.26953125" customWidth="1"/>
    <col min="12" max="12" width="7" customWidth="1"/>
    <col min="13" max="16" width="7.453125" customWidth="1"/>
    <col min="17" max="17" width="7" customWidth="1"/>
    <col min="18" max="21" width="7.453125" customWidth="1"/>
    <col min="22" max="22" width="7" customWidth="1"/>
    <col min="23" max="23" width="7.453125" customWidth="1"/>
    <col min="24" max="24" width="5.26953125" customWidth="1"/>
    <col min="25" max="25" width="6.453125" customWidth="1"/>
    <col min="26" max="26" width="5.26953125" customWidth="1"/>
    <col min="27" max="27" width="7" customWidth="1"/>
    <col min="28" max="28" width="5.26953125" customWidth="1"/>
    <col min="29" max="29" width="3" customWidth="1"/>
    <col min="30" max="30" width="10.453125" customWidth="1"/>
    <col min="31" max="31" width="12.453125" customWidth="1"/>
    <col min="32" max="34" width="9" customWidth="1"/>
  </cols>
  <sheetData>
    <row r="1" spans="1:34" ht="15.75" customHeight="1" x14ac:dyDescent="0.25">
      <c r="A1" s="1" t="s">
        <v>0</v>
      </c>
      <c r="B1" s="2" t="s">
        <v>1</v>
      </c>
      <c r="C1" s="3">
        <v>2015</v>
      </c>
      <c r="D1" s="3">
        <v>2015</v>
      </c>
      <c r="E1" s="3">
        <v>2015</v>
      </c>
      <c r="F1" s="3">
        <v>2015</v>
      </c>
      <c r="G1" s="4">
        <v>2015</v>
      </c>
      <c r="H1" s="3">
        <v>2016</v>
      </c>
      <c r="I1" s="3">
        <v>2016</v>
      </c>
      <c r="J1" s="3">
        <v>2016</v>
      </c>
      <c r="K1" s="3">
        <v>2016</v>
      </c>
      <c r="L1" s="4">
        <v>2016</v>
      </c>
      <c r="M1" s="3">
        <v>2017</v>
      </c>
      <c r="N1" s="3">
        <v>2017</v>
      </c>
      <c r="O1" s="3">
        <v>2017</v>
      </c>
      <c r="P1" s="3">
        <v>2017</v>
      </c>
      <c r="Q1" s="4">
        <v>2017</v>
      </c>
      <c r="R1" s="3">
        <v>2018</v>
      </c>
      <c r="S1" s="3">
        <v>2018</v>
      </c>
      <c r="T1" s="3">
        <v>2018</v>
      </c>
      <c r="U1" s="3">
        <v>2018</v>
      </c>
      <c r="V1" s="4">
        <v>2018</v>
      </c>
      <c r="W1" s="3">
        <v>2019</v>
      </c>
      <c r="X1" s="3">
        <v>2019</v>
      </c>
      <c r="Y1" s="3">
        <v>2019</v>
      </c>
      <c r="Z1" s="3">
        <v>2019</v>
      </c>
      <c r="AA1" s="4">
        <v>2019</v>
      </c>
      <c r="AB1" s="3">
        <v>2020</v>
      </c>
      <c r="AC1" s="5"/>
      <c r="AD1" s="5"/>
      <c r="AE1" s="5"/>
      <c r="AF1" s="6" t="s">
        <v>2</v>
      </c>
      <c r="AG1" s="5"/>
      <c r="AH1" s="5"/>
    </row>
    <row r="2" spans="1:34" ht="15.75" customHeight="1" x14ac:dyDescent="0.25">
      <c r="B2" s="2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6" t="s">
        <v>4</v>
      </c>
      <c r="I2" s="6" t="s">
        <v>5</v>
      </c>
      <c r="J2" s="6" t="s">
        <v>6</v>
      </c>
      <c r="K2" s="6" t="s">
        <v>7</v>
      </c>
      <c r="L2" s="7" t="s">
        <v>8</v>
      </c>
      <c r="M2" s="6" t="s">
        <v>4</v>
      </c>
      <c r="N2" s="6" t="s">
        <v>5</v>
      </c>
      <c r="O2" s="6" t="s">
        <v>6</v>
      </c>
      <c r="P2" s="6" t="s">
        <v>7</v>
      </c>
      <c r="Q2" s="7" t="s">
        <v>8</v>
      </c>
      <c r="R2" s="6" t="s">
        <v>4</v>
      </c>
      <c r="S2" s="6" t="s">
        <v>5</v>
      </c>
      <c r="T2" s="6" t="s">
        <v>6</v>
      </c>
      <c r="U2" s="6" t="s">
        <v>7</v>
      </c>
      <c r="V2" s="7" t="s">
        <v>8</v>
      </c>
      <c r="W2" s="6" t="s">
        <v>4</v>
      </c>
      <c r="X2" s="6" t="s">
        <v>5</v>
      </c>
      <c r="Y2" s="6" t="s">
        <v>6</v>
      </c>
      <c r="Z2" s="6" t="s">
        <v>7</v>
      </c>
      <c r="AA2" s="7" t="s">
        <v>8</v>
      </c>
      <c r="AB2" s="6"/>
      <c r="AC2" s="6"/>
      <c r="AD2" s="7" t="s">
        <v>9</v>
      </c>
      <c r="AE2" s="7" t="s">
        <v>10</v>
      </c>
      <c r="AF2" s="8"/>
      <c r="AG2" s="8" t="s">
        <v>11</v>
      </c>
      <c r="AH2" s="6"/>
    </row>
    <row r="3" spans="1:34" ht="15.75" customHeight="1" x14ac:dyDescent="0.25">
      <c r="A3" s="9" t="str">
        <f>HYPERLINK("https://public.tableau.com/profile/pdph#!/vizhome/MedicationAssistedTreatment/UniqueMedicaidBeneficiarieswithaPrimaryDiagnosisofOUDReceivingAnyMedicaidFundedMedicatonAssistedTreatment","MAT &amp; Medicaid")</f>
        <v>MAT &amp; Medicaid</v>
      </c>
      <c r="B3" s="10" t="s">
        <v>12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5.75" customHeight="1" x14ac:dyDescent="0.25">
      <c r="A4" s="5"/>
      <c r="B4" s="11" t="s">
        <v>13</v>
      </c>
      <c r="C4" s="12"/>
      <c r="D4" s="12"/>
      <c r="E4" s="12"/>
      <c r="F4" s="12"/>
      <c r="G4" s="13">
        <v>887</v>
      </c>
      <c r="H4" s="12"/>
      <c r="I4" s="12"/>
      <c r="J4" s="12"/>
      <c r="K4" s="12"/>
      <c r="L4" s="13">
        <v>1652</v>
      </c>
      <c r="M4" s="12"/>
      <c r="N4" s="12"/>
      <c r="O4" s="12"/>
      <c r="P4" s="12"/>
      <c r="Q4" s="13">
        <v>3331</v>
      </c>
      <c r="R4" s="12"/>
      <c r="S4" s="12"/>
      <c r="T4" s="12"/>
      <c r="U4" s="12"/>
      <c r="V4" s="13">
        <v>5103</v>
      </c>
      <c r="W4" s="12"/>
      <c r="X4" s="12"/>
      <c r="Y4" s="12"/>
      <c r="Z4" s="12"/>
      <c r="AA4" s="12"/>
      <c r="AB4" s="12"/>
      <c r="AC4" s="12"/>
      <c r="AD4" s="13">
        <f t="shared" ref="AD4:AD7" si="0">(Q4+V4)</f>
        <v>8434</v>
      </c>
      <c r="AE4" s="5"/>
      <c r="AF4" s="14">
        <f>G4+L4+Q4+V4</f>
        <v>10973</v>
      </c>
      <c r="AG4" s="14">
        <f>G4+L4+Q4+V4+AA4</f>
        <v>10973</v>
      </c>
      <c r="AH4" s="5"/>
    </row>
    <row r="5" spans="1:34" ht="15.75" customHeight="1" x14ac:dyDescent="0.25">
      <c r="A5" s="5"/>
      <c r="B5" s="6" t="s">
        <v>14</v>
      </c>
      <c r="C5" s="5"/>
      <c r="D5" s="5"/>
      <c r="E5" s="5"/>
      <c r="F5" s="5"/>
      <c r="G5" s="6">
        <v>5298</v>
      </c>
      <c r="H5" s="5"/>
      <c r="I5" s="5"/>
      <c r="J5" s="5"/>
      <c r="K5" s="5"/>
      <c r="L5" s="6">
        <v>5416</v>
      </c>
      <c r="M5" s="5"/>
      <c r="N5" s="5"/>
      <c r="O5" s="5"/>
      <c r="P5" s="5"/>
      <c r="Q5" s="6">
        <v>5179</v>
      </c>
      <c r="R5" s="5"/>
      <c r="S5" s="5"/>
      <c r="T5" s="5"/>
      <c r="U5" s="5"/>
      <c r="V5" s="6">
        <v>5170</v>
      </c>
      <c r="W5" s="5"/>
      <c r="X5" s="5"/>
      <c r="Y5" s="5"/>
      <c r="Z5" s="5"/>
      <c r="AA5" s="5"/>
      <c r="AB5" s="5"/>
      <c r="AC5" s="5"/>
      <c r="AD5" s="5">
        <f t="shared" si="0"/>
        <v>10349</v>
      </c>
      <c r="AE5" s="5"/>
      <c r="AF5" s="5"/>
      <c r="AG5" s="5"/>
      <c r="AH5" s="5"/>
    </row>
    <row r="6" spans="1:34" ht="15.75" customHeight="1" x14ac:dyDescent="0.25">
      <c r="A6" s="5"/>
      <c r="B6" s="6" t="s">
        <v>15</v>
      </c>
      <c r="C6" s="5"/>
      <c r="D6" s="5"/>
      <c r="E6" s="5"/>
      <c r="F6" s="5"/>
      <c r="G6" s="6">
        <v>69</v>
      </c>
      <c r="H6" s="5"/>
      <c r="I6" s="5"/>
      <c r="J6" s="5"/>
      <c r="K6" s="5"/>
      <c r="L6" s="6">
        <v>192</v>
      </c>
      <c r="M6" s="5"/>
      <c r="N6" s="5"/>
      <c r="O6" s="5"/>
      <c r="P6" s="5"/>
      <c r="Q6" s="6">
        <v>369</v>
      </c>
      <c r="R6" s="5"/>
      <c r="S6" s="5"/>
      <c r="T6" s="5"/>
      <c r="U6" s="5"/>
      <c r="V6" s="6">
        <v>420</v>
      </c>
      <c r="W6" s="5"/>
      <c r="X6" s="5"/>
      <c r="Y6" s="5"/>
      <c r="Z6" s="5"/>
      <c r="AA6" s="5"/>
      <c r="AB6" s="5"/>
      <c r="AC6" s="5"/>
      <c r="AD6" s="5">
        <f t="shared" si="0"/>
        <v>789</v>
      </c>
      <c r="AE6" s="5"/>
      <c r="AF6" s="5"/>
      <c r="AG6" s="5"/>
      <c r="AH6" s="5"/>
    </row>
    <row r="7" spans="1:34" ht="15.75" customHeight="1" x14ac:dyDescent="0.25">
      <c r="A7" s="15"/>
      <c r="B7" s="16" t="s">
        <v>16</v>
      </c>
      <c r="C7" s="15"/>
      <c r="D7" s="15"/>
      <c r="E7" s="15"/>
      <c r="F7" s="15"/>
      <c r="G7" s="16">
        <f>SUM(G4:G6)</f>
        <v>6254</v>
      </c>
      <c r="H7" s="15"/>
      <c r="I7" s="15"/>
      <c r="J7" s="15"/>
      <c r="K7" s="15"/>
      <c r="L7" s="16">
        <f>SUM(L4:L6)</f>
        <v>7260</v>
      </c>
      <c r="M7" s="15"/>
      <c r="N7" s="15"/>
      <c r="O7" s="15"/>
      <c r="P7" s="15"/>
      <c r="Q7" s="16">
        <f>SUM(Q4:Q6)</f>
        <v>8879</v>
      </c>
      <c r="R7" s="15"/>
      <c r="S7" s="15"/>
      <c r="T7" s="15"/>
      <c r="U7" s="15"/>
      <c r="V7" s="16">
        <f>SUM(V4:V6)</f>
        <v>10693</v>
      </c>
      <c r="W7" s="15"/>
      <c r="X7" s="15"/>
      <c r="Y7" s="15"/>
      <c r="Z7" s="15"/>
      <c r="AA7" s="15"/>
      <c r="AB7" s="15"/>
      <c r="AC7" s="15"/>
      <c r="AD7" s="14">
        <f t="shared" si="0"/>
        <v>19572</v>
      </c>
      <c r="AE7" s="15"/>
      <c r="AF7" s="15"/>
      <c r="AG7" s="15"/>
      <c r="AH7" s="15"/>
    </row>
    <row r="8" spans="1:34" ht="15.75" customHeight="1" x14ac:dyDescent="0.25">
      <c r="A8" s="17" t="s">
        <v>17</v>
      </c>
      <c r="B8" s="16" t="s">
        <v>18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5.75" customHeight="1" x14ac:dyDescent="0.25">
      <c r="A9" s="9" t="str">
        <f>HYPERLINK("https://public.tableau.com/profile/pdph#!/vizhome/OpioidPrescriptions/OpioidPrescriptionsbydemographicsandotherfactors","Prescriptions")</f>
        <v>Prescriptions</v>
      </c>
      <c r="B9" s="10" t="s">
        <v>19</v>
      </c>
      <c r="C9" s="5"/>
      <c r="D9" s="5"/>
      <c r="E9" s="5"/>
      <c r="F9" s="5"/>
      <c r="G9" s="5"/>
      <c r="H9" s="5"/>
      <c r="I9" s="5"/>
      <c r="J9" s="5"/>
      <c r="K9" s="5"/>
      <c r="L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5.75" customHeight="1" x14ac:dyDescent="0.25">
      <c r="A10" s="5"/>
      <c r="B10" s="11" t="s">
        <v>13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1">
        <v>14355</v>
      </c>
      <c r="N10" s="11">
        <v>16346</v>
      </c>
      <c r="O10" s="11">
        <v>16776</v>
      </c>
      <c r="P10" s="11">
        <v>17322</v>
      </c>
      <c r="Q10" s="18">
        <f t="shared" ref="Q10:Q11" si="1">SUM(M10:P10)</f>
        <v>64799</v>
      </c>
      <c r="R10" s="11">
        <v>17461</v>
      </c>
      <c r="S10" s="11">
        <v>18216</v>
      </c>
      <c r="T10" s="11">
        <v>18429</v>
      </c>
      <c r="U10" s="11">
        <v>20170</v>
      </c>
      <c r="V10" s="18">
        <f t="shared" ref="V10:V11" si="2">SUM(R10:U10)</f>
        <v>74276</v>
      </c>
      <c r="W10" s="11">
        <v>16953</v>
      </c>
      <c r="X10" s="12"/>
      <c r="Y10" s="11">
        <v>24020</v>
      </c>
      <c r="Z10" s="12"/>
      <c r="AA10" s="18">
        <f>SUM(W10:Z10)</f>
        <v>40973</v>
      </c>
      <c r="AB10" s="12"/>
      <c r="AC10" s="12"/>
      <c r="AD10" s="13">
        <f t="shared" ref="AD10:AD11" si="3">(Q10+V10)</f>
        <v>139075</v>
      </c>
      <c r="AE10" s="13">
        <f>(Q10+V10+AA10)</f>
        <v>180048</v>
      </c>
      <c r="AF10" s="5"/>
      <c r="AG10" s="5"/>
      <c r="AH10" s="5"/>
    </row>
    <row r="11" spans="1:34" ht="15.75" customHeight="1" x14ac:dyDescent="0.25">
      <c r="A11" s="5"/>
      <c r="B11" s="6" t="s">
        <v>20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6">
        <v>156284</v>
      </c>
      <c r="N11" s="6">
        <v>171924</v>
      </c>
      <c r="O11" s="6">
        <v>165122</v>
      </c>
      <c r="P11" s="6">
        <v>158084</v>
      </c>
      <c r="Q11" s="5">
        <f t="shared" si="1"/>
        <v>651414</v>
      </c>
      <c r="R11" s="6">
        <v>148705</v>
      </c>
      <c r="S11" s="6">
        <v>144354</v>
      </c>
      <c r="T11" s="6">
        <v>136238</v>
      </c>
      <c r="U11" s="6">
        <v>129926</v>
      </c>
      <c r="V11" s="5">
        <f t="shared" si="2"/>
        <v>559223</v>
      </c>
      <c r="W11" s="6">
        <v>112064</v>
      </c>
      <c r="X11" s="5"/>
      <c r="Y11" s="5"/>
      <c r="Z11" s="5"/>
      <c r="AA11" s="5"/>
      <c r="AB11" s="5"/>
      <c r="AC11" s="5"/>
      <c r="AD11" s="5">
        <f t="shared" si="3"/>
        <v>1210637</v>
      </c>
      <c r="AE11" s="5"/>
      <c r="AF11" s="5"/>
      <c r="AG11" s="5"/>
      <c r="AH11" s="5"/>
    </row>
    <row r="12" spans="1:34" ht="15.75" customHeight="1" x14ac:dyDescent="0.25">
      <c r="A12" s="5"/>
      <c r="B12" s="6" t="s">
        <v>21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5.75" customHeight="1" x14ac:dyDescent="0.25">
      <c r="A13" s="17" t="s">
        <v>17</v>
      </c>
      <c r="B13" s="19" t="str">
        <f>HYPERLINK("https://www.inquirer.com/health/opioid-addiction/suboxone-black-market-kensington-philadelphia-overdose-treatment-20200203.html","Buprenorphine accessed without prescriptions?")</f>
        <v>Buprenorphine accessed without prescriptions?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5.75" customHeight="1" x14ac:dyDescent="0.25">
      <c r="A14" s="16" t="s">
        <v>22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5.75" customHeight="1" x14ac:dyDescent="0.25">
      <c r="A15" s="15"/>
      <c r="B15" s="20" t="s">
        <v>23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2">
        <f>Q10/Q4</f>
        <v>19.453317322125489</v>
      </c>
      <c r="R15" s="21"/>
      <c r="S15" s="21"/>
      <c r="T15" s="21"/>
      <c r="U15" s="21"/>
      <c r="V15" s="22">
        <f>V10/V4</f>
        <v>14.555359592396629</v>
      </c>
      <c r="W15" s="21"/>
      <c r="X15" s="21"/>
      <c r="Y15" s="21"/>
      <c r="Z15" s="21"/>
      <c r="AA15" s="21"/>
      <c r="AB15" s="21"/>
      <c r="AC15" s="15"/>
      <c r="AD15" s="15"/>
      <c r="AE15" s="15"/>
      <c r="AF15" s="15"/>
      <c r="AG15" s="15"/>
      <c r="AH15" s="15"/>
    </row>
    <row r="16" spans="1:34" ht="15.75" customHeight="1" x14ac:dyDescent="0.25">
      <c r="A16" s="14"/>
      <c r="B16" s="20" t="s">
        <v>24</v>
      </c>
      <c r="C16" s="23"/>
      <c r="D16" s="23"/>
      <c r="E16" s="23"/>
      <c r="F16" s="23"/>
      <c r="G16" s="24">
        <f>G4/G7</f>
        <v>0.14182922929325231</v>
      </c>
      <c r="H16" s="23"/>
      <c r="I16" s="23"/>
      <c r="J16" s="23"/>
      <c r="K16" s="23"/>
      <c r="L16" s="24">
        <f>L4/L7</f>
        <v>0.2275482093663912</v>
      </c>
      <c r="M16" s="23"/>
      <c r="N16" s="23"/>
      <c r="O16" s="23"/>
      <c r="P16" s="23"/>
      <c r="Q16" s="24">
        <f>Q4/Q7</f>
        <v>0.37515485978150692</v>
      </c>
      <c r="R16" s="23"/>
      <c r="S16" s="23"/>
      <c r="T16" s="23"/>
      <c r="U16" s="23"/>
      <c r="V16" s="24">
        <f>V4/V7</f>
        <v>0.47722809314504816</v>
      </c>
      <c r="W16" s="23"/>
      <c r="X16" s="23"/>
      <c r="Y16" s="23"/>
      <c r="Z16" s="23"/>
      <c r="AA16" s="23"/>
      <c r="AB16" s="12"/>
      <c r="AC16" s="13"/>
      <c r="AD16" s="24">
        <f>AD4/AD7</f>
        <v>0.43092172491314124</v>
      </c>
      <c r="AE16" s="14"/>
      <c r="AF16" s="14"/>
      <c r="AG16" s="14"/>
      <c r="AH16" s="14"/>
    </row>
    <row r="17" spans="1:34" x14ac:dyDescent="0.3">
      <c r="A17" s="15"/>
      <c r="B17" s="25" t="s">
        <v>25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26">
        <f t="shared" ref="M17:W17" si="4">M11/M10</f>
        <v>10.887077673284569</v>
      </c>
      <c r="N17" s="26">
        <f t="shared" si="4"/>
        <v>10.51780252049431</v>
      </c>
      <c r="O17" s="26">
        <f t="shared" si="4"/>
        <v>9.8427515498330944</v>
      </c>
      <c r="P17" s="26">
        <f t="shared" si="4"/>
        <v>9.1261978986260246</v>
      </c>
      <c r="Q17" s="27">
        <f t="shared" si="4"/>
        <v>10.052840321609901</v>
      </c>
      <c r="R17" s="26">
        <f t="shared" si="4"/>
        <v>8.516407994960197</v>
      </c>
      <c r="S17" s="26">
        <f t="shared" si="4"/>
        <v>7.9245718050065879</v>
      </c>
      <c r="T17" s="26">
        <f t="shared" si="4"/>
        <v>7.3925877692766839</v>
      </c>
      <c r="U17" s="26">
        <f t="shared" si="4"/>
        <v>6.44154685176004</v>
      </c>
      <c r="V17" s="27">
        <f t="shared" si="4"/>
        <v>7.5289864828477571</v>
      </c>
      <c r="W17" s="26">
        <f t="shared" si="4"/>
        <v>6.6102754674688846</v>
      </c>
      <c r="X17" s="15"/>
      <c r="Y17" s="15"/>
      <c r="Z17" s="15"/>
      <c r="AA17" s="15"/>
      <c r="AB17" s="15"/>
      <c r="AC17" s="15"/>
      <c r="AD17" s="27">
        <f>AD11/AD10</f>
        <v>8.7049218047815931</v>
      </c>
      <c r="AE17" s="15"/>
      <c r="AF17" s="15"/>
      <c r="AG17" s="15"/>
      <c r="AH17" s="15"/>
    </row>
    <row r="18" spans="1:34" ht="15.75" customHeight="1" x14ac:dyDescent="0.25">
      <c r="A18" s="15"/>
      <c r="B18" s="8" t="s">
        <v>26</v>
      </c>
      <c r="C18" s="15"/>
      <c r="D18" s="15"/>
      <c r="E18" s="15"/>
      <c r="F18" s="15"/>
      <c r="G18" s="15"/>
      <c r="H18" s="15"/>
      <c r="I18" s="15"/>
      <c r="J18" s="15"/>
      <c r="K18" s="15"/>
      <c r="L18" s="28">
        <f>(L7-G7)/G7</f>
        <v>0.16085705148704829</v>
      </c>
      <c r="M18" s="15"/>
      <c r="N18" s="15"/>
      <c r="O18" s="15"/>
      <c r="P18" s="15"/>
      <c r="Q18" s="28">
        <f>(Q7-L7)/L7</f>
        <v>0.22300275482093665</v>
      </c>
      <c r="R18" s="15"/>
      <c r="S18" s="15"/>
      <c r="T18" s="15"/>
      <c r="U18" s="15"/>
      <c r="V18" s="28">
        <f>(V7-Q7)/Q7</f>
        <v>0.20430228629350153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ht="15.75" customHeight="1" x14ac:dyDescent="0.25">
      <c r="A19" s="15"/>
      <c r="B19" s="29" t="s">
        <v>27</v>
      </c>
      <c r="C19" s="21"/>
      <c r="D19" s="21"/>
      <c r="E19" s="21"/>
      <c r="F19" s="21"/>
      <c r="G19" s="30"/>
      <c r="H19" s="21"/>
      <c r="I19" s="21"/>
      <c r="J19" s="21"/>
      <c r="K19" s="21"/>
      <c r="L19" s="31">
        <f>L4/G4-1</f>
        <v>0.86245772266065379</v>
      </c>
      <c r="M19" s="21"/>
      <c r="N19" s="21"/>
      <c r="O19" s="21"/>
      <c r="P19" s="21"/>
      <c r="Q19" s="31">
        <f>Q4/L4-1</f>
        <v>1.0163438256658597</v>
      </c>
      <c r="R19" s="21"/>
      <c r="S19" s="21"/>
      <c r="T19" s="21"/>
      <c r="U19" s="21"/>
      <c r="V19" s="31">
        <f>V4/Q4-1</f>
        <v>0.53197238066646646</v>
      </c>
      <c r="W19" s="21"/>
      <c r="X19" s="21"/>
      <c r="Y19" s="21"/>
      <c r="Z19" s="21"/>
      <c r="AA19" s="21"/>
      <c r="AB19" s="21"/>
      <c r="AC19" s="15"/>
      <c r="AD19" s="15"/>
      <c r="AE19" s="15"/>
      <c r="AF19" s="15"/>
      <c r="AG19" s="15"/>
      <c r="AH19" s="15"/>
    </row>
    <row r="20" spans="1:34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5.75" customHeight="1" x14ac:dyDescent="0.25">
      <c r="A21" s="9" t="str">
        <f>HYPERLINK("https://public.tableau.com/profile/pdph#!/vizhome/NaloxoneDispensingfromPharmacies/NaloxoneDB","Naloxone via Pharmacies &amp; Medicaid")</f>
        <v>Naloxone via Pharmacies &amp; Medicaid</v>
      </c>
      <c r="B21" s="10" t="s">
        <v>28</v>
      </c>
      <c r="C21" s="32">
        <v>15</v>
      </c>
      <c r="D21" s="32">
        <v>18</v>
      </c>
      <c r="E21" s="32">
        <v>45</v>
      </c>
      <c r="F21" s="32">
        <v>123</v>
      </c>
      <c r="G21" s="33">
        <f>SUM(C21:F21)</f>
        <v>201</v>
      </c>
      <c r="H21" s="32">
        <v>370</v>
      </c>
      <c r="I21" s="32">
        <v>274</v>
      </c>
      <c r="J21" s="32">
        <v>641</v>
      </c>
      <c r="K21" s="32">
        <v>538</v>
      </c>
      <c r="L21" s="33">
        <f>SUM(H21:K21)</f>
        <v>1823</v>
      </c>
      <c r="M21" s="32">
        <v>806</v>
      </c>
      <c r="N21" s="32">
        <v>1324</v>
      </c>
      <c r="O21" s="32">
        <v>1213</v>
      </c>
      <c r="P21" s="32">
        <v>2314</v>
      </c>
      <c r="Q21" s="33">
        <f>SUM(M21:P21)</f>
        <v>5657</v>
      </c>
      <c r="R21" s="32">
        <v>2930</v>
      </c>
      <c r="S21" s="32">
        <v>3594</v>
      </c>
      <c r="T21" s="32">
        <v>3593</v>
      </c>
      <c r="U21" s="32">
        <v>3997</v>
      </c>
      <c r="V21" s="33">
        <f>SUM(R21:U21)</f>
        <v>14114</v>
      </c>
      <c r="W21" s="34"/>
      <c r="X21" s="34"/>
      <c r="Y21" s="34"/>
      <c r="Z21" s="34"/>
      <c r="AA21" s="34"/>
      <c r="AB21" s="34"/>
      <c r="AC21" s="34"/>
      <c r="AD21" s="33">
        <f>(Q21+V21)</f>
        <v>19771</v>
      </c>
      <c r="AE21" s="5"/>
      <c r="AF21" s="5"/>
      <c r="AG21" s="5"/>
      <c r="AH21" s="5"/>
    </row>
    <row r="22" spans="1:34" ht="13" x14ac:dyDescent="0.25">
      <c r="A22" s="9" t="str">
        <f>HYPERLINK("https://public.tableau.com/profile/pdph#!/vizhome/NaloxoneAdministrationsbyFirstResponders/CombinedNaloxone","Naloxone Admins [= dph_dash_n_naloxone_admins]")</f>
        <v>Naloxone Admins [= dph_dash_n_naloxone_admins]</v>
      </c>
      <c r="B22" s="10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2.5" x14ac:dyDescent="0.25">
      <c r="A23" s="5"/>
      <c r="B23" s="6" t="s">
        <v>30</v>
      </c>
      <c r="C23" s="6">
        <v>455</v>
      </c>
      <c r="D23" s="6">
        <v>715</v>
      </c>
      <c r="E23" s="6">
        <v>987</v>
      </c>
      <c r="F23" s="6">
        <v>648</v>
      </c>
      <c r="G23" s="6">
        <f>SUM(C23:F23)</f>
        <v>2805</v>
      </c>
      <c r="H23" s="6">
        <v>752</v>
      </c>
      <c r="I23" s="6">
        <v>1023</v>
      </c>
      <c r="J23" s="6">
        <v>1105</v>
      </c>
      <c r="K23" s="6">
        <v>1211</v>
      </c>
      <c r="L23" s="6">
        <f t="shared" ref="L23:L24" si="5">SUM(H23:K23)</f>
        <v>4091</v>
      </c>
      <c r="M23" s="6">
        <v>1405</v>
      </c>
      <c r="N23" s="6">
        <v>1836</v>
      </c>
      <c r="O23" s="6">
        <v>1722</v>
      </c>
      <c r="P23" s="6">
        <v>1106</v>
      </c>
      <c r="Q23" s="6">
        <f t="shared" ref="Q23:Q25" si="6">SUM(M23:P23)</f>
        <v>6069</v>
      </c>
      <c r="R23" s="6">
        <v>841</v>
      </c>
      <c r="S23" s="6">
        <v>1127</v>
      </c>
      <c r="T23" s="6">
        <v>1200</v>
      </c>
      <c r="U23" s="6">
        <v>744</v>
      </c>
      <c r="V23" s="6">
        <f t="shared" ref="V23:V25" si="7">SUM(R23:U23)</f>
        <v>3912</v>
      </c>
      <c r="W23" s="6">
        <v>650</v>
      </c>
      <c r="X23" s="6">
        <v>857</v>
      </c>
      <c r="Y23" s="35">
        <v>876</v>
      </c>
      <c r="Z23" s="35">
        <v>830</v>
      </c>
      <c r="AA23" s="6">
        <f t="shared" ref="AA23:AA25" si="8">SUM(W23:Z23)</f>
        <v>3213</v>
      </c>
      <c r="AB23" s="5"/>
      <c r="AC23" s="5"/>
      <c r="AD23" s="5">
        <f t="shared" ref="AD23:AD26" si="9">(Q23+V23)</f>
        <v>9981</v>
      </c>
      <c r="AE23" s="5"/>
      <c r="AF23" s="5">
        <f>G23+L23+Q23+V23+364+619+622+476</f>
        <v>18958</v>
      </c>
      <c r="AG23" s="5"/>
      <c r="AH23" s="5"/>
    </row>
    <row r="24" spans="1:34" ht="12.5" x14ac:dyDescent="0.25">
      <c r="A24" s="5"/>
      <c r="B24" s="6" t="s">
        <v>31</v>
      </c>
      <c r="C24" s="5"/>
      <c r="D24" s="5"/>
      <c r="E24" s="5"/>
      <c r="F24" s="5"/>
      <c r="G24" s="5"/>
      <c r="H24" s="5"/>
      <c r="I24" s="5"/>
      <c r="J24" s="6">
        <v>5</v>
      </c>
      <c r="K24" s="6">
        <v>65</v>
      </c>
      <c r="L24" s="6">
        <f t="shared" si="5"/>
        <v>70</v>
      </c>
      <c r="M24" s="6">
        <v>109</v>
      </c>
      <c r="N24" s="6">
        <v>197</v>
      </c>
      <c r="O24" s="6">
        <v>162</v>
      </c>
      <c r="P24" s="6">
        <v>76</v>
      </c>
      <c r="Q24" s="6">
        <f t="shared" si="6"/>
        <v>544</v>
      </c>
      <c r="R24" s="6">
        <v>65</v>
      </c>
      <c r="S24" s="6">
        <v>109</v>
      </c>
      <c r="T24" s="6">
        <v>137</v>
      </c>
      <c r="U24" s="6">
        <v>65</v>
      </c>
      <c r="V24" s="6">
        <f t="shared" si="7"/>
        <v>376</v>
      </c>
      <c r="W24" s="6">
        <v>50</v>
      </c>
      <c r="X24" s="6">
        <v>65</v>
      </c>
      <c r="Y24" s="6">
        <v>70</v>
      </c>
      <c r="Z24" s="6">
        <v>44</v>
      </c>
      <c r="AA24" s="6">
        <f t="shared" si="8"/>
        <v>229</v>
      </c>
      <c r="AB24" s="5"/>
      <c r="AC24" s="5"/>
      <c r="AD24" s="5">
        <f t="shared" si="9"/>
        <v>920</v>
      </c>
      <c r="AE24" s="5"/>
      <c r="AF24" s="5"/>
      <c r="AG24" s="5">
        <f t="shared" ref="AG24:AG25" si="10">L24+Q24+V24+AA24</f>
        <v>1219</v>
      </c>
      <c r="AH24" s="5"/>
    </row>
    <row r="25" spans="1:34" ht="12.5" x14ac:dyDescent="0.25">
      <c r="A25" s="5"/>
      <c r="B25" s="6" t="s">
        <v>32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>
        <v>21</v>
      </c>
      <c r="P25" s="6">
        <v>65</v>
      </c>
      <c r="Q25" s="6">
        <f t="shared" si="6"/>
        <v>86</v>
      </c>
      <c r="R25" s="6">
        <v>79</v>
      </c>
      <c r="S25" s="6">
        <v>87</v>
      </c>
      <c r="T25" s="6">
        <v>110</v>
      </c>
      <c r="U25" s="6">
        <v>58</v>
      </c>
      <c r="V25" s="6">
        <f t="shared" si="7"/>
        <v>334</v>
      </c>
      <c r="W25" s="6">
        <v>44</v>
      </c>
      <c r="X25" s="6">
        <v>33</v>
      </c>
      <c r="Y25" s="5"/>
      <c r="Z25" s="5"/>
      <c r="AA25" s="6">
        <f t="shared" si="8"/>
        <v>77</v>
      </c>
      <c r="AB25" s="5"/>
      <c r="AC25" s="5"/>
      <c r="AD25" s="5">
        <f t="shared" si="9"/>
        <v>420</v>
      </c>
      <c r="AE25" s="5"/>
      <c r="AF25" s="5"/>
      <c r="AG25" s="5">
        <f t="shared" si="10"/>
        <v>497</v>
      </c>
      <c r="AH25" s="5"/>
    </row>
    <row r="26" spans="1:34" ht="13" x14ac:dyDescent="0.25">
      <c r="A26" s="15"/>
      <c r="B26" s="36" t="s">
        <v>33</v>
      </c>
      <c r="C26" s="37">
        <f t="shared" ref="C26:X26" si="11">SUM(C23:C25)</f>
        <v>455</v>
      </c>
      <c r="D26" s="37">
        <f t="shared" si="11"/>
        <v>715</v>
      </c>
      <c r="E26" s="37">
        <f t="shared" si="11"/>
        <v>987</v>
      </c>
      <c r="F26" s="37">
        <f t="shared" si="11"/>
        <v>648</v>
      </c>
      <c r="G26" s="38">
        <f t="shared" si="11"/>
        <v>2805</v>
      </c>
      <c r="H26" s="37">
        <f t="shared" si="11"/>
        <v>752</v>
      </c>
      <c r="I26" s="37">
        <f t="shared" si="11"/>
        <v>1023</v>
      </c>
      <c r="J26" s="37">
        <f t="shared" si="11"/>
        <v>1110</v>
      </c>
      <c r="K26" s="37">
        <f t="shared" si="11"/>
        <v>1276</v>
      </c>
      <c r="L26" s="38">
        <f t="shared" si="11"/>
        <v>4161</v>
      </c>
      <c r="M26" s="37">
        <f t="shared" si="11"/>
        <v>1514</v>
      </c>
      <c r="N26" s="37">
        <f t="shared" si="11"/>
        <v>2033</v>
      </c>
      <c r="O26" s="37">
        <f t="shared" si="11"/>
        <v>1905</v>
      </c>
      <c r="P26" s="37">
        <f t="shared" si="11"/>
        <v>1247</v>
      </c>
      <c r="Q26" s="38">
        <f t="shared" si="11"/>
        <v>6699</v>
      </c>
      <c r="R26" s="37">
        <f t="shared" si="11"/>
        <v>985</v>
      </c>
      <c r="S26" s="37">
        <f t="shared" si="11"/>
        <v>1323</v>
      </c>
      <c r="T26" s="37">
        <f t="shared" si="11"/>
        <v>1447</v>
      </c>
      <c r="U26" s="37">
        <f t="shared" si="11"/>
        <v>867</v>
      </c>
      <c r="V26" s="38">
        <f t="shared" si="11"/>
        <v>4622</v>
      </c>
      <c r="W26" s="37">
        <f t="shared" si="11"/>
        <v>744</v>
      </c>
      <c r="X26" s="37">
        <f t="shared" si="11"/>
        <v>955</v>
      </c>
      <c r="Y26" s="39"/>
      <c r="Z26" s="39"/>
      <c r="AA26" s="38">
        <f>SUM(AA23:AA25)</f>
        <v>3519</v>
      </c>
      <c r="AB26" s="37"/>
      <c r="AC26" s="37"/>
      <c r="AD26" s="38">
        <f t="shared" si="9"/>
        <v>11321</v>
      </c>
      <c r="AE26" s="38">
        <f>(Q26+V26+AA26)</f>
        <v>14840</v>
      </c>
      <c r="AF26" s="14"/>
      <c r="AG26" s="14">
        <f>G26+L26+Q26+V26+AA26</f>
        <v>21806</v>
      </c>
      <c r="AH26" s="15"/>
    </row>
    <row r="27" spans="1:34" ht="13" x14ac:dyDescent="0.25">
      <c r="A27" s="9" t="str">
        <f>HYPERLINK("https://public.tableau.com/profile/pdph#!/vizhome/NaloxoneAdministrationsbyFirstResponders/PercentofIndividualsWhoAcceptedDeclinedTransporttoHospitalAfterNaloxoneAdministration","Post-Naloxone Hospital Transports")</f>
        <v>Post-Naloxone Hospital Transports</v>
      </c>
      <c r="B27" s="10" t="s">
        <v>34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3" x14ac:dyDescent="0.25">
      <c r="A28" s="5"/>
      <c r="B28" s="6" t="s">
        <v>35</v>
      </c>
      <c r="C28" s="40">
        <v>0.96</v>
      </c>
      <c r="D28" s="40">
        <v>0.95</v>
      </c>
      <c r="E28" s="40">
        <v>0.93</v>
      </c>
      <c r="F28" s="40">
        <v>0.94</v>
      </c>
      <c r="G28" s="41">
        <f>G29/G26</f>
        <v>0.94227450980392158</v>
      </c>
      <c r="H28" s="40">
        <v>0.93</v>
      </c>
      <c r="I28" s="40">
        <v>0.93</v>
      </c>
      <c r="J28" s="40">
        <v>0.92</v>
      </c>
      <c r="K28" s="40">
        <v>0.9</v>
      </c>
      <c r="L28" s="41">
        <f>L29/L26</f>
        <v>0.91813266041816866</v>
      </c>
      <c r="M28" s="40">
        <v>0.89</v>
      </c>
      <c r="N28" s="40">
        <v>0.85</v>
      </c>
      <c r="O28" s="40">
        <v>0.84</v>
      </c>
      <c r="P28" s="40">
        <v>0.87</v>
      </c>
      <c r="Q28" s="41">
        <f>Q29/Q26</f>
        <v>0.85991939095387382</v>
      </c>
      <c r="R28" s="40">
        <v>0.85</v>
      </c>
      <c r="S28" s="40">
        <v>0.79</v>
      </c>
      <c r="T28" s="40">
        <v>0.78</v>
      </c>
      <c r="U28" s="40">
        <v>0.79</v>
      </c>
      <c r="V28" s="41">
        <f>V29/V26</f>
        <v>0.7996559930765903</v>
      </c>
      <c r="W28" s="40">
        <v>0.82</v>
      </c>
      <c r="X28" s="40">
        <v>0.77</v>
      </c>
      <c r="Y28" s="42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3" x14ac:dyDescent="0.25">
      <c r="A29" s="15"/>
      <c r="B29" s="8" t="s">
        <v>36</v>
      </c>
      <c r="C29" s="43">
        <f t="shared" ref="C29:F29" si="12">C28*C26</f>
        <v>436.8</v>
      </c>
      <c r="D29" s="43">
        <f t="shared" si="12"/>
        <v>679.25</v>
      </c>
      <c r="E29" s="43">
        <f t="shared" si="12"/>
        <v>917.91000000000008</v>
      </c>
      <c r="F29" s="43">
        <f t="shared" si="12"/>
        <v>609.12</v>
      </c>
      <c r="G29" s="44">
        <f t="shared" ref="G29:G30" si="13">SUM(C29:F29)</f>
        <v>2643.08</v>
      </c>
      <c r="H29" s="43">
        <f t="shared" ref="H29:K29" si="14">H28*H26</f>
        <v>699.36</v>
      </c>
      <c r="I29" s="43">
        <f t="shared" si="14"/>
        <v>951.3900000000001</v>
      </c>
      <c r="J29" s="43">
        <f t="shared" si="14"/>
        <v>1021.2</v>
      </c>
      <c r="K29" s="43">
        <f t="shared" si="14"/>
        <v>1148.4000000000001</v>
      </c>
      <c r="L29" s="44">
        <f t="shared" ref="L29:L30" si="15">SUM(H29:K29)</f>
        <v>3820.35</v>
      </c>
      <c r="M29" s="43">
        <f t="shared" ref="M29:P29" si="16">M28*M26</f>
        <v>1347.46</v>
      </c>
      <c r="N29" s="43">
        <f t="shared" si="16"/>
        <v>1728.05</v>
      </c>
      <c r="O29" s="43">
        <f t="shared" si="16"/>
        <v>1600.2</v>
      </c>
      <c r="P29" s="43">
        <f t="shared" si="16"/>
        <v>1084.8900000000001</v>
      </c>
      <c r="Q29" s="44">
        <f t="shared" ref="Q29:Q30" si="17">SUM(M29:P29)</f>
        <v>5760.6</v>
      </c>
      <c r="R29" s="43">
        <f t="shared" ref="R29:U29" si="18">R28*R26</f>
        <v>837.25</v>
      </c>
      <c r="S29" s="43">
        <f t="shared" si="18"/>
        <v>1045.17</v>
      </c>
      <c r="T29" s="43">
        <f t="shared" si="18"/>
        <v>1128.6600000000001</v>
      </c>
      <c r="U29" s="43">
        <f t="shared" si="18"/>
        <v>684.93000000000006</v>
      </c>
      <c r="V29" s="44">
        <f t="shared" ref="V29:V30" si="19">SUM(R29:U29)</f>
        <v>3696.01</v>
      </c>
      <c r="W29" s="43">
        <f t="shared" ref="W29:X29" si="20">W28*W26</f>
        <v>610.07999999999993</v>
      </c>
      <c r="X29" s="43">
        <f t="shared" si="20"/>
        <v>735.35</v>
      </c>
      <c r="Y29" s="15"/>
      <c r="Z29" s="15"/>
      <c r="AA29" s="44">
        <f t="shared" ref="AA29:AA30" si="21">SUM(W29:Z29)</f>
        <v>1345.4299999999998</v>
      </c>
      <c r="AB29" s="15"/>
      <c r="AC29" s="15"/>
      <c r="AD29" s="43">
        <f t="shared" ref="AD29:AD31" si="22">(Q29+V29)</f>
        <v>9456.61</v>
      </c>
      <c r="AE29" s="43">
        <f t="shared" ref="AE29:AE30" si="23">(Q29+V29+AA29)</f>
        <v>10802.04</v>
      </c>
      <c r="AF29" s="15"/>
      <c r="AG29" s="15"/>
      <c r="AH29" s="15"/>
    </row>
    <row r="30" spans="1:34" ht="13" x14ac:dyDescent="0.25">
      <c r="A30" s="9" t="str">
        <f>HYPERLINK("https://public.tableau.com/profile/pdph#!/vizhome/NaloxoneAdministrationsbyFirstResponders/NumberofEDTransfersAfterNaloxoneAdministrationsbyHospital2014-2019","ED Transfers (totals via dph_dash_n_ed_transfers)")</f>
        <v>ED Transfers (totals via dph_dash_n_ed_transfers)</v>
      </c>
      <c r="B30" s="10" t="s">
        <v>37</v>
      </c>
      <c r="C30" s="35">
        <v>362</v>
      </c>
      <c r="D30" s="35">
        <v>568</v>
      </c>
      <c r="E30" s="35">
        <v>792</v>
      </c>
      <c r="F30" s="35">
        <v>511</v>
      </c>
      <c r="G30" s="45">
        <f t="shared" si="13"/>
        <v>2233</v>
      </c>
      <c r="H30" s="35">
        <v>587</v>
      </c>
      <c r="I30" s="35">
        <v>782</v>
      </c>
      <c r="J30" s="35">
        <v>845</v>
      </c>
      <c r="K30" s="35">
        <v>928</v>
      </c>
      <c r="L30" s="45">
        <f t="shared" si="15"/>
        <v>3142</v>
      </c>
      <c r="M30" s="35">
        <v>1047</v>
      </c>
      <c r="N30" s="35">
        <v>1280</v>
      </c>
      <c r="O30" s="35">
        <v>1119</v>
      </c>
      <c r="P30" s="35">
        <v>584</v>
      </c>
      <c r="Q30" s="45">
        <f t="shared" si="17"/>
        <v>4030</v>
      </c>
      <c r="R30" s="35">
        <v>602</v>
      </c>
      <c r="S30" s="35">
        <v>765</v>
      </c>
      <c r="T30" s="35">
        <v>782</v>
      </c>
      <c r="U30" s="35">
        <v>470</v>
      </c>
      <c r="V30" s="45">
        <f t="shared" si="19"/>
        <v>2619</v>
      </c>
      <c r="W30" s="35">
        <v>436</v>
      </c>
      <c r="X30" s="35">
        <v>552</v>
      </c>
      <c r="Y30" s="46"/>
      <c r="Z30" s="46"/>
      <c r="AA30" s="36">
        <f t="shared" si="21"/>
        <v>988</v>
      </c>
      <c r="AB30" s="46"/>
      <c r="AC30" s="46"/>
      <c r="AD30" s="47">
        <f t="shared" si="22"/>
        <v>6649</v>
      </c>
      <c r="AE30" s="47">
        <f t="shared" si="23"/>
        <v>7637</v>
      </c>
      <c r="AF30" s="5"/>
      <c r="AG30" s="5"/>
      <c r="AH30" s="5"/>
    </row>
    <row r="31" spans="1:34" ht="13" x14ac:dyDescent="0.25">
      <c r="A31" s="9" t="str">
        <f>HYPERLINK("https://public.tableau.com/profile/pdph#!/vizhome/HospitalizationsAttributabletoNon-FatalOpioidPoisoning/HospitalizationsAttributabletoNon-FatalOpioidPoisoning","Hospitalizations for Non-Fatal Opioids Poisoning")</f>
        <v>Hospitalizations for Non-Fatal Opioids Poisoning</v>
      </c>
      <c r="B31" s="10" t="s">
        <v>38</v>
      </c>
      <c r="C31" s="48"/>
      <c r="D31" s="48"/>
      <c r="E31" s="48"/>
      <c r="F31" s="48"/>
      <c r="G31" s="49">
        <v>652</v>
      </c>
      <c r="H31" s="48"/>
      <c r="I31" s="48"/>
      <c r="J31" s="48"/>
      <c r="K31" s="48"/>
      <c r="L31" s="49">
        <v>682</v>
      </c>
      <c r="M31" s="48"/>
      <c r="N31" s="48"/>
      <c r="O31" s="48"/>
      <c r="P31" s="48"/>
      <c r="Q31" s="49">
        <v>772</v>
      </c>
      <c r="R31" s="48"/>
      <c r="S31" s="48"/>
      <c r="T31" s="48"/>
      <c r="U31" s="48"/>
      <c r="V31" s="49">
        <v>651</v>
      </c>
      <c r="W31" s="48"/>
      <c r="X31" s="48"/>
      <c r="Y31" s="48"/>
      <c r="Z31" s="48"/>
      <c r="AA31" s="48"/>
      <c r="AB31" s="48"/>
      <c r="AC31" s="48"/>
      <c r="AD31" s="50">
        <f t="shared" si="22"/>
        <v>1423</v>
      </c>
      <c r="AE31" s="48"/>
      <c r="AF31" s="5"/>
      <c r="AG31" s="5"/>
      <c r="AH31" s="5"/>
    </row>
    <row r="32" spans="1:34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3" x14ac:dyDescent="0.25">
      <c r="A33" s="9" t="str">
        <f>HYPERLINK("https://www.google.com/url?q=https://www.phila.gov/media/20200226121229/Substance-Abuse-Data-Report-02.26.20.pdf&amp;sa=D&amp;ust=1583798282690000&amp;usg=AFQjCNGUTdoq7zfwWbuviR-6bM0Mgdrnkw","2020-02-26 Opioids Update (page 54!)")</f>
        <v>2020-02-26 Opioids Update (page 54!)</v>
      </c>
      <c r="B33" s="51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3" x14ac:dyDescent="0.25">
      <c r="A34" s="5"/>
      <c r="B34" s="6" t="s">
        <v>40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6">
        <v>199</v>
      </c>
      <c r="N34" s="6">
        <v>210</v>
      </c>
      <c r="O34" s="6">
        <v>197</v>
      </c>
      <c r="P34" s="6">
        <v>159</v>
      </c>
      <c r="Q34" s="52">
        <f t="shared" ref="Q34:Q38" si="24">SUM(M34:P34)</f>
        <v>765</v>
      </c>
      <c r="R34" s="6">
        <v>152</v>
      </c>
      <c r="S34" s="6">
        <v>176</v>
      </c>
      <c r="T34" s="6">
        <v>181</v>
      </c>
      <c r="U34" s="6">
        <v>148</v>
      </c>
      <c r="V34" s="52">
        <f t="shared" ref="V34:V38" si="25">SUM(R34:U34)</f>
        <v>657</v>
      </c>
      <c r="W34" s="6">
        <v>174</v>
      </c>
      <c r="X34" s="6">
        <v>166</v>
      </c>
      <c r="Y34" s="5"/>
      <c r="Z34" s="5"/>
      <c r="AA34" s="5">
        <f t="shared" ref="AA34:AA38" si="26">SUM(W34:Z34)</f>
        <v>340</v>
      </c>
      <c r="AB34" s="5"/>
      <c r="AC34" s="5"/>
      <c r="AD34" s="6" t="s">
        <v>41</v>
      </c>
      <c r="AE34" s="5">
        <f t="shared" ref="AE34:AE39" si="27">(Q34+V34+AA34)</f>
        <v>1762</v>
      </c>
      <c r="AF34" s="5">
        <f>SUM(AE34:AE36)</f>
        <v>2229</v>
      </c>
      <c r="AG34" s="26">
        <f>$AE$26/AF34</f>
        <v>6.6576940331987435</v>
      </c>
      <c r="AH34" s="5"/>
    </row>
    <row r="35" spans="1:34" ht="13" x14ac:dyDescent="0.25">
      <c r="A35" s="5"/>
      <c r="B35" s="6" t="s">
        <v>42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6">
        <v>8</v>
      </c>
      <c r="N35" s="6">
        <v>11</v>
      </c>
      <c r="O35" s="6">
        <v>8</v>
      </c>
      <c r="P35" s="6">
        <v>7</v>
      </c>
      <c r="Q35" s="52">
        <f t="shared" si="24"/>
        <v>34</v>
      </c>
      <c r="R35" s="6">
        <v>6</v>
      </c>
      <c r="S35" s="6">
        <v>3</v>
      </c>
      <c r="T35" s="6">
        <v>4</v>
      </c>
      <c r="U35" s="6">
        <v>5</v>
      </c>
      <c r="V35" s="52">
        <f t="shared" si="25"/>
        <v>18</v>
      </c>
      <c r="W35" s="6">
        <v>8</v>
      </c>
      <c r="X35" s="6">
        <v>6</v>
      </c>
      <c r="Y35" s="5"/>
      <c r="Z35" s="5"/>
      <c r="AA35" s="5">
        <f t="shared" si="26"/>
        <v>14</v>
      </c>
      <c r="AB35" s="5"/>
      <c r="AC35" s="5"/>
      <c r="AD35" s="5"/>
      <c r="AE35" s="5">
        <f t="shared" si="27"/>
        <v>66</v>
      </c>
      <c r="AF35" s="5"/>
      <c r="AG35" s="5"/>
      <c r="AH35" s="5"/>
    </row>
    <row r="36" spans="1:34" ht="13" x14ac:dyDescent="0.25">
      <c r="A36" s="5"/>
      <c r="B36" s="6" t="s">
        <v>43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6">
        <v>44</v>
      </c>
      <c r="N36" s="6">
        <v>53</v>
      </c>
      <c r="O36" s="6">
        <v>52</v>
      </c>
      <c r="P36" s="6">
        <v>28</v>
      </c>
      <c r="Q36" s="52">
        <f t="shared" si="24"/>
        <v>177</v>
      </c>
      <c r="R36" s="6">
        <v>40</v>
      </c>
      <c r="S36" s="6">
        <v>42</v>
      </c>
      <c r="T36" s="6">
        <v>32</v>
      </c>
      <c r="U36" s="6">
        <v>46</v>
      </c>
      <c r="V36" s="52">
        <f t="shared" si="25"/>
        <v>160</v>
      </c>
      <c r="W36" s="6">
        <v>28</v>
      </c>
      <c r="X36" s="6">
        <v>36</v>
      </c>
      <c r="Y36" s="5"/>
      <c r="Z36" s="5"/>
      <c r="AA36" s="5">
        <f t="shared" si="26"/>
        <v>64</v>
      </c>
      <c r="AB36" s="5"/>
      <c r="AC36" s="5"/>
      <c r="AD36" s="5"/>
      <c r="AE36" s="5">
        <f t="shared" si="27"/>
        <v>401</v>
      </c>
      <c r="AF36" s="5"/>
      <c r="AG36" s="5"/>
      <c r="AH36" s="5"/>
    </row>
    <row r="37" spans="1:34" ht="13" x14ac:dyDescent="0.25">
      <c r="A37" s="5"/>
      <c r="B37" s="6" t="s">
        <v>44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6">
        <v>25</v>
      </c>
      <c r="N37" s="6">
        <v>19</v>
      </c>
      <c r="O37" s="6">
        <v>17</v>
      </c>
      <c r="P37" s="6">
        <v>19</v>
      </c>
      <c r="Q37" s="52">
        <f t="shared" si="24"/>
        <v>80</v>
      </c>
      <c r="R37" s="6">
        <v>14</v>
      </c>
      <c r="S37" s="6">
        <v>16</v>
      </c>
      <c r="T37" s="6">
        <v>32</v>
      </c>
      <c r="U37" s="6">
        <v>13</v>
      </c>
      <c r="V37" s="52">
        <f t="shared" si="25"/>
        <v>75</v>
      </c>
      <c r="W37" s="6">
        <v>14</v>
      </c>
      <c r="X37" s="6">
        <v>19</v>
      </c>
      <c r="Y37" s="5"/>
      <c r="Z37" s="5"/>
      <c r="AA37" s="5">
        <f t="shared" si="26"/>
        <v>33</v>
      </c>
      <c r="AB37" s="5"/>
      <c r="AC37" s="5"/>
      <c r="AD37" s="6" t="s">
        <v>45</v>
      </c>
      <c r="AE37" s="5">
        <f t="shared" si="27"/>
        <v>188</v>
      </c>
      <c r="AF37" s="5">
        <f>SUM(AE37:AE38)</f>
        <v>254</v>
      </c>
      <c r="AG37" s="5"/>
      <c r="AH37" s="5"/>
    </row>
    <row r="38" spans="1:34" ht="13" x14ac:dyDescent="0.25">
      <c r="A38" s="5"/>
      <c r="B38" s="6" t="s">
        <v>46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6">
        <v>7</v>
      </c>
      <c r="N38" s="6">
        <v>4</v>
      </c>
      <c r="O38" s="6">
        <v>4</v>
      </c>
      <c r="P38" s="6">
        <v>8</v>
      </c>
      <c r="Q38" s="52">
        <f t="shared" si="24"/>
        <v>23</v>
      </c>
      <c r="R38" s="6">
        <v>7</v>
      </c>
      <c r="S38" s="6">
        <v>5</v>
      </c>
      <c r="T38" s="6">
        <v>9</v>
      </c>
      <c r="U38" s="6">
        <v>8</v>
      </c>
      <c r="V38" s="52">
        <f t="shared" si="25"/>
        <v>29</v>
      </c>
      <c r="W38" s="6">
        <v>5</v>
      </c>
      <c r="X38" s="6">
        <v>9</v>
      </c>
      <c r="Y38" s="5"/>
      <c r="Z38" s="5"/>
      <c r="AA38" s="5">
        <f t="shared" si="26"/>
        <v>14</v>
      </c>
      <c r="AB38" s="5"/>
      <c r="AC38" s="5"/>
      <c r="AD38" s="5"/>
      <c r="AE38" s="5">
        <f t="shared" si="27"/>
        <v>66</v>
      </c>
      <c r="AF38" s="5"/>
      <c r="AG38" s="5"/>
      <c r="AH38" s="5"/>
    </row>
    <row r="39" spans="1:34" ht="13" x14ac:dyDescent="0.25">
      <c r="A39" s="15"/>
      <c r="B39" s="53" t="s">
        <v>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>
        <f t="shared" ref="M39:X39" si="28">SUM(M34:M38)</f>
        <v>283</v>
      </c>
      <c r="N39" s="54">
        <f t="shared" si="28"/>
        <v>297</v>
      </c>
      <c r="O39" s="54">
        <f t="shared" si="28"/>
        <v>278</v>
      </c>
      <c r="P39" s="54">
        <f t="shared" si="28"/>
        <v>221</v>
      </c>
      <c r="Q39" s="55">
        <f t="shared" si="28"/>
        <v>1079</v>
      </c>
      <c r="R39" s="54">
        <f t="shared" si="28"/>
        <v>219</v>
      </c>
      <c r="S39" s="54">
        <f t="shared" si="28"/>
        <v>242</v>
      </c>
      <c r="T39" s="54">
        <f t="shared" si="28"/>
        <v>258</v>
      </c>
      <c r="U39" s="54">
        <f t="shared" si="28"/>
        <v>220</v>
      </c>
      <c r="V39" s="55">
        <f t="shared" si="28"/>
        <v>939</v>
      </c>
      <c r="W39" s="54">
        <f t="shared" si="28"/>
        <v>229</v>
      </c>
      <c r="X39" s="54">
        <f t="shared" si="28"/>
        <v>236</v>
      </c>
      <c r="Y39" s="54"/>
      <c r="Z39" s="54"/>
      <c r="AA39" s="55">
        <f>SUM(AA34:AA38)</f>
        <v>465</v>
      </c>
      <c r="AB39" s="54"/>
      <c r="AC39" s="54"/>
      <c r="AD39" s="55">
        <f t="shared" ref="AD39:AD40" si="29">(Q39+V39)</f>
        <v>2018</v>
      </c>
      <c r="AE39" s="55">
        <f t="shared" si="27"/>
        <v>2483</v>
      </c>
      <c r="AF39" s="26">
        <f>$AE$26/AE39</f>
        <v>5.9766411598872331</v>
      </c>
      <c r="AG39" s="15"/>
      <c r="AH39" s="15"/>
    </row>
    <row r="40" spans="1:34" ht="13" x14ac:dyDescent="0.25">
      <c r="A40" s="9" t="str">
        <f>HYPERLINK("https://public.tableau.com/profile/pdph#!/vizhome/SummaryPage_0/UnintentionalDrugRelatedDeathsbyQuarter2010-2019","Accid. OD Deaths by Quarter")</f>
        <v>Accid. OD Deaths by Quarter</v>
      </c>
      <c r="B40" s="51" t="s">
        <v>48</v>
      </c>
      <c r="C40" s="56">
        <v>138</v>
      </c>
      <c r="D40" s="56">
        <v>138</v>
      </c>
      <c r="E40" s="56">
        <v>137</v>
      </c>
      <c r="F40" s="56">
        <v>148</v>
      </c>
      <c r="G40" s="57">
        <f>SUM(C40:F40)</f>
        <v>561</v>
      </c>
      <c r="H40" s="56">
        <v>170</v>
      </c>
      <c r="I40" s="56">
        <v>161</v>
      </c>
      <c r="J40" s="56">
        <v>170</v>
      </c>
      <c r="K40" s="56">
        <v>251</v>
      </c>
      <c r="L40" s="57">
        <f>SUM(H40:K40)</f>
        <v>752</v>
      </c>
      <c r="M40" s="56">
        <v>283</v>
      </c>
      <c r="N40" s="56">
        <v>297</v>
      </c>
      <c r="O40" s="56">
        <v>278</v>
      </c>
      <c r="P40" s="56">
        <v>216</v>
      </c>
      <c r="Q40" s="57">
        <f>SUM(M40:P40)</f>
        <v>1074</v>
      </c>
      <c r="R40" s="56">
        <v>219</v>
      </c>
      <c r="S40" s="56">
        <v>242</v>
      </c>
      <c r="T40" s="56">
        <v>258</v>
      </c>
      <c r="U40" s="56">
        <v>220</v>
      </c>
      <c r="V40" s="57">
        <f>SUM(R40:U40)</f>
        <v>939</v>
      </c>
      <c r="W40" s="56">
        <v>230</v>
      </c>
      <c r="X40" s="56"/>
      <c r="Y40" s="56"/>
      <c r="Z40" s="56"/>
      <c r="AA40" s="56">
        <f>SUM(W40:Z40)</f>
        <v>230</v>
      </c>
      <c r="AB40" s="56"/>
      <c r="AC40" s="56"/>
      <c r="AD40" s="54">
        <f t="shared" si="29"/>
        <v>2013</v>
      </c>
      <c r="AE40" s="5"/>
      <c r="AF40" s="5"/>
      <c r="AG40" s="5"/>
      <c r="AH40" s="5"/>
    </row>
    <row r="41" spans="1:34" ht="13" x14ac:dyDescent="0.25">
      <c r="B41" s="16" t="s">
        <v>49</v>
      </c>
      <c r="C41" s="15"/>
      <c r="D41" s="15"/>
      <c r="E41" s="15"/>
      <c r="F41" s="15"/>
      <c r="G41" s="14">
        <f>G40+G26+G31</f>
        <v>4018</v>
      </c>
      <c r="H41" s="15"/>
      <c r="I41" s="15"/>
      <c r="J41" s="15"/>
      <c r="K41" s="15"/>
      <c r="L41" s="14">
        <f>L40+L26+L31</f>
        <v>5595</v>
      </c>
      <c r="M41" s="15"/>
      <c r="N41" s="15"/>
      <c r="O41" s="15"/>
      <c r="P41" s="15"/>
      <c r="Q41" s="14">
        <f>Q39+Q26+Q31</f>
        <v>8550</v>
      </c>
      <c r="R41" s="15"/>
      <c r="S41" s="15"/>
      <c r="T41" s="15"/>
      <c r="U41" s="15"/>
      <c r="V41" s="14">
        <f>V39+V26+V31</f>
        <v>6212</v>
      </c>
      <c r="W41" s="15"/>
      <c r="X41" s="15"/>
      <c r="Y41" s="15"/>
      <c r="Z41" s="15"/>
      <c r="AA41" s="15">
        <f>AA39+AA26+AA31</f>
        <v>3984</v>
      </c>
      <c r="AB41" s="15"/>
      <c r="AC41" s="15"/>
      <c r="AD41" s="14">
        <f>AD39+AD26+AD31</f>
        <v>14762</v>
      </c>
      <c r="AE41" s="15"/>
      <c r="AF41" s="15"/>
      <c r="AG41" s="15"/>
      <c r="AH41" s="15"/>
    </row>
    <row r="42" spans="1:34" ht="13" x14ac:dyDescent="0.25">
      <c r="B42" s="16" t="s">
        <v>50</v>
      </c>
      <c r="C42" s="14"/>
      <c r="D42" s="14"/>
      <c r="E42" s="14"/>
      <c r="F42" s="14"/>
      <c r="G42" s="58">
        <f>G40/G41</f>
        <v>0.13962170233947238</v>
      </c>
      <c r="H42" s="14"/>
      <c r="I42" s="14"/>
      <c r="J42" s="14"/>
      <c r="K42" s="14"/>
      <c r="L42" s="58">
        <f>L40/L41</f>
        <v>0.13440571939231458</v>
      </c>
      <c r="M42" s="14"/>
      <c r="N42" s="14"/>
      <c r="O42" s="14"/>
      <c r="P42" s="14"/>
      <c r="Q42" s="58">
        <f>Q39/Q41</f>
        <v>0.12619883040935673</v>
      </c>
      <c r="R42" s="14"/>
      <c r="S42" s="14"/>
      <c r="T42" s="14"/>
      <c r="U42" s="14"/>
      <c r="V42" s="58">
        <f>V39/V41</f>
        <v>0.15115904700579524</v>
      </c>
      <c r="W42" s="14"/>
      <c r="X42" s="14"/>
      <c r="Y42" s="14"/>
      <c r="Z42" s="14"/>
      <c r="AA42" s="28">
        <f>AA39/AA41</f>
        <v>0.11671686746987951</v>
      </c>
      <c r="AB42" s="14"/>
      <c r="AC42" s="14"/>
      <c r="AD42" s="58">
        <f>AD39/AD41</f>
        <v>0.13670234385584609</v>
      </c>
      <c r="AE42" s="14"/>
      <c r="AF42" s="14"/>
      <c r="AG42" s="14"/>
      <c r="AH42" s="14"/>
    </row>
    <row r="43" spans="1:34" ht="12.5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15">
        <f>SUM(Q34:Q36)</f>
        <v>976</v>
      </c>
      <c r="R44" s="15"/>
      <c r="S44" s="15"/>
      <c r="T44" s="15"/>
      <c r="U44" s="15"/>
      <c r="V44" s="15">
        <f>SUM(V34:V36)</f>
        <v>835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26">
        <f>Q7/Q44</f>
        <v>9.0973360655737707</v>
      </c>
      <c r="R45" s="5"/>
      <c r="S45" s="5"/>
      <c r="T45" s="5"/>
      <c r="U45" s="5"/>
      <c r="V45" s="26">
        <f>V7/V44</f>
        <v>12.805988023952096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spans="1:34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spans="1:34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spans="1:34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spans="1:34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spans="1:34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spans="1:34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spans="1:34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spans="1:34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spans="1:34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spans="1:34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spans="1:34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spans="1:34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spans="1:34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 spans="1:34" ht="12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Philly-MAT-cf-Overdoses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Josephine Dru</cp:lastModifiedBy>
  <dcterms:modified xsi:type="dcterms:W3CDTF">2020-04-22T00:42:07Z</dcterms:modified>
</cp:coreProperties>
</file>