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e Olatunbosun\Documents\"/>
    </mc:Choice>
  </mc:AlternateContent>
  <xr:revisionPtr revIDLastSave="0" documentId="13_ncr:1_{41DB397A-E929-4157-819D-F829B4A2A414}" xr6:coauthVersionLast="47" xr6:coauthVersionMax="47" xr10:uidLastSave="{00000000-0000-0000-0000-000000000000}"/>
  <bookViews>
    <workbookView xWindow="-110" yWindow="-110" windowWidth="19420" windowHeight="11020" firstSheet="2" activeTab="2" xr2:uid="{39ED0721-E5DE-495B-BCC5-02C1DABE2E29}"/>
  </bookViews>
  <sheets>
    <sheet name="BOND" sheetId="1" r:id="rId1"/>
    <sheet name="ENGINEERING" sheetId="2" r:id="rId2"/>
    <sheet name="FIRE &amp; TERR" sheetId="3" r:id="rId3"/>
    <sheet name="MC" sheetId="4" r:id="rId4"/>
    <sheet name="MH" sheetId="5" r:id="rId5"/>
    <sheet name="TREATY STATEMENT" sheetId="6" r:id="rId6"/>
    <sheet name="SUMMARY OF TREATY ACCOUNTS" sheetId="7" r:id="rId7"/>
    <sheet name="Sheet1" sheetId="8" r:id="rId8"/>
  </sheets>
  <definedNames>
    <definedName name="_xlnm.Print_Area" localSheetId="7">Sheet1!$A$606:$F$644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7" i="8" l="1"/>
  <c r="B627" i="8" l="1"/>
  <c r="E616" i="8"/>
  <c r="B616" i="8"/>
  <c r="E624" i="8"/>
  <c r="B639" i="8" l="1"/>
  <c r="I121" i="3" l="1"/>
  <c r="L121" i="3" s="1"/>
  <c r="B15" i="8"/>
  <c r="C14" i="8"/>
  <c r="D14" i="8"/>
  <c r="E14" i="8"/>
  <c r="B593" i="8"/>
  <c r="B583" i="8"/>
  <c r="E580" i="8"/>
  <c r="B573" i="8"/>
  <c r="E572" i="8"/>
  <c r="B548" i="8"/>
  <c r="E542" i="8"/>
  <c r="B542" i="8"/>
  <c r="C527" i="8"/>
  <c r="B527" i="8"/>
  <c r="C521" i="8"/>
  <c r="B521" i="8"/>
  <c r="B514" i="8"/>
  <c r="E511" i="8"/>
  <c r="E502" i="8"/>
  <c r="B490" i="8"/>
  <c r="B485" i="8"/>
  <c r="B479" i="8"/>
  <c r="E474" i="8"/>
  <c r="E466" i="8"/>
  <c r="E442" i="8"/>
  <c r="B440" i="8"/>
  <c r="E434" i="8"/>
  <c r="B418" i="8"/>
  <c r="B411" i="8"/>
  <c r="E408" i="8"/>
  <c r="E400" i="8"/>
  <c r="B400" i="8"/>
  <c r="B377" i="8"/>
  <c r="B370" i="8"/>
  <c r="E367" i="8"/>
  <c r="E355" i="8"/>
  <c r="B355" i="8"/>
  <c r="B335" i="8"/>
  <c r="B328" i="8"/>
  <c r="E326" i="8"/>
  <c r="E317" i="8"/>
  <c r="B317" i="8"/>
  <c r="B295" i="8"/>
  <c r="B287" i="8"/>
  <c r="E285" i="8"/>
  <c r="B277" i="8"/>
  <c r="E275" i="8"/>
  <c r="B261" i="8"/>
  <c r="B253" i="8"/>
  <c r="E251" i="8"/>
  <c r="B243" i="8"/>
  <c r="E241" i="8"/>
  <c r="B228" i="8"/>
  <c r="E222" i="8"/>
  <c r="B222" i="8"/>
  <c r="B210" i="8"/>
  <c r="E205" i="8"/>
  <c r="B204" i="8"/>
  <c r="E196" i="8"/>
  <c r="B196" i="8"/>
  <c r="B183" i="8"/>
  <c r="E177" i="8"/>
  <c r="B169" i="8"/>
  <c r="E168" i="8"/>
  <c r="B149" i="8"/>
  <c r="B141" i="8"/>
  <c r="E138" i="8"/>
  <c r="B130" i="8"/>
  <c r="E129" i="8"/>
  <c r="B113" i="8"/>
  <c r="B114" i="8" s="1"/>
  <c r="E111" i="8"/>
  <c r="B108" i="8"/>
  <c r="E106" i="8"/>
  <c r="B103" i="8"/>
  <c r="E96" i="8"/>
  <c r="B96" i="8"/>
  <c r="B85" i="8"/>
  <c r="B71" i="8"/>
  <c r="B72" i="8" s="1"/>
  <c r="E69" i="8"/>
  <c r="E64" i="8"/>
  <c r="B64" i="8"/>
  <c r="B67" i="8" s="1"/>
  <c r="E54" i="8"/>
  <c r="B54" i="8"/>
  <c r="E34" i="8"/>
  <c r="D34" i="8"/>
  <c r="C34" i="8"/>
  <c r="B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B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C19" i="7"/>
  <c r="C102" i="6"/>
  <c r="C104" i="6" s="1"/>
  <c r="C92" i="6"/>
  <c r="C90" i="6"/>
  <c r="C79" i="6"/>
  <c r="C81" i="6" s="1"/>
  <c r="C70" i="6"/>
  <c r="C68" i="6"/>
  <c r="C57" i="6"/>
  <c r="C59" i="6" s="1"/>
  <c r="C48" i="6"/>
  <c r="C46" i="6"/>
  <c r="C35" i="6"/>
  <c r="C37" i="6" s="1"/>
  <c r="C26" i="6"/>
  <c r="C24" i="6"/>
  <c r="C12" i="6"/>
  <c r="C14" i="6" s="1"/>
  <c r="M16" i="5"/>
  <c r="I16" i="5"/>
  <c r="K16" i="5" s="1"/>
  <c r="I15" i="5"/>
  <c r="L15" i="5" s="1"/>
  <c r="M14" i="5"/>
  <c r="I14" i="5"/>
  <c r="K14" i="5" s="1"/>
  <c r="I13" i="5"/>
  <c r="L13" i="5" s="1"/>
  <c r="M12" i="5"/>
  <c r="I12" i="5"/>
  <c r="K12" i="5" s="1"/>
  <c r="I11" i="5"/>
  <c r="L11" i="5" s="1"/>
  <c r="I10" i="5"/>
  <c r="L10" i="5" s="1"/>
  <c r="L9" i="5"/>
  <c r="O9" i="5" s="1"/>
  <c r="K9" i="5"/>
  <c r="J9" i="5"/>
  <c r="I9" i="5"/>
  <c r="I8" i="5"/>
  <c r="L8" i="5" s="1"/>
  <c r="I7" i="5"/>
  <c r="L7" i="5" s="1"/>
  <c r="I6" i="5"/>
  <c r="L6" i="5" s="1"/>
  <c r="I5" i="5"/>
  <c r="L5" i="5" s="1"/>
  <c r="O5" i="5" s="1"/>
  <c r="I4" i="5"/>
  <c r="L4" i="5" s="1"/>
  <c r="I3" i="5"/>
  <c r="L3" i="5" s="1"/>
  <c r="O37" i="4"/>
  <c r="Q37" i="4" s="1"/>
  <c r="I37" i="4"/>
  <c r="J37" i="4" s="1"/>
  <c r="I36" i="4"/>
  <c r="I35" i="4"/>
  <c r="L35" i="4" s="1"/>
  <c r="I34" i="4"/>
  <c r="O34" i="4" s="1"/>
  <c r="Q34" i="4" s="1"/>
  <c r="I33" i="4"/>
  <c r="L33" i="4" s="1"/>
  <c r="K32" i="4"/>
  <c r="N32" i="4" s="1"/>
  <c r="I32" i="4"/>
  <c r="L32" i="4" s="1"/>
  <c r="O32" i="4" s="1"/>
  <c r="L31" i="4"/>
  <c r="O31" i="4" s="1"/>
  <c r="K31" i="4"/>
  <c r="N31" i="4" s="1"/>
  <c r="J31" i="4"/>
  <c r="M31" i="4" s="1"/>
  <c r="I31" i="4"/>
  <c r="I30" i="4"/>
  <c r="L30" i="4" s="1"/>
  <c r="J29" i="4"/>
  <c r="M29" i="4" s="1"/>
  <c r="I29" i="4"/>
  <c r="L29" i="4" s="1"/>
  <c r="I28" i="4"/>
  <c r="L28" i="4" s="1"/>
  <c r="O28" i="4" s="1"/>
  <c r="L27" i="4"/>
  <c r="O27" i="4" s="1"/>
  <c r="J27" i="4"/>
  <c r="M27" i="4" s="1"/>
  <c r="I27" i="4"/>
  <c r="K27" i="4" s="1"/>
  <c r="N27" i="4" s="1"/>
  <c r="I26" i="4"/>
  <c r="L26" i="4" s="1"/>
  <c r="I25" i="4"/>
  <c r="L25" i="4" s="1"/>
  <c r="K24" i="4"/>
  <c r="N24" i="4" s="1"/>
  <c r="J24" i="4"/>
  <c r="M24" i="4" s="1"/>
  <c r="I24" i="4"/>
  <c r="L24" i="4" s="1"/>
  <c r="O24" i="4" s="1"/>
  <c r="L23" i="4"/>
  <c r="O23" i="4" s="1"/>
  <c r="K23" i="4"/>
  <c r="N23" i="4" s="1"/>
  <c r="I23" i="4"/>
  <c r="J23" i="4" s="1"/>
  <c r="M23" i="4" s="1"/>
  <c r="I22" i="4"/>
  <c r="L22" i="4" s="1"/>
  <c r="I21" i="4"/>
  <c r="L21" i="4" s="1"/>
  <c r="I20" i="4"/>
  <c r="L20" i="4" s="1"/>
  <c r="O20" i="4" s="1"/>
  <c r="L19" i="4"/>
  <c r="O19" i="4" s="1"/>
  <c r="K19" i="4"/>
  <c r="N19" i="4" s="1"/>
  <c r="I19" i="4"/>
  <c r="J19" i="4" s="1"/>
  <c r="M19" i="4" s="1"/>
  <c r="I18" i="4"/>
  <c r="L18" i="4" s="1"/>
  <c r="I17" i="4"/>
  <c r="L17" i="4" s="1"/>
  <c r="I16" i="4"/>
  <c r="L16" i="4" s="1"/>
  <c r="J15" i="4"/>
  <c r="M15" i="4" s="1"/>
  <c r="I15" i="4"/>
  <c r="L15" i="4" s="1"/>
  <c r="K14" i="4"/>
  <c r="N14" i="4" s="1"/>
  <c r="I14" i="4"/>
  <c r="L14" i="4" s="1"/>
  <c r="O14" i="4" s="1"/>
  <c r="L13" i="4"/>
  <c r="O13" i="4" s="1"/>
  <c r="K13" i="4"/>
  <c r="N13" i="4" s="1"/>
  <c r="I13" i="4"/>
  <c r="J13" i="4" s="1"/>
  <c r="M13" i="4" s="1"/>
  <c r="K12" i="4"/>
  <c r="J12" i="4"/>
  <c r="I12" i="4"/>
  <c r="I11" i="4"/>
  <c r="J11" i="4" s="1"/>
  <c r="M11" i="4" s="1"/>
  <c r="J10" i="4"/>
  <c r="I10" i="4"/>
  <c r="O10" i="4" s="1"/>
  <c r="O9" i="4"/>
  <c r="Q9" i="4" s="1"/>
  <c r="L9" i="4"/>
  <c r="K9" i="4"/>
  <c r="N9" i="4" s="1"/>
  <c r="I9" i="4"/>
  <c r="J9" i="4" s="1"/>
  <c r="M9" i="4" s="1"/>
  <c r="L8" i="4"/>
  <c r="O8" i="4" s="1"/>
  <c r="K8" i="4"/>
  <c r="N8" i="4" s="1"/>
  <c r="I8" i="4"/>
  <c r="J8" i="4" s="1"/>
  <c r="M8" i="4" s="1"/>
  <c r="I7" i="4"/>
  <c r="L7" i="4" s="1"/>
  <c r="I6" i="4"/>
  <c r="L6" i="4" s="1"/>
  <c r="I5" i="4"/>
  <c r="I4" i="4"/>
  <c r="L4" i="4" s="1"/>
  <c r="K3" i="4"/>
  <c r="N3" i="4" s="1"/>
  <c r="J3" i="4"/>
  <c r="M3" i="4" s="1"/>
  <c r="I3" i="4"/>
  <c r="L3" i="4" s="1"/>
  <c r="O3" i="4" s="1"/>
  <c r="M107" i="3"/>
  <c r="I107" i="3"/>
  <c r="O107" i="3" s="1"/>
  <c r="Q107" i="3" s="1"/>
  <c r="I106" i="3"/>
  <c r="J106" i="3" s="1"/>
  <c r="I105" i="3"/>
  <c r="L105" i="3" s="1"/>
  <c r="I104" i="3"/>
  <c r="I103" i="3"/>
  <c r="L103" i="3" s="1"/>
  <c r="M103" i="3" s="1"/>
  <c r="I102" i="3"/>
  <c r="J102" i="3" s="1"/>
  <c r="M101" i="3"/>
  <c r="I101" i="3"/>
  <c r="O101" i="3" s="1"/>
  <c r="I100" i="3"/>
  <c r="J100" i="3" s="1"/>
  <c r="I99" i="3"/>
  <c r="L99" i="3" s="1"/>
  <c r="I98" i="3"/>
  <c r="I97" i="3"/>
  <c r="L97" i="3" s="1"/>
  <c r="M97" i="3" s="1"/>
  <c r="I96" i="3"/>
  <c r="J96" i="3" s="1"/>
  <c r="I95" i="3"/>
  <c r="L95" i="3" s="1"/>
  <c r="I94" i="3"/>
  <c r="I93" i="3"/>
  <c r="L93" i="3" s="1"/>
  <c r="I92" i="3"/>
  <c r="J92" i="3" s="1"/>
  <c r="I91" i="3"/>
  <c r="K91" i="3" s="1"/>
  <c r="I90" i="3"/>
  <c r="I89" i="3"/>
  <c r="L89" i="3" s="1"/>
  <c r="M89" i="3" s="1"/>
  <c r="I88" i="3"/>
  <c r="J88" i="3" s="1"/>
  <c r="L87" i="3"/>
  <c r="J87" i="3"/>
  <c r="I87" i="3"/>
  <c r="K87" i="3" s="1"/>
  <c r="I86" i="3"/>
  <c r="M85" i="3"/>
  <c r="I85" i="3"/>
  <c r="O85" i="3" s="1"/>
  <c r="M84" i="3"/>
  <c r="K84" i="3"/>
  <c r="I84" i="3"/>
  <c r="J84" i="3" s="1"/>
  <c r="M83" i="3"/>
  <c r="I83" i="3"/>
  <c r="O83" i="3" s="1"/>
  <c r="Q83" i="3" s="1"/>
  <c r="I82" i="3"/>
  <c r="J82" i="3" s="1"/>
  <c r="I81" i="3"/>
  <c r="L81" i="3" s="1"/>
  <c r="N80" i="3"/>
  <c r="M80" i="3"/>
  <c r="I80" i="3"/>
  <c r="O80" i="3" s="1"/>
  <c r="P80" i="3" s="1"/>
  <c r="M79" i="3"/>
  <c r="I79" i="3"/>
  <c r="J79" i="3" s="1"/>
  <c r="I78" i="3"/>
  <c r="L78" i="3" s="1"/>
  <c r="I77" i="3"/>
  <c r="M76" i="3"/>
  <c r="I76" i="3"/>
  <c r="K76" i="3" s="1"/>
  <c r="I75" i="3"/>
  <c r="I74" i="3"/>
  <c r="L74" i="3" s="1"/>
  <c r="M74" i="3" s="1"/>
  <c r="K73" i="3"/>
  <c r="I73" i="3"/>
  <c r="J73" i="3" s="1"/>
  <c r="I72" i="3"/>
  <c r="I71" i="3"/>
  <c r="N70" i="3"/>
  <c r="I70" i="3"/>
  <c r="L70" i="3" s="1"/>
  <c r="M70" i="3" s="1"/>
  <c r="I69" i="3"/>
  <c r="J69" i="3" s="1"/>
  <c r="I68" i="3"/>
  <c r="I67" i="3"/>
  <c r="N66" i="3"/>
  <c r="J66" i="3"/>
  <c r="I66" i="3"/>
  <c r="L66" i="3" s="1"/>
  <c r="M66" i="3" s="1"/>
  <c r="I65" i="3"/>
  <c r="J65" i="3" s="1"/>
  <c r="I64" i="3"/>
  <c r="K64" i="3" s="1"/>
  <c r="M63" i="3"/>
  <c r="I63" i="3"/>
  <c r="J63" i="3" s="1"/>
  <c r="I62" i="3"/>
  <c r="L62" i="3" s="1"/>
  <c r="M61" i="3"/>
  <c r="I61" i="3"/>
  <c r="K61" i="3" s="1"/>
  <c r="I60" i="3"/>
  <c r="L60" i="3" s="1"/>
  <c r="I59" i="3"/>
  <c r="I58" i="3"/>
  <c r="K57" i="3"/>
  <c r="J57" i="3"/>
  <c r="I57" i="3"/>
  <c r="L57" i="3" s="1"/>
  <c r="I56" i="3"/>
  <c r="L56" i="3" s="1"/>
  <c r="I55" i="3"/>
  <c r="I54" i="3"/>
  <c r="I53" i="3"/>
  <c r="L53" i="3" s="1"/>
  <c r="M53" i="3" s="1"/>
  <c r="I52" i="3"/>
  <c r="K52" i="3" s="1"/>
  <c r="M51" i="3"/>
  <c r="I51" i="3"/>
  <c r="O51" i="3" s="1"/>
  <c r="P51" i="3" s="1"/>
  <c r="I50" i="3"/>
  <c r="L50" i="3" s="1"/>
  <c r="M49" i="3"/>
  <c r="I49" i="3"/>
  <c r="O49" i="3" s="1"/>
  <c r="P49" i="3" s="1"/>
  <c r="L48" i="3"/>
  <c r="K48" i="3"/>
  <c r="I48" i="3"/>
  <c r="J48" i="3" s="1"/>
  <c r="M47" i="3"/>
  <c r="I47" i="3"/>
  <c r="O47" i="3" s="1"/>
  <c r="P47" i="3" s="1"/>
  <c r="I46" i="3"/>
  <c r="J46" i="3" s="1"/>
  <c r="I45" i="3"/>
  <c r="I44" i="3"/>
  <c r="J44" i="3" s="1"/>
  <c r="M43" i="3"/>
  <c r="I43" i="3"/>
  <c r="M42" i="3"/>
  <c r="I42" i="3"/>
  <c r="O42" i="3" s="1"/>
  <c r="P42" i="3" s="1"/>
  <c r="I41" i="3"/>
  <c r="I40" i="3"/>
  <c r="O39" i="3"/>
  <c r="I39" i="3"/>
  <c r="L39" i="3" s="1"/>
  <c r="I38" i="3"/>
  <c r="L38" i="3" s="1"/>
  <c r="M37" i="3"/>
  <c r="I37" i="3"/>
  <c r="O37" i="3" s="1"/>
  <c r="Q37" i="3" s="1"/>
  <c r="I36" i="3"/>
  <c r="J36" i="3" s="1"/>
  <c r="I35" i="3"/>
  <c r="L35" i="3" s="1"/>
  <c r="I34" i="3"/>
  <c r="L34" i="3" s="1"/>
  <c r="I33" i="3"/>
  <c r="L33" i="3" s="1"/>
  <c r="N33" i="3" s="1"/>
  <c r="L32" i="3"/>
  <c r="M32" i="3" s="1"/>
  <c r="K32" i="3"/>
  <c r="J32" i="3"/>
  <c r="I32" i="3"/>
  <c r="I31" i="3"/>
  <c r="J31" i="3" s="1"/>
  <c r="I30" i="3"/>
  <c r="L30" i="3" s="1"/>
  <c r="M29" i="3"/>
  <c r="I29" i="3"/>
  <c r="J29" i="3" s="1"/>
  <c r="M28" i="3"/>
  <c r="I28" i="3"/>
  <c r="O28" i="3" s="1"/>
  <c r="P28" i="3" s="1"/>
  <c r="M27" i="3"/>
  <c r="I27" i="3"/>
  <c r="O27" i="3" s="1"/>
  <c r="M26" i="3"/>
  <c r="I26" i="3"/>
  <c r="K26" i="3" s="1"/>
  <c r="I25" i="3"/>
  <c r="J25" i="3" s="1"/>
  <c r="L24" i="3"/>
  <c r="K24" i="3"/>
  <c r="I24" i="3"/>
  <c r="J24" i="3" s="1"/>
  <c r="I23" i="3"/>
  <c r="J23" i="3" s="1"/>
  <c r="I22" i="3"/>
  <c r="L22" i="3" s="1"/>
  <c r="I21" i="3"/>
  <c r="L21" i="3" s="1"/>
  <c r="M21" i="3" s="1"/>
  <c r="I20" i="3"/>
  <c r="L20" i="3" s="1"/>
  <c r="I19" i="3"/>
  <c r="L19" i="3" s="1"/>
  <c r="I18" i="3"/>
  <c r="J18" i="3" s="1"/>
  <c r="I17" i="3"/>
  <c r="L17" i="3" s="1"/>
  <c r="M17" i="3" s="1"/>
  <c r="I16" i="3"/>
  <c r="L16" i="3" s="1"/>
  <c r="M15" i="3"/>
  <c r="I15" i="3"/>
  <c r="O15" i="3" s="1"/>
  <c r="P15" i="3" s="1"/>
  <c r="L14" i="3"/>
  <c r="I14" i="3"/>
  <c r="K14" i="3" s="1"/>
  <c r="I13" i="3"/>
  <c r="I12" i="3"/>
  <c r="J12" i="3" s="1"/>
  <c r="M11" i="3"/>
  <c r="I11" i="3"/>
  <c r="J10" i="3"/>
  <c r="I10" i="3"/>
  <c r="I9" i="3"/>
  <c r="L9" i="3" s="1"/>
  <c r="M9" i="3" s="1"/>
  <c r="I8" i="3"/>
  <c r="L8" i="3" s="1"/>
  <c r="O8" i="3" s="1"/>
  <c r="Q8" i="3" s="1"/>
  <c r="M7" i="3"/>
  <c r="I7" i="3"/>
  <c r="O7" i="3" s="1"/>
  <c r="Q7" i="3" s="1"/>
  <c r="I6" i="3"/>
  <c r="L6" i="3" s="1"/>
  <c r="O6" i="3" s="1"/>
  <c r="Q6" i="3" s="1"/>
  <c r="I5" i="3"/>
  <c r="L5" i="3" s="1"/>
  <c r="N5" i="3" s="1"/>
  <c r="I4" i="3"/>
  <c r="I3" i="3"/>
  <c r="L3" i="3" s="1"/>
  <c r="M3" i="3" s="1"/>
  <c r="I2" i="3"/>
  <c r="L2" i="3" s="1"/>
  <c r="I35" i="2"/>
  <c r="J35" i="2" s="1"/>
  <c r="J34" i="2"/>
  <c r="I34" i="2"/>
  <c r="L34" i="2" s="1"/>
  <c r="N34" i="2" s="1"/>
  <c r="I33" i="2"/>
  <c r="L33" i="2" s="1"/>
  <c r="L32" i="2"/>
  <c r="M32" i="2" s="1"/>
  <c r="K32" i="2"/>
  <c r="I32" i="2"/>
  <c r="J32" i="2" s="1"/>
  <c r="K31" i="2"/>
  <c r="I31" i="2"/>
  <c r="J31" i="2" s="1"/>
  <c r="I30" i="2"/>
  <c r="L30" i="2" s="1"/>
  <c r="N30" i="2" s="1"/>
  <c r="I29" i="2"/>
  <c r="L29" i="2" s="1"/>
  <c r="K28" i="2"/>
  <c r="J28" i="2"/>
  <c r="I28" i="2"/>
  <c r="L28" i="2" s="1"/>
  <c r="I27" i="2"/>
  <c r="J27" i="2" s="1"/>
  <c r="L26" i="2"/>
  <c r="N26" i="2" s="1"/>
  <c r="I26" i="2"/>
  <c r="I25" i="2"/>
  <c r="L25" i="2" s="1"/>
  <c r="I24" i="2"/>
  <c r="K23" i="2"/>
  <c r="I23" i="2"/>
  <c r="J23" i="2" s="1"/>
  <c r="K22" i="2"/>
  <c r="J22" i="2"/>
  <c r="I22" i="2"/>
  <c r="L22" i="2" s="1"/>
  <c r="O22" i="2" s="1"/>
  <c r="I21" i="2"/>
  <c r="L21" i="2" s="1"/>
  <c r="N20" i="2"/>
  <c r="L20" i="2"/>
  <c r="M20" i="2" s="1"/>
  <c r="I20" i="2"/>
  <c r="K19" i="2"/>
  <c r="I19" i="2"/>
  <c r="J19" i="2" s="1"/>
  <c r="J18" i="2"/>
  <c r="I18" i="2"/>
  <c r="L18" i="2" s="1"/>
  <c r="O18" i="2" s="1"/>
  <c r="I17" i="2"/>
  <c r="L17" i="2" s="1"/>
  <c r="L16" i="2"/>
  <c r="M16" i="2" s="1"/>
  <c r="J16" i="2"/>
  <c r="I16" i="2"/>
  <c r="I15" i="2"/>
  <c r="J15" i="2" s="1"/>
  <c r="L14" i="2"/>
  <c r="N14" i="2" s="1"/>
  <c r="J14" i="2"/>
  <c r="I14" i="2"/>
  <c r="I13" i="2"/>
  <c r="L13" i="2" s="1"/>
  <c r="I12" i="2"/>
  <c r="J12" i="2" s="1"/>
  <c r="K11" i="2"/>
  <c r="I11" i="2"/>
  <c r="J11" i="2" s="1"/>
  <c r="J10" i="2"/>
  <c r="I10" i="2"/>
  <c r="L10" i="2" s="1"/>
  <c r="N10" i="2" s="1"/>
  <c r="I9" i="2"/>
  <c r="L9" i="2" s="1"/>
  <c r="N140" i="1"/>
  <c r="M140" i="1"/>
  <c r="L140" i="1"/>
  <c r="J140" i="1"/>
  <c r="P140" i="1" s="1"/>
  <c r="I140" i="1"/>
  <c r="O140" i="1" s="1"/>
  <c r="O139" i="1"/>
  <c r="N139" i="1"/>
  <c r="M139" i="1"/>
  <c r="L139" i="1"/>
  <c r="K139" i="1"/>
  <c r="Q139" i="1" s="1"/>
  <c r="J139" i="1"/>
  <c r="P139" i="1" s="1"/>
  <c r="I139" i="1"/>
  <c r="P138" i="1"/>
  <c r="M138" i="1"/>
  <c r="L138" i="1"/>
  <c r="K138" i="1"/>
  <c r="J138" i="1"/>
  <c r="I138" i="1"/>
  <c r="M137" i="1"/>
  <c r="P137" i="1" s="1"/>
  <c r="L137" i="1"/>
  <c r="N137" i="1" s="1"/>
  <c r="J137" i="1"/>
  <c r="I137" i="1"/>
  <c r="N136" i="1"/>
  <c r="M136" i="1"/>
  <c r="L136" i="1"/>
  <c r="J136" i="1"/>
  <c r="P136" i="1" s="1"/>
  <c r="I136" i="1"/>
  <c r="O136" i="1" s="1"/>
  <c r="O135" i="1"/>
  <c r="N135" i="1"/>
  <c r="M135" i="1"/>
  <c r="L135" i="1"/>
  <c r="K135" i="1"/>
  <c r="Q135" i="1" s="1"/>
  <c r="J135" i="1"/>
  <c r="P135" i="1" s="1"/>
  <c r="I135" i="1"/>
  <c r="P134" i="1"/>
  <c r="M134" i="1"/>
  <c r="L134" i="1"/>
  <c r="K134" i="1"/>
  <c r="J134" i="1"/>
  <c r="I134" i="1"/>
  <c r="M133" i="1"/>
  <c r="P133" i="1" s="1"/>
  <c r="L133" i="1"/>
  <c r="N133" i="1" s="1"/>
  <c r="J133" i="1"/>
  <c r="I133" i="1"/>
  <c r="N132" i="1"/>
  <c r="M132" i="1"/>
  <c r="L132" i="1"/>
  <c r="J132" i="1"/>
  <c r="P132" i="1" s="1"/>
  <c r="I132" i="1"/>
  <c r="O132" i="1" s="1"/>
  <c r="O131" i="1"/>
  <c r="N131" i="1"/>
  <c r="M131" i="1"/>
  <c r="L131" i="1"/>
  <c r="K131" i="1"/>
  <c r="Q131" i="1" s="1"/>
  <c r="J131" i="1"/>
  <c r="P131" i="1" s="1"/>
  <c r="I131" i="1"/>
  <c r="P130" i="1"/>
  <c r="M130" i="1"/>
  <c r="L130" i="1"/>
  <c r="K130" i="1"/>
  <c r="J130" i="1"/>
  <c r="I130" i="1"/>
  <c r="M129" i="1"/>
  <c r="P129" i="1" s="1"/>
  <c r="L129" i="1"/>
  <c r="N129" i="1" s="1"/>
  <c r="J129" i="1"/>
  <c r="I129" i="1"/>
  <c r="N128" i="1"/>
  <c r="M128" i="1"/>
  <c r="L128" i="1"/>
  <c r="J128" i="1"/>
  <c r="P128" i="1" s="1"/>
  <c r="I128" i="1"/>
  <c r="O128" i="1" s="1"/>
  <c r="O127" i="1"/>
  <c r="N127" i="1"/>
  <c r="M127" i="1"/>
  <c r="L127" i="1"/>
  <c r="K127" i="1"/>
  <c r="Q127" i="1" s="1"/>
  <c r="J127" i="1"/>
  <c r="P127" i="1" s="1"/>
  <c r="I127" i="1"/>
  <c r="P126" i="1"/>
  <c r="M126" i="1"/>
  <c r="L126" i="1"/>
  <c r="K126" i="1"/>
  <c r="J126" i="1"/>
  <c r="I126" i="1"/>
  <c r="M125" i="1"/>
  <c r="P125" i="1" s="1"/>
  <c r="L125" i="1"/>
  <c r="N125" i="1" s="1"/>
  <c r="J125" i="1"/>
  <c r="I125" i="1"/>
  <c r="N124" i="1"/>
  <c r="M124" i="1"/>
  <c r="L124" i="1"/>
  <c r="J124" i="1"/>
  <c r="P124" i="1" s="1"/>
  <c r="I124" i="1"/>
  <c r="O124" i="1" s="1"/>
  <c r="O123" i="1"/>
  <c r="N123" i="1"/>
  <c r="M123" i="1"/>
  <c r="L123" i="1"/>
  <c r="K123" i="1"/>
  <c r="Q123" i="1" s="1"/>
  <c r="J123" i="1"/>
  <c r="P123" i="1" s="1"/>
  <c r="I123" i="1"/>
  <c r="P122" i="1"/>
  <c r="M122" i="1"/>
  <c r="L122" i="1"/>
  <c r="K122" i="1"/>
  <c r="J122" i="1"/>
  <c r="I122" i="1"/>
  <c r="M121" i="1"/>
  <c r="P121" i="1" s="1"/>
  <c r="L121" i="1"/>
  <c r="N121" i="1" s="1"/>
  <c r="J121" i="1"/>
  <c r="I121" i="1"/>
  <c r="N120" i="1"/>
  <c r="M120" i="1"/>
  <c r="L120" i="1"/>
  <c r="J120" i="1"/>
  <c r="P120" i="1" s="1"/>
  <c r="I120" i="1"/>
  <c r="O120" i="1" s="1"/>
  <c r="O119" i="1"/>
  <c r="N119" i="1"/>
  <c r="M119" i="1"/>
  <c r="L119" i="1"/>
  <c r="K119" i="1"/>
  <c r="Q119" i="1" s="1"/>
  <c r="J119" i="1"/>
  <c r="P119" i="1" s="1"/>
  <c r="I119" i="1"/>
  <c r="P118" i="1"/>
  <c r="M118" i="1"/>
  <c r="L118" i="1"/>
  <c r="K118" i="1"/>
  <c r="J118" i="1"/>
  <c r="I118" i="1"/>
  <c r="O117" i="1"/>
  <c r="M117" i="1"/>
  <c r="P117" i="1" s="1"/>
  <c r="L117" i="1"/>
  <c r="N117" i="1" s="1"/>
  <c r="K117" i="1"/>
  <c r="Q117" i="1" s="1"/>
  <c r="J117" i="1"/>
  <c r="I117" i="1"/>
  <c r="N116" i="1"/>
  <c r="M116" i="1"/>
  <c r="L116" i="1"/>
  <c r="J116" i="1"/>
  <c r="P116" i="1" s="1"/>
  <c r="I116" i="1"/>
  <c r="O116" i="1" s="1"/>
  <c r="N115" i="1"/>
  <c r="M115" i="1"/>
  <c r="L115" i="1"/>
  <c r="J115" i="1"/>
  <c r="I115" i="1"/>
  <c r="P114" i="1"/>
  <c r="M114" i="1"/>
  <c r="L114" i="1"/>
  <c r="K114" i="1"/>
  <c r="J114" i="1"/>
  <c r="I114" i="1"/>
  <c r="O113" i="1"/>
  <c r="M113" i="1"/>
  <c r="P113" i="1" s="1"/>
  <c r="L113" i="1"/>
  <c r="N113" i="1" s="1"/>
  <c r="K113" i="1"/>
  <c r="Q113" i="1" s="1"/>
  <c r="J113" i="1"/>
  <c r="I113" i="1"/>
  <c r="N112" i="1"/>
  <c r="M112" i="1"/>
  <c r="L112" i="1"/>
  <c r="J112" i="1"/>
  <c r="P112" i="1" s="1"/>
  <c r="I112" i="1"/>
  <c r="O112" i="1" s="1"/>
  <c r="N111" i="1"/>
  <c r="M111" i="1"/>
  <c r="L111" i="1"/>
  <c r="J111" i="1"/>
  <c r="I111" i="1"/>
  <c r="P110" i="1"/>
  <c r="M110" i="1"/>
  <c r="L110" i="1"/>
  <c r="K110" i="1"/>
  <c r="J110" i="1"/>
  <c r="I110" i="1"/>
  <c r="O109" i="1"/>
  <c r="M109" i="1"/>
  <c r="P109" i="1" s="1"/>
  <c r="L109" i="1"/>
  <c r="N109" i="1" s="1"/>
  <c r="K109" i="1"/>
  <c r="Q109" i="1" s="1"/>
  <c r="J109" i="1"/>
  <c r="I109" i="1"/>
  <c r="N108" i="1"/>
  <c r="M108" i="1"/>
  <c r="L108" i="1"/>
  <c r="J108" i="1"/>
  <c r="P108" i="1" s="1"/>
  <c r="I108" i="1"/>
  <c r="O108" i="1" s="1"/>
  <c r="N107" i="1"/>
  <c r="M107" i="1"/>
  <c r="L107" i="1"/>
  <c r="J107" i="1"/>
  <c r="I107" i="1"/>
  <c r="P106" i="1"/>
  <c r="M106" i="1"/>
  <c r="L106" i="1"/>
  <c r="K106" i="1"/>
  <c r="J106" i="1"/>
  <c r="I106" i="1"/>
  <c r="P105" i="1"/>
  <c r="O105" i="1"/>
  <c r="N105" i="1"/>
  <c r="K105" i="1"/>
  <c r="Q105" i="1" s="1"/>
  <c r="M104" i="1"/>
  <c r="L104" i="1"/>
  <c r="N104" i="1" s="1"/>
  <c r="J104" i="1"/>
  <c r="P104" i="1" s="1"/>
  <c r="I104" i="1"/>
  <c r="O103" i="1"/>
  <c r="N103" i="1"/>
  <c r="M103" i="1"/>
  <c r="L103" i="1"/>
  <c r="K103" i="1"/>
  <c r="Q103" i="1" s="1"/>
  <c r="J103" i="1"/>
  <c r="P103" i="1" s="1"/>
  <c r="I103" i="1"/>
  <c r="P102" i="1"/>
  <c r="O102" i="1"/>
  <c r="N102" i="1"/>
  <c r="K102" i="1"/>
  <c r="M101" i="1"/>
  <c r="P101" i="1" s="1"/>
  <c r="L101" i="1"/>
  <c r="N101" i="1" s="1"/>
  <c r="J101" i="1"/>
  <c r="I101" i="1"/>
  <c r="K101" i="1" s="1"/>
  <c r="Q101" i="1" s="1"/>
  <c r="M100" i="1"/>
  <c r="L100" i="1"/>
  <c r="N100" i="1" s="1"/>
  <c r="J100" i="1"/>
  <c r="P100" i="1" s="1"/>
  <c r="I100" i="1"/>
  <c r="O99" i="1"/>
  <c r="N99" i="1"/>
  <c r="M99" i="1"/>
  <c r="L99" i="1"/>
  <c r="K99" i="1"/>
  <c r="Q99" i="1" s="1"/>
  <c r="J99" i="1"/>
  <c r="P99" i="1" s="1"/>
  <c r="I99" i="1"/>
  <c r="N98" i="1"/>
  <c r="M98" i="1"/>
  <c r="L98" i="1"/>
  <c r="O98" i="1" s="1"/>
  <c r="K98" i="1"/>
  <c r="J98" i="1"/>
  <c r="P98" i="1" s="1"/>
  <c r="I98" i="1"/>
  <c r="M97" i="1"/>
  <c r="P97" i="1" s="1"/>
  <c r="L97" i="1"/>
  <c r="N97" i="1" s="1"/>
  <c r="J97" i="1"/>
  <c r="I97" i="1"/>
  <c r="K97" i="1" s="1"/>
  <c r="Q97" i="1" s="1"/>
  <c r="M96" i="1"/>
  <c r="L96" i="1"/>
  <c r="N96" i="1" s="1"/>
  <c r="J96" i="1"/>
  <c r="P96" i="1" s="1"/>
  <c r="I96" i="1"/>
  <c r="O95" i="1"/>
  <c r="N95" i="1"/>
  <c r="M95" i="1"/>
  <c r="L95" i="1"/>
  <c r="K95" i="1"/>
  <c r="Q95" i="1" s="1"/>
  <c r="J95" i="1"/>
  <c r="P95" i="1" s="1"/>
  <c r="I95" i="1"/>
  <c r="N94" i="1"/>
  <c r="M94" i="1"/>
  <c r="L94" i="1"/>
  <c r="O94" i="1" s="1"/>
  <c r="K94" i="1"/>
  <c r="J94" i="1"/>
  <c r="P94" i="1" s="1"/>
  <c r="I94" i="1"/>
  <c r="M93" i="1"/>
  <c r="P93" i="1" s="1"/>
  <c r="L93" i="1"/>
  <c r="N93" i="1" s="1"/>
  <c r="J93" i="1"/>
  <c r="I93" i="1"/>
  <c r="K93" i="1" s="1"/>
  <c r="Q93" i="1" s="1"/>
  <c r="M92" i="1"/>
  <c r="L92" i="1"/>
  <c r="N92" i="1" s="1"/>
  <c r="J92" i="1"/>
  <c r="P92" i="1" s="1"/>
  <c r="I92" i="1"/>
  <c r="O91" i="1"/>
  <c r="N91" i="1"/>
  <c r="M91" i="1"/>
  <c r="L91" i="1"/>
  <c r="K91" i="1"/>
  <c r="Q91" i="1" s="1"/>
  <c r="J91" i="1"/>
  <c r="P91" i="1" s="1"/>
  <c r="I91" i="1"/>
  <c r="N90" i="1"/>
  <c r="M90" i="1"/>
  <c r="L90" i="1"/>
  <c r="O90" i="1" s="1"/>
  <c r="K90" i="1"/>
  <c r="J90" i="1"/>
  <c r="P90" i="1" s="1"/>
  <c r="I90" i="1"/>
  <c r="M89" i="1"/>
  <c r="P89" i="1" s="1"/>
  <c r="L89" i="1"/>
  <c r="N89" i="1" s="1"/>
  <c r="J89" i="1"/>
  <c r="I89" i="1"/>
  <c r="K89" i="1" s="1"/>
  <c r="Q89" i="1" s="1"/>
  <c r="M88" i="1"/>
  <c r="L88" i="1"/>
  <c r="N88" i="1" s="1"/>
  <c r="J88" i="1"/>
  <c r="P88" i="1" s="1"/>
  <c r="I88" i="1"/>
  <c r="O87" i="1"/>
  <c r="N87" i="1"/>
  <c r="M87" i="1"/>
  <c r="L87" i="1"/>
  <c r="K87" i="1"/>
  <c r="Q87" i="1" s="1"/>
  <c r="J87" i="1"/>
  <c r="P87" i="1" s="1"/>
  <c r="I87" i="1"/>
  <c r="N86" i="1"/>
  <c r="M86" i="1"/>
  <c r="L86" i="1"/>
  <c r="O86" i="1" s="1"/>
  <c r="K86" i="1"/>
  <c r="J86" i="1"/>
  <c r="P86" i="1" s="1"/>
  <c r="I86" i="1"/>
  <c r="M85" i="1"/>
  <c r="P85" i="1" s="1"/>
  <c r="L85" i="1"/>
  <c r="N85" i="1" s="1"/>
  <c r="J85" i="1"/>
  <c r="I85" i="1"/>
  <c r="K85" i="1" s="1"/>
  <c r="Q85" i="1" s="1"/>
  <c r="M84" i="1"/>
  <c r="L84" i="1"/>
  <c r="N84" i="1" s="1"/>
  <c r="J84" i="1"/>
  <c r="P84" i="1" s="1"/>
  <c r="I84" i="1"/>
  <c r="O83" i="1"/>
  <c r="N83" i="1"/>
  <c r="M83" i="1"/>
  <c r="L83" i="1"/>
  <c r="K83" i="1"/>
  <c r="Q83" i="1" s="1"/>
  <c r="J83" i="1"/>
  <c r="P83" i="1" s="1"/>
  <c r="I83" i="1"/>
  <c r="P82" i="1"/>
  <c r="O82" i="1"/>
  <c r="M82" i="1"/>
  <c r="L82" i="1"/>
  <c r="N82" i="1" s="1"/>
  <c r="K82" i="1"/>
  <c r="Q82" i="1" s="1"/>
  <c r="J82" i="1"/>
  <c r="I82" i="1"/>
  <c r="P81" i="1"/>
  <c r="M81" i="1"/>
  <c r="L81" i="1"/>
  <c r="K81" i="1"/>
  <c r="J81" i="1"/>
  <c r="I81" i="1"/>
  <c r="M80" i="1"/>
  <c r="L80" i="1"/>
  <c r="N80" i="1" s="1"/>
  <c r="J80" i="1"/>
  <c r="P80" i="1" s="1"/>
  <c r="I80" i="1"/>
  <c r="O79" i="1"/>
  <c r="N79" i="1"/>
  <c r="M79" i="1"/>
  <c r="L79" i="1"/>
  <c r="K79" i="1"/>
  <c r="J79" i="1"/>
  <c r="P79" i="1" s="1"/>
  <c r="I79" i="1"/>
  <c r="O78" i="1"/>
  <c r="N78" i="1"/>
  <c r="M78" i="1"/>
  <c r="L78" i="1"/>
  <c r="K78" i="1"/>
  <c r="J78" i="1"/>
  <c r="P78" i="1" s="1"/>
  <c r="I78" i="1"/>
  <c r="P77" i="1"/>
  <c r="O77" i="1"/>
  <c r="M77" i="1"/>
  <c r="L77" i="1"/>
  <c r="N77" i="1" s="1"/>
  <c r="K77" i="1"/>
  <c r="Q77" i="1" s="1"/>
  <c r="J77" i="1"/>
  <c r="I77" i="1"/>
  <c r="N76" i="1"/>
  <c r="M76" i="1"/>
  <c r="L76" i="1"/>
  <c r="J76" i="1"/>
  <c r="P76" i="1" s="1"/>
  <c r="I76" i="1"/>
  <c r="N75" i="1"/>
  <c r="M75" i="1"/>
  <c r="L75" i="1"/>
  <c r="J75" i="1"/>
  <c r="P75" i="1" s="1"/>
  <c r="I75" i="1"/>
  <c r="N74" i="1"/>
  <c r="M74" i="1"/>
  <c r="L74" i="1"/>
  <c r="O74" i="1" s="1"/>
  <c r="K74" i="1"/>
  <c r="J74" i="1"/>
  <c r="P74" i="1" s="1"/>
  <c r="I74" i="1"/>
  <c r="M73" i="1"/>
  <c r="L73" i="1"/>
  <c r="N73" i="1" s="1"/>
  <c r="J73" i="1"/>
  <c r="P73" i="1" s="1"/>
  <c r="I73" i="1"/>
  <c r="K73" i="1" s="1"/>
  <c r="Q73" i="1" s="1"/>
  <c r="O72" i="1"/>
  <c r="N72" i="1"/>
  <c r="M72" i="1"/>
  <c r="L72" i="1"/>
  <c r="K72" i="1"/>
  <c r="J72" i="1"/>
  <c r="P72" i="1" s="1"/>
  <c r="I72" i="1"/>
  <c r="P71" i="1"/>
  <c r="M71" i="1"/>
  <c r="L71" i="1"/>
  <c r="N71" i="1" s="1"/>
  <c r="K71" i="1"/>
  <c r="Q71" i="1" s="1"/>
  <c r="J71" i="1"/>
  <c r="I71" i="1"/>
  <c r="P70" i="1"/>
  <c r="M70" i="1"/>
  <c r="L70" i="1"/>
  <c r="N70" i="1" s="1"/>
  <c r="J70" i="1"/>
  <c r="I70" i="1"/>
  <c r="N69" i="1"/>
  <c r="M69" i="1"/>
  <c r="L69" i="1"/>
  <c r="J69" i="1"/>
  <c r="I69" i="1"/>
  <c r="O68" i="1"/>
  <c r="N68" i="1"/>
  <c r="M68" i="1"/>
  <c r="L68" i="1"/>
  <c r="K68" i="1"/>
  <c r="J68" i="1"/>
  <c r="P68" i="1" s="1"/>
  <c r="I68" i="1"/>
  <c r="P67" i="1"/>
  <c r="O67" i="1"/>
  <c r="M67" i="1"/>
  <c r="L67" i="1"/>
  <c r="N67" i="1" s="1"/>
  <c r="K67" i="1"/>
  <c r="Q67" i="1" s="1"/>
  <c r="J67" i="1"/>
  <c r="I67" i="1"/>
  <c r="M66" i="1"/>
  <c r="P66" i="1" s="1"/>
  <c r="L66" i="1"/>
  <c r="N66" i="1" s="1"/>
  <c r="J66" i="1"/>
  <c r="I66" i="1"/>
  <c r="N65" i="1"/>
  <c r="M65" i="1"/>
  <c r="L65" i="1"/>
  <c r="J65" i="1"/>
  <c r="P65" i="1" s="1"/>
  <c r="I65" i="1"/>
  <c r="O64" i="1"/>
  <c r="N64" i="1"/>
  <c r="M64" i="1"/>
  <c r="L64" i="1"/>
  <c r="K64" i="1"/>
  <c r="J64" i="1"/>
  <c r="P64" i="1" s="1"/>
  <c r="I64" i="1"/>
  <c r="P63" i="1"/>
  <c r="M63" i="1"/>
  <c r="L63" i="1"/>
  <c r="N63" i="1" s="1"/>
  <c r="K63" i="1"/>
  <c r="Q63" i="1" s="1"/>
  <c r="J63" i="1"/>
  <c r="I63" i="1"/>
  <c r="P62" i="1"/>
  <c r="O62" i="1"/>
  <c r="N62" i="1"/>
  <c r="K62" i="1"/>
  <c r="Q62" i="1" s="1"/>
  <c r="P61" i="1"/>
  <c r="O61" i="1"/>
  <c r="N61" i="1"/>
  <c r="K61" i="1"/>
  <c r="Q61" i="1" s="1"/>
  <c r="O60" i="1"/>
  <c r="N60" i="1"/>
  <c r="M60" i="1"/>
  <c r="L60" i="1"/>
  <c r="K60" i="1"/>
  <c r="J60" i="1"/>
  <c r="P60" i="1" s="1"/>
  <c r="I60" i="1"/>
  <c r="P59" i="1"/>
  <c r="M59" i="1"/>
  <c r="L59" i="1"/>
  <c r="N59" i="1" s="1"/>
  <c r="K59" i="1"/>
  <c r="Q59" i="1" s="1"/>
  <c r="J59" i="1"/>
  <c r="I59" i="1"/>
  <c r="P58" i="1"/>
  <c r="M58" i="1"/>
  <c r="L58" i="1"/>
  <c r="N58" i="1" s="1"/>
  <c r="J58" i="1"/>
  <c r="I58" i="1"/>
  <c r="N57" i="1"/>
  <c r="M57" i="1"/>
  <c r="L57" i="1"/>
  <c r="J57" i="1"/>
  <c r="I57" i="1"/>
  <c r="O56" i="1"/>
  <c r="N56" i="1"/>
  <c r="M56" i="1"/>
  <c r="L56" i="1"/>
  <c r="K56" i="1"/>
  <c r="J56" i="1"/>
  <c r="P56" i="1" s="1"/>
  <c r="I56" i="1"/>
  <c r="P55" i="1"/>
  <c r="O55" i="1"/>
  <c r="M55" i="1"/>
  <c r="L55" i="1"/>
  <c r="N55" i="1" s="1"/>
  <c r="K55" i="1"/>
  <c r="Q55" i="1" s="1"/>
  <c r="J55" i="1"/>
  <c r="I55" i="1"/>
  <c r="M54" i="1"/>
  <c r="P54" i="1" s="1"/>
  <c r="L54" i="1"/>
  <c r="N54" i="1" s="1"/>
  <c r="J54" i="1"/>
  <c r="I54" i="1"/>
  <c r="N53" i="1"/>
  <c r="M53" i="1"/>
  <c r="L53" i="1"/>
  <c r="J53" i="1"/>
  <c r="P53" i="1" s="1"/>
  <c r="I53" i="1"/>
  <c r="O52" i="1"/>
  <c r="N52" i="1"/>
  <c r="M52" i="1"/>
  <c r="L52" i="1"/>
  <c r="K52" i="1"/>
  <c r="J52" i="1"/>
  <c r="P52" i="1" s="1"/>
  <c r="I52" i="1"/>
  <c r="P51" i="1"/>
  <c r="M51" i="1"/>
  <c r="L51" i="1"/>
  <c r="N51" i="1" s="1"/>
  <c r="K51" i="1"/>
  <c r="Q51" i="1" s="1"/>
  <c r="J51" i="1"/>
  <c r="I51" i="1"/>
  <c r="P50" i="1"/>
  <c r="M50" i="1"/>
  <c r="L50" i="1"/>
  <c r="N50" i="1" s="1"/>
  <c r="J50" i="1"/>
  <c r="I50" i="1"/>
  <c r="N49" i="1"/>
  <c r="M49" i="1"/>
  <c r="L49" i="1"/>
  <c r="J49" i="1"/>
  <c r="I49" i="1"/>
  <c r="O48" i="1"/>
  <c r="N48" i="1"/>
  <c r="M48" i="1"/>
  <c r="L48" i="1"/>
  <c r="K48" i="1"/>
  <c r="J48" i="1"/>
  <c r="P48" i="1" s="1"/>
  <c r="I48" i="1"/>
  <c r="P47" i="1"/>
  <c r="O47" i="1"/>
  <c r="M47" i="1"/>
  <c r="L47" i="1"/>
  <c r="N47" i="1" s="1"/>
  <c r="K47" i="1"/>
  <c r="Q47" i="1" s="1"/>
  <c r="J47" i="1"/>
  <c r="I47" i="1"/>
  <c r="M46" i="1"/>
  <c r="P46" i="1" s="1"/>
  <c r="L46" i="1"/>
  <c r="N46" i="1" s="1"/>
  <c r="J46" i="1"/>
  <c r="I46" i="1"/>
  <c r="N45" i="1"/>
  <c r="M45" i="1"/>
  <c r="L45" i="1"/>
  <c r="J45" i="1"/>
  <c r="P45" i="1" s="1"/>
  <c r="I45" i="1"/>
  <c r="O44" i="1"/>
  <c r="N44" i="1"/>
  <c r="M44" i="1"/>
  <c r="L44" i="1"/>
  <c r="K44" i="1"/>
  <c r="J44" i="1"/>
  <c r="P44" i="1" s="1"/>
  <c r="I44" i="1"/>
  <c r="P43" i="1"/>
  <c r="M43" i="1"/>
  <c r="L43" i="1"/>
  <c r="N43" i="1" s="1"/>
  <c r="K43" i="1"/>
  <c r="Q43" i="1" s="1"/>
  <c r="J43" i="1"/>
  <c r="I43" i="1"/>
  <c r="P42" i="1"/>
  <c r="M42" i="1"/>
  <c r="L42" i="1"/>
  <c r="N42" i="1" s="1"/>
  <c r="J42" i="1"/>
  <c r="I42" i="1"/>
  <c r="N41" i="1"/>
  <c r="M41" i="1"/>
  <c r="L41" i="1"/>
  <c r="J41" i="1"/>
  <c r="I41" i="1"/>
  <c r="O40" i="1"/>
  <c r="N40" i="1"/>
  <c r="M40" i="1"/>
  <c r="L40" i="1"/>
  <c r="K40" i="1"/>
  <c r="Q40" i="1" s="1"/>
  <c r="J40" i="1"/>
  <c r="I40" i="1"/>
  <c r="P39" i="1"/>
  <c r="O39" i="1"/>
  <c r="M39" i="1"/>
  <c r="L39" i="1"/>
  <c r="N39" i="1" s="1"/>
  <c r="K39" i="1"/>
  <c r="J39" i="1"/>
  <c r="I39" i="1"/>
  <c r="P38" i="1"/>
  <c r="M38" i="1"/>
  <c r="L38" i="1"/>
  <c r="N38" i="1" s="1"/>
  <c r="K38" i="1"/>
  <c r="Q38" i="1" s="1"/>
  <c r="J38" i="1"/>
  <c r="I38" i="1"/>
  <c r="O38" i="1" s="1"/>
  <c r="M37" i="1"/>
  <c r="L37" i="1"/>
  <c r="N37" i="1" s="1"/>
  <c r="J37" i="1"/>
  <c r="P37" i="1" s="1"/>
  <c r="I37" i="1"/>
  <c r="P36" i="1"/>
  <c r="O36" i="1"/>
  <c r="N36" i="1"/>
  <c r="K36" i="1"/>
  <c r="Q36" i="1" s="1"/>
  <c r="P35" i="1"/>
  <c r="O35" i="1"/>
  <c r="M35" i="1"/>
  <c r="L35" i="1"/>
  <c r="N35" i="1" s="1"/>
  <c r="K35" i="1"/>
  <c r="J35" i="1"/>
  <c r="I35" i="1"/>
  <c r="P34" i="1"/>
  <c r="M34" i="1"/>
  <c r="L34" i="1"/>
  <c r="N34" i="1" s="1"/>
  <c r="K34" i="1"/>
  <c r="Q34" i="1" s="1"/>
  <c r="J34" i="1"/>
  <c r="I34" i="1"/>
  <c r="O34" i="1" s="1"/>
  <c r="P33" i="1"/>
  <c r="M33" i="1"/>
  <c r="L33" i="1"/>
  <c r="N33" i="1" s="1"/>
  <c r="K33" i="1"/>
  <c r="J33" i="1"/>
  <c r="I33" i="1"/>
  <c r="P32" i="1"/>
  <c r="M32" i="1"/>
  <c r="L32" i="1"/>
  <c r="N32" i="1" s="1"/>
  <c r="J32" i="1"/>
  <c r="I32" i="1"/>
  <c r="O32" i="1" s="1"/>
  <c r="P31" i="1"/>
  <c r="O31" i="1"/>
  <c r="N31" i="1"/>
  <c r="K31" i="1"/>
  <c r="Q31" i="1" s="1"/>
  <c r="O30" i="1"/>
  <c r="N30" i="1"/>
  <c r="M30" i="1"/>
  <c r="L30" i="1"/>
  <c r="K30" i="1"/>
  <c r="Q30" i="1" s="1"/>
  <c r="J30" i="1"/>
  <c r="P30" i="1" s="1"/>
  <c r="I30" i="1"/>
  <c r="P29" i="1"/>
  <c r="O29" i="1"/>
  <c r="M29" i="1"/>
  <c r="L29" i="1"/>
  <c r="N29" i="1" s="1"/>
  <c r="K29" i="1"/>
  <c r="Q29" i="1" s="1"/>
  <c r="J29" i="1"/>
  <c r="I29" i="1"/>
  <c r="P28" i="1"/>
  <c r="M28" i="1"/>
  <c r="L28" i="1"/>
  <c r="N28" i="1" s="1"/>
  <c r="J28" i="1"/>
  <c r="I28" i="1"/>
  <c r="O28" i="1" s="1"/>
  <c r="N27" i="1"/>
  <c r="M27" i="1"/>
  <c r="L27" i="1"/>
  <c r="J27" i="1"/>
  <c r="P27" i="1" s="1"/>
  <c r="I27" i="1"/>
  <c r="O27" i="1" s="1"/>
  <c r="O26" i="1"/>
  <c r="N26" i="1"/>
  <c r="M26" i="1"/>
  <c r="L26" i="1"/>
  <c r="K26" i="1"/>
  <c r="Q26" i="1" s="1"/>
  <c r="J26" i="1"/>
  <c r="P26" i="1" s="1"/>
  <c r="I26" i="1"/>
  <c r="P25" i="1"/>
  <c r="O25" i="1"/>
  <c r="M25" i="1"/>
  <c r="L25" i="1"/>
  <c r="N25" i="1" s="1"/>
  <c r="K25" i="1"/>
  <c r="Q25" i="1" s="1"/>
  <c r="J25" i="1"/>
  <c r="I25" i="1"/>
  <c r="P24" i="1"/>
  <c r="O24" i="1"/>
  <c r="N24" i="1"/>
  <c r="K24" i="1"/>
  <c r="Q24" i="1" s="1"/>
  <c r="P23" i="1"/>
  <c r="O23" i="1"/>
  <c r="N23" i="1"/>
  <c r="K23" i="1"/>
  <c r="Q23" i="1" s="1"/>
  <c r="P22" i="1"/>
  <c r="O22" i="1"/>
  <c r="N22" i="1"/>
  <c r="K22" i="1"/>
  <c r="Q22" i="1" s="1"/>
  <c r="P21" i="1"/>
  <c r="O21" i="1"/>
  <c r="N21" i="1"/>
  <c r="K21" i="1"/>
  <c r="Q21" i="1" s="1"/>
  <c r="P20" i="1"/>
  <c r="O20" i="1"/>
  <c r="N20" i="1"/>
  <c r="K20" i="1"/>
  <c r="Q20" i="1" s="1"/>
  <c r="P19" i="1"/>
  <c r="O19" i="1"/>
  <c r="N19" i="1"/>
  <c r="K19" i="1"/>
  <c r="Q19" i="1" s="1"/>
  <c r="P18" i="1"/>
  <c r="O18" i="1"/>
  <c r="N18" i="1"/>
  <c r="K18" i="1"/>
  <c r="Q18" i="1" s="1"/>
  <c r="P17" i="1"/>
  <c r="O17" i="1"/>
  <c r="N17" i="1"/>
  <c r="K17" i="1"/>
  <c r="Q17" i="1" s="1"/>
  <c r="P16" i="1"/>
  <c r="O16" i="1"/>
  <c r="N16" i="1"/>
  <c r="K16" i="1"/>
  <c r="Q16" i="1" s="1"/>
  <c r="P15" i="1"/>
  <c r="O15" i="1"/>
  <c r="N15" i="1"/>
  <c r="K15" i="1"/>
  <c r="Q15" i="1" s="1"/>
  <c r="Q14" i="1"/>
  <c r="O14" i="1"/>
  <c r="N14" i="1"/>
  <c r="K14" i="1"/>
  <c r="J14" i="1"/>
  <c r="P14" i="1" s="1"/>
  <c r="N13" i="1"/>
  <c r="M13" i="1"/>
  <c r="L13" i="1"/>
  <c r="J13" i="1"/>
  <c r="I13" i="1"/>
  <c r="K13" i="1" s="1"/>
  <c r="M12" i="1"/>
  <c r="L12" i="1"/>
  <c r="N12" i="1" s="1"/>
  <c r="K12" i="1"/>
  <c r="J12" i="1"/>
  <c r="I12" i="1"/>
  <c r="J6" i="5" l="1"/>
  <c r="J3" i="5"/>
  <c r="K6" i="5"/>
  <c r="J13" i="5"/>
  <c r="J7" i="5"/>
  <c r="K10" i="5"/>
  <c r="J5" i="5"/>
  <c r="J10" i="5"/>
  <c r="K5" i="5"/>
  <c r="J11" i="5"/>
  <c r="J15" i="5"/>
  <c r="J20" i="4"/>
  <c r="M20" i="4" s="1"/>
  <c r="J33" i="4"/>
  <c r="M33" i="4" s="1"/>
  <c r="J17" i="4"/>
  <c r="M17" i="4" s="1"/>
  <c r="J4" i="4"/>
  <c r="M4" i="4" s="1"/>
  <c r="K11" i="4"/>
  <c r="N11" i="4" s="1"/>
  <c r="J21" i="4"/>
  <c r="M21" i="4" s="1"/>
  <c r="J28" i="4"/>
  <c r="M28" i="4" s="1"/>
  <c r="K20" i="4"/>
  <c r="N20" i="4" s="1"/>
  <c r="L11" i="4"/>
  <c r="O11" i="4" s="1"/>
  <c r="J14" i="4"/>
  <c r="M14" i="4" s="1"/>
  <c r="J25" i="4"/>
  <c r="M25" i="4" s="1"/>
  <c r="K28" i="4"/>
  <c r="N28" i="4" s="1"/>
  <c r="J36" i="4"/>
  <c r="M36" i="4" s="1"/>
  <c r="J32" i="4"/>
  <c r="M32" i="4" s="1"/>
  <c r="L36" i="4"/>
  <c r="O36" i="4" s="1"/>
  <c r="J6" i="4"/>
  <c r="M6" i="4" s="1"/>
  <c r="J81" i="3"/>
  <c r="K81" i="3"/>
  <c r="K3" i="3"/>
  <c r="J8" i="3"/>
  <c r="L46" i="3"/>
  <c r="J80" i="3"/>
  <c r="K96" i="3"/>
  <c r="J37" i="3"/>
  <c r="N3" i="3"/>
  <c r="K8" i="3"/>
  <c r="J16" i="3"/>
  <c r="O29" i="3"/>
  <c r="P29" i="3" s="1"/>
  <c r="K80" i="3"/>
  <c r="K16" i="3"/>
  <c r="J50" i="3"/>
  <c r="K69" i="3"/>
  <c r="J78" i="3"/>
  <c r="J97" i="3"/>
  <c r="J3" i="3"/>
  <c r="J14" i="3"/>
  <c r="J39" i="3"/>
  <c r="K50" i="3"/>
  <c r="K65" i="3"/>
  <c r="J74" i="3"/>
  <c r="K78" i="3"/>
  <c r="N97" i="3"/>
  <c r="K37" i="3"/>
  <c r="K46" i="3"/>
  <c r="K63" i="3"/>
  <c r="K100" i="3"/>
  <c r="K39" i="3"/>
  <c r="J70" i="3"/>
  <c r="N74" i="3"/>
  <c r="J93" i="3"/>
  <c r="N103" i="3"/>
  <c r="L52" i="3"/>
  <c r="J56" i="3"/>
  <c r="J62" i="3"/>
  <c r="K85" i="3"/>
  <c r="K88" i="3"/>
  <c r="L91" i="3"/>
  <c r="N91" i="3" s="1"/>
  <c r="K95" i="3"/>
  <c r="J105" i="3"/>
  <c r="P107" i="3"/>
  <c r="J20" i="3"/>
  <c r="J22" i="3"/>
  <c r="N32" i="3"/>
  <c r="J52" i="3"/>
  <c r="J2" i="3"/>
  <c r="J15" i="3"/>
  <c r="K20" i="3"/>
  <c r="J28" i="3"/>
  <c r="O32" i="3"/>
  <c r="Q32" i="3" s="1"/>
  <c r="J95" i="3"/>
  <c r="J101" i="3"/>
  <c r="K2" i="3"/>
  <c r="K7" i="3"/>
  <c r="J38" i="3"/>
  <c r="K47" i="3"/>
  <c r="K17" i="3"/>
  <c r="K23" i="3"/>
  <c r="K36" i="3"/>
  <c r="K38" i="3"/>
  <c r="K56" i="3"/>
  <c r="K62" i="3"/>
  <c r="L68" i="3"/>
  <c r="M68" i="3" s="1"/>
  <c r="K79" i="3"/>
  <c r="J83" i="3"/>
  <c r="J99" i="3"/>
  <c r="K105" i="3"/>
  <c r="J6" i="3"/>
  <c r="N9" i="3"/>
  <c r="Q15" i="3"/>
  <c r="N17" i="3"/>
  <c r="J21" i="3"/>
  <c r="L23" i="3"/>
  <c r="N23" i="3" s="1"/>
  <c r="Q28" i="3"/>
  <c r="K33" i="3"/>
  <c r="L36" i="3"/>
  <c r="M36" i="3" s="1"/>
  <c r="J42" i="3"/>
  <c r="Q47" i="3"/>
  <c r="K51" i="3"/>
  <c r="J53" i="3"/>
  <c r="K60" i="3"/>
  <c r="J89" i="3"/>
  <c r="K92" i="3"/>
  <c r="K99" i="3"/>
  <c r="K102" i="3"/>
  <c r="J91" i="3"/>
  <c r="J107" i="3"/>
  <c r="J7" i="3"/>
  <c r="J30" i="3"/>
  <c r="J47" i="3"/>
  <c r="J64" i="3"/>
  <c r="K82" i="3"/>
  <c r="J85" i="3"/>
  <c r="J9" i="3"/>
  <c r="K15" i="3"/>
  <c r="J17" i="3"/>
  <c r="K28" i="3"/>
  <c r="J49" i="3"/>
  <c r="K9" i="3"/>
  <c r="J26" i="3"/>
  <c r="J33" i="3"/>
  <c r="K49" i="3"/>
  <c r="J51" i="3"/>
  <c r="J60" i="3"/>
  <c r="L64" i="3"/>
  <c r="O64" i="3" s="1"/>
  <c r="Q64" i="3" s="1"/>
  <c r="L72" i="3"/>
  <c r="O72" i="3" s="1"/>
  <c r="Q80" i="3"/>
  <c r="K6" i="3"/>
  <c r="K21" i="3"/>
  <c r="O33" i="3"/>
  <c r="Q33" i="3" s="1"/>
  <c r="K42" i="3"/>
  <c r="Q49" i="3"/>
  <c r="K53" i="3"/>
  <c r="N89" i="3"/>
  <c r="J76" i="3"/>
  <c r="O21" i="3"/>
  <c r="Q51" i="3"/>
  <c r="N53" i="3"/>
  <c r="J103" i="3"/>
  <c r="K106" i="3"/>
  <c r="B35" i="8"/>
  <c r="B36" i="8" s="1"/>
  <c r="C24" i="8"/>
  <c r="C32" i="8"/>
  <c r="D32" i="8"/>
  <c r="B109" i="8"/>
  <c r="B117" i="8" s="1"/>
  <c r="B296" i="8"/>
  <c r="B299" i="8" s="1"/>
  <c r="B530" i="8"/>
  <c r="B211" i="8"/>
  <c r="B214" i="8" s="1"/>
  <c r="B552" i="8"/>
  <c r="B595" i="8"/>
  <c r="B492" i="8"/>
  <c r="B262" i="8"/>
  <c r="B265" i="8" s="1"/>
  <c r="B233" i="8"/>
  <c r="C15" i="8"/>
  <c r="D15" i="8"/>
  <c r="E15" i="8"/>
  <c r="J121" i="3"/>
  <c r="D24" i="8"/>
  <c r="B150" i="8"/>
  <c r="B155" i="8" s="1"/>
  <c r="B419" i="8"/>
  <c r="B422" i="8" s="1"/>
  <c r="E24" i="8"/>
  <c r="E32" i="8"/>
  <c r="B336" i="8"/>
  <c r="B339" i="8" s="1"/>
  <c r="B187" i="8"/>
  <c r="B378" i="8"/>
  <c r="B381" i="8" s="1"/>
  <c r="B457" i="8"/>
  <c r="B75" i="8"/>
  <c r="M28" i="2"/>
  <c r="N28" i="2"/>
  <c r="O14" i="2"/>
  <c r="Q14" i="2" s="1"/>
  <c r="K15" i="2"/>
  <c r="N16" i="2"/>
  <c r="K18" i="2"/>
  <c r="O20" i="2"/>
  <c r="Q20" i="2" s="1"/>
  <c r="J24" i="2"/>
  <c r="O26" i="2"/>
  <c r="K27" i="2"/>
  <c r="J30" i="2"/>
  <c r="N32" i="2"/>
  <c r="L12" i="2"/>
  <c r="O16" i="2"/>
  <c r="Q16" i="2" s="1"/>
  <c r="J20" i="2"/>
  <c r="L24" i="2"/>
  <c r="O24" i="2" s="1"/>
  <c r="J26" i="2"/>
  <c r="O30" i="2"/>
  <c r="Q30" i="2" s="1"/>
  <c r="O10" i="2"/>
  <c r="O34" i="2"/>
  <c r="K35" i="2"/>
  <c r="M8" i="5"/>
  <c r="N8" i="5"/>
  <c r="M15" i="5"/>
  <c r="N15" i="5"/>
  <c r="N10" i="5"/>
  <c r="M10" i="5"/>
  <c r="O10" i="5"/>
  <c r="M3" i="5"/>
  <c r="N3" i="5"/>
  <c r="Q9" i="5"/>
  <c r="P9" i="5"/>
  <c r="M13" i="5"/>
  <c r="N13" i="5"/>
  <c r="M4" i="5"/>
  <c r="N4" i="5"/>
  <c r="Q5" i="5"/>
  <c r="P5" i="5"/>
  <c r="M7" i="5"/>
  <c r="N7" i="5"/>
  <c r="M11" i="5"/>
  <c r="N11" i="5"/>
  <c r="N6" i="5"/>
  <c r="M6" i="5"/>
  <c r="O6" i="5"/>
  <c r="O12" i="5"/>
  <c r="O16" i="5"/>
  <c r="K3" i="5"/>
  <c r="O3" i="5"/>
  <c r="J4" i="5"/>
  <c r="M5" i="5"/>
  <c r="K7" i="5"/>
  <c r="O7" i="5"/>
  <c r="J8" i="5"/>
  <c r="M9" i="5"/>
  <c r="K11" i="5"/>
  <c r="O11" i="5"/>
  <c r="J12" i="5"/>
  <c r="K13" i="5"/>
  <c r="O13" i="5"/>
  <c r="J14" i="5"/>
  <c r="K15" i="5"/>
  <c r="O15" i="5"/>
  <c r="J16" i="5"/>
  <c r="O14" i="5"/>
  <c r="K4" i="5"/>
  <c r="O4" i="5"/>
  <c r="N5" i="5"/>
  <c r="K8" i="5"/>
  <c r="O8" i="5"/>
  <c r="N9" i="5"/>
  <c r="L5" i="4"/>
  <c r="O5" i="4" s="1"/>
  <c r="K5" i="4"/>
  <c r="J5" i="4"/>
  <c r="P10" i="4"/>
  <c r="Q10" i="4"/>
  <c r="Q11" i="4"/>
  <c r="P11" i="4"/>
  <c r="Q24" i="4"/>
  <c r="P24" i="4"/>
  <c r="Q32" i="4"/>
  <c r="P32" i="4"/>
  <c r="Q27" i="4"/>
  <c r="P27" i="4"/>
  <c r="Q3" i="4"/>
  <c r="P3" i="4"/>
  <c r="Q14" i="4"/>
  <c r="P14" i="4"/>
  <c r="Q20" i="4"/>
  <c r="P20" i="4"/>
  <c r="P23" i="4"/>
  <c r="Q23" i="4"/>
  <c r="P31" i="4"/>
  <c r="Q31" i="4"/>
  <c r="P8" i="4"/>
  <c r="Q8" i="4"/>
  <c r="P13" i="4"/>
  <c r="Q13" i="4"/>
  <c r="P19" i="4"/>
  <c r="Q19" i="4"/>
  <c r="Q28" i="4"/>
  <c r="P28" i="4"/>
  <c r="K4" i="4"/>
  <c r="N4" i="4" s="1"/>
  <c r="O4" i="4"/>
  <c r="K6" i="4"/>
  <c r="N6" i="4" s="1"/>
  <c r="O6" i="4"/>
  <c r="J7" i="4"/>
  <c r="M7" i="4" s="1"/>
  <c r="P9" i="4"/>
  <c r="K10" i="4"/>
  <c r="L12" i="4"/>
  <c r="O12" i="4" s="1"/>
  <c r="K15" i="4"/>
  <c r="N15" i="4" s="1"/>
  <c r="O15" i="4"/>
  <c r="J16" i="4"/>
  <c r="K17" i="4"/>
  <c r="N17" i="4" s="1"/>
  <c r="O17" i="4"/>
  <c r="J18" i="4"/>
  <c r="M18" i="4" s="1"/>
  <c r="K21" i="4"/>
  <c r="N21" i="4" s="1"/>
  <c r="O21" i="4"/>
  <c r="J22" i="4"/>
  <c r="M22" i="4" s="1"/>
  <c r="K25" i="4"/>
  <c r="N25" i="4" s="1"/>
  <c r="O25" i="4"/>
  <c r="J26" i="4"/>
  <c r="M26" i="4" s="1"/>
  <c r="K29" i="4"/>
  <c r="N29" i="4" s="1"/>
  <c r="O29" i="4"/>
  <c r="J30" i="4"/>
  <c r="M30" i="4" s="1"/>
  <c r="K33" i="4"/>
  <c r="N33" i="4" s="1"/>
  <c r="O33" i="4"/>
  <c r="K34" i="4"/>
  <c r="J35" i="4"/>
  <c r="M35" i="4" s="1"/>
  <c r="P37" i="4"/>
  <c r="O16" i="4"/>
  <c r="K7" i="4"/>
  <c r="N7" i="4" s="1"/>
  <c r="O7" i="4"/>
  <c r="K16" i="4"/>
  <c r="K18" i="4"/>
  <c r="N18" i="4" s="1"/>
  <c r="O18" i="4"/>
  <c r="K22" i="4"/>
  <c r="N22" i="4" s="1"/>
  <c r="O22" i="4"/>
  <c r="K26" i="4"/>
  <c r="N26" i="4" s="1"/>
  <c r="O26" i="4"/>
  <c r="K30" i="4"/>
  <c r="N30" i="4" s="1"/>
  <c r="O30" i="4"/>
  <c r="K35" i="4"/>
  <c r="N35" i="4" s="1"/>
  <c r="O35" i="4"/>
  <c r="K36" i="4"/>
  <c r="N36" i="4" s="1"/>
  <c r="N19" i="3"/>
  <c r="M19" i="3"/>
  <c r="K11" i="3"/>
  <c r="J11" i="3"/>
  <c r="N16" i="3"/>
  <c r="M16" i="3"/>
  <c r="Q29" i="3"/>
  <c r="P33" i="3"/>
  <c r="N46" i="3"/>
  <c r="M46" i="3"/>
  <c r="O46" i="3"/>
  <c r="M57" i="3"/>
  <c r="N57" i="3"/>
  <c r="N62" i="3"/>
  <c r="M62" i="3"/>
  <c r="O3" i="3"/>
  <c r="M5" i="3"/>
  <c r="P8" i="3"/>
  <c r="O16" i="3"/>
  <c r="N20" i="3"/>
  <c r="M20" i="3"/>
  <c r="N48" i="3"/>
  <c r="M48" i="3"/>
  <c r="O48" i="3"/>
  <c r="N2" i="3"/>
  <c r="M2" i="3"/>
  <c r="L4" i="3"/>
  <c r="O4" i="3" s="1"/>
  <c r="K4" i="3"/>
  <c r="P7" i="3"/>
  <c r="O9" i="3"/>
  <c r="O11" i="3"/>
  <c r="O20" i="3"/>
  <c r="M24" i="3"/>
  <c r="O24" i="3"/>
  <c r="J27" i="3"/>
  <c r="K27" i="3"/>
  <c r="N34" i="3"/>
  <c r="M34" i="3"/>
  <c r="P37" i="3"/>
  <c r="Q39" i="3"/>
  <c r="P39" i="3"/>
  <c r="N50" i="3"/>
  <c r="M50" i="3"/>
  <c r="O50" i="3"/>
  <c r="L77" i="3"/>
  <c r="O77" i="3" s="1"/>
  <c r="K77" i="3"/>
  <c r="J77" i="3"/>
  <c r="O13" i="3"/>
  <c r="K13" i="3"/>
  <c r="J13" i="3"/>
  <c r="N14" i="3"/>
  <c r="M14" i="3"/>
  <c r="L18" i="3"/>
  <c r="K18" i="3"/>
  <c r="P21" i="3"/>
  <c r="Q21" i="3"/>
  <c r="L25" i="3"/>
  <c r="O25" i="3" s="1"/>
  <c r="K25" i="3"/>
  <c r="P27" i="3"/>
  <c r="Q27" i="3"/>
  <c r="N35" i="3"/>
  <c r="M35" i="3"/>
  <c r="L54" i="3"/>
  <c r="K54" i="3"/>
  <c r="J54" i="3"/>
  <c r="L98" i="3"/>
  <c r="K98" i="3"/>
  <c r="J98" i="3"/>
  <c r="P6" i="3"/>
  <c r="L13" i="3"/>
  <c r="O14" i="3"/>
  <c r="O19" i="3"/>
  <c r="K19" i="3"/>
  <c r="J19" i="3"/>
  <c r="O2" i="3"/>
  <c r="J4" i="3"/>
  <c r="O5" i="3"/>
  <c r="K5" i="3"/>
  <c r="J5" i="3"/>
  <c r="N6" i="3"/>
  <c r="M6" i="3"/>
  <c r="N8" i="3"/>
  <c r="M8" i="3"/>
  <c r="L10" i="3"/>
  <c r="O10" i="3" s="1"/>
  <c r="K10" i="3"/>
  <c r="L12" i="3"/>
  <c r="O12" i="3" s="1"/>
  <c r="K12" i="3"/>
  <c r="O17" i="3"/>
  <c r="N21" i="3"/>
  <c r="N22" i="3"/>
  <c r="M22" i="3"/>
  <c r="N24" i="3"/>
  <c r="M30" i="3"/>
  <c r="N30" i="3"/>
  <c r="M39" i="3"/>
  <c r="N39" i="3"/>
  <c r="K43" i="3"/>
  <c r="J43" i="3"/>
  <c r="O43" i="3"/>
  <c r="K45" i="3"/>
  <c r="J45" i="3"/>
  <c r="L45" i="3"/>
  <c r="N52" i="3"/>
  <c r="M52" i="3"/>
  <c r="O52" i="3"/>
  <c r="O57" i="3"/>
  <c r="Q101" i="3"/>
  <c r="P101" i="3"/>
  <c r="N36" i="3"/>
  <c r="N38" i="3"/>
  <c r="M38" i="3"/>
  <c r="L40" i="3"/>
  <c r="K40" i="3"/>
  <c r="K55" i="3"/>
  <c r="J55" i="3"/>
  <c r="N56" i="3"/>
  <c r="M56" i="3"/>
  <c r="L58" i="3"/>
  <c r="K58" i="3"/>
  <c r="M93" i="3"/>
  <c r="N93" i="3"/>
  <c r="O95" i="3"/>
  <c r="N95" i="3"/>
  <c r="M95" i="3"/>
  <c r="O105" i="3"/>
  <c r="N105" i="3"/>
  <c r="M105" i="3"/>
  <c r="O23" i="3"/>
  <c r="O26" i="3"/>
  <c r="K29" i="3"/>
  <c r="O30" i="3"/>
  <c r="K30" i="3"/>
  <c r="K31" i="3"/>
  <c r="P32" i="3"/>
  <c r="M33" i="3"/>
  <c r="O34" i="3"/>
  <c r="K34" i="3"/>
  <c r="O36" i="3"/>
  <c r="O38" i="3"/>
  <c r="J40" i="3"/>
  <c r="K41" i="3"/>
  <c r="J41" i="3"/>
  <c r="L55" i="3"/>
  <c r="O56" i="3"/>
  <c r="J58" i="3"/>
  <c r="K59" i="3"/>
  <c r="J59" i="3"/>
  <c r="N60" i="3"/>
  <c r="M60" i="3"/>
  <c r="O87" i="3"/>
  <c r="N87" i="3"/>
  <c r="M87" i="3"/>
  <c r="M121" i="3"/>
  <c r="N121" i="3"/>
  <c r="O35" i="3"/>
  <c r="K35" i="3"/>
  <c r="J35" i="3"/>
  <c r="L90" i="3"/>
  <c r="O90" i="3"/>
  <c r="K90" i="3"/>
  <c r="J90" i="3"/>
  <c r="O22" i="3"/>
  <c r="K22" i="3"/>
  <c r="L31" i="3"/>
  <c r="O31" i="3" s="1"/>
  <c r="J34" i="3"/>
  <c r="L41" i="3"/>
  <c r="O41" i="3" s="1"/>
  <c r="Q42" i="3"/>
  <c r="L44" i="3"/>
  <c r="O44" i="3" s="1"/>
  <c r="K44" i="3"/>
  <c r="O53" i="3"/>
  <c r="L59" i="3"/>
  <c r="O59" i="3" s="1"/>
  <c r="O60" i="3"/>
  <c r="J61" i="3"/>
  <c r="O61" i="3"/>
  <c r="O62" i="3"/>
  <c r="M64" i="3"/>
  <c r="L67" i="3"/>
  <c r="O67" i="3" s="1"/>
  <c r="K67" i="3"/>
  <c r="J67" i="3"/>
  <c r="N68" i="3"/>
  <c r="L71" i="3"/>
  <c r="K71" i="3"/>
  <c r="J71" i="3"/>
  <c r="L75" i="3"/>
  <c r="O75" i="3" s="1"/>
  <c r="K75" i="3"/>
  <c r="J75" i="3"/>
  <c r="O78" i="3"/>
  <c r="N78" i="3"/>
  <c r="M78" i="3"/>
  <c r="O81" i="3"/>
  <c r="N81" i="3"/>
  <c r="M81" i="3"/>
  <c r="P83" i="3"/>
  <c r="L104" i="3"/>
  <c r="O104" i="3" s="1"/>
  <c r="K104" i="3"/>
  <c r="J104" i="3"/>
  <c r="Q85" i="3"/>
  <c r="P85" i="3"/>
  <c r="L86" i="3"/>
  <c r="K86" i="3"/>
  <c r="J86" i="3"/>
  <c r="O91" i="3"/>
  <c r="L94" i="3"/>
  <c r="O94" i="3"/>
  <c r="K94" i="3"/>
  <c r="J94" i="3"/>
  <c r="O99" i="3"/>
  <c r="N99" i="3"/>
  <c r="M99" i="3"/>
  <c r="L65" i="3"/>
  <c r="K66" i="3"/>
  <c r="O66" i="3"/>
  <c r="L69" i="3"/>
  <c r="K70" i="3"/>
  <c r="O70" i="3"/>
  <c r="L73" i="3"/>
  <c r="K74" i="3"/>
  <c r="O74" i="3"/>
  <c r="O76" i="3"/>
  <c r="L82" i="3"/>
  <c r="K83" i="3"/>
  <c r="L88" i="3"/>
  <c r="K89" i="3"/>
  <c r="O89" i="3"/>
  <c r="L92" i="3"/>
  <c r="K93" i="3"/>
  <c r="O93" i="3"/>
  <c r="L96" i="3"/>
  <c r="K97" i="3"/>
  <c r="O97" i="3"/>
  <c r="L100" i="3"/>
  <c r="K101" i="3"/>
  <c r="L102" i="3"/>
  <c r="K103" i="3"/>
  <c r="O103" i="3"/>
  <c r="L106" i="3"/>
  <c r="K107" i="3"/>
  <c r="K121" i="3"/>
  <c r="O121" i="3"/>
  <c r="O63" i="3"/>
  <c r="J68" i="3"/>
  <c r="J72" i="3"/>
  <c r="O79" i="3"/>
  <c r="O84" i="3"/>
  <c r="K68" i="3"/>
  <c r="K72" i="3"/>
  <c r="N13" i="2"/>
  <c r="M13" i="2"/>
  <c r="N25" i="2"/>
  <c r="M25" i="2"/>
  <c r="P30" i="2"/>
  <c r="P20" i="2"/>
  <c r="N21" i="2"/>
  <c r="M21" i="2"/>
  <c r="Q22" i="2"/>
  <c r="P22" i="2"/>
  <c r="Q26" i="2"/>
  <c r="P26" i="2"/>
  <c r="M9" i="2"/>
  <c r="N9" i="2"/>
  <c r="N17" i="2"/>
  <c r="M17" i="2"/>
  <c r="Q18" i="2"/>
  <c r="P18" i="2"/>
  <c r="M33" i="2"/>
  <c r="N33" i="2"/>
  <c r="Q10" i="2"/>
  <c r="P10" i="2"/>
  <c r="N29" i="2"/>
  <c r="M29" i="2"/>
  <c r="P34" i="2"/>
  <c r="Q34" i="2"/>
  <c r="J9" i="2"/>
  <c r="M10" i="2"/>
  <c r="L11" i="2"/>
  <c r="K12" i="2"/>
  <c r="J13" i="2"/>
  <c r="M14" i="2"/>
  <c r="L15" i="2"/>
  <c r="K16" i="2"/>
  <c r="J17" i="2"/>
  <c r="M18" i="2"/>
  <c r="L19" i="2"/>
  <c r="K20" i="2"/>
  <c r="J21" i="2"/>
  <c r="M22" i="2"/>
  <c r="L23" i="2"/>
  <c r="K24" i="2"/>
  <c r="J25" i="2"/>
  <c r="M26" i="2"/>
  <c r="L27" i="2"/>
  <c r="O28" i="2"/>
  <c r="J29" i="2"/>
  <c r="M30" i="2"/>
  <c r="L31" i="2"/>
  <c r="O32" i="2"/>
  <c r="J33" i="2"/>
  <c r="M34" i="2"/>
  <c r="L35" i="2"/>
  <c r="K9" i="2"/>
  <c r="O9" i="2"/>
  <c r="K13" i="2"/>
  <c r="O13" i="2"/>
  <c r="K17" i="2"/>
  <c r="O17" i="2"/>
  <c r="N18" i="2"/>
  <c r="K21" i="2"/>
  <c r="O21" i="2"/>
  <c r="N22" i="2"/>
  <c r="K25" i="2"/>
  <c r="O25" i="2"/>
  <c r="K29" i="2"/>
  <c r="O29" i="2"/>
  <c r="K33" i="2"/>
  <c r="O33" i="2"/>
  <c r="K10" i="2"/>
  <c r="K14" i="2"/>
  <c r="K26" i="2"/>
  <c r="K30" i="2"/>
  <c r="K34" i="2"/>
  <c r="Q33" i="1"/>
  <c r="Q39" i="1"/>
  <c r="O42" i="1"/>
  <c r="K42" i="1"/>
  <c r="Q42" i="1" s="1"/>
  <c r="O50" i="1"/>
  <c r="K50" i="1"/>
  <c r="Q50" i="1" s="1"/>
  <c r="O58" i="1"/>
  <c r="K58" i="1"/>
  <c r="Q58" i="1" s="1"/>
  <c r="O65" i="1"/>
  <c r="K65" i="1"/>
  <c r="Q65" i="1" s="1"/>
  <c r="O70" i="1"/>
  <c r="K70" i="1"/>
  <c r="Q70" i="1" s="1"/>
  <c r="O73" i="1"/>
  <c r="O76" i="1"/>
  <c r="K76" i="1"/>
  <c r="Q76" i="1" s="1"/>
  <c r="O106" i="1"/>
  <c r="N106" i="1"/>
  <c r="O114" i="1"/>
  <c r="N114" i="1"/>
  <c r="Q114" i="1" s="1"/>
  <c r="Q48" i="1"/>
  <c r="Q56" i="1"/>
  <c r="Q68" i="1"/>
  <c r="Q134" i="1"/>
  <c r="O137" i="1"/>
  <c r="K137" i="1"/>
  <c r="Q137" i="1" s="1"/>
  <c r="O138" i="1"/>
  <c r="N138" i="1"/>
  <c r="Q35" i="1"/>
  <c r="O45" i="1"/>
  <c r="K45" i="1"/>
  <c r="Q45" i="1" s="1"/>
  <c r="O53" i="1"/>
  <c r="K53" i="1"/>
  <c r="Q53" i="1" s="1"/>
  <c r="N81" i="1"/>
  <c r="Q81" i="1" s="1"/>
  <c r="O81" i="1"/>
  <c r="O110" i="1"/>
  <c r="N110" i="1"/>
  <c r="O118" i="1"/>
  <c r="N118" i="1"/>
  <c r="M141" i="1"/>
  <c r="K27" i="1"/>
  <c r="Q27" i="1" s="1"/>
  <c r="O33" i="1"/>
  <c r="O41" i="1"/>
  <c r="K41" i="1"/>
  <c r="Q41" i="1" s="1"/>
  <c r="O46" i="1"/>
  <c r="K46" i="1"/>
  <c r="Q46" i="1" s="1"/>
  <c r="O49" i="1"/>
  <c r="K49" i="1"/>
  <c r="Q49" i="1" s="1"/>
  <c r="O54" i="1"/>
  <c r="K54" i="1"/>
  <c r="Q54" i="1" s="1"/>
  <c r="O57" i="1"/>
  <c r="K57" i="1"/>
  <c r="Q57" i="1" s="1"/>
  <c r="O66" i="1"/>
  <c r="K66" i="1"/>
  <c r="Q66" i="1" s="1"/>
  <c r="O69" i="1"/>
  <c r="K69" i="1"/>
  <c r="Q69" i="1" s="1"/>
  <c r="Q79" i="1"/>
  <c r="Q86" i="1"/>
  <c r="Q90" i="1"/>
  <c r="Q94" i="1"/>
  <c r="Q98" i="1"/>
  <c r="O133" i="1"/>
  <c r="K133" i="1"/>
  <c r="Q133" i="1" s="1"/>
  <c r="O134" i="1"/>
  <c r="N134" i="1"/>
  <c r="J141" i="1"/>
  <c r="K28" i="1"/>
  <c r="Q28" i="1" s="1"/>
  <c r="K32" i="1"/>
  <c r="Q32" i="1" s="1"/>
  <c r="O37" i="1"/>
  <c r="K37" i="1"/>
  <c r="Q37" i="1" s="1"/>
  <c r="P40" i="1"/>
  <c r="P41" i="1"/>
  <c r="O43" i="1"/>
  <c r="Q44" i="1"/>
  <c r="P49" i="1"/>
  <c r="O51" i="1"/>
  <c r="Q52" i="1"/>
  <c r="P57" i="1"/>
  <c r="O59" i="1"/>
  <c r="Q60" i="1"/>
  <c r="O63" i="1"/>
  <c r="Q64" i="1"/>
  <c r="P69" i="1"/>
  <c r="O71" i="1"/>
  <c r="Q72" i="1"/>
  <c r="O75" i="1"/>
  <c r="K75" i="1"/>
  <c r="Q75" i="1" s="1"/>
  <c r="Q78" i="1"/>
  <c r="O85" i="1"/>
  <c r="O89" i="1"/>
  <c r="O93" i="1"/>
  <c r="O97" i="1"/>
  <c r="O101" i="1"/>
  <c r="Q106" i="1"/>
  <c r="O107" i="1"/>
  <c r="K107" i="1"/>
  <c r="Q107" i="1" s="1"/>
  <c r="Q110" i="1"/>
  <c r="O111" i="1"/>
  <c r="K111" i="1"/>
  <c r="Q111" i="1" s="1"/>
  <c r="O115" i="1"/>
  <c r="K115" i="1"/>
  <c r="Q115" i="1" s="1"/>
  <c r="Q118" i="1"/>
  <c r="O121" i="1"/>
  <c r="K121" i="1"/>
  <c r="Q121" i="1" s="1"/>
  <c r="O122" i="1"/>
  <c r="N122" i="1"/>
  <c r="Q122" i="1" s="1"/>
  <c r="Q74" i="1"/>
  <c r="O84" i="1"/>
  <c r="O88" i="1"/>
  <c r="O92" i="1"/>
  <c r="O96" i="1"/>
  <c r="O100" i="1"/>
  <c r="P107" i="1"/>
  <c r="P111" i="1"/>
  <c r="P115" i="1"/>
  <c r="O129" i="1"/>
  <c r="K129" i="1"/>
  <c r="Q129" i="1" s="1"/>
  <c r="O130" i="1"/>
  <c r="N130" i="1"/>
  <c r="Q130" i="1" s="1"/>
  <c r="O80" i="1"/>
  <c r="K80" i="1"/>
  <c r="Q80" i="1" s="1"/>
  <c r="Q102" i="1"/>
  <c r="O104" i="1"/>
  <c r="O125" i="1"/>
  <c r="K125" i="1"/>
  <c r="Q125" i="1" s="1"/>
  <c r="O126" i="1"/>
  <c r="N126" i="1"/>
  <c r="Q126" i="1" s="1"/>
  <c r="Q138" i="1"/>
  <c r="K84" i="1"/>
  <c r="Q84" i="1" s="1"/>
  <c r="K88" i="1"/>
  <c r="Q88" i="1" s="1"/>
  <c r="K92" i="1"/>
  <c r="Q92" i="1" s="1"/>
  <c r="K96" i="1"/>
  <c r="Q96" i="1" s="1"/>
  <c r="K100" i="1"/>
  <c r="Q100" i="1" s="1"/>
  <c r="K104" i="1"/>
  <c r="Q104" i="1" s="1"/>
  <c r="K108" i="1"/>
  <c r="Q108" i="1" s="1"/>
  <c r="K112" i="1"/>
  <c r="Q112" i="1" s="1"/>
  <c r="K116" i="1"/>
  <c r="Q116" i="1" s="1"/>
  <c r="K120" i="1"/>
  <c r="Q120" i="1" s="1"/>
  <c r="K124" i="1"/>
  <c r="Q124" i="1" s="1"/>
  <c r="K128" i="1"/>
  <c r="Q128" i="1" s="1"/>
  <c r="K132" i="1"/>
  <c r="Q132" i="1" s="1"/>
  <c r="K136" i="1"/>
  <c r="Q136" i="1" s="1"/>
  <c r="K140" i="1"/>
  <c r="Q140" i="1" s="1"/>
  <c r="P36" i="4" l="1"/>
  <c r="Q36" i="4"/>
  <c r="M38" i="4"/>
  <c r="M72" i="3"/>
  <c r="N72" i="3"/>
  <c r="O68" i="3"/>
  <c r="N64" i="3"/>
  <c r="Q72" i="3"/>
  <c r="P72" i="3"/>
  <c r="M91" i="3"/>
  <c r="P64" i="3"/>
  <c r="M23" i="3"/>
  <c r="D35" i="8"/>
  <c r="C35" i="8"/>
  <c r="C36" i="8" s="1"/>
  <c r="E35" i="8"/>
  <c r="E36" i="8" s="1"/>
  <c r="D36" i="8"/>
  <c r="P24" i="2"/>
  <c r="Q24" i="2"/>
  <c r="M12" i="2"/>
  <c r="N12" i="2"/>
  <c r="P16" i="2"/>
  <c r="P14" i="2"/>
  <c r="M24" i="2"/>
  <c r="N24" i="2"/>
  <c r="O12" i="2"/>
  <c r="Q14" i="5"/>
  <c r="P14" i="5"/>
  <c r="Q7" i="5"/>
  <c r="P7" i="5"/>
  <c r="Q3" i="5"/>
  <c r="P3" i="5"/>
  <c r="Q6" i="5"/>
  <c r="P6" i="5"/>
  <c r="Q13" i="5"/>
  <c r="P13" i="5"/>
  <c r="Q10" i="5"/>
  <c r="P10" i="5"/>
  <c r="Q11" i="5"/>
  <c r="P11" i="5"/>
  <c r="M17" i="5"/>
  <c r="P4" i="5"/>
  <c r="Q4" i="5"/>
  <c r="Q15" i="5"/>
  <c r="P15" i="5"/>
  <c r="Q16" i="5"/>
  <c r="P16" i="5"/>
  <c r="P8" i="5"/>
  <c r="Q8" i="5"/>
  <c r="Q12" i="5"/>
  <c r="P12" i="5"/>
  <c r="P12" i="4"/>
  <c r="Q12" i="4"/>
  <c r="Q5" i="4"/>
  <c r="P5" i="4"/>
  <c r="P30" i="4"/>
  <c r="Q30" i="4"/>
  <c r="Q21" i="4"/>
  <c r="P21" i="4"/>
  <c r="Q6" i="4"/>
  <c r="P6" i="4"/>
  <c r="P7" i="4"/>
  <c r="Q7" i="4"/>
  <c r="Q25" i="4"/>
  <c r="P25" i="4"/>
  <c r="P22" i="4"/>
  <c r="Q22" i="4"/>
  <c r="P35" i="4"/>
  <c r="Q35" i="4"/>
  <c r="P26" i="4"/>
  <c r="Q26" i="4"/>
  <c r="P18" i="4"/>
  <c r="Q18" i="4"/>
  <c r="Q29" i="4"/>
  <c r="P29" i="4"/>
  <c r="Q15" i="4"/>
  <c r="P15" i="4"/>
  <c r="Q4" i="4"/>
  <c r="P4" i="4"/>
  <c r="Q16" i="4"/>
  <c r="P16" i="4"/>
  <c r="Q33" i="4"/>
  <c r="P33" i="4"/>
  <c r="Q17" i="4"/>
  <c r="P17" i="4"/>
  <c r="P104" i="3"/>
  <c r="Q104" i="3"/>
  <c r="P44" i="3"/>
  <c r="Q44" i="3"/>
  <c r="P25" i="3"/>
  <c r="Q25" i="3"/>
  <c r="Q59" i="3"/>
  <c r="P59" i="3"/>
  <c r="P63" i="3"/>
  <c r="Q63" i="3"/>
  <c r="N96" i="3"/>
  <c r="M96" i="3"/>
  <c r="O96" i="3"/>
  <c r="Q89" i="3"/>
  <c r="P89" i="3"/>
  <c r="N73" i="3"/>
  <c r="M73" i="3"/>
  <c r="O73" i="3"/>
  <c r="P94" i="3"/>
  <c r="Q94" i="3"/>
  <c r="N86" i="3"/>
  <c r="M86" i="3"/>
  <c r="P90" i="3"/>
  <c r="Q90" i="3"/>
  <c r="Q41" i="3"/>
  <c r="P41" i="3"/>
  <c r="Q26" i="3"/>
  <c r="P26" i="3"/>
  <c r="M40" i="3"/>
  <c r="N40" i="3"/>
  <c r="Q57" i="3"/>
  <c r="P57" i="3"/>
  <c r="Q43" i="3"/>
  <c r="P43" i="3"/>
  <c r="P10" i="3"/>
  <c r="Q10" i="3"/>
  <c r="Q5" i="3"/>
  <c r="P5" i="3"/>
  <c r="N98" i="3"/>
  <c r="M98" i="3"/>
  <c r="Q50" i="3"/>
  <c r="P50" i="3"/>
  <c r="Q121" i="3"/>
  <c r="P121" i="3"/>
  <c r="N100" i="3"/>
  <c r="M100" i="3"/>
  <c r="O100" i="3"/>
  <c r="Q70" i="3"/>
  <c r="P70" i="3"/>
  <c r="N94" i="3"/>
  <c r="M94" i="3"/>
  <c r="P75" i="3"/>
  <c r="Q75" i="3"/>
  <c r="P67" i="3"/>
  <c r="Q67" i="3"/>
  <c r="N41" i="3"/>
  <c r="M41" i="3"/>
  <c r="N90" i="3"/>
  <c r="M90" i="3"/>
  <c r="Q87" i="3"/>
  <c r="P87" i="3"/>
  <c r="Q52" i="3"/>
  <c r="P52" i="3"/>
  <c r="N10" i="3"/>
  <c r="M10" i="3"/>
  <c r="P13" i="3"/>
  <c r="Q13" i="3"/>
  <c r="Q11" i="3"/>
  <c r="P11" i="3"/>
  <c r="Q48" i="3"/>
  <c r="P48" i="3"/>
  <c r="Q97" i="3"/>
  <c r="P97" i="3"/>
  <c r="N88" i="3"/>
  <c r="M88" i="3"/>
  <c r="O88" i="3"/>
  <c r="Q74" i="3"/>
  <c r="P74" i="3"/>
  <c r="N65" i="3"/>
  <c r="M65" i="3"/>
  <c r="O65" i="3"/>
  <c r="Q78" i="3"/>
  <c r="P78" i="3"/>
  <c r="N75" i="3"/>
  <c r="M75" i="3"/>
  <c r="N67" i="3"/>
  <c r="M67" i="3"/>
  <c r="P61" i="3"/>
  <c r="Q61" i="3"/>
  <c r="Q60" i="3"/>
  <c r="P60" i="3"/>
  <c r="Q38" i="3"/>
  <c r="P38" i="3"/>
  <c r="P30" i="3"/>
  <c r="Q30" i="3"/>
  <c r="N12" i="3"/>
  <c r="M12" i="3"/>
  <c r="Q2" i="3"/>
  <c r="P2" i="3"/>
  <c r="Q14" i="3"/>
  <c r="P14" i="3"/>
  <c r="Q24" i="3"/>
  <c r="P24" i="3"/>
  <c r="Q9" i="3"/>
  <c r="P9" i="3"/>
  <c r="N4" i="3"/>
  <c r="M4" i="3"/>
  <c r="Q3" i="3"/>
  <c r="P3" i="3"/>
  <c r="P84" i="3"/>
  <c r="Q84" i="3"/>
  <c r="N106" i="3"/>
  <c r="M106" i="3"/>
  <c r="O106" i="3"/>
  <c r="N82" i="3"/>
  <c r="M82" i="3"/>
  <c r="O82" i="3"/>
  <c r="Q66" i="3"/>
  <c r="P66" i="3"/>
  <c r="Q91" i="3"/>
  <c r="P91" i="3"/>
  <c r="N71" i="3"/>
  <c r="M71" i="3"/>
  <c r="Q53" i="3"/>
  <c r="P53" i="3"/>
  <c r="Q35" i="3"/>
  <c r="P35" i="3"/>
  <c r="Q56" i="3"/>
  <c r="P56" i="3"/>
  <c r="Q105" i="3"/>
  <c r="P105" i="3"/>
  <c r="M58" i="3"/>
  <c r="N58" i="3"/>
  <c r="N45" i="3"/>
  <c r="M45" i="3"/>
  <c r="N54" i="3"/>
  <c r="M54" i="3"/>
  <c r="N18" i="3"/>
  <c r="M18" i="3"/>
  <c r="P77" i="3"/>
  <c r="Q77" i="3"/>
  <c r="Q20" i="3"/>
  <c r="P20" i="3"/>
  <c r="P79" i="3"/>
  <c r="Q79" i="3"/>
  <c r="Q103" i="3"/>
  <c r="P103" i="3"/>
  <c r="Q93" i="3"/>
  <c r="P93" i="3"/>
  <c r="Q76" i="3"/>
  <c r="P76" i="3"/>
  <c r="Q99" i="3"/>
  <c r="P99" i="3"/>
  <c r="Q62" i="3"/>
  <c r="P62" i="3"/>
  <c r="Q22" i="3"/>
  <c r="P22" i="3"/>
  <c r="N55" i="3"/>
  <c r="M55" i="3"/>
  <c r="P34" i="3"/>
  <c r="Q34" i="3"/>
  <c r="P23" i="3"/>
  <c r="Q23" i="3"/>
  <c r="O55" i="3"/>
  <c r="Q31" i="3"/>
  <c r="P31" i="3"/>
  <c r="P12" i="3"/>
  <c r="Q12" i="3"/>
  <c r="Q19" i="3"/>
  <c r="P19" i="3"/>
  <c r="N77" i="3"/>
  <c r="M77" i="3"/>
  <c r="P4" i="3"/>
  <c r="Q4" i="3"/>
  <c r="N102" i="3"/>
  <c r="M102" i="3"/>
  <c r="O102" i="3"/>
  <c r="N92" i="3"/>
  <c r="M92" i="3"/>
  <c r="O92" i="3"/>
  <c r="N69" i="3"/>
  <c r="M69" i="3"/>
  <c r="O69" i="3"/>
  <c r="O86" i="3"/>
  <c r="N104" i="3"/>
  <c r="M104" i="3"/>
  <c r="Q81" i="3"/>
  <c r="P81" i="3"/>
  <c r="O71" i="3"/>
  <c r="N59" i="3"/>
  <c r="M59" i="3"/>
  <c r="M44" i="3"/>
  <c r="N44" i="3"/>
  <c r="N31" i="3"/>
  <c r="M31" i="3"/>
  <c r="Q36" i="3"/>
  <c r="P36" i="3"/>
  <c r="Q95" i="3"/>
  <c r="P95" i="3"/>
  <c r="O58" i="3"/>
  <c r="O40" i="3"/>
  <c r="O45" i="3"/>
  <c r="Q17" i="3"/>
  <c r="P17" i="3"/>
  <c r="N13" i="3"/>
  <c r="M13" i="3"/>
  <c r="O98" i="3"/>
  <c r="O54" i="3"/>
  <c r="M25" i="3"/>
  <c r="N25" i="3"/>
  <c r="O18" i="3"/>
  <c r="Q16" i="3"/>
  <c r="P16" i="3"/>
  <c r="Q46" i="3"/>
  <c r="P46" i="3"/>
  <c r="P29" i="2"/>
  <c r="Q29" i="2"/>
  <c r="P17" i="2"/>
  <c r="Q17" i="2"/>
  <c r="P9" i="2"/>
  <c r="Q9" i="2"/>
  <c r="P21" i="2"/>
  <c r="Q21" i="2"/>
  <c r="Q32" i="2"/>
  <c r="P32" i="2"/>
  <c r="Q28" i="2"/>
  <c r="P28" i="2"/>
  <c r="P33" i="2"/>
  <c r="Q33" i="2"/>
  <c r="P25" i="2"/>
  <c r="Q25" i="2"/>
  <c r="P13" i="2"/>
  <c r="Q13" i="2"/>
  <c r="N35" i="2"/>
  <c r="M35" i="2"/>
  <c r="O35" i="2"/>
  <c r="N31" i="2"/>
  <c r="M31" i="2"/>
  <c r="O31" i="2"/>
  <c r="N27" i="2"/>
  <c r="M27" i="2"/>
  <c r="O27" i="2"/>
  <c r="N23" i="2"/>
  <c r="M23" i="2"/>
  <c r="O23" i="2"/>
  <c r="N19" i="2"/>
  <c r="M19" i="2"/>
  <c r="O19" i="2"/>
  <c r="N15" i="2"/>
  <c r="M15" i="2"/>
  <c r="O15" i="2"/>
  <c r="N11" i="2"/>
  <c r="M11" i="2"/>
  <c r="O11" i="2"/>
  <c r="M108" i="3" l="1"/>
  <c r="Q68" i="3"/>
  <c r="P68" i="3"/>
  <c r="M36" i="2"/>
  <c r="Q12" i="2"/>
  <c r="P12" i="2"/>
  <c r="Q92" i="3"/>
  <c r="P92" i="3"/>
  <c r="Q100" i="3"/>
  <c r="P100" i="3"/>
  <c r="P45" i="3"/>
  <c r="Q45" i="3"/>
  <c r="Q73" i="3"/>
  <c r="P73" i="3"/>
  <c r="P54" i="3"/>
  <c r="Q54" i="3"/>
  <c r="P58" i="3"/>
  <c r="Q58" i="3"/>
  <c r="P86" i="3"/>
  <c r="Q86" i="3"/>
  <c r="Q55" i="3"/>
  <c r="P55" i="3"/>
  <c r="Q88" i="3"/>
  <c r="P88" i="3"/>
  <c r="P18" i="3"/>
  <c r="Q18" i="3"/>
  <c r="P98" i="3"/>
  <c r="Q98" i="3"/>
  <c r="Q69" i="3"/>
  <c r="P69" i="3"/>
  <c r="Q106" i="3"/>
  <c r="P106" i="3"/>
  <c r="P40" i="3"/>
  <c r="Q40" i="3"/>
  <c r="P71" i="3"/>
  <c r="Q71" i="3"/>
  <c r="Q102" i="3"/>
  <c r="P102" i="3"/>
  <c r="Q82" i="3"/>
  <c r="P82" i="3"/>
  <c r="Q65" i="3"/>
  <c r="P65" i="3"/>
  <c r="Q96" i="3"/>
  <c r="P96" i="3"/>
  <c r="Q27" i="2"/>
  <c r="P27" i="2"/>
  <c r="Q23" i="2"/>
  <c r="P23" i="2"/>
  <c r="Q19" i="2"/>
  <c r="P19" i="2"/>
  <c r="Q35" i="2"/>
  <c r="P35" i="2"/>
  <c r="Q11" i="2"/>
  <c r="P11" i="2"/>
  <c r="Q15" i="2"/>
  <c r="P15" i="2"/>
  <c r="Q31" i="2"/>
  <c r="P31" i="2"/>
</calcChain>
</file>

<file path=xl/sharedStrings.xml><?xml version="1.0" encoding="utf-8"?>
<sst xmlns="http://schemas.openxmlformats.org/spreadsheetml/2006/main" count="1952" uniqueCount="1099">
  <si>
    <t xml:space="preserve"> </t>
  </si>
  <si>
    <t>STERLING ASSURANCE NIGERIA LIMITED</t>
  </si>
  <si>
    <t>SURPLUS  PREMIUM BORDEREAU</t>
  </si>
  <si>
    <t>BOND</t>
  </si>
  <si>
    <t>PERIOD: 1ST JULY, 2024 TO 30TH SEPTEMBER, 2024</t>
  </si>
  <si>
    <t>S/N</t>
  </si>
  <si>
    <t>CESSION</t>
  </si>
  <si>
    <t xml:space="preserve">POLICY </t>
  </si>
  <si>
    <t>NAME OF INSURED</t>
  </si>
  <si>
    <t xml:space="preserve">INSURANCE PERIOD </t>
  </si>
  <si>
    <t xml:space="preserve">     GROSS </t>
  </si>
  <si>
    <t xml:space="preserve">   R E T E N T I O N </t>
  </si>
  <si>
    <t xml:space="preserve">  TREATY SHARE</t>
  </si>
  <si>
    <t>LOCAL FACULTATIVE</t>
  </si>
  <si>
    <t>NO</t>
  </si>
  <si>
    <t xml:space="preserve">   FROM                   TO </t>
  </si>
  <si>
    <t>SUM INSURED</t>
  </si>
  <si>
    <t>PREMIUM</t>
  </si>
  <si>
    <t>PPN</t>
  </si>
  <si>
    <t>SAN/PBD/02657/2024/HQ</t>
  </si>
  <si>
    <t>PORTACABIN  NIGERIA ENTERPRISE</t>
  </si>
  <si>
    <t>SAN/APB/09404/2024/HQ</t>
  </si>
  <si>
    <t>FAITHLINK SYSTEMS LIMITED</t>
  </si>
  <si>
    <t>SAN/APB/09517/2024/HQ</t>
  </si>
  <si>
    <t>ROCKSEED INTERNATIONAL COMPANY NIGERIA LIMITED</t>
  </si>
  <si>
    <t>SAN/PBD/02573/2024/HQ</t>
  </si>
  <si>
    <t>SAN/PBD/02574/2024/HQ</t>
  </si>
  <si>
    <t>WIZCHINO ENGINEERING LIMITED</t>
  </si>
  <si>
    <t>SAN/PBD/02595/2024/HQ</t>
  </si>
  <si>
    <t>BUA INTERNATIONAL LTD</t>
  </si>
  <si>
    <t>SAN/APB/09580/2024/HQ</t>
  </si>
  <si>
    <t>SAN/PBD/02593/2024/HQ</t>
  </si>
  <si>
    <t>SAN/APB/09581/2024/HQ</t>
  </si>
  <si>
    <t>SAN/PBD/02594/2024/HQ</t>
  </si>
  <si>
    <t>SAN/APB/09582/2024/HQ</t>
  </si>
  <si>
    <t>SAN/APB/09583/2024/HQ</t>
  </si>
  <si>
    <t>SAN/APB/09584/2024/HQ</t>
  </si>
  <si>
    <t>SAN/PBD/00577/24/HQ/R</t>
  </si>
  <si>
    <t>DTO INDUSTRIES NIGERIA LIMITED/NOOR TAKAFUL INSURANCE LIMITED</t>
  </si>
  <si>
    <t>SAN/PBD/02602/2024/HQ</t>
  </si>
  <si>
    <t>ALHAJI RAIMI OLADIMEJI AND SONS LIMITED</t>
  </si>
  <si>
    <t>SAN/PBD/02567/2024/HQ</t>
  </si>
  <si>
    <t>SAN/APB/09782/2024/HQ</t>
  </si>
  <si>
    <t>NEEDPLUS CONSTRUCTION AND PLASTERING</t>
  </si>
  <si>
    <t>SAN/APB/09784/2024/HQ</t>
  </si>
  <si>
    <t>SAN/APB/10017/2024/HQ</t>
  </si>
  <si>
    <t>ADEK ENGINEERING LTD.</t>
  </si>
  <si>
    <t>SAN/APB/10070/2024/HQ</t>
  </si>
  <si>
    <t>SHELTER DEVELOPMENT LTD</t>
  </si>
  <si>
    <t>SAN/APB/10071/2024/HQ</t>
  </si>
  <si>
    <t>EARTH CORE CONSTRUCTION LIMITED</t>
  </si>
  <si>
    <t>SAN/APB/10061/2024/WAR</t>
  </si>
  <si>
    <t>DE-STEWARD GROUP LTD</t>
  </si>
  <si>
    <t>SAN/PBD/02659/2024/MAR</t>
  </si>
  <si>
    <t>BIAAT ALLIANCE INVESTMENT LIMITED</t>
  </si>
  <si>
    <t>SAN/APB/09623/2024/KN</t>
  </si>
  <si>
    <t>MESSRS STICK-BEE PROPERTIES LIMITED</t>
  </si>
  <si>
    <t>SAN/APB/09534/2024/KN</t>
  </si>
  <si>
    <t>M/S SUDABELT MEDICAL COMPANY LIMITED</t>
  </si>
  <si>
    <t>SAN/PBD/02578/2024/KN</t>
  </si>
  <si>
    <t>SAN/APB/09542/2024/KN</t>
  </si>
  <si>
    <t>M/S TANIT MEDICAL ENGINEERING LIMITED</t>
  </si>
  <si>
    <t>SAN/APB/09573/2024/KN</t>
  </si>
  <si>
    <t>M/S MOJAZ CONSTRUCTION NIGERIA LIMITED</t>
  </si>
  <si>
    <t>SAN/APB/09639/2024/KN</t>
  </si>
  <si>
    <t>M/S SABASH INTEGRATED SERVICES NIGERIA LIMITED</t>
  </si>
  <si>
    <t>SAN/APB/09640/2024/KN</t>
  </si>
  <si>
    <t>M/S ADDEES GLOBAL VENTURES LIMITED</t>
  </si>
  <si>
    <t>SAN/APB/09730/2024/KN</t>
  </si>
  <si>
    <t>M/S FARANAB INVESTMENT LIMITED</t>
  </si>
  <si>
    <t>SAN/APB/09847/2024/KN</t>
  </si>
  <si>
    <t>M/S AL- AFFASY NIGERIA LIMITED</t>
  </si>
  <si>
    <t>SAN/APB/09920/2024/KN</t>
  </si>
  <si>
    <t>M/S GIANT BRIDGE NIGERIA LIMITED</t>
  </si>
  <si>
    <t>SAN/APB/09921/2024/KN</t>
  </si>
  <si>
    <t>M/S MUZAMS CONSTRUCTION NIGERIA LIMITED</t>
  </si>
  <si>
    <t>SAN/APB/09922/2024/KN</t>
  </si>
  <si>
    <t>M/S MNM CONSTRUCTION AND ENGINEERING LIMITED</t>
  </si>
  <si>
    <t>SAN/APB/10041/2024/KN</t>
  </si>
  <si>
    <t>M/S MOJAZ CONSTRUCTION LIMITED</t>
  </si>
  <si>
    <t>SAN/APB/10043/2024/KN</t>
  </si>
  <si>
    <t>M/S CONCRETE CONSULTS</t>
  </si>
  <si>
    <t>SAN/APB/10053/2024/KN</t>
  </si>
  <si>
    <t>M/S NEW ENGLAND INVESTMENT LIMITED</t>
  </si>
  <si>
    <t>SAN/APB/09848/2024/KAD</t>
  </si>
  <si>
    <t>ABADOM ENTERPRISES LIMITED</t>
  </si>
  <si>
    <t>SAN/APB/09747/2024/KAD</t>
  </si>
  <si>
    <t>JAMUJA CONTINENTAL SERVICES LTD.</t>
  </si>
  <si>
    <t>SAN/APB/09827/2024/KAD</t>
  </si>
  <si>
    <t>MESSRS TONIADANICZ INTERNATIONAL LTD</t>
  </si>
  <si>
    <t>SAN/APB/09806/2024/KAD</t>
  </si>
  <si>
    <t>MESSRS AL-IBADAT NIGERIA LIMITED</t>
  </si>
  <si>
    <t>SAN/APB/09801/2024/KAD</t>
  </si>
  <si>
    <t>REVOLTA PRO LTD.</t>
  </si>
  <si>
    <t>SAN/APB/09733/2024/KAD</t>
  </si>
  <si>
    <t>STRUCTED INVESTMENT LIMITED</t>
  </si>
  <si>
    <t>SAN/APB/09736/2024/KAD</t>
  </si>
  <si>
    <t>FAHAMU NIGERIA LIMITED</t>
  </si>
  <si>
    <t>SAN/APB/09752/2024/KAD</t>
  </si>
  <si>
    <t>SAN/APB/09807/2024/KAD</t>
  </si>
  <si>
    <t>YUSAL TELEVIEW NIGERIA LTD</t>
  </si>
  <si>
    <t>SAN/APB/09751/2024/KAD</t>
  </si>
  <si>
    <t>MESSRS MARAINIYA VENTURES LIMITED</t>
  </si>
  <si>
    <t>SAN/APB/09945/2024/KAD</t>
  </si>
  <si>
    <t>SAN/APB/09883/2024/KAD</t>
  </si>
  <si>
    <t>MARLUM NIGERIA LIMITED</t>
  </si>
  <si>
    <t>SAN/BID/00529/2024/KAD</t>
  </si>
  <si>
    <t>MESSRS UYK NIGERIA LIMITED</t>
  </si>
  <si>
    <t>SAN/APB/09537/2024/KAD</t>
  </si>
  <si>
    <t>MESSRS MHA PROJECT NIGERIA LTD.</t>
  </si>
  <si>
    <t>SAN/APB/09603/2024/KAD</t>
  </si>
  <si>
    <t>GREENSEA ENERGY LIMITED</t>
  </si>
  <si>
    <t>SAN/APB/09791/2024/KAD</t>
  </si>
  <si>
    <t>BEASWECH INTERNATIONAL LTD.</t>
  </si>
  <si>
    <t>SAN/APB/09844/2024/KAD</t>
  </si>
  <si>
    <t>MESSRS MAHADI SERVICES LTD</t>
  </si>
  <si>
    <t>SAN/APB/09712/2024/KAD</t>
  </si>
  <si>
    <t>MESSRS METRIC INFO LTD.</t>
  </si>
  <si>
    <t>SAN/APB/09717/2024/KAD</t>
  </si>
  <si>
    <t>BLISSFUL FACILITIES MANAGERS LTD.</t>
  </si>
  <si>
    <t>SAN/APB/09723/2024/KAD</t>
  </si>
  <si>
    <t>HAMEENA TRAINING AND LOGISTICS LTD.</t>
  </si>
  <si>
    <t>SAN/APB/09724/2024/KAD</t>
  </si>
  <si>
    <t>SMILE PROJECTS INT. RESOURCE LTD.</t>
  </si>
  <si>
    <t>SAN/APB/09725/2024/KAD</t>
  </si>
  <si>
    <t>LAMPREY LIMITED</t>
  </si>
  <si>
    <t>SAN/APB/09722/2024/KAD</t>
  </si>
  <si>
    <t>MESSRS MAIWADA GLOBAL CONCEPT LTD.</t>
  </si>
  <si>
    <t>SAN/APB/09851/2024/KAD</t>
  </si>
  <si>
    <t>MESSRS KAITA INTEGRATED SERVICES LTD.</t>
  </si>
  <si>
    <t>SAN/APB/09721/2024/KAD</t>
  </si>
  <si>
    <t>MESSRS KAITA INTEGRATED SERVICES LTD</t>
  </si>
  <si>
    <t>SAN/APB/09748/2024/KAD</t>
  </si>
  <si>
    <t>M/S PRIME TECH ENERGY LTD.</t>
  </si>
  <si>
    <t>SAN/APB/09899/2024/KAD</t>
  </si>
  <si>
    <t>SAN/APB/09943/2024/KAD</t>
  </si>
  <si>
    <t>SAN/APB/09711/2024/KAD</t>
  </si>
  <si>
    <t>MESSRS VILAKAZI CONSTRUCTION &amp; ENGINEERING LTD</t>
  </si>
  <si>
    <t>SAN/APB/09941/2024/KAD</t>
  </si>
  <si>
    <t>VILAKAZI CONSTRUCTION &amp; ENGINEERING LTD.</t>
  </si>
  <si>
    <t>SAN/PBD/02648/2024/KAD</t>
  </si>
  <si>
    <t>MESSRS GRANITE BUILDERS LIMITED</t>
  </si>
  <si>
    <t>SAN/APB/10073/2024/KAD</t>
  </si>
  <si>
    <t>M/S YUKAS &amp; SONS VENTURES CONSTRUCTION COMPANY LTD.</t>
  </si>
  <si>
    <t>SAN/APB/09335/2024/KAD</t>
  </si>
  <si>
    <t>AL-IBADAT NIG. LTD</t>
  </si>
  <si>
    <t>SAN/APB/09521/2024/KAD</t>
  </si>
  <si>
    <t>SMARTEE ENGINEERING LTD</t>
  </si>
  <si>
    <t>SAN/APB/09523/2024/KAD</t>
  </si>
  <si>
    <t>REMOTE RESOURCES LTD.</t>
  </si>
  <si>
    <t>SAN/PBD/02579/2024/KAD</t>
  </si>
  <si>
    <t>SAN/APB/09612/2024/KAD</t>
  </si>
  <si>
    <t>SOLAP SHELTER LIMITED</t>
  </si>
  <si>
    <t>SAN/APB/09683/2024/KAD</t>
  </si>
  <si>
    <t>MESSRS MODERN SUPREME NIG. LTD.</t>
  </si>
  <si>
    <t>SAN/APB/09681/2024/KAD</t>
  </si>
  <si>
    <t>MESSRS IGABBY LUSSY NIG. LTD.</t>
  </si>
  <si>
    <t>SAN/APB/09680/2024/KAD</t>
  </si>
  <si>
    <t>SAN/APB/09829/2024/KAD</t>
  </si>
  <si>
    <t>MESSRS DATAKNEAD TECHNOLOGIES LTD.</t>
  </si>
  <si>
    <t>SAN/APB/09770/2024/KAD</t>
  </si>
  <si>
    <t>ABSHU GENERAL MERCHANDISE LTD</t>
  </si>
  <si>
    <t>SAN/APB/09773/2024/KAD</t>
  </si>
  <si>
    <t>WINDLAND ENGINEERING &amp; PROPERTIES LTD.</t>
  </si>
  <si>
    <t>SAN/APB/09774/2024/KAD</t>
  </si>
  <si>
    <t>MESSRS YUSAL TELEVIEW NIG. LTD</t>
  </si>
  <si>
    <t>SAN/APB/09760/2024/KAD</t>
  </si>
  <si>
    <t>MESSRS WOOD MOULD VENTURES LTD.</t>
  </si>
  <si>
    <t>SAN/APB/09796/2024/KAD</t>
  </si>
  <si>
    <t>ROYAL STORE GLOBAL INVESTMENT NIG. LTD.</t>
  </si>
  <si>
    <t>SAN/APB/09909/2024/KAD</t>
  </si>
  <si>
    <t>SOLAP FURNITURE LTD.</t>
  </si>
  <si>
    <t>SAN/APB/10051/2024/KAD</t>
  </si>
  <si>
    <t>DETAIL PROJECT SYSTEM LIMITED</t>
  </si>
  <si>
    <t>SAN/APB/09996/2024/KAD</t>
  </si>
  <si>
    <t>SOMIREX ENGINEERING LIMITED</t>
  </si>
  <si>
    <t>SAN/APB/09897/2024/ILR</t>
  </si>
  <si>
    <t>MESSRS WHYKAY GLOBAL SERVICES LIMITED</t>
  </si>
  <si>
    <t>SAN/APB/09885/2024/ILR</t>
  </si>
  <si>
    <t>MESSRS TREFOREST GLOBAL SERVICES LIMITED</t>
  </si>
  <si>
    <t>SAN/APB/09832/2024/IBD</t>
  </si>
  <si>
    <t>JOELF BUILDERS GLOBAL CONCEPTS LIMITED</t>
  </si>
  <si>
    <t>SAN/APB/09608/2024/ADO</t>
  </si>
  <si>
    <t>HURLAG TECHNOLOGIES LIMITED</t>
  </si>
  <si>
    <t>SAN/APB/09388/2024/ABJ</t>
  </si>
  <si>
    <t>BANKROL INVESTMENT LIMITED</t>
  </si>
  <si>
    <t>SAN/PBD/02571/2024/ABJ</t>
  </si>
  <si>
    <t>UNIBUILDRO RESOURCES LIMITED</t>
  </si>
  <si>
    <t>SAN/APB/09516/2024/ABJ</t>
  </si>
  <si>
    <t>GREEN-MAX INTERNATIONAL LIMITED</t>
  </si>
  <si>
    <t>SAN/APB/09521/2024/ABJ</t>
  </si>
  <si>
    <t>ROLE FOURTEEN NIGERIA LIMITED</t>
  </si>
  <si>
    <t>SAN/APB/09588/2024/ABJ</t>
  </si>
  <si>
    <t>SHAKUK GLOBAL SERVICES LIMITED</t>
  </si>
  <si>
    <t>SAN/PBD/02575/2024/ABJ</t>
  </si>
  <si>
    <t>FARIAC PROJECT LIMITED</t>
  </si>
  <si>
    <t>SAN/APB/09585/2024/ABJ</t>
  </si>
  <si>
    <t>FORTEC INVESTMENT LIMITED</t>
  </si>
  <si>
    <t>SAN/APB/09698/2024/ABJ</t>
  </si>
  <si>
    <t>QUASAL INTERBIZ LINKS SERVICES LIMITED</t>
  </si>
  <si>
    <t>SAN/APB/09706/2024/ABJ</t>
  </si>
  <si>
    <t>QL-TEKNIK LIMITED</t>
  </si>
  <si>
    <t>SAN/APB/09788/2024/ABJ</t>
  </si>
  <si>
    <t>TEKRA GLOBAL CONCEPTS LIMITED</t>
  </si>
  <si>
    <t>SAN/APB/09777/2024/ABJ</t>
  </si>
  <si>
    <t>MESSRS TRIO TEK LIMITED</t>
  </si>
  <si>
    <t>SAN/APB/09830/2024/ABJ</t>
  </si>
  <si>
    <t>SIPEL GLOBAL CONCEPT LIMITED</t>
  </si>
  <si>
    <t>SAN/APB/09831/2024/ABJ</t>
  </si>
  <si>
    <t>GRAVY TRAIN INTERNATIONAL SERVICES LTD</t>
  </si>
  <si>
    <t>SAN/APB/09783/2024/ABJ</t>
  </si>
  <si>
    <t>LOYLINDS NIGERIA LIMITED</t>
  </si>
  <si>
    <t>SAN/APB/09786/2024/ABJ</t>
  </si>
  <si>
    <t>VENAMIN INTERNATIONAL CORPORATE SERVICES LIMITED</t>
  </si>
  <si>
    <t>SAN/APB/09780/2024/ABJ</t>
  </si>
  <si>
    <t>PHARETS PLOS NIGERIA LIMITED.</t>
  </si>
  <si>
    <t>SAN/APB/09785/2024/ABJ</t>
  </si>
  <si>
    <t>GAVI INTERNATIONAL CORPORATE SERVICES LTD.</t>
  </si>
  <si>
    <t>SAN/APB/09781/2024/ABJ</t>
  </si>
  <si>
    <t>MORENIQUEL NIGERIA LIMITED</t>
  </si>
  <si>
    <t>SAN/APB/09778/2024/ABJ</t>
  </si>
  <si>
    <t>HAKAVOD GLOBAL SERVICES LIMITED</t>
  </si>
  <si>
    <t>SAN/APB/09891/2024/ABJ</t>
  </si>
  <si>
    <t>GIG INTEGRATED EMPIRE LIMITED</t>
  </si>
  <si>
    <t>SAN/APB/09937/2024/ABJ</t>
  </si>
  <si>
    <t>MEKWANDO GENERAL ENTERPRISES LIMITED</t>
  </si>
  <si>
    <t>SAN/APB/09953/2024/ABJ</t>
  </si>
  <si>
    <t>GRAYCETHEY ENGINEERING GLOBAL LIMITED</t>
  </si>
  <si>
    <t>SAN/APB/09956/2024/ABJ</t>
  </si>
  <si>
    <t>HUMBLE ROCK LIMITED</t>
  </si>
  <si>
    <t>SAN/APB/09958/2024/ABJ</t>
  </si>
  <si>
    <t>FIBELLE &amp; MIBELLE LIMITED</t>
  </si>
  <si>
    <t>SAN/APB/09957/2024/ABJ</t>
  </si>
  <si>
    <t>SAN/APB/10028/2024/ABJ</t>
  </si>
  <si>
    <t>SAN/APB/10029/2024/ABJ</t>
  </si>
  <si>
    <t>SAN/APB/10030/2024/ABJ</t>
  </si>
  <si>
    <t>SAN/APB/10031/2024/ABJ</t>
  </si>
  <si>
    <t>FIDES ET RATIO LIMITED</t>
  </si>
  <si>
    <t>SAN/APB/10068/2024/ABJ</t>
  </si>
  <si>
    <t>SAN/APB/10032/2024/ABJ</t>
  </si>
  <si>
    <t>M/S UNIQUE EXECUTIVE SERVICE NIG. LTD.</t>
  </si>
  <si>
    <t>SAN/APB/10034/2024/ABJ</t>
  </si>
  <si>
    <t>PIONEER GLOBAL INNOVATION LIMITED</t>
  </si>
  <si>
    <t>SAN/APB/10036/2024/ABJ</t>
  </si>
  <si>
    <t>MUASFAT INTERNATIONAL SERVICES LIMITED</t>
  </si>
  <si>
    <t>SAN/APB/10019/2024/ABJ</t>
  </si>
  <si>
    <t>RAWLEC INVESTMENT LIMITED</t>
  </si>
  <si>
    <t>SAN/APB/10020/2024/ABJ</t>
  </si>
  <si>
    <t>MESSRS OBET-OBET NIGERIA LIMITED</t>
  </si>
  <si>
    <t>SAN/PBD/02607/2024/ABJ</t>
  </si>
  <si>
    <t>QL TEKNIK LIMITED</t>
  </si>
  <si>
    <t>SAN/PBD/02219/2023/ABJ</t>
  </si>
  <si>
    <t>ELSON CONSTRUCTION COMPANY LIMITED</t>
  </si>
  <si>
    <t>ENGINEERING</t>
  </si>
  <si>
    <t>SAN/CAR/00798/2024/HQ</t>
  </si>
  <si>
    <t>TREVI FOUNDATION NIG LTD/ OR CUANTICO LIMITED</t>
  </si>
  <si>
    <t>SAN/PAR/00259/2022/HQ</t>
  </si>
  <si>
    <t>DANGOTE MINES (COAL &amp; GRANITE SITES)</t>
  </si>
  <si>
    <t>SAN/CAR/00809/2024/HQ</t>
  </si>
  <si>
    <t>JULIUS BERGER NIGERIA PLC</t>
  </si>
  <si>
    <t>SAN/PAR/00303/2024/HQ</t>
  </si>
  <si>
    <t>TREVI  FOUNDATIONS NIGERIA LIMITED</t>
  </si>
  <si>
    <t>SAN/EAR/00036/2024/HQ</t>
  </si>
  <si>
    <t>SAN/CAR/00786/2024/HQ</t>
  </si>
  <si>
    <t>ACCUGAS LIMITED</t>
  </si>
  <si>
    <t>SAN/EAR/00035/2024/HQ</t>
  </si>
  <si>
    <t>FLUOR ENGINEERING INTERNATIONAL LIMITED</t>
  </si>
  <si>
    <t>SAN/EAR/00037/2024/HQ</t>
  </si>
  <si>
    <t>SHOOLIN FZE/BRITISH OIL &amp; GAS EXPLORATION LIMITED</t>
  </si>
  <si>
    <t>SAN/EEI/00015/2023/HQ</t>
  </si>
  <si>
    <t>POLARIS BANK LIMITED</t>
  </si>
  <si>
    <t>SAN/CAR/00480/2019/HQ</t>
  </si>
  <si>
    <t>S.C.C (NIG) LIMITED/FEDERAL MINISTRY OF WATER RESOURCES/SUB-CONTRACTORS</t>
  </si>
  <si>
    <t>SAN/CAR/00721/2023/HQ</t>
  </si>
  <si>
    <t>SAN/EAR/00029/2022/HQ</t>
  </si>
  <si>
    <t>ODUM  ENERGY FZE</t>
  </si>
  <si>
    <t>SAN/EAR/00023/2018/HQ</t>
  </si>
  <si>
    <t>POWER CONTROL AND APPLIANCES LIMITED</t>
  </si>
  <si>
    <t>SAN/EAR/00026/2019/HQ</t>
  </si>
  <si>
    <t>SAN/PAR/00170/2017/HQ</t>
  </si>
  <si>
    <t>SAPELE POWER PLC</t>
  </si>
  <si>
    <t>SAN/CAR/00425/2018/HQ</t>
  </si>
  <si>
    <t>DESICON ENGINEERING LTD/INDVIZ CONSTRUCTION LIMITED</t>
  </si>
  <si>
    <t>SAN/PAR/00145/2015/MAR</t>
  </si>
  <si>
    <t>PACIFIC ENERGY CO. LTD &amp; OTHERS (OMOTOSHO POWER PLANT PHASE 1)</t>
  </si>
  <si>
    <t>SAN/PAR/00237/2021/ABJ</t>
  </si>
  <si>
    <t>NDPHC-OMOTOSHO GENERATION COMPANY LIMITED</t>
  </si>
  <si>
    <t>SAN/PAR/00236/2021/ABJ</t>
  </si>
  <si>
    <t>NDPHC- SAPELE GENERATION COMPANY LIMITED</t>
  </si>
  <si>
    <t>SAN/CAR/00005/2013/ABJ</t>
  </si>
  <si>
    <t>SALINI NIGERIA LIMITED</t>
  </si>
  <si>
    <t>SAN/CAR/00005/2010/ABJ</t>
  </si>
  <si>
    <t>SALINI NIGERIA LIMITED/FEDERAL MINISTRY OF CULTURE &amp; TOURISM ABUJA</t>
  </si>
  <si>
    <t>SAN/CAR/00027/2023/ABJ</t>
  </si>
  <si>
    <t>SAN/IAR/00688/2020/HQ</t>
  </si>
  <si>
    <t>BANKERS WAREHOUSE LIMITED</t>
  </si>
  <si>
    <t>SAN/IAR/00829/2024/HQ</t>
  </si>
  <si>
    <t>FIRST AND FOREMOST INVESTMENT LTD.</t>
  </si>
  <si>
    <t>SAN/FHO/00117/2024/HQ</t>
  </si>
  <si>
    <t>MR &amp; MRS PIUS OLAREWAJU</t>
  </si>
  <si>
    <t>SAN/IAR/00580/2018/HQ</t>
  </si>
  <si>
    <t>YOA INSURANCE BROKERS LTD</t>
  </si>
  <si>
    <t>SAN/FMD/13435/2024/HQ</t>
  </si>
  <si>
    <t>IRRUKA ONLINE MUSICAL LIMITED</t>
  </si>
  <si>
    <t>SAN/FMD/13427/2024/HQ</t>
  </si>
  <si>
    <t xml:space="preserve"> WHITE HOUSE HOTEL</t>
  </si>
  <si>
    <t>SAN/FMD/00306/2024/HQ</t>
  </si>
  <si>
    <t>ADEKUNLE INVESTMENTS LIMITED</t>
  </si>
  <si>
    <t>SAN/FMD/13428/2024/HQ</t>
  </si>
  <si>
    <t>MERCYLINK EVENTS PLACE LIMITED</t>
  </si>
  <si>
    <t>SAN/IAR/00834/2024/HQ</t>
  </si>
  <si>
    <t>BERGER PAINTS NIGERIA PLC</t>
  </si>
  <si>
    <t>SAN/FMD/00305/2024/HQ</t>
  </si>
  <si>
    <t>PACEGATE LTD. &amp; ASSOCIATES</t>
  </si>
  <si>
    <t>SAN/FMD/13426/2024/HQ</t>
  </si>
  <si>
    <t>ESTATE OF LATE PA ALFRED O. REWANE</t>
  </si>
  <si>
    <t>SAN/FMD/13419/2024/HQ</t>
  </si>
  <si>
    <t>GEOPLEX DRILLTEQ LIMITED DRILLTEQ LIMITED</t>
  </si>
  <si>
    <t>SAN/FMD/13062/2024/HQ</t>
  </si>
  <si>
    <t>ANDERSONS PHARMACEUTICALS LTD.</t>
  </si>
  <si>
    <t>SAN/IAR/00517/2016/HQ</t>
  </si>
  <si>
    <t>AVEON OFFSHORE LIMITED</t>
  </si>
  <si>
    <t>SAN/FMD/13351/2023/HQ</t>
  </si>
  <si>
    <t>NIXIN PAPER MILL NIGERIA LIMITED</t>
  </si>
  <si>
    <t>SAN/FMD/13136/2019/HQ</t>
  </si>
  <si>
    <t>PRORICH PRODUCTS LTD/ FC ENERGY NIG LTD /PROTECH MACHINERY SERVICES</t>
  </si>
  <si>
    <t>SAN/FMD/00092/2014/MAR</t>
  </si>
  <si>
    <t>PACIFIC ENERGY COMPANY LTD (OLORUNSOGO)</t>
  </si>
  <si>
    <t>SAN/FMD/00021/2003/HQ</t>
  </si>
  <si>
    <t>ST. AUGUSTINE INVESTMENTS LTD</t>
  </si>
  <si>
    <t>SAN/IAR/00719/2021/MAR</t>
  </si>
  <si>
    <t>FIRST CARDIOLOGY CONSULTANT</t>
  </si>
  <si>
    <t>SAN/FMD/13235/2021/HQ</t>
  </si>
  <si>
    <t>ENGINEER YEMISI SHYLLON</t>
  </si>
  <si>
    <t>SAN/FMD/12963/2021/HQ</t>
  </si>
  <si>
    <t>MR SINA OSHIN</t>
  </si>
  <si>
    <t>SAN/IAR/00634/2019/HQ</t>
  </si>
  <si>
    <t>ULYSSES NIGERIA LIMITED</t>
  </si>
  <si>
    <t>SAN/FMD/00279/2023/HQ</t>
  </si>
  <si>
    <t>CARAT 24 BUSINESS HOTELS AND SUITES LTD</t>
  </si>
  <si>
    <t>SAN/FMD/00295/2024/MAR</t>
  </si>
  <si>
    <t>GILAD INDUSTRIES LIMITED</t>
  </si>
  <si>
    <t>SAN/IAR/00520/2017/HQ</t>
  </si>
  <si>
    <t>AVERY NIGERIA LIMITED</t>
  </si>
  <si>
    <t>SAN/IAR/00045/2008/HQ</t>
  </si>
  <si>
    <t>UNIVERSITY OF LAGOS</t>
  </si>
  <si>
    <t>SAN/FMD/12950/2017/HQ</t>
  </si>
  <si>
    <t>UNILAG (MAIN CAMPUS)</t>
  </si>
  <si>
    <t>SAN/IAR/00784/2023/HQ</t>
  </si>
  <si>
    <t>UAC FOODS LIMITED (SWAN)</t>
  </si>
  <si>
    <t>SAN/FHH/00072/2019/HQ</t>
  </si>
  <si>
    <t>ELIZADE NIGERIA LIMITED</t>
  </si>
  <si>
    <t>SAN/IAR/00022/2007/HQ</t>
  </si>
  <si>
    <t>SAIMA NIGERIA LIMITED</t>
  </si>
  <si>
    <t>SAN/FMD/00427/2008/HQ</t>
  </si>
  <si>
    <t>FIRST CITY MONUMENT BANK</t>
  </si>
  <si>
    <t>SAN/FMD/00255/2007/HQ</t>
  </si>
  <si>
    <t>THE CHAPEL OF THE HEALING CROSS</t>
  </si>
  <si>
    <t>SAN/IAR/00275/2013/HQ</t>
  </si>
  <si>
    <t>MAY &amp; BAKER NIGERIA PLC</t>
  </si>
  <si>
    <t>SAN/IAR/00695/2021/HQ</t>
  </si>
  <si>
    <t>SAN/IAR/00586/2018/HQ</t>
  </si>
  <si>
    <t>NEW AGE ENERGY LIMITED</t>
  </si>
  <si>
    <t>SAN/IAR/00717/2021/HQ</t>
  </si>
  <si>
    <t>SAN/IAR/00768/2023/HQ</t>
  </si>
  <si>
    <t>SAN/IAR/00513/2016/HQ</t>
  </si>
  <si>
    <t>UNITED INVESTMENT NIGERIA LTD/ CHIEF ROTIMI WILLIAMS CHAMBERS</t>
  </si>
  <si>
    <t>SAN/IAR/00759/2022/HQ</t>
  </si>
  <si>
    <t>POLO PARK DEVELOPMENT CO. LTD/BROLL NIG. LTD</t>
  </si>
  <si>
    <t>SAN/IAR/00630/2019/HQ</t>
  </si>
  <si>
    <t>LINEAR FOODS ENTERPRISES</t>
  </si>
  <si>
    <t>SAN/IAR/00826/2024/HQ</t>
  </si>
  <si>
    <t>GOLDEN OIL INDUSTRIES LIMITED</t>
  </si>
  <si>
    <t>SAN/FMD/13329/2023/HQ</t>
  </si>
  <si>
    <t>SAIPEM CONTRACTING NIGERIA LIMITED</t>
  </si>
  <si>
    <t>SAN/IAR/00712/2021/HQ</t>
  </si>
  <si>
    <t>FIRST ALUMINIUM NIGERIA PLC &amp;/OR ASSOCIATED CO. &amp;/OR SUBSIDIARY CO.</t>
  </si>
  <si>
    <t>SAN/IAR/00723/2021/HQ</t>
  </si>
  <si>
    <t>FOOD SOLUTIONS LIMITED/TIME UNICORN LIMITED/ALLIED FISHRIES LIMITED</t>
  </si>
  <si>
    <t>SAN/IAR/00824/2024/HQ</t>
  </si>
  <si>
    <t>NIGERIAN CARTON &amp; PACKAGING MANUF. CO. LTD AND</t>
  </si>
  <si>
    <t>SAN/IAR/00754/2022/HQ</t>
  </si>
  <si>
    <t>BRIAN MUNRO NIGERIA LTD/ASSOCIATED COMPA</t>
  </si>
  <si>
    <t>SAN/IAR/00779/2023/HQ</t>
  </si>
  <si>
    <t>MDS LOGISTICS PLC</t>
  </si>
  <si>
    <t>SAN/IAR/00380/2015/HQ</t>
  </si>
  <si>
    <t>NLPC PENSION FUNDS ADMINISTRATOR LIMITED</t>
  </si>
  <si>
    <t>SAN/IAR/00636/2019/HQ</t>
  </si>
  <si>
    <t>DESICON ENGINEERING LIMITED</t>
  </si>
  <si>
    <t>SAN/IAR/00495/2016/HQ</t>
  </si>
  <si>
    <t>COVENANT MICRO FINANCE BANKLTD</t>
  </si>
  <si>
    <t>SAN/IAR/00515/2016/HQ</t>
  </si>
  <si>
    <t>CINCIA OIL LIMITED</t>
  </si>
  <si>
    <t>SAN/IAR/00772/2023/HQ</t>
  </si>
  <si>
    <t>CHEMICAL AND ALLIED PRODUCTS PLC</t>
  </si>
  <si>
    <t>SAN/FMD/012198/2013/HQ</t>
  </si>
  <si>
    <t>THE BIBLE SOCIETY OF NIGERIA</t>
  </si>
  <si>
    <t>SAN/IAR/00605/2019/HQ</t>
  </si>
  <si>
    <t>LIFECARE VENTURES LIMITED</t>
  </si>
  <si>
    <t>SAN/FMD/12801/2016/HQ</t>
  </si>
  <si>
    <t>BOFIK NIGERIA LIMITED.</t>
  </si>
  <si>
    <t>SAN/IAR/00309/2014/HQ</t>
  </si>
  <si>
    <t>C &amp; I LEASING/OTHERS/ASSOCIATE/SUBSIDIARY CO.</t>
  </si>
  <si>
    <t>SAN/IAR/00655/2020/HQ</t>
  </si>
  <si>
    <t>BUA CEMENT PLC</t>
  </si>
  <si>
    <t>SAN/IAR/00769/2023/HQ</t>
  </si>
  <si>
    <t>BUA CEMENT PLC (OBU/ EDO)</t>
  </si>
  <si>
    <t>SAN/IAR/00741/2022/HQ</t>
  </si>
  <si>
    <t>IRS PASTA LTD</t>
  </si>
  <si>
    <t>SAN/IAR/00733/2022/HQ</t>
  </si>
  <si>
    <t>BUA SUGAR REFINERY EZE</t>
  </si>
  <si>
    <t>SAN/IAR/00734/2022/HQ</t>
  </si>
  <si>
    <t>IRS FLOUR MILLS LIMITED</t>
  </si>
  <si>
    <t>SAN/IAR/00755/2022/HQ</t>
  </si>
  <si>
    <t>NIGERIAN INSURERS ASSOCIATION (NIA)</t>
  </si>
  <si>
    <t>SAN/FMD/00226/2021/HQ</t>
  </si>
  <si>
    <t>HOLY MOUNT OF SALVATION</t>
  </si>
  <si>
    <t>SAN/FMD/12427/2014/HQ</t>
  </si>
  <si>
    <t>JORICHAS IMPEX LIMITED &amp; SUBSIDIARIES</t>
  </si>
  <si>
    <t>SAN/FHO/00251/2011/HQ</t>
  </si>
  <si>
    <t>MR. &amp; MRS. OLUSOLA PEARCE</t>
  </si>
  <si>
    <t>SAN/IAR/00800/2023/MAR</t>
  </si>
  <si>
    <t>ASCOT ORCHARD NIGERIA LTD AND/OR ASSOCIATES/SUBSIDIARY COMPANIES</t>
  </si>
  <si>
    <t>SAN/FMD/13067/2024/HQ</t>
  </si>
  <si>
    <t>POLAK INTERNATIONAL HOTEL</t>
  </si>
  <si>
    <t>SAN/FMD/00057/2014/MAR</t>
  </si>
  <si>
    <t>P.W. NIGERIA LIMITED</t>
  </si>
  <si>
    <t>SAN/FMD/00278/2023/HQ</t>
  </si>
  <si>
    <t>RAJI ADEOLA EDWARD</t>
  </si>
  <si>
    <t>SAN/IAR/00807/2023/HQ</t>
  </si>
  <si>
    <t>DEELITE IMPEX DISTRIBUTION CO. LTD</t>
  </si>
  <si>
    <t>SAN/FMD/13369/2023/HQ</t>
  </si>
  <si>
    <t>FTN COCOA PROCESSORS PLS</t>
  </si>
  <si>
    <t>SAN/IAR/00720/2021/HQ</t>
  </si>
  <si>
    <t>NOVOGAS LIMITED</t>
  </si>
  <si>
    <t>SAN/IAR/00806/2023/HQ</t>
  </si>
  <si>
    <t>DANGOTE CEMENT PLC - OBAJANA/IBESHE PLANT AND OTHERS</t>
  </si>
  <si>
    <t>SAN/FHO/00404/2016/HQ</t>
  </si>
  <si>
    <t>MOBIL PRODUCING NIGERIA UNLIMITED</t>
  </si>
  <si>
    <t>SAN/FHO/00051/2018/HQ</t>
  </si>
  <si>
    <t>OMIS INVESTMENT NIGERIA LIMITED</t>
  </si>
  <si>
    <t>SAN/FMD/13389/2024/HQ</t>
  </si>
  <si>
    <t>FEDERAL AIRPORT AUTHORITY OF NIGERIA (FAAN)</t>
  </si>
  <si>
    <t>SAN/FMD/13173/2020/HQ</t>
  </si>
  <si>
    <t>SAN/IAR/00797/2023/HQ</t>
  </si>
  <si>
    <t>STARSIGHT POWER UTILITY LIMITED</t>
  </si>
  <si>
    <t>SAN/IAR/00812/2023/MAR</t>
  </si>
  <si>
    <t>ALARA MULTICONCEPTS LIMITED</t>
  </si>
  <si>
    <t>SAN/FMD/13376/2023/MAR</t>
  </si>
  <si>
    <t>XPRESS PAYMENT SOLUTIONS LIMITED</t>
  </si>
  <si>
    <t>SAN/IAR/00348/2014/HQ</t>
  </si>
  <si>
    <t>LARRYPEACE OWOLEWA INTERNATIONAL LTD</t>
  </si>
  <si>
    <t>SAN/IAR/00665/2020/MAR</t>
  </si>
  <si>
    <t>SAN/IAR/00436/2015/HQ</t>
  </si>
  <si>
    <t>SLOT SYSTEMS LIMITED/CORAL BLUE LIMITED</t>
  </si>
  <si>
    <t>SAN/FMD/13098/2019/HQ</t>
  </si>
  <si>
    <t>JAMES COURT HOTEL &amp; LUXURY APARTMENTS</t>
  </si>
  <si>
    <t>SAN/FMD/12989/2022/HQ</t>
  </si>
  <si>
    <t>FIRST CLASS GROUP LIMITED</t>
  </si>
  <si>
    <t>SAN/IAR/00811/2023/MAR</t>
  </si>
  <si>
    <t>SAN/IAR/00808/2023/HQ</t>
  </si>
  <si>
    <t>SMILE COMMUNICATION</t>
  </si>
  <si>
    <t>SAN/IAR/00828/2024/MAR</t>
  </si>
  <si>
    <t>DAILY - NEED INDUSTRIES LIMITED</t>
  </si>
  <si>
    <t>SAN/IAR/00597/2018/HQ</t>
  </si>
  <si>
    <t>TOM ASSOCIATES LIMITED</t>
  </si>
  <si>
    <t>SAN/IAR/00793/2023/MAR</t>
  </si>
  <si>
    <t>LINK-UP LOGISTICS LTD</t>
  </si>
  <si>
    <t>SAN/CBPP/00057/2024/KN</t>
  </si>
  <si>
    <t>DEE-LITE IMPEX DISTRIBUTION COMPANY LIMITED</t>
  </si>
  <si>
    <t>SAN/FMD/00050/2009/KD</t>
  </si>
  <si>
    <t>DR. &amp; MRS LABO/DENTAL SURGERY</t>
  </si>
  <si>
    <t>SAN/FMD/00058/2021/ILR</t>
  </si>
  <si>
    <t>OLAK ROOFING NIG. LTD/FIDELITY BANK PLC</t>
  </si>
  <si>
    <t>SAN/FMD/13395/2024/IBD</t>
  </si>
  <si>
    <t>BRANDCO NIG. LTD</t>
  </si>
  <si>
    <t>SAN/IAR/00838/2024/IBD</t>
  </si>
  <si>
    <t>SLABMARK NIGERIA LIMITED</t>
  </si>
  <si>
    <t>SAN/IAR/00839/2024/IBD</t>
  </si>
  <si>
    <t>SAN/IAR/00840/2024/IBD</t>
  </si>
  <si>
    <t>BOVAS &amp; CO LTD</t>
  </si>
  <si>
    <t>SAN/CBPP/00058/2024/IBD</t>
  </si>
  <si>
    <t>SAN/IAR/00319/22/HQ/</t>
  </si>
  <si>
    <t>NIGERIAN MARITIME ADMINISTRATION AND SAFETY AGENCY (NIMASA)</t>
  </si>
  <si>
    <t>PREMIUM BORDEREAU</t>
  </si>
  <si>
    <t>TERRORISM SURPLUS</t>
  </si>
  <si>
    <t>PERIOD: 1ST JULY TO 30TH SEPTEMBER, 2024</t>
  </si>
  <si>
    <t xml:space="preserve">              1ST</t>
  </si>
  <si>
    <t xml:space="preserve">      R E T E N T I O N </t>
  </si>
  <si>
    <t xml:space="preserve">  S U R P L U S </t>
  </si>
  <si>
    <t>FACULTATIVE</t>
  </si>
  <si>
    <t xml:space="preserve">                                                                         </t>
  </si>
  <si>
    <t xml:space="preserve">   FROM          TO </t>
  </si>
  <si>
    <t>SAN/TPV/00005/2022/HQ</t>
  </si>
  <si>
    <t>TOLARAM GROUP/ DUFIL GROUP OF COMPANY &amp; SUBSIDIARIES</t>
  </si>
  <si>
    <t>SAN/MOC/00655/2023/ADO</t>
  </si>
  <si>
    <t>JKPEEZ IMPEX CO. LTD</t>
  </si>
  <si>
    <t>SAN/MOC/00433/2017/MAR</t>
  </si>
  <si>
    <t>EMEL FURNITURE SOLUTIONS LIMITED</t>
  </si>
  <si>
    <t>SAN/MSC/00525/2018/HQ</t>
  </si>
  <si>
    <t>SAN/MOC/00462/2018/HQ</t>
  </si>
  <si>
    <t>CHEMICAL &amp; ALLIED PRODUCTS PLC</t>
  </si>
  <si>
    <t>SAN/MOC/00621/2021/HQ</t>
  </si>
  <si>
    <t>NIGERIA DISTILLERIES LTDAND/OR SUBSIDIARY COMPANIES AND/OR COMPANIES</t>
  </si>
  <si>
    <t>SAN/MOC/00527/2009/HQ</t>
  </si>
  <si>
    <t>BMS INTERNATIONAL RESOURCES LTD</t>
  </si>
  <si>
    <t>SAN/MOC/00537/2019/HQ</t>
  </si>
  <si>
    <t>ZADIP PHARMA NIGERIA LIMITED</t>
  </si>
  <si>
    <t>SAN/MSC/00421/2017/HQ</t>
  </si>
  <si>
    <t>TRUSTLUB FLUID RESOURCES LIMITED</t>
  </si>
  <si>
    <t>SAN/MSC/00777/2020/HQ</t>
  </si>
  <si>
    <t>DTO INDUSTRIES NIGERIA LIMITED</t>
  </si>
  <si>
    <t>SAN/MSC/00424/2017/HQ</t>
  </si>
  <si>
    <t>REALSTAR NIGERIA LIMITED</t>
  </si>
  <si>
    <t>SAN/MSC/00406/2016/HQ</t>
  </si>
  <si>
    <t>INTRACHEM LIMITED</t>
  </si>
  <si>
    <t>SAN/MOC/00584/2020/HQ</t>
  </si>
  <si>
    <t>JACKPAK INDUSTRIES LTD</t>
  </si>
  <si>
    <t>SAN/MOC/0145/2013/HO</t>
  </si>
  <si>
    <t>ESSO EXPLORATION &amp; PRODUCTION NIG. LTD (OE)</t>
  </si>
  <si>
    <t>SAN/MOC/00145/2013/HO</t>
  </si>
  <si>
    <t>ESSO EXPLORATION &amp; PRODUCTION NIG. LTD</t>
  </si>
  <si>
    <t>SAN/MOC/00145/2013/HQ</t>
  </si>
  <si>
    <t>SAN/MOC/00662/2024/HQ</t>
  </si>
  <si>
    <t>WESTERN DEVELOPMENT COMPANY LIMITED.</t>
  </si>
  <si>
    <t>SAN/MSC/01434/2024/HQ</t>
  </si>
  <si>
    <t>CHINA ZHONGHAO (NIGERIA) LIMITED</t>
  </si>
  <si>
    <t>SAN/MSC/01438/2024/HQ</t>
  </si>
  <si>
    <t>ENAGIC AFRICA LIMITED</t>
  </si>
  <si>
    <t>SAN/MOC/00422/2017/HQ</t>
  </si>
  <si>
    <t>RIDA NATIONAL PLASTICS LTD AND/OR WEST COAST FISHERIES AND/OR SUBSIDIARY, AFFILIATED OR ASSOCIATED COMPANIES</t>
  </si>
  <si>
    <t>SAN/MST/00001/2024/PH</t>
  </si>
  <si>
    <t>UNITOP INTERNATIONAL LIMITED</t>
  </si>
  <si>
    <t>SAN/MSC/01442/2024/PHC</t>
  </si>
  <si>
    <t>BGP/CNPC INTERNATIONAL NIGERIA LIMITED</t>
  </si>
  <si>
    <t>SAN/MSC/01441/2024/MAR</t>
  </si>
  <si>
    <t>FALCON CORPORATION LTD.</t>
  </si>
  <si>
    <t>SAN/MSC/01431/2024/KN</t>
  </si>
  <si>
    <t>TUJJANI AND TIJJANI NIGERIA LIMITED</t>
  </si>
  <si>
    <t>SAN/MSC/01436/2024/KN</t>
  </si>
  <si>
    <t>SAN/MSC/01421/2024/KAD</t>
  </si>
  <si>
    <t>FOODVIEW NIG. LTD.</t>
  </si>
  <si>
    <t>c</t>
  </si>
  <si>
    <t>SAN/MSC/01435/2024/ILR</t>
  </si>
  <si>
    <t>BIOMEDICAL LIMITED</t>
  </si>
  <si>
    <t>SAN/O/00016/2013/ILR</t>
  </si>
  <si>
    <t>OLAK ROOFING NIG LTD</t>
  </si>
  <si>
    <t>SAN/MSC/01443/2024/ILR</t>
  </si>
  <si>
    <t>CHARIS INNOVATIVE FABRICATIONS LIMITED</t>
  </si>
  <si>
    <t>SAN/MSC/01445/2024/ADO</t>
  </si>
  <si>
    <t>LATWELL INTERNATIONAL LIMITED</t>
  </si>
  <si>
    <t>SAN/MSC/01439/2024/ABJ</t>
  </si>
  <si>
    <t>SAN/MHM/00220/2021/HQ</t>
  </si>
  <si>
    <t>SAN/MH/00063/2017/HQ</t>
  </si>
  <si>
    <t>SAN/MH/00139/2024/HQ</t>
  </si>
  <si>
    <t>NEXTTEE OIL &amp; GAS TRADING CO. (NIG) LTD</t>
  </si>
  <si>
    <t>SAN/MHM/00214/2020/HQ</t>
  </si>
  <si>
    <t>SAN/MH/00008/2016/PH</t>
  </si>
  <si>
    <t>AQUASHIELD OIL &amp; MARINE SERVICES LTD.</t>
  </si>
  <si>
    <t>SAN/MH/00006/2016/PH</t>
  </si>
  <si>
    <t>SAN/MH/00004/2021/PH</t>
  </si>
  <si>
    <t>AQUASHIELD OIL &amp; MARINE SERVICES LIMITED / ACCESS BANK PLC</t>
  </si>
  <si>
    <t>SAN/MHM/00243/2024/WAR</t>
  </si>
  <si>
    <t>DEWAYLES INTERNATIONAL LIMITED</t>
  </si>
  <si>
    <t>SAN/MH/00030/2017/WAR</t>
  </si>
  <si>
    <t>OMED INT'L NIG LTD/AWARITSE NIG LTD./NPDC/NECONDE/CNL/NNPC/AFFILIATES</t>
  </si>
  <si>
    <t>SAN/MHM/00241/2024/WAR</t>
  </si>
  <si>
    <t>DE WAYLES'S INTERNATIONAL LIMITED/THE SHELL PETROLEUM DEVE. CO. OF NIG. LTD/NNPC AND AFFILIATES</t>
  </si>
  <si>
    <t>SAN/MH/00059/2023/WAR</t>
  </si>
  <si>
    <t>LINE-PIPE CORROTION AND ENGINEERING COMPANY LIMITED</t>
  </si>
  <si>
    <t>SAN/MH/00059/2017/HQ</t>
  </si>
  <si>
    <t>ARCO MARINE &amp; OILFIELD SERVICES LTD/CHEVRON NIG. LTD/NNPC &amp; AFFILIATES</t>
  </si>
  <si>
    <t>MH/003/2024/1</t>
  </si>
  <si>
    <t>MH/003/2024/2</t>
  </si>
  <si>
    <t>MH/003/2024/3</t>
  </si>
  <si>
    <t>MH/003/2024/4</t>
  </si>
  <si>
    <t>MH/003/2024/5</t>
  </si>
  <si>
    <t>MH/003/2024/6</t>
  </si>
  <si>
    <t>MH/003/2024/7</t>
  </si>
  <si>
    <t>MH/003/2024/8</t>
  </si>
  <si>
    <t>MH/003/2024/9</t>
  </si>
  <si>
    <t>MH/003/2024/10</t>
  </si>
  <si>
    <t>MH/003/2024/11</t>
  </si>
  <si>
    <t>MH/003/2024/12</t>
  </si>
  <si>
    <t>MH/003/2024/13</t>
  </si>
  <si>
    <t>MH/003/2024/14</t>
  </si>
  <si>
    <t>MC/003/2024/01</t>
  </si>
  <si>
    <t>MC/003/2024/02</t>
  </si>
  <si>
    <t>MC/003/2024/03</t>
  </si>
  <si>
    <t>MC/003/2024/04</t>
  </si>
  <si>
    <t>MC/003/2024/05</t>
  </si>
  <si>
    <t>MC/003/2024/06</t>
  </si>
  <si>
    <t>MC/003/2024/07</t>
  </si>
  <si>
    <t>MC/003/2024/08</t>
  </si>
  <si>
    <t>MC/003/2024/09</t>
  </si>
  <si>
    <t>MC/003/2024/10</t>
  </si>
  <si>
    <t>MC/003/2024/11</t>
  </si>
  <si>
    <t>MC/003/2024/12</t>
  </si>
  <si>
    <t>MC/003/2024/13</t>
  </si>
  <si>
    <t>MC/003/2024/14</t>
  </si>
  <si>
    <t>MC/003/2024/15</t>
  </si>
  <si>
    <t>MC/003/2024/16</t>
  </si>
  <si>
    <t>MC/003/2024/17</t>
  </si>
  <si>
    <t>MC/003/2024/18</t>
  </si>
  <si>
    <t>MC/003/2024/19</t>
  </si>
  <si>
    <t>MC/003/2024/20</t>
  </si>
  <si>
    <t>MC/003/2024/21</t>
  </si>
  <si>
    <t>MC/003/2024/22</t>
  </si>
  <si>
    <t>MC/003/2024/23</t>
  </si>
  <si>
    <t>MC/003/2024/24</t>
  </si>
  <si>
    <t>MC/003/2024/25</t>
  </si>
  <si>
    <t>MC/003/2024/26</t>
  </si>
  <si>
    <t>MC/003/2024/27</t>
  </si>
  <si>
    <t>MC/003/2024/28</t>
  </si>
  <si>
    <t>MC/003/2024/29</t>
  </si>
  <si>
    <t>MC/003/2024/30</t>
  </si>
  <si>
    <t>MC/003/2024/31</t>
  </si>
  <si>
    <t>MC/003/2024/32</t>
  </si>
  <si>
    <t>MC/003/2024/33</t>
  </si>
  <si>
    <t>MC/003/2024/34</t>
  </si>
  <si>
    <t>MC/003/2024/35</t>
  </si>
  <si>
    <t>FMD/003/2024/01</t>
  </si>
  <si>
    <t>FMD/003/2024/02</t>
  </si>
  <si>
    <t>FMD/003/2024/03</t>
  </si>
  <si>
    <t>FMD/003/2024/04</t>
  </si>
  <si>
    <t>FMD/003/2024/05</t>
  </si>
  <si>
    <t>FMD/003/2024/06</t>
  </si>
  <si>
    <t>FMD/003/2024/07</t>
  </si>
  <si>
    <t>FMD/003/2024/08</t>
  </si>
  <si>
    <t>FMD/003/2024/09</t>
  </si>
  <si>
    <t>FMD/003/2024/10</t>
  </si>
  <si>
    <t>FMD/003/2024/11</t>
  </si>
  <si>
    <t>FMD/003/2024/12</t>
  </si>
  <si>
    <t>FMD/003/2024/13</t>
  </si>
  <si>
    <t>FMD/003/2024/14</t>
  </si>
  <si>
    <t>FMD/003/2024/15</t>
  </si>
  <si>
    <t>FMD/003/2024/16</t>
  </si>
  <si>
    <t>FMD/003/2024/17</t>
  </si>
  <si>
    <t>FMD/003/2024/18</t>
  </si>
  <si>
    <t>FMD/003/2024/19</t>
  </si>
  <si>
    <t>FMD/003/2024/20</t>
  </si>
  <si>
    <t>FMD/003/2024/21</t>
  </si>
  <si>
    <t>FMD/003/2024/22</t>
  </si>
  <si>
    <t>FMD/003/2024/23</t>
  </si>
  <si>
    <t>FMD/003/2024/24</t>
  </si>
  <si>
    <t>FMD/003/2024/25</t>
  </si>
  <si>
    <t>FMD/003/2024/26</t>
  </si>
  <si>
    <t>FMD/003/2024/27</t>
  </si>
  <si>
    <t>FMD/003/2024/28</t>
  </si>
  <si>
    <t>FMD/003/2024/29</t>
  </si>
  <si>
    <t>FMD/003/2024/30</t>
  </si>
  <si>
    <t>FMD/003/2024/31</t>
  </si>
  <si>
    <t>FMD/003/2024/32</t>
  </si>
  <si>
    <t>FMD/003/2024/33</t>
  </si>
  <si>
    <t>FMD/003/2024/34</t>
  </si>
  <si>
    <t>FMD/003/2024/35</t>
  </si>
  <si>
    <t>FMD/003/2024/36</t>
  </si>
  <si>
    <t>FMD/003/2024/37</t>
  </si>
  <si>
    <t>FMD/003/2024/38</t>
  </si>
  <si>
    <t>FMD/003/2024/39</t>
  </si>
  <si>
    <t>FMD/003/2024/40</t>
  </si>
  <si>
    <t>FMD/003/2024/41</t>
  </si>
  <si>
    <t>FMD/003/2024/42</t>
  </si>
  <si>
    <t>FMD/003/2024/43</t>
  </si>
  <si>
    <t>FMD/003/2024/44</t>
  </si>
  <si>
    <t>FMD/003/2024/45</t>
  </si>
  <si>
    <t>FMD/003/2024/46</t>
  </si>
  <si>
    <t>FMD/003/2024/47</t>
  </si>
  <si>
    <t>FMD/003/2024/48</t>
  </si>
  <si>
    <t>FMD/003/2024/49</t>
  </si>
  <si>
    <t>FMD/003/2024/50</t>
  </si>
  <si>
    <t>FMD/003/2024/51</t>
  </si>
  <si>
    <t>FMD/003/2024/52</t>
  </si>
  <si>
    <t>FMD/003/2024/53</t>
  </si>
  <si>
    <t>FMD/003/2024/54</t>
  </si>
  <si>
    <t>FMD/003/2024/55</t>
  </si>
  <si>
    <t>FMD/003/2024/56</t>
  </si>
  <si>
    <t>FMD/003/2024/57</t>
  </si>
  <si>
    <t>FMD/003/2024/58</t>
  </si>
  <si>
    <t>FMD/003/2024/59</t>
  </si>
  <si>
    <t>FMD/003/2024/60</t>
  </si>
  <si>
    <t>FMD/003/2024/61</t>
  </si>
  <si>
    <t>FMD/003/2024/62</t>
  </si>
  <si>
    <t>FMD/003/2024/63</t>
  </si>
  <si>
    <t>FMD/003/2024/64</t>
  </si>
  <si>
    <t>FMD/003/2024/65</t>
  </si>
  <si>
    <t>FMD/003/2024/66</t>
  </si>
  <si>
    <t>FMD/003/2024/67</t>
  </si>
  <si>
    <t>FMD/003/2024/68</t>
  </si>
  <si>
    <t>FMD/003/2024/69</t>
  </si>
  <si>
    <t>FMD/003/2024/70</t>
  </si>
  <si>
    <t>FMD/003/2024/71</t>
  </si>
  <si>
    <t>FMD/003/2024/72</t>
  </si>
  <si>
    <t>FMD/003/2024/73</t>
  </si>
  <si>
    <t>FMD/003/2024/74</t>
  </si>
  <si>
    <t>FMD/003/2024/75</t>
  </si>
  <si>
    <t>FMD/003/2024/76</t>
  </si>
  <si>
    <t>FMD/003/2024/77</t>
  </si>
  <si>
    <t>FMD/003/2024/78</t>
  </si>
  <si>
    <t>FMD/003/2024/79</t>
  </si>
  <si>
    <t>FMD/003/2024/80</t>
  </si>
  <si>
    <t>FMD/003/2024/81</t>
  </si>
  <si>
    <t>FMD/003/2024/82</t>
  </si>
  <si>
    <t>FMD/003/2024/83</t>
  </si>
  <si>
    <t>FMD/003/2024/84</t>
  </si>
  <si>
    <t>FMD/003/2024/85</t>
  </si>
  <si>
    <t>FMD/003/2024/86</t>
  </si>
  <si>
    <t>FMD/003/2024/87</t>
  </si>
  <si>
    <t>FMD/003/2024/88</t>
  </si>
  <si>
    <t>FMD/003/2024/89</t>
  </si>
  <si>
    <t>FMD/003/2024/90</t>
  </si>
  <si>
    <t>FMD/003/2024/91</t>
  </si>
  <si>
    <t>FMD/003/2024/92</t>
  </si>
  <si>
    <t>FMD/003/2024/93</t>
  </si>
  <si>
    <t>FMD/003/2024/94</t>
  </si>
  <si>
    <t>FMD/003/2024/95</t>
  </si>
  <si>
    <t>FMD/003/2024/96</t>
  </si>
  <si>
    <t>FMD/003/2024/97</t>
  </si>
  <si>
    <t>FMD/003/2024/98</t>
  </si>
  <si>
    <t>FMD/003/2024/99</t>
  </si>
  <si>
    <t>FMD/003/2024/100</t>
  </si>
  <si>
    <t>FMD/003/2024/101</t>
  </si>
  <si>
    <t>FMD/003/2024/102</t>
  </si>
  <si>
    <t>FMD/003/2024/103</t>
  </si>
  <si>
    <t>FMD/003/2024/104</t>
  </si>
  <si>
    <t>FMD/003/2024/105</t>
  </si>
  <si>
    <t>FMD/003/2024/106</t>
  </si>
  <si>
    <t>TERR/003/2024/01</t>
  </si>
  <si>
    <t>ENG/003/2024/01</t>
  </si>
  <si>
    <t>ENG/003/2024/02</t>
  </si>
  <si>
    <t>ENG/003/2024/03</t>
  </si>
  <si>
    <t>ENG/003/2024/04</t>
  </si>
  <si>
    <t>ENG/003/2024/05</t>
  </si>
  <si>
    <t>ENG/003/2024/06</t>
  </si>
  <si>
    <t>ENG/003/2024/07</t>
  </si>
  <si>
    <t>ENG/003/2024/08</t>
  </si>
  <si>
    <t>ENG/003/2024/09</t>
  </si>
  <si>
    <t>ENG/003/2024/10</t>
  </si>
  <si>
    <t>ENG/003/2024/11</t>
  </si>
  <si>
    <t>ENG/003/2024/12</t>
  </si>
  <si>
    <t>ENG/003/2024/13</t>
  </si>
  <si>
    <t>ENG/003/2024/14</t>
  </si>
  <si>
    <t>ENG/003/2024/15</t>
  </si>
  <si>
    <t>ENG/003/2024/16</t>
  </si>
  <si>
    <t>ENG/003/2024/17</t>
  </si>
  <si>
    <t>ENG/003/2024/18</t>
  </si>
  <si>
    <t>ENG/003/2024/19</t>
  </si>
  <si>
    <t>ENG/003/2024/20</t>
  </si>
  <si>
    <t>ENG/003/2024/21</t>
  </si>
  <si>
    <t>ENG/003/2024/22</t>
  </si>
  <si>
    <t>ENG/003/2024/23</t>
  </si>
  <si>
    <t>ENG/003/2024/24</t>
  </si>
  <si>
    <t>ENG/003/2024/25</t>
  </si>
  <si>
    <t>ENG/003/2024/26</t>
  </si>
  <si>
    <t>ENG/003/2024/27</t>
  </si>
  <si>
    <t>BON/003/2024/01</t>
  </si>
  <si>
    <t>BON/003/2024/02</t>
  </si>
  <si>
    <t>BON/003/2024/03</t>
  </si>
  <si>
    <t>BON/003/2024/04</t>
  </si>
  <si>
    <t>BON/003/2024/05</t>
  </si>
  <si>
    <t>BON/003/2024/06</t>
  </si>
  <si>
    <t>BON/003/2024/07</t>
  </si>
  <si>
    <t>BON/003/2024/08</t>
  </si>
  <si>
    <t>BON/003/2024/09</t>
  </si>
  <si>
    <t>BON/003/2024/10</t>
  </si>
  <si>
    <t>BON/003/2024/11</t>
  </si>
  <si>
    <t>BON/003/2024/12</t>
  </si>
  <si>
    <t>BON/003/2024/13</t>
  </si>
  <si>
    <t>BON/003/2024/14</t>
  </si>
  <si>
    <t>BON/003/2024/15</t>
  </si>
  <si>
    <t>BON/003/2024/16</t>
  </si>
  <si>
    <t>BON/003/2024/17</t>
  </si>
  <si>
    <t>BON/003/2024/18</t>
  </si>
  <si>
    <t>BON/003/2024/19</t>
  </si>
  <si>
    <t>BON/003/2024/20</t>
  </si>
  <si>
    <t>BON/003/2024/21</t>
  </si>
  <si>
    <t>BON/003/2024/22</t>
  </si>
  <si>
    <t>BON/003/2024/23</t>
  </si>
  <si>
    <t>BON/003/2024/24</t>
  </si>
  <si>
    <t>BON/003/2024/25</t>
  </si>
  <si>
    <t>BON/003/2024/26</t>
  </si>
  <si>
    <t>BON/003/2024/27</t>
  </si>
  <si>
    <t>BON/003/2024/28</t>
  </si>
  <si>
    <t>BON/003/2024/29</t>
  </si>
  <si>
    <t>BON/003/2024/30</t>
  </si>
  <si>
    <t>BON/003/2024/31</t>
  </si>
  <si>
    <t>BON/003/2024/32</t>
  </si>
  <si>
    <t>BON/003/2024/33</t>
  </si>
  <si>
    <t>BON/003/2024/34</t>
  </si>
  <si>
    <t>BON/003/2024/35</t>
  </si>
  <si>
    <t>BON/003/2024/36</t>
  </si>
  <si>
    <t>BON/003/2024/37</t>
  </si>
  <si>
    <t>BON/003/2024/38</t>
  </si>
  <si>
    <t>BON/003/2024/39</t>
  </si>
  <si>
    <t>BON/003/2024/40</t>
  </si>
  <si>
    <t>BON/003/2024/41</t>
  </si>
  <si>
    <t>BON/003/2024/42</t>
  </si>
  <si>
    <t>BON/003/2024/43</t>
  </si>
  <si>
    <t>BON/003/2024/44</t>
  </si>
  <si>
    <t>BON/003/2024/45</t>
  </si>
  <si>
    <t>BON/003/2024/46</t>
  </si>
  <si>
    <t>BON/003/2024/47</t>
  </si>
  <si>
    <t>BON/003/2024/48</t>
  </si>
  <si>
    <t>BON/003/2024/49</t>
  </si>
  <si>
    <t>BON/003/2024/50</t>
  </si>
  <si>
    <t>BON/003/2024/51</t>
  </si>
  <si>
    <t>BON/003/2024/52</t>
  </si>
  <si>
    <t>BON/003/2024/53</t>
  </si>
  <si>
    <t>BON/003/2024/54</t>
  </si>
  <si>
    <t>BON/003/2024/55</t>
  </si>
  <si>
    <t>BON/003/2024/56</t>
  </si>
  <si>
    <t>BON/003/2024/57</t>
  </si>
  <si>
    <t>BON/003/2024/58</t>
  </si>
  <si>
    <t>BON/003/2024/59</t>
  </si>
  <si>
    <t>BON/003/2024/60</t>
  </si>
  <si>
    <t>BON/003/2024/61</t>
  </si>
  <si>
    <t>BON/003/2024/62</t>
  </si>
  <si>
    <t>BON/003/2024/63</t>
  </si>
  <si>
    <t>BON/003/2024/64</t>
  </si>
  <si>
    <t>BON/003/2024/65</t>
  </si>
  <si>
    <t>BON/003/2024/66</t>
  </si>
  <si>
    <t>BON/003/2024/67</t>
  </si>
  <si>
    <t>BON/003/2024/68</t>
  </si>
  <si>
    <t>BON/003/2024/69</t>
  </si>
  <si>
    <t>BON/003/2024/70</t>
  </si>
  <si>
    <t>BON/003/2024/71</t>
  </si>
  <si>
    <t>BON/003/2024/72</t>
  </si>
  <si>
    <t>BON/003/2024/73</t>
  </si>
  <si>
    <t>BON/003/2024/74</t>
  </si>
  <si>
    <t>BON/003/2024/75</t>
  </si>
  <si>
    <t>BON/003/2024/76</t>
  </si>
  <si>
    <t>BON/003/2024/77</t>
  </si>
  <si>
    <t>BON/003/2024/78</t>
  </si>
  <si>
    <t>BON/003/2024/79</t>
  </si>
  <si>
    <t>BON/003/2024/80</t>
  </si>
  <si>
    <t>BON/003/2024/81</t>
  </si>
  <si>
    <t>BON/003/2024/82</t>
  </si>
  <si>
    <t>BON/003/2024/83</t>
  </si>
  <si>
    <t>BON/003/2024/84</t>
  </si>
  <si>
    <t>BON/003/2024/85</t>
  </si>
  <si>
    <t>BON/003/2024/86</t>
  </si>
  <si>
    <t>BON/003/2024/87</t>
  </si>
  <si>
    <t>BON/003/2024/88</t>
  </si>
  <si>
    <t>BON/003/2024/89</t>
  </si>
  <si>
    <t>BON/003/2024/90</t>
  </si>
  <si>
    <t>BON/003/2024/91</t>
  </si>
  <si>
    <t>BON/003/2024/92</t>
  </si>
  <si>
    <t>BON/003/2024/93</t>
  </si>
  <si>
    <t>BON/003/2024/94</t>
  </si>
  <si>
    <t>BON/003/2024/95</t>
  </si>
  <si>
    <t>BON/003/2024/96</t>
  </si>
  <si>
    <t>BON/003/2024/97</t>
  </si>
  <si>
    <t>BON/003/2024/98</t>
  </si>
  <si>
    <t>BON/003/2024/99</t>
  </si>
  <si>
    <t>BON/003/2024/100</t>
  </si>
  <si>
    <t>BON/003/2024/101</t>
  </si>
  <si>
    <t>BON/003/2024/102</t>
  </si>
  <si>
    <t>BON/003/2024/103</t>
  </si>
  <si>
    <t>BON/003/2024/104</t>
  </si>
  <si>
    <t>BON/003/2024/105</t>
  </si>
  <si>
    <t>BON/003/2024/106</t>
  </si>
  <si>
    <t>BON/003/2024/107</t>
  </si>
  <si>
    <t>BON/003/2024/108</t>
  </si>
  <si>
    <t>BON/003/2024/109</t>
  </si>
  <si>
    <t>BON/003/2024/110</t>
  </si>
  <si>
    <t>BON/003/2024/111</t>
  </si>
  <si>
    <t>BON/003/2024/112</t>
  </si>
  <si>
    <t>BON/003/2024/113</t>
  </si>
  <si>
    <t>BON/003/2024/114</t>
  </si>
  <si>
    <t>BON/003/2024/115</t>
  </si>
  <si>
    <t>BON/003/2024/116</t>
  </si>
  <si>
    <t>BON/003/2024/117</t>
  </si>
  <si>
    <t>BON/003/2024/118</t>
  </si>
  <si>
    <t>BON/003/2024/119</t>
  </si>
  <si>
    <t>BON/003/2024/120</t>
  </si>
  <si>
    <t>BON/003/2024/121</t>
  </si>
  <si>
    <t>BON/003/2024/122</t>
  </si>
  <si>
    <t>BON/003/2024/123</t>
  </si>
  <si>
    <t>BON/003/2024/124</t>
  </si>
  <si>
    <t>BON/003/2024/125</t>
  </si>
  <si>
    <t>BON/003/2024/126</t>
  </si>
  <si>
    <t>BON/003/2024/127</t>
  </si>
  <si>
    <t>BON/003/2024/128</t>
  </si>
  <si>
    <t>BON/003/2024/129</t>
  </si>
  <si>
    <t>TREATY STATEMENT OF ACCOUNTS</t>
  </si>
  <si>
    <t>PERIOD :3RD QUARTER 2024</t>
  </si>
  <si>
    <t>CLASS : FIRE SURPLUS</t>
  </si>
  <si>
    <t>AMOUNT   N</t>
  </si>
  <si>
    <t>AMOUNT TO TREATY</t>
  </si>
  <si>
    <t>LESS 27.50% COMMISSION</t>
  </si>
  <si>
    <t>LOSSES PAID</t>
  </si>
  <si>
    <t>BALANCE DUE TO TREATY</t>
  </si>
  <si>
    <t xml:space="preserve">CLASS : TERRORISM SURPLUS </t>
  </si>
  <si>
    <t>LESS 25% COMMISSION</t>
  </si>
  <si>
    <t xml:space="preserve">NIL </t>
  </si>
  <si>
    <t xml:space="preserve">PERIOD :3RD QUARTER 2024              </t>
  </si>
  <si>
    <t xml:space="preserve">CLASS : ENGINEERING SURPLUS  </t>
  </si>
  <si>
    <t>LESS 30% COMMISSION</t>
  </si>
  <si>
    <t>PERIOD :3RD QUARTER,2024         (2023 U/W YEAR)</t>
  </si>
  <si>
    <t>PERIOD :3RD QUARTER,2024         (2022 U/W YEAR)</t>
  </si>
  <si>
    <t>PERIOD :3RD QUARTER,2024         (2021 U/W YEAR)</t>
  </si>
  <si>
    <t xml:space="preserve">PERIOD :3RD QUARTER 2024                 </t>
  </si>
  <si>
    <t>CLASS : MARINE CARGO SURPLUS</t>
  </si>
  <si>
    <t xml:space="preserve">PERIOD :3RD QUARTER,2024        </t>
  </si>
  <si>
    <t xml:space="preserve">CLASS : MARINE HULL SURPLUS     </t>
  </si>
  <si>
    <t>LESS 22.5% COMMISSION</t>
  </si>
  <si>
    <t>PERIOD : 3RD QUARTER,2024           (2024 U/W YEAR)</t>
  </si>
  <si>
    <t>CLASS : BOND QUOTA SHARE</t>
  </si>
  <si>
    <t>SUMMARY OF TREATY ACCOUNTS</t>
  </si>
  <si>
    <t>CLASS</t>
  </si>
  <si>
    <t>FIRE SURPLUS</t>
  </si>
  <si>
    <t>ENGINEERING SURPLUS  (2024 U/W YEAR)</t>
  </si>
  <si>
    <t>ENGINEERING SURPLUS  (2023 U/W YEAR)</t>
  </si>
  <si>
    <t>ENGINEERING SURPLUS  (2022 U/W YEAR)</t>
  </si>
  <si>
    <t>ENGINEERING SURPLUS  (2021 U/W YEAR)</t>
  </si>
  <si>
    <t>MARINE CARGO SURPLUS (2024 U/W YEAR)</t>
  </si>
  <si>
    <t>MARINE HULL SURPLUS (2024 U/W YEAR)</t>
  </si>
  <si>
    <t>BOND SURPLUS (2024 U/W YEAR)</t>
  </si>
  <si>
    <t>TOTAL</t>
  </si>
  <si>
    <t xml:space="preserve">FINAL </t>
  </si>
  <si>
    <t>STERLING  ASSURANCE NIGERIA LIMITED</t>
  </si>
  <si>
    <t>CLASS OF TREATY</t>
  </si>
  <si>
    <t>TOTAL  AMOUNT</t>
  </si>
  <si>
    <t>UAIB 65% SHARE</t>
  </si>
  <si>
    <t>J.B.BODA 25% SHARE</t>
  </si>
  <si>
    <t>ARB 10% SHARE</t>
  </si>
  <si>
    <t>N</t>
  </si>
  <si>
    <t>PROFIT COMMISSION</t>
  </si>
  <si>
    <t>MARINE HULL 2018 U/W YEAR (REVERSAL)</t>
  </si>
  <si>
    <t>MARINE HULL 2019 AS AT 31/12/2018</t>
  </si>
  <si>
    <t>BOND 2018 U/W YEAR (REVERSAL)</t>
  </si>
  <si>
    <t>BOND 2019 U/W YEAR AS AT 31/12/2018</t>
  </si>
  <si>
    <t>BOND 2019 U/W YEAR</t>
  </si>
  <si>
    <t>SUB - TOTAL</t>
  </si>
  <si>
    <t>SLIDING SCALE COMMISSION</t>
  </si>
  <si>
    <t>ENGINEERING SURPLUS 2019</t>
  </si>
  <si>
    <t>ENGINEERING SURPLUS 2017 (REVERSAL)</t>
  </si>
  <si>
    <t>ENGINEERING SURPLUS 2017 U/W YEAR AS AT 31/12/2019</t>
  </si>
  <si>
    <t>ENGINEERING SURPLUS 2018 (REVERSAL)</t>
  </si>
  <si>
    <t>ENGINEERING SURPLUS 2018 U/W YEAR AS AT 31/12/2019</t>
  </si>
  <si>
    <t xml:space="preserve">LOSS PARTICIPATION </t>
  </si>
  <si>
    <t>2019 FIRE SURPLUS</t>
  </si>
  <si>
    <t>GRAND TOTAL</t>
  </si>
  <si>
    <t>OVERALL TOTAL</t>
  </si>
  <si>
    <t xml:space="preserve">                                             PREMIUM PAYMENT BREAKDOWN</t>
  </si>
  <si>
    <t>UAIB</t>
  </si>
  <si>
    <r>
      <rPr>
        <sz val="11"/>
        <color theme="1"/>
        <rFont val="Calibri"/>
        <family val="2"/>
        <scheme val="minor"/>
      </rPr>
      <t xml:space="preserve">          </t>
    </r>
    <r>
      <rPr>
        <sz val="11"/>
        <color theme="1"/>
        <rFont val="Calibri"/>
        <family val="2"/>
        <scheme val="minor"/>
      </rPr>
      <t>N</t>
    </r>
  </si>
  <si>
    <t>ARB, MOROCCO</t>
  </si>
  <si>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N</t>
    </r>
  </si>
  <si>
    <t>1st Quarter 2018</t>
  </si>
  <si>
    <t>4th Quarter 2017</t>
  </si>
  <si>
    <t>2017 Profit Commission</t>
  </si>
  <si>
    <t>2017 Sliding Scale Comm</t>
  </si>
  <si>
    <t>2017 Loss Participation</t>
  </si>
  <si>
    <t>2016 Loss Participation</t>
  </si>
  <si>
    <t>Friesland Claim Recovery (Africa Re)</t>
  </si>
  <si>
    <t xml:space="preserve">J.B Boda </t>
  </si>
  <si>
    <t>Surplus Treaty</t>
  </si>
  <si>
    <t>CKRE</t>
  </si>
  <si>
    <t>4th Quarter 2016 (2015 Paid Losses)</t>
  </si>
  <si>
    <t>1st Quarter 2017 (2014 Paid Losses)</t>
  </si>
  <si>
    <t>3rd Quarter 2017 (2015 Paid Losses)</t>
  </si>
  <si>
    <t>2017 Profit Commission (2015 U/W)</t>
  </si>
  <si>
    <t>Sub-Total</t>
  </si>
  <si>
    <t>Fac. Oblig Treaty</t>
  </si>
  <si>
    <t>Africa Re/CIB</t>
  </si>
  <si>
    <r>
      <rPr>
        <sz val="11"/>
        <color theme="1"/>
        <rFont val="Calibri"/>
        <family val="2"/>
        <scheme val="minor"/>
      </rPr>
      <t xml:space="preserve">          </t>
    </r>
    <r>
      <rPr>
        <sz val="11"/>
        <color theme="1"/>
        <rFont val="Calibri"/>
        <family val="2"/>
        <scheme val="minor"/>
      </rPr>
      <t xml:space="preserve"> N</t>
    </r>
  </si>
  <si>
    <t>Trust Re</t>
  </si>
  <si>
    <r>
      <rPr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family val="2"/>
        <scheme val="minor"/>
      </rPr>
      <t>N</t>
    </r>
  </si>
  <si>
    <t>1st Quarter 2018 (Second Surplus)</t>
  </si>
  <si>
    <t>Total</t>
  </si>
  <si>
    <t>2nd Quarter 2018</t>
  </si>
  <si>
    <t>Friesland Campina Claim Refund</t>
  </si>
  <si>
    <t>2nd Quarter 2018 (1st Surplus)</t>
  </si>
  <si>
    <t>2nd Quarter 2018 (2nd Surplus)</t>
  </si>
  <si>
    <t>2019 Profit Commission</t>
  </si>
  <si>
    <t>2019 Sliding Scale Comm</t>
  </si>
  <si>
    <t>2019 Loss Participation</t>
  </si>
  <si>
    <t>1st Quarter 2020</t>
  </si>
  <si>
    <t>2nd Quarter 2020</t>
  </si>
  <si>
    <t>Refund of Claim recovery on Slot System</t>
  </si>
  <si>
    <t>2019 Profit Commission (Fac. Oblig)</t>
  </si>
  <si>
    <t>2019 Profit Commission (2nd Surplus)</t>
  </si>
  <si>
    <t>1st Quarter 2020 (Fac. Oblig)</t>
  </si>
  <si>
    <t>1st Quarter 2020 (2nd Surplus)</t>
  </si>
  <si>
    <t>2nd Quarter 2020 (Fac. Oblig)</t>
  </si>
  <si>
    <t>2nd Quarter 2020 (2nd Surplus)</t>
  </si>
  <si>
    <t>Refund of Claim recovery on Slot System (Continental Re)</t>
  </si>
  <si>
    <t>1st Quarter 2020 (Surplus)</t>
  </si>
  <si>
    <t>GRAND TOTAL ANNUAL ACCOUNTS &amp; 1ST QUARTER 2020</t>
  </si>
  <si>
    <t>3rd Quarter 2020</t>
  </si>
  <si>
    <t>3rd Quarter 2020 (Fac. Oblig)</t>
  </si>
  <si>
    <t>3rd Quarter 2020 (2nd Surplus)</t>
  </si>
  <si>
    <t xml:space="preserve">                                             2021 FIRE/ENG. XL PREMIUM PAYMENT BREAKDOWN</t>
  </si>
  <si>
    <t>2021 Fire/Eng. XL M&amp;DP</t>
  </si>
  <si>
    <t xml:space="preserve">                                 REINSURANCE BALANCES</t>
  </si>
  <si>
    <t>4th Quarter 2020</t>
  </si>
  <si>
    <t>4th Quarter 2020 (Fac. Oblig)</t>
  </si>
  <si>
    <t>4th Quarter 2020 (2nd Surplus)</t>
  </si>
  <si>
    <t>2nd &amp; 3rd Quarter 2020 (Aveni Re)</t>
  </si>
  <si>
    <t>2020 Profit Commission</t>
  </si>
  <si>
    <t>2020 Sliding Scale Comm</t>
  </si>
  <si>
    <t>2020 Loss Participation</t>
  </si>
  <si>
    <t>1st Quarter 2021</t>
  </si>
  <si>
    <t>2nd Quarter 2021</t>
  </si>
  <si>
    <t>2020 Profit Commission (Fac. Oblig)</t>
  </si>
  <si>
    <t>2020 Profit Commission (2nd Surplus)</t>
  </si>
  <si>
    <t>1st Quarter 2021 (Fac. Oblig)</t>
  </si>
  <si>
    <t>1st Quarter 2021 (2nd Surplus)</t>
  </si>
  <si>
    <t>2nd Quarter 2021 (Fac. Oblig)</t>
  </si>
  <si>
    <t>3rd Quarter 2021</t>
  </si>
  <si>
    <t xml:space="preserve">3rd Quarter 2021 </t>
  </si>
  <si>
    <t>3rd Quarter 2021  (Fac. Oblig)</t>
  </si>
  <si>
    <t xml:space="preserve">                                PREMIUM PAYMENT BREAKDOWN</t>
  </si>
  <si>
    <t>2023 Fire/Eng. XL M &amp; DP</t>
  </si>
  <si>
    <t>4th Quarter 2021</t>
  </si>
  <si>
    <t>1st Quarter 2022</t>
  </si>
  <si>
    <t>2021 Profit Commission</t>
  </si>
  <si>
    <t>2nd Quarter 2022</t>
  </si>
  <si>
    <t>2021 Sliding Scale Comm</t>
  </si>
  <si>
    <t>2021 Loss Participation</t>
  </si>
  <si>
    <t>3rd Quarter 2022</t>
  </si>
  <si>
    <t>3rd Quarter 2022 (Fac.Oblig)</t>
  </si>
  <si>
    <t>3rd Quarter 2022 (2ND SURPLUS)</t>
  </si>
  <si>
    <t xml:space="preserve">                                             3RD QUARTER, 2022 &amp; 2023 FIRE/ENG. XL M &amp; D PREMIUM PAYMENT BREAKDOWN</t>
  </si>
  <si>
    <t>US$ Equivalent (Rate: 452.59)</t>
  </si>
  <si>
    <t>2023 Fire/Eng. XL M&amp;DP</t>
  </si>
  <si>
    <t>3rd Quarter, 2022</t>
  </si>
  <si>
    <t xml:space="preserve">          N</t>
  </si>
  <si>
    <t>Beneficiary's Name</t>
  </si>
  <si>
    <t xml:space="preserve">Amount </t>
  </si>
  <si>
    <t>The United African Insurance Brokers Limited</t>
  </si>
  <si>
    <t>N13,541,033.90</t>
  </si>
  <si>
    <t>J.B. Boda Insurance &amp; Reinsurance Brokers Pvt. Ltd</t>
  </si>
  <si>
    <t xml:space="preserve">African Reinsurance Brokers </t>
  </si>
  <si>
    <t xml:space="preserve">                                             2022 FIRE/ENG. XL M&amp;D PREMIUM PAYMENT BREAKDOWN</t>
  </si>
  <si>
    <r>
      <rPr>
        <sz val="16"/>
        <color theme="1"/>
        <rFont val="Calibri"/>
        <family val="2"/>
        <scheme val="minor"/>
      </rPr>
      <t xml:space="preserve">          N</t>
    </r>
  </si>
  <si>
    <r>
      <rPr>
        <sz val="16"/>
        <color theme="1"/>
        <rFont val="Calibri"/>
        <family val="2"/>
        <scheme val="minor"/>
      </rPr>
      <t xml:space="preserve">  N</t>
    </r>
  </si>
  <si>
    <t>US$ Equivalent (Rate: 413.17)</t>
  </si>
  <si>
    <t>2022 Fire/Eng. XL M&amp;DP</t>
  </si>
  <si>
    <t>N7,353,450.00</t>
  </si>
  <si>
    <t>UAIB (65%)</t>
  </si>
  <si>
    <t>ARB, MOROCCO  (10%)</t>
  </si>
  <si>
    <t>4th Quarter 2022</t>
  </si>
  <si>
    <t>1st Quarter 2023</t>
  </si>
  <si>
    <t>2022 Profit Commission</t>
  </si>
  <si>
    <t>2022 Sliding Scale Comm</t>
  </si>
  <si>
    <t>2nd Quarter 2023</t>
  </si>
  <si>
    <t>3rd Quarter 2023</t>
  </si>
  <si>
    <t>US$ Equivalent (Rate: 827.33)</t>
  </si>
  <si>
    <t xml:space="preserve">   $8,588.15</t>
  </si>
  <si>
    <t>J.B Boda  (25%)</t>
  </si>
  <si>
    <t xml:space="preserve">   $21,470.37</t>
  </si>
  <si>
    <t>Fac. Oblig Treaty (100%)</t>
  </si>
  <si>
    <t>4th Quarter 2022 (Fac.Oblig)</t>
  </si>
  <si>
    <t>1st Quarter 2023 (Fac.Oblig)</t>
  </si>
  <si>
    <t>1st Quarter 2023 (2nd Surplus)</t>
  </si>
  <si>
    <t>2nd Quarter 2023 (Fac. Oblig)</t>
  </si>
  <si>
    <t>2nd Quarter 2023 (2nd Surplus)</t>
  </si>
  <si>
    <t xml:space="preserve">   $16,149.63</t>
  </si>
  <si>
    <t>N55,478,380.43</t>
  </si>
  <si>
    <t>3RD QUARTER,2024 RETURNS ( PREMIUM APPORTIONMENT )</t>
  </si>
  <si>
    <t>MARINE CARGO SURPLUS  (2024 U/W YEAR)</t>
  </si>
  <si>
    <t>ENGINEERING SURPLUS (2021 LOSSES PAID)</t>
  </si>
  <si>
    <t>BOND Q/SHARE SURPLUS (2024 U/W YEAR)</t>
  </si>
  <si>
    <t>ENGINEERING SURPLUS (2022 LOSSES PAID)</t>
  </si>
  <si>
    <t>ENGINEERING SURPLUS (2023 LOSSES PAID)</t>
  </si>
  <si>
    <t>ENGINEERING SURPLUS (2024 U/W YEAR)</t>
  </si>
  <si>
    <t>4th Quarter 2023</t>
  </si>
  <si>
    <t>4th Quarter 2024</t>
  </si>
  <si>
    <t>1st Quarter 2024</t>
  </si>
  <si>
    <t>2nd Quarter 2024</t>
  </si>
  <si>
    <t>2023 Profit Commission</t>
  </si>
  <si>
    <t>2023 Sliding Scale Comm</t>
  </si>
  <si>
    <t>2023 Loss Participation</t>
  </si>
  <si>
    <t>4th Quarter 2023 (Fac.Oblig)</t>
  </si>
  <si>
    <t>1st Quarter 2024 (Fac.Oblig)</t>
  </si>
  <si>
    <t>2nd Quarter 2024 (Fac.Oblig)</t>
  </si>
  <si>
    <t>3rd Quarter 2024</t>
  </si>
  <si>
    <t>2023 Profit Commission (1ST Surplus)</t>
  </si>
  <si>
    <t>2023 Profit Commission (2nd Surplus)</t>
  </si>
  <si>
    <t>US$ Equivalent (Rate: 1,674.96)</t>
  </si>
  <si>
    <t xml:space="preserve">   $6,544.84</t>
  </si>
  <si>
    <t xml:space="preserve">   $16,371.05</t>
  </si>
  <si>
    <t xml:space="preserve">   $18,495.04</t>
  </si>
  <si>
    <t>N71,294,204.56</t>
  </si>
  <si>
    <t>START</t>
  </si>
  <si>
    <t>END</t>
  </si>
  <si>
    <t xml:space="preserve">     GROSS SUM INS</t>
  </si>
  <si>
    <t xml:space="preserve">     GROSS PREMIUM</t>
  </si>
  <si>
    <t xml:space="preserve">   RETENTION SUM INSURED </t>
  </si>
  <si>
    <t xml:space="preserve">   RETENTION SUM INSURED PREMIUM</t>
  </si>
  <si>
    <t xml:space="preserve">   RETENTION SUM INSURED PPT</t>
  </si>
  <si>
    <t xml:space="preserve">  TREATY SUM INSURED</t>
  </si>
  <si>
    <t xml:space="preserve">   RETENTION PREMIUM</t>
  </si>
  <si>
    <t xml:space="preserve">   RETENTION PPN</t>
  </si>
  <si>
    <t>FACULTATIVE SUM INSURED</t>
  </si>
  <si>
    <t>FACULTATIVE PREMIUM</t>
  </si>
  <si>
    <t>FACULTATIVE 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</si>
</sst>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\ d\-mmm\-yyyy"/>
    <numFmt numFmtId="165" formatCode="#,##0.00_);\(#,##0.00\)"/>
    <numFmt numFmtId="166" formatCode="_-* #,##0.000_-;\-* #,##0.000_-;_-* &quot;-&quot;??_-;_-@_-"/>
    <numFmt numFmtId="167" formatCode="#,##0.00_ ;\-#,##0.00\ "/>
    <numFmt numFmtId="168" formatCode="&quot;$&quot;#,##0.00_);[Red]\(&quot;$&quot;#,##0.00\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MS Sans Serif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b/>
      <sz val="11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4"/>
      <name val="Arial"/>
      <family val="2"/>
    </font>
    <font>
      <b/>
      <sz val="16"/>
      <name val="Arial"/>
      <family val="2"/>
    </font>
    <font>
      <b/>
      <sz val="36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169">
    <xf numFmtId="0" fontId="0" fillId="0" borderId="0" xfId="0"/>
    <xf numFmtId="0" fontId="4" fillId="0" borderId="1" xfId="2" applyFont="1" applyBorder="1"/>
    <xf numFmtId="0" fontId="4" fillId="0" borderId="1" xfId="2" applyFont="1" applyBorder="1" applyAlignment="1">
      <alignment wrapText="1"/>
    </xf>
    <xf numFmtId="0" fontId="5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vertical="center"/>
    </xf>
    <xf numFmtId="0" fontId="4" fillId="0" borderId="1" xfId="2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5" fillId="0" borderId="1" xfId="2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0" fontId="6" fillId="0" borderId="1" xfId="3" applyFont="1" applyBorder="1"/>
    <xf numFmtId="0" fontId="7" fillId="0" borderId="1" xfId="3" applyFont="1" applyBorder="1" applyAlignment="1">
      <alignment vertical="center"/>
    </xf>
    <xf numFmtId="0" fontId="4" fillId="0" borderId="1" xfId="4" applyFont="1" applyBorder="1"/>
    <xf numFmtId="0" fontId="5" fillId="0" borderId="1" xfId="2" applyFont="1" applyBorder="1" applyAlignment="1">
      <alignment horizontal="center" vertical="center" wrapText="1"/>
    </xf>
    <xf numFmtId="0" fontId="8" fillId="0" borderId="1" xfId="2" applyFont="1" applyBorder="1"/>
    <xf numFmtId="0" fontId="5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wrapText="1"/>
    </xf>
    <xf numFmtId="4" fontId="5" fillId="0" borderId="1" xfId="2" applyNumberFormat="1" applyFont="1" applyBorder="1" applyAlignment="1">
      <alignment vertical="center"/>
    </xf>
    <xf numFmtId="164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43" fontId="1" fillId="0" borderId="1" xfId="1" applyFont="1" applyBorder="1" applyAlignment="1"/>
    <xf numFmtId="43" fontId="1" fillId="0" borderId="1" xfId="4" applyNumberFormat="1" applyBorder="1" applyAlignment="1">
      <alignment horizontal="center"/>
    </xf>
    <xf numFmtId="43" fontId="0" fillId="0" borderId="1" xfId="1" applyFont="1" applyBorder="1" applyAlignment="1">
      <alignment vertical="top"/>
    </xf>
    <xf numFmtId="43" fontId="0" fillId="0" borderId="1" xfId="0" applyNumberFormat="1" applyBorder="1" applyAlignment="1">
      <alignment horizontal="center" vertical="top"/>
    </xf>
    <xf numFmtId="43" fontId="0" fillId="0" borderId="1" xfId="0" applyNumberFormat="1" applyBorder="1" applyAlignment="1">
      <alignment vertical="top"/>
    </xf>
    <xf numFmtId="166" fontId="1" fillId="0" borderId="1" xfId="1" applyNumberFormat="1" applyFont="1" applyBorder="1" applyAlignment="1"/>
    <xf numFmtId="0" fontId="9" fillId="0" borderId="1" xfId="0" applyFont="1" applyBorder="1" applyAlignment="1">
      <alignment vertical="top"/>
    </xf>
    <xf numFmtId="15" fontId="9" fillId="0" borderId="1" xfId="0" applyNumberFormat="1" applyFont="1" applyBorder="1" applyAlignment="1">
      <alignment vertical="top"/>
    </xf>
    <xf numFmtId="4" fontId="9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15" fontId="3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43" fontId="10" fillId="0" borderId="0" xfId="0" applyNumberFormat="1" applyFont="1" applyAlignment="1">
      <alignment vertical="top"/>
    </xf>
    <xf numFmtId="43" fontId="11" fillId="0" borderId="0" xfId="0" applyNumberFormat="1" applyFont="1" applyAlignment="1">
      <alignment vertical="top"/>
    </xf>
    <xf numFmtId="43" fontId="12" fillId="0" borderId="1" xfId="1" applyFont="1" applyBorder="1" applyAlignment="1">
      <alignment vertical="center"/>
    </xf>
    <xf numFmtId="43" fontId="12" fillId="0" borderId="1" xfId="1" applyFont="1" applyBorder="1" applyAlignment="1">
      <alignment horizontal="center" vertical="center"/>
    </xf>
    <xf numFmtId="43" fontId="12" fillId="2" borderId="1" xfId="1" applyFont="1" applyFill="1" applyBorder="1" applyAlignment="1">
      <alignment vertical="center"/>
    </xf>
    <xf numFmtId="43" fontId="13" fillId="0" borderId="1" xfId="1" applyFont="1" applyBorder="1" applyAlignment="1"/>
    <xf numFmtId="43" fontId="2" fillId="0" borderId="1" xfId="0" applyNumberFormat="1" applyFont="1" applyBorder="1" applyAlignment="1">
      <alignment vertical="top"/>
    </xf>
    <xf numFmtId="43" fontId="2" fillId="0" borderId="0" xfId="0" applyNumberFormat="1" applyFont="1" applyAlignment="1">
      <alignment vertical="top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7" fillId="0" borderId="0" xfId="0" applyFont="1"/>
    <xf numFmtId="0" fontId="7" fillId="0" borderId="0" xfId="0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6" fillId="0" borderId="0" xfId="3" applyFont="1"/>
    <xf numFmtId="0" fontId="15" fillId="0" borderId="0" xfId="3" applyFont="1" applyAlignment="1">
      <alignment vertical="center"/>
    </xf>
    <xf numFmtId="0" fontId="4" fillId="0" borderId="1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7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7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top"/>
    </xf>
    <xf numFmtId="0" fontId="19" fillId="0" borderId="0" xfId="0" applyFont="1" applyAlignment="1">
      <alignment vertical="top"/>
    </xf>
    <xf numFmtId="4" fontId="11" fillId="0" borderId="1" xfId="0" applyNumberFormat="1" applyFont="1" applyBorder="1" applyAlignment="1">
      <alignment vertical="top"/>
    </xf>
    <xf numFmtId="43" fontId="0" fillId="0" borderId="1" xfId="1" applyFont="1" applyBorder="1" applyAlignment="1"/>
    <xf numFmtId="4" fontId="2" fillId="0" borderId="1" xfId="0" applyNumberFormat="1" applyFont="1" applyBorder="1" applyAlignment="1">
      <alignment vertical="top"/>
    </xf>
    <xf numFmtId="0" fontId="21" fillId="0" borderId="0" xfId="0" applyFont="1"/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4" fontId="21" fillId="0" borderId="1" xfId="0" applyNumberFormat="1" applyFont="1" applyBorder="1" applyAlignment="1">
      <alignment horizontal="center"/>
    </xf>
    <xf numFmtId="0" fontId="22" fillId="0" borderId="0" xfId="0" applyFont="1"/>
    <xf numFmtId="4" fontId="22" fillId="0" borderId="0" xfId="0" applyNumberFormat="1" applyFont="1"/>
    <xf numFmtId="4" fontId="21" fillId="0" borderId="0" xfId="0" applyNumberFormat="1" applyFont="1" applyAlignment="1">
      <alignment horizontal="center"/>
    </xf>
    <xf numFmtId="0" fontId="23" fillId="0" borderId="0" xfId="0" applyFont="1"/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4" fontId="24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4" fontId="24" fillId="0" borderId="0" xfId="0" applyNumberFormat="1" applyFont="1" applyAlignment="1">
      <alignment horizontal="center"/>
    </xf>
    <xf numFmtId="0" fontId="26" fillId="0" borderId="0" xfId="0" applyFont="1"/>
    <xf numFmtId="0" fontId="2" fillId="0" borderId="0" xfId="0" applyFont="1"/>
    <xf numFmtId="0" fontId="2" fillId="0" borderId="1" xfId="0" applyFont="1" applyBorder="1"/>
    <xf numFmtId="0" fontId="26" fillId="0" borderId="1" xfId="0" applyFont="1" applyBorder="1"/>
    <xf numFmtId="0" fontId="2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8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27" fillId="0" borderId="1" xfId="0" applyNumberFormat="1" applyFont="1" applyBorder="1" applyAlignment="1">
      <alignment horizontal="center"/>
    </xf>
    <xf numFmtId="0" fontId="29" fillId="0" borderId="1" xfId="0" applyFont="1" applyBorder="1"/>
    <xf numFmtId="0" fontId="27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4" fontId="30" fillId="0" borderId="1" xfId="0" applyNumberFormat="1" applyFont="1" applyBorder="1" applyAlignment="1">
      <alignment horizontal="center"/>
    </xf>
    <xf numFmtId="0" fontId="0" fillId="0" borderId="3" xfId="0" applyBorder="1"/>
    <xf numFmtId="167" fontId="0" fillId="0" borderId="3" xfId="1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4" fontId="31" fillId="0" borderId="1" xfId="0" applyNumberFormat="1" applyFont="1" applyBorder="1" applyAlignment="1">
      <alignment horizontal="center"/>
    </xf>
    <xf numFmtId="0" fontId="32" fillId="0" borderId="0" xfId="0" applyFont="1"/>
    <xf numFmtId="4" fontId="26" fillId="0" borderId="1" xfId="0" applyNumberFormat="1" applyFont="1" applyBorder="1" applyAlignment="1">
      <alignment horizontal="center"/>
    </xf>
    <xf numFmtId="0" fontId="33" fillId="0" borderId="0" xfId="0" applyFont="1"/>
    <xf numFmtId="0" fontId="34" fillId="0" borderId="0" xfId="0" applyFont="1"/>
    <xf numFmtId="0" fontId="1" fillId="0" borderId="0" xfId="0" applyFont="1"/>
    <xf numFmtId="0" fontId="27" fillId="0" borderId="0" xfId="0" applyFont="1"/>
    <xf numFmtId="0" fontId="35" fillId="0" borderId="0" xfId="0" applyFont="1" applyAlignment="1">
      <alignment horizontal="center"/>
    </xf>
    <xf numFmtId="0" fontId="36" fillId="0" borderId="0" xfId="0" applyFont="1"/>
    <xf numFmtId="43" fontId="36" fillId="0" borderId="0" xfId="1" applyFont="1" applyAlignment="1">
      <alignment horizontal="center"/>
    </xf>
    <xf numFmtId="43" fontId="36" fillId="0" borderId="0" xfId="1" applyFont="1"/>
    <xf numFmtId="43" fontId="27" fillId="0" borderId="3" xfId="1" applyFont="1" applyBorder="1" applyAlignment="1">
      <alignment horizontal="center"/>
    </xf>
    <xf numFmtId="43" fontId="27" fillId="0" borderId="3" xfId="1" applyFont="1" applyBorder="1"/>
    <xf numFmtId="43" fontId="37" fillId="0" borderId="0" xfId="1" applyFont="1"/>
    <xf numFmtId="43" fontId="26" fillId="0" borderId="0" xfId="0" applyNumberFormat="1" applyFont="1"/>
    <xf numFmtId="4" fontId="36" fillId="0" borderId="0" xfId="0" applyNumberFormat="1" applyFont="1" applyAlignment="1">
      <alignment horizontal="right"/>
    </xf>
    <xf numFmtId="39" fontId="36" fillId="0" borderId="0" xfId="1" applyNumberFormat="1" applyFont="1"/>
    <xf numFmtId="43" fontId="27" fillId="0" borderId="0" xfId="1" applyFont="1" applyBorder="1" applyAlignment="1">
      <alignment horizontal="center"/>
    </xf>
    <xf numFmtId="39" fontId="27" fillId="0" borderId="3" xfId="1" applyNumberFormat="1" applyFont="1" applyBorder="1"/>
    <xf numFmtId="39" fontId="27" fillId="0" borderId="0" xfId="1" applyNumberFormat="1" applyFont="1" applyBorder="1"/>
    <xf numFmtId="39" fontId="36" fillId="0" borderId="0" xfId="1" applyNumberFormat="1" applyFont="1" applyAlignment="1">
      <alignment horizontal="right"/>
    </xf>
    <xf numFmtId="43" fontId="36" fillId="0" borderId="4" xfId="1" applyFont="1" applyBorder="1" applyAlignment="1">
      <alignment horizontal="center"/>
    </xf>
    <xf numFmtId="0" fontId="36" fillId="0" borderId="0" xfId="0" applyFont="1" applyAlignment="1">
      <alignment wrapText="1"/>
    </xf>
    <xf numFmtId="43" fontId="38" fillId="0" borderId="0" xfId="1" applyFont="1" applyAlignment="1">
      <alignment horizontal="center"/>
    </xf>
    <xf numFmtId="43" fontId="27" fillId="0" borderId="4" xfId="1" applyFont="1" applyBorder="1" applyAlignment="1">
      <alignment horizontal="center"/>
    </xf>
    <xf numFmtId="0" fontId="27" fillId="0" borderId="0" xfId="0" applyFont="1" applyAlignment="1">
      <alignment wrapText="1"/>
    </xf>
    <xf numFmtId="39" fontId="27" fillId="0" borderId="3" xfId="1" applyNumberFormat="1" applyFont="1" applyBorder="1" applyAlignment="1"/>
    <xf numFmtId="39" fontId="27" fillId="0" borderId="3" xfId="1" applyNumberFormat="1" applyFont="1" applyBorder="1" applyAlignment="1">
      <alignment horizontal="right"/>
    </xf>
    <xf numFmtId="39" fontId="26" fillId="0" borderId="0" xfId="0" applyNumberFormat="1" applyFont="1"/>
    <xf numFmtId="43" fontId="36" fillId="0" borderId="3" xfId="1" applyFont="1" applyBorder="1"/>
    <xf numFmtId="43" fontId="36" fillId="0" borderId="3" xfId="1" applyFont="1" applyBorder="1" applyAlignment="1">
      <alignment horizontal="center"/>
    </xf>
    <xf numFmtId="39" fontId="27" fillId="0" borderId="5" xfId="1" applyNumberFormat="1" applyFont="1" applyBorder="1"/>
    <xf numFmtId="39" fontId="27" fillId="0" borderId="0" xfId="1" applyNumberFormat="1" applyFont="1"/>
    <xf numFmtId="39" fontId="27" fillId="0" borderId="0" xfId="1" applyNumberFormat="1" applyFont="1" applyBorder="1" applyAlignment="1">
      <alignment horizontal="right"/>
    </xf>
    <xf numFmtId="43" fontId="39" fillId="0" borderId="0" xfId="1" applyFont="1"/>
    <xf numFmtId="0" fontId="40" fillId="0" borderId="6" xfId="0" applyFont="1" applyBorder="1"/>
    <xf numFmtId="0" fontId="27" fillId="0" borderId="7" xfId="0" applyFont="1" applyBorder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6" xfId="0" applyNumberFormat="1" applyBorder="1"/>
    <xf numFmtId="4" fontId="27" fillId="0" borderId="6" xfId="0" applyNumberFormat="1" applyFont="1" applyBorder="1"/>
    <xf numFmtId="4" fontId="36" fillId="0" borderId="0" xfId="0" applyNumberFormat="1" applyFont="1"/>
    <xf numFmtId="4" fontId="36" fillId="0" borderId="6" xfId="0" applyNumberFormat="1" applyFont="1" applyBorder="1"/>
    <xf numFmtId="4" fontId="26" fillId="0" borderId="6" xfId="0" applyNumberFormat="1" applyFont="1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168" fontId="33" fillId="0" borderId="0" xfId="0" applyNumberFormat="1" applyFont="1"/>
    <xf numFmtId="0" fontId="41" fillId="0" borderId="0" xfId="0" applyFont="1" applyAlignment="1">
      <alignment horizontal="center"/>
    </xf>
    <xf numFmtId="43" fontId="22" fillId="0" borderId="0" xfId="1" applyFont="1"/>
    <xf numFmtId="4" fontId="22" fillId="0" borderId="4" xfId="0" applyNumberFormat="1" applyFont="1" applyBorder="1"/>
    <xf numFmtId="43" fontId="33" fillId="0" borderId="3" xfId="1" applyFont="1" applyBorder="1"/>
    <xf numFmtId="43" fontId="33" fillId="0" borderId="3" xfId="1" applyFont="1" applyBorder="1" applyAlignment="1">
      <alignment horizontal="center"/>
    </xf>
    <xf numFmtId="4" fontId="33" fillId="0" borderId="5" xfId="0" applyNumberFormat="1" applyFont="1" applyBorder="1"/>
    <xf numFmtId="43" fontId="22" fillId="0" borderId="0" xfId="1" applyFont="1" applyAlignment="1">
      <alignment horizontal="center"/>
    </xf>
    <xf numFmtId="39" fontId="33" fillId="0" borderId="5" xfId="1" applyNumberFormat="1" applyFont="1" applyBorder="1"/>
    <xf numFmtId="4" fontId="33" fillId="0" borderId="6" xfId="0" applyNumberFormat="1" applyFont="1" applyBorder="1"/>
    <xf numFmtId="39" fontId="33" fillId="0" borderId="0" xfId="1" applyNumberFormat="1" applyFont="1"/>
    <xf numFmtId="39" fontId="22" fillId="0" borderId="0" xfId="1" applyNumberFormat="1" applyFont="1"/>
    <xf numFmtId="43" fontId="33" fillId="0" borderId="0" xfId="0" applyNumberFormat="1" applyFont="1"/>
    <xf numFmtId="4" fontId="27" fillId="0" borderId="7" xfId="0" applyNumberFormat="1" applyFont="1" applyBorder="1"/>
    <xf numFmtId="0" fontId="34" fillId="0" borderId="0" xfId="0" applyFont="1" applyAlignment="1">
      <alignment horizontal="center"/>
    </xf>
    <xf numFmtId="4" fontId="2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</cellXfs>
  <cellStyles count="5">
    <cellStyle name="Comma" xfId="1" builtinId="3"/>
    <cellStyle name="Normal" xfId="0" builtinId="0"/>
    <cellStyle name="Normal 2" xfId="3" xr:uid="{27F9ED40-639F-4514-8AF8-0A488D718F89}"/>
    <cellStyle name="Normal 3" xfId="4" xr:uid="{38C21C26-3AA8-4949-936E-814E110E6CD2}"/>
    <cellStyle name="Normal 5" xfId="2" xr:uid="{D12B7966-66C8-4D61-8EA4-756702A67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29BA-CFEB-465D-B315-C35D77DF72A3}">
  <dimension ref="A5:Q153"/>
  <sheetViews>
    <sheetView topLeftCell="A55" workbookViewId="0">
      <selection activeCell="D8" sqref="D8"/>
    </sheetView>
  </sheetViews>
  <sheetFormatPr defaultRowHeight="14.5" x14ac:dyDescent="0.35"/>
  <cols>
    <col min="1" max="1" width="9.1796875" style="7"/>
    <col min="2" max="2" width="18.1796875" style="7" customWidth="1"/>
    <col min="3" max="3" width="24.54296875" style="7" bestFit="1" customWidth="1"/>
    <col min="4" max="4" width="64.54296875" style="7" customWidth="1"/>
    <col min="5" max="5" width="18" style="7" customWidth="1"/>
    <col min="6" max="6" width="13.1796875" style="7" customWidth="1"/>
    <col min="7" max="7" width="19" style="7" customWidth="1"/>
    <col min="8" max="8" width="14.81640625" style="7" customWidth="1"/>
    <col min="9" max="9" width="19.453125" style="7" customWidth="1"/>
    <col min="10" max="10" width="15.54296875" style="7" customWidth="1"/>
    <col min="11" max="11" width="9.1796875" style="7"/>
    <col min="12" max="12" width="19.453125" style="7" customWidth="1"/>
    <col min="13" max="13" width="18.7265625" style="7" customWidth="1"/>
    <col min="14" max="14" width="10.7265625" style="7" customWidth="1"/>
    <col min="15" max="15" width="27.1796875" style="7" customWidth="1"/>
    <col min="16" max="16" width="17" style="7" customWidth="1"/>
    <col min="17" max="257" width="9.1796875" style="7"/>
    <col min="258" max="258" width="14.26953125" style="7" customWidth="1"/>
    <col min="259" max="259" width="24.54296875" style="7" bestFit="1" customWidth="1"/>
    <col min="260" max="260" width="64.54296875" style="7" customWidth="1"/>
    <col min="261" max="261" width="18" style="7" customWidth="1"/>
    <col min="262" max="262" width="13.1796875" style="7" customWidth="1"/>
    <col min="263" max="263" width="19" style="7" customWidth="1"/>
    <col min="264" max="264" width="14.81640625" style="7" customWidth="1"/>
    <col min="265" max="265" width="19.453125" style="7" customWidth="1"/>
    <col min="266" max="266" width="15.54296875" style="7" customWidth="1"/>
    <col min="267" max="267" width="9.1796875" style="7"/>
    <col min="268" max="268" width="19.453125" style="7" customWidth="1"/>
    <col min="269" max="269" width="18.7265625" style="7" customWidth="1"/>
    <col min="270" max="270" width="10.7265625" style="7" customWidth="1"/>
    <col min="271" max="271" width="27.1796875" style="7" customWidth="1"/>
    <col min="272" max="272" width="17" style="7" customWidth="1"/>
    <col min="273" max="513" width="9.1796875" style="7"/>
    <col min="514" max="514" width="14.26953125" style="7" customWidth="1"/>
    <col min="515" max="515" width="24.54296875" style="7" bestFit="1" customWidth="1"/>
    <col min="516" max="516" width="64.54296875" style="7" customWidth="1"/>
    <col min="517" max="517" width="18" style="7" customWidth="1"/>
    <col min="518" max="518" width="13.1796875" style="7" customWidth="1"/>
    <col min="519" max="519" width="19" style="7" customWidth="1"/>
    <col min="520" max="520" width="14.81640625" style="7" customWidth="1"/>
    <col min="521" max="521" width="19.453125" style="7" customWidth="1"/>
    <col min="522" max="522" width="15.54296875" style="7" customWidth="1"/>
    <col min="523" max="523" width="9.1796875" style="7"/>
    <col min="524" max="524" width="19.453125" style="7" customWidth="1"/>
    <col min="525" max="525" width="18.7265625" style="7" customWidth="1"/>
    <col min="526" max="526" width="10.7265625" style="7" customWidth="1"/>
    <col min="527" max="527" width="27.1796875" style="7" customWidth="1"/>
    <col min="528" max="528" width="17" style="7" customWidth="1"/>
    <col min="529" max="769" width="9.1796875" style="7"/>
    <col min="770" max="770" width="14.26953125" style="7" customWidth="1"/>
    <col min="771" max="771" width="24.54296875" style="7" bestFit="1" customWidth="1"/>
    <col min="772" max="772" width="64.54296875" style="7" customWidth="1"/>
    <col min="773" max="773" width="18" style="7" customWidth="1"/>
    <col min="774" max="774" width="13.1796875" style="7" customWidth="1"/>
    <col min="775" max="775" width="19" style="7" customWidth="1"/>
    <col min="776" max="776" width="14.81640625" style="7" customWidth="1"/>
    <col min="777" max="777" width="19.453125" style="7" customWidth="1"/>
    <col min="778" max="778" width="15.54296875" style="7" customWidth="1"/>
    <col min="779" max="779" width="9.1796875" style="7"/>
    <col min="780" max="780" width="19.453125" style="7" customWidth="1"/>
    <col min="781" max="781" width="18.7265625" style="7" customWidth="1"/>
    <col min="782" max="782" width="10.7265625" style="7" customWidth="1"/>
    <col min="783" max="783" width="27.1796875" style="7" customWidth="1"/>
    <col min="784" max="784" width="17" style="7" customWidth="1"/>
    <col min="785" max="1025" width="9.1796875" style="7"/>
    <col min="1026" max="1026" width="14.26953125" style="7" customWidth="1"/>
    <col min="1027" max="1027" width="24.54296875" style="7" bestFit="1" customWidth="1"/>
    <col min="1028" max="1028" width="64.54296875" style="7" customWidth="1"/>
    <col min="1029" max="1029" width="18" style="7" customWidth="1"/>
    <col min="1030" max="1030" width="13.1796875" style="7" customWidth="1"/>
    <col min="1031" max="1031" width="19" style="7" customWidth="1"/>
    <col min="1032" max="1032" width="14.81640625" style="7" customWidth="1"/>
    <col min="1033" max="1033" width="19.453125" style="7" customWidth="1"/>
    <col min="1034" max="1034" width="15.54296875" style="7" customWidth="1"/>
    <col min="1035" max="1035" width="9.1796875" style="7"/>
    <col min="1036" max="1036" width="19.453125" style="7" customWidth="1"/>
    <col min="1037" max="1037" width="18.7265625" style="7" customWidth="1"/>
    <col min="1038" max="1038" width="10.7265625" style="7" customWidth="1"/>
    <col min="1039" max="1039" width="27.1796875" style="7" customWidth="1"/>
    <col min="1040" max="1040" width="17" style="7" customWidth="1"/>
    <col min="1041" max="1281" width="9.1796875" style="7"/>
    <col min="1282" max="1282" width="14.26953125" style="7" customWidth="1"/>
    <col min="1283" max="1283" width="24.54296875" style="7" bestFit="1" customWidth="1"/>
    <col min="1284" max="1284" width="64.54296875" style="7" customWidth="1"/>
    <col min="1285" max="1285" width="18" style="7" customWidth="1"/>
    <col min="1286" max="1286" width="13.1796875" style="7" customWidth="1"/>
    <col min="1287" max="1287" width="19" style="7" customWidth="1"/>
    <col min="1288" max="1288" width="14.81640625" style="7" customWidth="1"/>
    <col min="1289" max="1289" width="19.453125" style="7" customWidth="1"/>
    <col min="1290" max="1290" width="15.54296875" style="7" customWidth="1"/>
    <col min="1291" max="1291" width="9.1796875" style="7"/>
    <col min="1292" max="1292" width="19.453125" style="7" customWidth="1"/>
    <col min="1293" max="1293" width="18.7265625" style="7" customWidth="1"/>
    <col min="1294" max="1294" width="10.7265625" style="7" customWidth="1"/>
    <col min="1295" max="1295" width="27.1796875" style="7" customWidth="1"/>
    <col min="1296" max="1296" width="17" style="7" customWidth="1"/>
    <col min="1297" max="1537" width="9.1796875" style="7"/>
    <col min="1538" max="1538" width="14.26953125" style="7" customWidth="1"/>
    <col min="1539" max="1539" width="24.54296875" style="7" bestFit="1" customWidth="1"/>
    <col min="1540" max="1540" width="64.54296875" style="7" customWidth="1"/>
    <col min="1541" max="1541" width="18" style="7" customWidth="1"/>
    <col min="1542" max="1542" width="13.1796875" style="7" customWidth="1"/>
    <col min="1543" max="1543" width="19" style="7" customWidth="1"/>
    <col min="1544" max="1544" width="14.81640625" style="7" customWidth="1"/>
    <col min="1545" max="1545" width="19.453125" style="7" customWidth="1"/>
    <col min="1546" max="1546" width="15.54296875" style="7" customWidth="1"/>
    <col min="1547" max="1547" width="9.1796875" style="7"/>
    <col min="1548" max="1548" width="19.453125" style="7" customWidth="1"/>
    <col min="1549" max="1549" width="18.7265625" style="7" customWidth="1"/>
    <col min="1550" max="1550" width="10.7265625" style="7" customWidth="1"/>
    <col min="1551" max="1551" width="27.1796875" style="7" customWidth="1"/>
    <col min="1552" max="1552" width="17" style="7" customWidth="1"/>
    <col min="1553" max="1793" width="9.1796875" style="7"/>
    <col min="1794" max="1794" width="14.26953125" style="7" customWidth="1"/>
    <col min="1795" max="1795" width="24.54296875" style="7" bestFit="1" customWidth="1"/>
    <col min="1796" max="1796" width="64.54296875" style="7" customWidth="1"/>
    <col min="1797" max="1797" width="18" style="7" customWidth="1"/>
    <col min="1798" max="1798" width="13.1796875" style="7" customWidth="1"/>
    <col min="1799" max="1799" width="19" style="7" customWidth="1"/>
    <col min="1800" max="1800" width="14.81640625" style="7" customWidth="1"/>
    <col min="1801" max="1801" width="19.453125" style="7" customWidth="1"/>
    <col min="1802" max="1802" width="15.54296875" style="7" customWidth="1"/>
    <col min="1803" max="1803" width="9.1796875" style="7"/>
    <col min="1804" max="1804" width="19.453125" style="7" customWidth="1"/>
    <col min="1805" max="1805" width="18.7265625" style="7" customWidth="1"/>
    <col min="1806" max="1806" width="10.7265625" style="7" customWidth="1"/>
    <col min="1807" max="1807" width="27.1796875" style="7" customWidth="1"/>
    <col min="1808" max="1808" width="17" style="7" customWidth="1"/>
    <col min="1809" max="2049" width="9.1796875" style="7"/>
    <col min="2050" max="2050" width="14.26953125" style="7" customWidth="1"/>
    <col min="2051" max="2051" width="24.54296875" style="7" bestFit="1" customWidth="1"/>
    <col min="2052" max="2052" width="64.54296875" style="7" customWidth="1"/>
    <col min="2053" max="2053" width="18" style="7" customWidth="1"/>
    <col min="2054" max="2054" width="13.1796875" style="7" customWidth="1"/>
    <col min="2055" max="2055" width="19" style="7" customWidth="1"/>
    <col min="2056" max="2056" width="14.81640625" style="7" customWidth="1"/>
    <col min="2057" max="2057" width="19.453125" style="7" customWidth="1"/>
    <col min="2058" max="2058" width="15.54296875" style="7" customWidth="1"/>
    <col min="2059" max="2059" width="9.1796875" style="7"/>
    <col min="2060" max="2060" width="19.453125" style="7" customWidth="1"/>
    <col min="2061" max="2061" width="18.7265625" style="7" customWidth="1"/>
    <col min="2062" max="2062" width="10.7265625" style="7" customWidth="1"/>
    <col min="2063" max="2063" width="27.1796875" style="7" customWidth="1"/>
    <col min="2064" max="2064" width="17" style="7" customWidth="1"/>
    <col min="2065" max="2305" width="9.1796875" style="7"/>
    <col min="2306" max="2306" width="14.26953125" style="7" customWidth="1"/>
    <col min="2307" max="2307" width="24.54296875" style="7" bestFit="1" customWidth="1"/>
    <col min="2308" max="2308" width="64.54296875" style="7" customWidth="1"/>
    <col min="2309" max="2309" width="18" style="7" customWidth="1"/>
    <col min="2310" max="2310" width="13.1796875" style="7" customWidth="1"/>
    <col min="2311" max="2311" width="19" style="7" customWidth="1"/>
    <col min="2312" max="2312" width="14.81640625" style="7" customWidth="1"/>
    <col min="2313" max="2313" width="19.453125" style="7" customWidth="1"/>
    <col min="2314" max="2314" width="15.54296875" style="7" customWidth="1"/>
    <col min="2315" max="2315" width="9.1796875" style="7"/>
    <col min="2316" max="2316" width="19.453125" style="7" customWidth="1"/>
    <col min="2317" max="2317" width="18.7265625" style="7" customWidth="1"/>
    <col min="2318" max="2318" width="10.7265625" style="7" customWidth="1"/>
    <col min="2319" max="2319" width="27.1796875" style="7" customWidth="1"/>
    <col min="2320" max="2320" width="17" style="7" customWidth="1"/>
    <col min="2321" max="2561" width="9.1796875" style="7"/>
    <col min="2562" max="2562" width="14.26953125" style="7" customWidth="1"/>
    <col min="2563" max="2563" width="24.54296875" style="7" bestFit="1" customWidth="1"/>
    <col min="2564" max="2564" width="64.54296875" style="7" customWidth="1"/>
    <col min="2565" max="2565" width="18" style="7" customWidth="1"/>
    <col min="2566" max="2566" width="13.1796875" style="7" customWidth="1"/>
    <col min="2567" max="2567" width="19" style="7" customWidth="1"/>
    <col min="2568" max="2568" width="14.81640625" style="7" customWidth="1"/>
    <col min="2569" max="2569" width="19.453125" style="7" customWidth="1"/>
    <col min="2570" max="2570" width="15.54296875" style="7" customWidth="1"/>
    <col min="2571" max="2571" width="9.1796875" style="7"/>
    <col min="2572" max="2572" width="19.453125" style="7" customWidth="1"/>
    <col min="2573" max="2573" width="18.7265625" style="7" customWidth="1"/>
    <col min="2574" max="2574" width="10.7265625" style="7" customWidth="1"/>
    <col min="2575" max="2575" width="27.1796875" style="7" customWidth="1"/>
    <col min="2576" max="2576" width="17" style="7" customWidth="1"/>
    <col min="2577" max="2817" width="9.1796875" style="7"/>
    <col min="2818" max="2818" width="14.26953125" style="7" customWidth="1"/>
    <col min="2819" max="2819" width="24.54296875" style="7" bestFit="1" customWidth="1"/>
    <col min="2820" max="2820" width="64.54296875" style="7" customWidth="1"/>
    <col min="2821" max="2821" width="18" style="7" customWidth="1"/>
    <col min="2822" max="2822" width="13.1796875" style="7" customWidth="1"/>
    <col min="2823" max="2823" width="19" style="7" customWidth="1"/>
    <col min="2824" max="2824" width="14.81640625" style="7" customWidth="1"/>
    <col min="2825" max="2825" width="19.453125" style="7" customWidth="1"/>
    <col min="2826" max="2826" width="15.54296875" style="7" customWidth="1"/>
    <col min="2827" max="2827" width="9.1796875" style="7"/>
    <col min="2828" max="2828" width="19.453125" style="7" customWidth="1"/>
    <col min="2829" max="2829" width="18.7265625" style="7" customWidth="1"/>
    <col min="2830" max="2830" width="10.7265625" style="7" customWidth="1"/>
    <col min="2831" max="2831" width="27.1796875" style="7" customWidth="1"/>
    <col min="2832" max="2832" width="17" style="7" customWidth="1"/>
    <col min="2833" max="3073" width="9.1796875" style="7"/>
    <col min="3074" max="3074" width="14.26953125" style="7" customWidth="1"/>
    <col min="3075" max="3075" width="24.54296875" style="7" bestFit="1" customWidth="1"/>
    <col min="3076" max="3076" width="64.54296875" style="7" customWidth="1"/>
    <col min="3077" max="3077" width="18" style="7" customWidth="1"/>
    <col min="3078" max="3078" width="13.1796875" style="7" customWidth="1"/>
    <col min="3079" max="3079" width="19" style="7" customWidth="1"/>
    <col min="3080" max="3080" width="14.81640625" style="7" customWidth="1"/>
    <col min="3081" max="3081" width="19.453125" style="7" customWidth="1"/>
    <col min="3082" max="3082" width="15.54296875" style="7" customWidth="1"/>
    <col min="3083" max="3083" width="9.1796875" style="7"/>
    <col min="3084" max="3084" width="19.453125" style="7" customWidth="1"/>
    <col min="3085" max="3085" width="18.7265625" style="7" customWidth="1"/>
    <col min="3086" max="3086" width="10.7265625" style="7" customWidth="1"/>
    <col min="3087" max="3087" width="27.1796875" style="7" customWidth="1"/>
    <col min="3088" max="3088" width="17" style="7" customWidth="1"/>
    <col min="3089" max="3329" width="9.1796875" style="7"/>
    <col min="3330" max="3330" width="14.26953125" style="7" customWidth="1"/>
    <col min="3331" max="3331" width="24.54296875" style="7" bestFit="1" customWidth="1"/>
    <col min="3332" max="3332" width="64.54296875" style="7" customWidth="1"/>
    <col min="3333" max="3333" width="18" style="7" customWidth="1"/>
    <col min="3334" max="3334" width="13.1796875" style="7" customWidth="1"/>
    <col min="3335" max="3335" width="19" style="7" customWidth="1"/>
    <col min="3336" max="3336" width="14.81640625" style="7" customWidth="1"/>
    <col min="3337" max="3337" width="19.453125" style="7" customWidth="1"/>
    <col min="3338" max="3338" width="15.54296875" style="7" customWidth="1"/>
    <col min="3339" max="3339" width="9.1796875" style="7"/>
    <col min="3340" max="3340" width="19.453125" style="7" customWidth="1"/>
    <col min="3341" max="3341" width="18.7265625" style="7" customWidth="1"/>
    <col min="3342" max="3342" width="10.7265625" style="7" customWidth="1"/>
    <col min="3343" max="3343" width="27.1796875" style="7" customWidth="1"/>
    <col min="3344" max="3344" width="17" style="7" customWidth="1"/>
    <col min="3345" max="3585" width="9.1796875" style="7"/>
    <col min="3586" max="3586" width="14.26953125" style="7" customWidth="1"/>
    <col min="3587" max="3587" width="24.54296875" style="7" bestFit="1" customWidth="1"/>
    <col min="3588" max="3588" width="64.54296875" style="7" customWidth="1"/>
    <col min="3589" max="3589" width="18" style="7" customWidth="1"/>
    <col min="3590" max="3590" width="13.1796875" style="7" customWidth="1"/>
    <col min="3591" max="3591" width="19" style="7" customWidth="1"/>
    <col min="3592" max="3592" width="14.81640625" style="7" customWidth="1"/>
    <col min="3593" max="3593" width="19.453125" style="7" customWidth="1"/>
    <col min="3594" max="3594" width="15.54296875" style="7" customWidth="1"/>
    <col min="3595" max="3595" width="9.1796875" style="7"/>
    <col min="3596" max="3596" width="19.453125" style="7" customWidth="1"/>
    <col min="3597" max="3597" width="18.7265625" style="7" customWidth="1"/>
    <col min="3598" max="3598" width="10.7265625" style="7" customWidth="1"/>
    <col min="3599" max="3599" width="27.1796875" style="7" customWidth="1"/>
    <col min="3600" max="3600" width="17" style="7" customWidth="1"/>
    <col min="3601" max="3841" width="9.1796875" style="7"/>
    <col min="3842" max="3842" width="14.26953125" style="7" customWidth="1"/>
    <col min="3843" max="3843" width="24.54296875" style="7" bestFit="1" customWidth="1"/>
    <col min="3844" max="3844" width="64.54296875" style="7" customWidth="1"/>
    <col min="3845" max="3845" width="18" style="7" customWidth="1"/>
    <col min="3846" max="3846" width="13.1796875" style="7" customWidth="1"/>
    <col min="3847" max="3847" width="19" style="7" customWidth="1"/>
    <col min="3848" max="3848" width="14.81640625" style="7" customWidth="1"/>
    <col min="3849" max="3849" width="19.453125" style="7" customWidth="1"/>
    <col min="3850" max="3850" width="15.54296875" style="7" customWidth="1"/>
    <col min="3851" max="3851" width="9.1796875" style="7"/>
    <col min="3852" max="3852" width="19.453125" style="7" customWidth="1"/>
    <col min="3853" max="3853" width="18.7265625" style="7" customWidth="1"/>
    <col min="3854" max="3854" width="10.7265625" style="7" customWidth="1"/>
    <col min="3855" max="3855" width="27.1796875" style="7" customWidth="1"/>
    <col min="3856" max="3856" width="17" style="7" customWidth="1"/>
    <col min="3857" max="4097" width="9.1796875" style="7"/>
    <col min="4098" max="4098" width="14.26953125" style="7" customWidth="1"/>
    <col min="4099" max="4099" width="24.54296875" style="7" bestFit="1" customWidth="1"/>
    <col min="4100" max="4100" width="64.54296875" style="7" customWidth="1"/>
    <col min="4101" max="4101" width="18" style="7" customWidth="1"/>
    <col min="4102" max="4102" width="13.1796875" style="7" customWidth="1"/>
    <col min="4103" max="4103" width="19" style="7" customWidth="1"/>
    <col min="4104" max="4104" width="14.81640625" style="7" customWidth="1"/>
    <col min="4105" max="4105" width="19.453125" style="7" customWidth="1"/>
    <col min="4106" max="4106" width="15.54296875" style="7" customWidth="1"/>
    <col min="4107" max="4107" width="9.1796875" style="7"/>
    <col min="4108" max="4108" width="19.453125" style="7" customWidth="1"/>
    <col min="4109" max="4109" width="18.7265625" style="7" customWidth="1"/>
    <col min="4110" max="4110" width="10.7265625" style="7" customWidth="1"/>
    <col min="4111" max="4111" width="27.1796875" style="7" customWidth="1"/>
    <col min="4112" max="4112" width="17" style="7" customWidth="1"/>
    <col min="4113" max="4353" width="9.1796875" style="7"/>
    <col min="4354" max="4354" width="14.26953125" style="7" customWidth="1"/>
    <col min="4355" max="4355" width="24.54296875" style="7" bestFit="1" customWidth="1"/>
    <col min="4356" max="4356" width="64.54296875" style="7" customWidth="1"/>
    <col min="4357" max="4357" width="18" style="7" customWidth="1"/>
    <col min="4358" max="4358" width="13.1796875" style="7" customWidth="1"/>
    <col min="4359" max="4359" width="19" style="7" customWidth="1"/>
    <col min="4360" max="4360" width="14.81640625" style="7" customWidth="1"/>
    <col min="4361" max="4361" width="19.453125" style="7" customWidth="1"/>
    <col min="4362" max="4362" width="15.54296875" style="7" customWidth="1"/>
    <col min="4363" max="4363" width="9.1796875" style="7"/>
    <col min="4364" max="4364" width="19.453125" style="7" customWidth="1"/>
    <col min="4365" max="4365" width="18.7265625" style="7" customWidth="1"/>
    <col min="4366" max="4366" width="10.7265625" style="7" customWidth="1"/>
    <col min="4367" max="4367" width="27.1796875" style="7" customWidth="1"/>
    <col min="4368" max="4368" width="17" style="7" customWidth="1"/>
    <col min="4369" max="4609" width="9.1796875" style="7"/>
    <col min="4610" max="4610" width="14.26953125" style="7" customWidth="1"/>
    <col min="4611" max="4611" width="24.54296875" style="7" bestFit="1" customWidth="1"/>
    <col min="4612" max="4612" width="64.54296875" style="7" customWidth="1"/>
    <col min="4613" max="4613" width="18" style="7" customWidth="1"/>
    <col min="4614" max="4614" width="13.1796875" style="7" customWidth="1"/>
    <col min="4615" max="4615" width="19" style="7" customWidth="1"/>
    <col min="4616" max="4616" width="14.81640625" style="7" customWidth="1"/>
    <col min="4617" max="4617" width="19.453125" style="7" customWidth="1"/>
    <col min="4618" max="4618" width="15.54296875" style="7" customWidth="1"/>
    <col min="4619" max="4619" width="9.1796875" style="7"/>
    <col min="4620" max="4620" width="19.453125" style="7" customWidth="1"/>
    <col min="4621" max="4621" width="18.7265625" style="7" customWidth="1"/>
    <col min="4622" max="4622" width="10.7265625" style="7" customWidth="1"/>
    <col min="4623" max="4623" width="27.1796875" style="7" customWidth="1"/>
    <col min="4624" max="4624" width="17" style="7" customWidth="1"/>
    <col min="4625" max="4865" width="9.1796875" style="7"/>
    <col min="4866" max="4866" width="14.26953125" style="7" customWidth="1"/>
    <col min="4867" max="4867" width="24.54296875" style="7" bestFit="1" customWidth="1"/>
    <col min="4868" max="4868" width="64.54296875" style="7" customWidth="1"/>
    <col min="4869" max="4869" width="18" style="7" customWidth="1"/>
    <col min="4870" max="4870" width="13.1796875" style="7" customWidth="1"/>
    <col min="4871" max="4871" width="19" style="7" customWidth="1"/>
    <col min="4872" max="4872" width="14.81640625" style="7" customWidth="1"/>
    <col min="4873" max="4873" width="19.453125" style="7" customWidth="1"/>
    <col min="4874" max="4874" width="15.54296875" style="7" customWidth="1"/>
    <col min="4875" max="4875" width="9.1796875" style="7"/>
    <col min="4876" max="4876" width="19.453125" style="7" customWidth="1"/>
    <col min="4877" max="4877" width="18.7265625" style="7" customWidth="1"/>
    <col min="4878" max="4878" width="10.7265625" style="7" customWidth="1"/>
    <col min="4879" max="4879" width="27.1796875" style="7" customWidth="1"/>
    <col min="4880" max="4880" width="17" style="7" customWidth="1"/>
    <col min="4881" max="5121" width="9.1796875" style="7"/>
    <col min="5122" max="5122" width="14.26953125" style="7" customWidth="1"/>
    <col min="5123" max="5123" width="24.54296875" style="7" bestFit="1" customWidth="1"/>
    <col min="5124" max="5124" width="64.54296875" style="7" customWidth="1"/>
    <col min="5125" max="5125" width="18" style="7" customWidth="1"/>
    <col min="5126" max="5126" width="13.1796875" style="7" customWidth="1"/>
    <col min="5127" max="5127" width="19" style="7" customWidth="1"/>
    <col min="5128" max="5128" width="14.81640625" style="7" customWidth="1"/>
    <col min="5129" max="5129" width="19.453125" style="7" customWidth="1"/>
    <col min="5130" max="5130" width="15.54296875" style="7" customWidth="1"/>
    <col min="5131" max="5131" width="9.1796875" style="7"/>
    <col min="5132" max="5132" width="19.453125" style="7" customWidth="1"/>
    <col min="5133" max="5133" width="18.7265625" style="7" customWidth="1"/>
    <col min="5134" max="5134" width="10.7265625" style="7" customWidth="1"/>
    <col min="5135" max="5135" width="27.1796875" style="7" customWidth="1"/>
    <col min="5136" max="5136" width="17" style="7" customWidth="1"/>
    <col min="5137" max="5377" width="9.1796875" style="7"/>
    <col min="5378" max="5378" width="14.26953125" style="7" customWidth="1"/>
    <col min="5379" max="5379" width="24.54296875" style="7" bestFit="1" customWidth="1"/>
    <col min="5380" max="5380" width="64.54296875" style="7" customWidth="1"/>
    <col min="5381" max="5381" width="18" style="7" customWidth="1"/>
    <col min="5382" max="5382" width="13.1796875" style="7" customWidth="1"/>
    <col min="5383" max="5383" width="19" style="7" customWidth="1"/>
    <col min="5384" max="5384" width="14.81640625" style="7" customWidth="1"/>
    <col min="5385" max="5385" width="19.453125" style="7" customWidth="1"/>
    <col min="5386" max="5386" width="15.54296875" style="7" customWidth="1"/>
    <col min="5387" max="5387" width="9.1796875" style="7"/>
    <col min="5388" max="5388" width="19.453125" style="7" customWidth="1"/>
    <col min="5389" max="5389" width="18.7265625" style="7" customWidth="1"/>
    <col min="5390" max="5390" width="10.7265625" style="7" customWidth="1"/>
    <col min="5391" max="5391" width="27.1796875" style="7" customWidth="1"/>
    <col min="5392" max="5392" width="17" style="7" customWidth="1"/>
    <col min="5393" max="5633" width="9.1796875" style="7"/>
    <col min="5634" max="5634" width="14.26953125" style="7" customWidth="1"/>
    <col min="5635" max="5635" width="24.54296875" style="7" bestFit="1" customWidth="1"/>
    <col min="5636" max="5636" width="64.54296875" style="7" customWidth="1"/>
    <col min="5637" max="5637" width="18" style="7" customWidth="1"/>
    <col min="5638" max="5638" width="13.1796875" style="7" customWidth="1"/>
    <col min="5639" max="5639" width="19" style="7" customWidth="1"/>
    <col min="5640" max="5640" width="14.81640625" style="7" customWidth="1"/>
    <col min="5641" max="5641" width="19.453125" style="7" customWidth="1"/>
    <col min="5642" max="5642" width="15.54296875" style="7" customWidth="1"/>
    <col min="5643" max="5643" width="9.1796875" style="7"/>
    <col min="5644" max="5644" width="19.453125" style="7" customWidth="1"/>
    <col min="5645" max="5645" width="18.7265625" style="7" customWidth="1"/>
    <col min="5646" max="5646" width="10.7265625" style="7" customWidth="1"/>
    <col min="5647" max="5647" width="27.1796875" style="7" customWidth="1"/>
    <col min="5648" max="5648" width="17" style="7" customWidth="1"/>
    <col min="5649" max="5889" width="9.1796875" style="7"/>
    <col min="5890" max="5890" width="14.26953125" style="7" customWidth="1"/>
    <col min="5891" max="5891" width="24.54296875" style="7" bestFit="1" customWidth="1"/>
    <col min="5892" max="5892" width="64.54296875" style="7" customWidth="1"/>
    <col min="5893" max="5893" width="18" style="7" customWidth="1"/>
    <col min="5894" max="5894" width="13.1796875" style="7" customWidth="1"/>
    <col min="5895" max="5895" width="19" style="7" customWidth="1"/>
    <col min="5896" max="5896" width="14.81640625" style="7" customWidth="1"/>
    <col min="5897" max="5897" width="19.453125" style="7" customWidth="1"/>
    <col min="5898" max="5898" width="15.54296875" style="7" customWidth="1"/>
    <col min="5899" max="5899" width="9.1796875" style="7"/>
    <col min="5900" max="5900" width="19.453125" style="7" customWidth="1"/>
    <col min="5901" max="5901" width="18.7265625" style="7" customWidth="1"/>
    <col min="5902" max="5902" width="10.7265625" style="7" customWidth="1"/>
    <col min="5903" max="5903" width="27.1796875" style="7" customWidth="1"/>
    <col min="5904" max="5904" width="17" style="7" customWidth="1"/>
    <col min="5905" max="6145" width="9.1796875" style="7"/>
    <col min="6146" max="6146" width="14.26953125" style="7" customWidth="1"/>
    <col min="6147" max="6147" width="24.54296875" style="7" bestFit="1" customWidth="1"/>
    <col min="6148" max="6148" width="64.54296875" style="7" customWidth="1"/>
    <col min="6149" max="6149" width="18" style="7" customWidth="1"/>
    <col min="6150" max="6150" width="13.1796875" style="7" customWidth="1"/>
    <col min="6151" max="6151" width="19" style="7" customWidth="1"/>
    <col min="6152" max="6152" width="14.81640625" style="7" customWidth="1"/>
    <col min="6153" max="6153" width="19.453125" style="7" customWidth="1"/>
    <col min="6154" max="6154" width="15.54296875" style="7" customWidth="1"/>
    <col min="6155" max="6155" width="9.1796875" style="7"/>
    <col min="6156" max="6156" width="19.453125" style="7" customWidth="1"/>
    <col min="6157" max="6157" width="18.7265625" style="7" customWidth="1"/>
    <col min="6158" max="6158" width="10.7265625" style="7" customWidth="1"/>
    <col min="6159" max="6159" width="27.1796875" style="7" customWidth="1"/>
    <col min="6160" max="6160" width="17" style="7" customWidth="1"/>
    <col min="6161" max="6401" width="9.1796875" style="7"/>
    <col min="6402" max="6402" width="14.26953125" style="7" customWidth="1"/>
    <col min="6403" max="6403" width="24.54296875" style="7" bestFit="1" customWidth="1"/>
    <col min="6404" max="6404" width="64.54296875" style="7" customWidth="1"/>
    <col min="6405" max="6405" width="18" style="7" customWidth="1"/>
    <col min="6406" max="6406" width="13.1796875" style="7" customWidth="1"/>
    <col min="6407" max="6407" width="19" style="7" customWidth="1"/>
    <col min="6408" max="6408" width="14.81640625" style="7" customWidth="1"/>
    <col min="6409" max="6409" width="19.453125" style="7" customWidth="1"/>
    <col min="6410" max="6410" width="15.54296875" style="7" customWidth="1"/>
    <col min="6411" max="6411" width="9.1796875" style="7"/>
    <col min="6412" max="6412" width="19.453125" style="7" customWidth="1"/>
    <col min="6413" max="6413" width="18.7265625" style="7" customWidth="1"/>
    <col min="6414" max="6414" width="10.7265625" style="7" customWidth="1"/>
    <col min="6415" max="6415" width="27.1796875" style="7" customWidth="1"/>
    <col min="6416" max="6416" width="17" style="7" customWidth="1"/>
    <col min="6417" max="6657" width="9.1796875" style="7"/>
    <col min="6658" max="6658" width="14.26953125" style="7" customWidth="1"/>
    <col min="6659" max="6659" width="24.54296875" style="7" bestFit="1" customWidth="1"/>
    <col min="6660" max="6660" width="64.54296875" style="7" customWidth="1"/>
    <col min="6661" max="6661" width="18" style="7" customWidth="1"/>
    <col min="6662" max="6662" width="13.1796875" style="7" customWidth="1"/>
    <col min="6663" max="6663" width="19" style="7" customWidth="1"/>
    <col min="6664" max="6664" width="14.81640625" style="7" customWidth="1"/>
    <col min="6665" max="6665" width="19.453125" style="7" customWidth="1"/>
    <col min="6666" max="6666" width="15.54296875" style="7" customWidth="1"/>
    <col min="6667" max="6667" width="9.1796875" style="7"/>
    <col min="6668" max="6668" width="19.453125" style="7" customWidth="1"/>
    <col min="6669" max="6669" width="18.7265625" style="7" customWidth="1"/>
    <col min="6670" max="6670" width="10.7265625" style="7" customWidth="1"/>
    <col min="6671" max="6671" width="27.1796875" style="7" customWidth="1"/>
    <col min="6672" max="6672" width="17" style="7" customWidth="1"/>
    <col min="6673" max="6913" width="9.1796875" style="7"/>
    <col min="6914" max="6914" width="14.26953125" style="7" customWidth="1"/>
    <col min="6915" max="6915" width="24.54296875" style="7" bestFit="1" customWidth="1"/>
    <col min="6916" max="6916" width="64.54296875" style="7" customWidth="1"/>
    <col min="6917" max="6917" width="18" style="7" customWidth="1"/>
    <col min="6918" max="6918" width="13.1796875" style="7" customWidth="1"/>
    <col min="6919" max="6919" width="19" style="7" customWidth="1"/>
    <col min="6920" max="6920" width="14.81640625" style="7" customWidth="1"/>
    <col min="6921" max="6921" width="19.453125" style="7" customWidth="1"/>
    <col min="6922" max="6922" width="15.54296875" style="7" customWidth="1"/>
    <col min="6923" max="6923" width="9.1796875" style="7"/>
    <col min="6924" max="6924" width="19.453125" style="7" customWidth="1"/>
    <col min="6925" max="6925" width="18.7265625" style="7" customWidth="1"/>
    <col min="6926" max="6926" width="10.7265625" style="7" customWidth="1"/>
    <col min="6927" max="6927" width="27.1796875" style="7" customWidth="1"/>
    <col min="6928" max="6928" width="17" style="7" customWidth="1"/>
    <col min="6929" max="7169" width="9.1796875" style="7"/>
    <col min="7170" max="7170" width="14.26953125" style="7" customWidth="1"/>
    <col min="7171" max="7171" width="24.54296875" style="7" bestFit="1" customWidth="1"/>
    <col min="7172" max="7172" width="64.54296875" style="7" customWidth="1"/>
    <col min="7173" max="7173" width="18" style="7" customWidth="1"/>
    <col min="7174" max="7174" width="13.1796875" style="7" customWidth="1"/>
    <col min="7175" max="7175" width="19" style="7" customWidth="1"/>
    <col min="7176" max="7176" width="14.81640625" style="7" customWidth="1"/>
    <col min="7177" max="7177" width="19.453125" style="7" customWidth="1"/>
    <col min="7178" max="7178" width="15.54296875" style="7" customWidth="1"/>
    <col min="7179" max="7179" width="9.1796875" style="7"/>
    <col min="7180" max="7180" width="19.453125" style="7" customWidth="1"/>
    <col min="7181" max="7181" width="18.7265625" style="7" customWidth="1"/>
    <col min="7182" max="7182" width="10.7265625" style="7" customWidth="1"/>
    <col min="7183" max="7183" width="27.1796875" style="7" customWidth="1"/>
    <col min="7184" max="7184" width="17" style="7" customWidth="1"/>
    <col min="7185" max="7425" width="9.1796875" style="7"/>
    <col min="7426" max="7426" width="14.26953125" style="7" customWidth="1"/>
    <col min="7427" max="7427" width="24.54296875" style="7" bestFit="1" customWidth="1"/>
    <col min="7428" max="7428" width="64.54296875" style="7" customWidth="1"/>
    <col min="7429" max="7429" width="18" style="7" customWidth="1"/>
    <col min="7430" max="7430" width="13.1796875" style="7" customWidth="1"/>
    <col min="7431" max="7431" width="19" style="7" customWidth="1"/>
    <col min="7432" max="7432" width="14.81640625" style="7" customWidth="1"/>
    <col min="7433" max="7433" width="19.453125" style="7" customWidth="1"/>
    <col min="7434" max="7434" width="15.54296875" style="7" customWidth="1"/>
    <col min="7435" max="7435" width="9.1796875" style="7"/>
    <col min="7436" max="7436" width="19.453125" style="7" customWidth="1"/>
    <col min="7437" max="7437" width="18.7265625" style="7" customWidth="1"/>
    <col min="7438" max="7438" width="10.7265625" style="7" customWidth="1"/>
    <col min="7439" max="7439" width="27.1796875" style="7" customWidth="1"/>
    <col min="7440" max="7440" width="17" style="7" customWidth="1"/>
    <col min="7441" max="7681" width="9.1796875" style="7"/>
    <col min="7682" max="7682" width="14.26953125" style="7" customWidth="1"/>
    <col min="7683" max="7683" width="24.54296875" style="7" bestFit="1" customWidth="1"/>
    <col min="7684" max="7684" width="64.54296875" style="7" customWidth="1"/>
    <col min="7685" max="7685" width="18" style="7" customWidth="1"/>
    <col min="7686" max="7686" width="13.1796875" style="7" customWidth="1"/>
    <col min="7687" max="7687" width="19" style="7" customWidth="1"/>
    <col min="7688" max="7688" width="14.81640625" style="7" customWidth="1"/>
    <col min="7689" max="7689" width="19.453125" style="7" customWidth="1"/>
    <col min="7690" max="7690" width="15.54296875" style="7" customWidth="1"/>
    <col min="7691" max="7691" width="9.1796875" style="7"/>
    <col min="7692" max="7692" width="19.453125" style="7" customWidth="1"/>
    <col min="7693" max="7693" width="18.7265625" style="7" customWidth="1"/>
    <col min="7694" max="7694" width="10.7265625" style="7" customWidth="1"/>
    <col min="7695" max="7695" width="27.1796875" style="7" customWidth="1"/>
    <col min="7696" max="7696" width="17" style="7" customWidth="1"/>
    <col min="7697" max="7937" width="9.1796875" style="7"/>
    <col min="7938" max="7938" width="14.26953125" style="7" customWidth="1"/>
    <col min="7939" max="7939" width="24.54296875" style="7" bestFit="1" customWidth="1"/>
    <col min="7940" max="7940" width="64.54296875" style="7" customWidth="1"/>
    <col min="7941" max="7941" width="18" style="7" customWidth="1"/>
    <col min="7942" max="7942" width="13.1796875" style="7" customWidth="1"/>
    <col min="7943" max="7943" width="19" style="7" customWidth="1"/>
    <col min="7944" max="7944" width="14.81640625" style="7" customWidth="1"/>
    <col min="7945" max="7945" width="19.453125" style="7" customWidth="1"/>
    <col min="7946" max="7946" width="15.54296875" style="7" customWidth="1"/>
    <col min="7947" max="7947" width="9.1796875" style="7"/>
    <col min="7948" max="7948" width="19.453125" style="7" customWidth="1"/>
    <col min="7949" max="7949" width="18.7265625" style="7" customWidth="1"/>
    <col min="7950" max="7950" width="10.7265625" style="7" customWidth="1"/>
    <col min="7951" max="7951" width="27.1796875" style="7" customWidth="1"/>
    <col min="7952" max="7952" width="17" style="7" customWidth="1"/>
    <col min="7953" max="8193" width="9.1796875" style="7"/>
    <col min="8194" max="8194" width="14.26953125" style="7" customWidth="1"/>
    <col min="8195" max="8195" width="24.54296875" style="7" bestFit="1" customWidth="1"/>
    <col min="8196" max="8196" width="64.54296875" style="7" customWidth="1"/>
    <col min="8197" max="8197" width="18" style="7" customWidth="1"/>
    <col min="8198" max="8198" width="13.1796875" style="7" customWidth="1"/>
    <col min="8199" max="8199" width="19" style="7" customWidth="1"/>
    <col min="8200" max="8200" width="14.81640625" style="7" customWidth="1"/>
    <col min="8201" max="8201" width="19.453125" style="7" customWidth="1"/>
    <col min="8202" max="8202" width="15.54296875" style="7" customWidth="1"/>
    <col min="8203" max="8203" width="9.1796875" style="7"/>
    <col min="8204" max="8204" width="19.453125" style="7" customWidth="1"/>
    <col min="8205" max="8205" width="18.7265625" style="7" customWidth="1"/>
    <col min="8206" max="8206" width="10.7265625" style="7" customWidth="1"/>
    <col min="8207" max="8207" width="27.1796875" style="7" customWidth="1"/>
    <col min="8208" max="8208" width="17" style="7" customWidth="1"/>
    <col min="8209" max="8449" width="9.1796875" style="7"/>
    <col min="8450" max="8450" width="14.26953125" style="7" customWidth="1"/>
    <col min="8451" max="8451" width="24.54296875" style="7" bestFit="1" customWidth="1"/>
    <col min="8452" max="8452" width="64.54296875" style="7" customWidth="1"/>
    <col min="8453" max="8453" width="18" style="7" customWidth="1"/>
    <col min="8454" max="8454" width="13.1796875" style="7" customWidth="1"/>
    <col min="8455" max="8455" width="19" style="7" customWidth="1"/>
    <col min="8456" max="8456" width="14.81640625" style="7" customWidth="1"/>
    <col min="8457" max="8457" width="19.453125" style="7" customWidth="1"/>
    <col min="8458" max="8458" width="15.54296875" style="7" customWidth="1"/>
    <col min="8459" max="8459" width="9.1796875" style="7"/>
    <col min="8460" max="8460" width="19.453125" style="7" customWidth="1"/>
    <col min="8461" max="8461" width="18.7265625" style="7" customWidth="1"/>
    <col min="8462" max="8462" width="10.7265625" style="7" customWidth="1"/>
    <col min="8463" max="8463" width="27.1796875" style="7" customWidth="1"/>
    <col min="8464" max="8464" width="17" style="7" customWidth="1"/>
    <col min="8465" max="8705" width="9.1796875" style="7"/>
    <col min="8706" max="8706" width="14.26953125" style="7" customWidth="1"/>
    <col min="8707" max="8707" width="24.54296875" style="7" bestFit="1" customWidth="1"/>
    <col min="8708" max="8708" width="64.54296875" style="7" customWidth="1"/>
    <col min="8709" max="8709" width="18" style="7" customWidth="1"/>
    <col min="8710" max="8710" width="13.1796875" style="7" customWidth="1"/>
    <col min="8711" max="8711" width="19" style="7" customWidth="1"/>
    <col min="8712" max="8712" width="14.81640625" style="7" customWidth="1"/>
    <col min="8713" max="8713" width="19.453125" style="7" customWidth="1"/>
    <col min="8714" max="8714" width="15.54296875" style="7" customWidth="1"/>
    <col min="8715" max="8715" width="9.1796875" style="7"/>
    <col min="8716" max="8716" width="19.453125" style="7" customWidth="1"/>
    <col min="8717" max="8717" width="18.7265625" style="7" customWidth="1"/>
    <col min="8718" max="8718" width="10.7265625" style="7" customWidth="1"/>
    <col min="8719" max="8719" width="27.1796875" style="7" customWidth="1"/>
    <col min="8720" max="8720" width="17" style="7" customWidth="1"/>
    <col min="8721" max="8961" width="9.1796875" style="7"/>
    <col min="8962" max="8962" width="14.26953125" style="7" customWidth="1"/>
    <col min="8963" max="8963" width="24.54296875" style="7" bestFit="1" customWidth="1"/>
    <col min="8964" max="8964" width="64.54296875" style="7" customWidth="1"/>
    <col min="8965" max="8965" width="18" style="7" customWidth="1"/>
    <col min="8966" max="8966" width="13.1796875" style="7" customWidth="1"/>
    <col min="8967" max="8967" width="19" style="7" customWidth="1"/>
    <col min="8968" max="8968" width="14.81640625" style="7" customWidth="1"/>
    <col min="8969" max="8969" width="19.453125" style="7" customWidth="1"/>
    <col min="8970" max="8970" width="15.54296875" style="7" customWidth="1"/>
    <col min="8971" max="8971" width="9.1796875" style="7"/>
    <col min="8972" max="8972" width="19.453125" style="7" customWidth="1"/>
    <col min="8973" max="8973" width="18.7265625" style="7" customWidth="1"/>
    <col min="8974" max="8974" width="10.7265625" style="7" customWidth="1"/>
    <col min="8975" max="8975" width="27.1796875" style="7" customWidth="1"/>
    <col min="8976" max="8976" width="17" style="7" customWidth="1"/>
    <col min="8977" max="9217" width="9.1796875" style="7"/>
    <col min="9218" max="9218" width="14.26953125" style="7" customWidth="1"/>
    <col min="9219" max="9219" width="24.54296875" style="7" bestFit="1" customWidth="1"/>
    <col min="9220" max="9220" width="64.54296875" style="7" customWidth="1"/>
    <col min="9221" max="9221" width="18" style="7" customWidth="1"/>
    <col min="9222" max="9222" width="13.1796875" style="7" customWidth="1"/>
    <col min="9223" max="9223" width="19" style="7" customWidth="1"/>
    <col min="9224" max="9224" width="14.81640625" style="7" customWidth="1"/>
    <col min="9225" max="9225" width="19.453125" style="7" customWidth="1"/>
    <col min="9226" max="9226" width="15.54296875" style="7" customWidth="1"/>
    <col min="9227" max="9227" width="9.1796875" style="7"/>
    <col min="9228" max="9228" width="19.453125" style="7" customWidth="1"/>
    <col min="9229" max="9229" width="18.7265625" style="7" customWidth="1"/>
    <col min="9230" max="9230" width="10.7265625" style="7" customWidth="1"/>
    <col min="9231" max="9231" width="27.1796875" style="7" customWidth="1"/>
    <col min="9232" max="9232" width="17" style="7" customWidth="1"/>
    <col min="9233" max="9473" width="9.1796875" style="7"/>
    <col min="9474" max="9474" width="14.26953125" style="7" customWidth="1"/>
    <col min="9475" max="9475" width="24.54296875" style="7" bestFit="1" customWidth="1"/>
    <col min="9476" max="9476" width="64.54296875" style="7" customWidth="1"/>
    <col min="9477" max="9477" width="18" style="7" customWidth="1"/>
    <col min="9478" max="9478" width="13.1796875" style="7" customWidth="1"/>
    <col min="9479" max="9479" width="19" style="7" customWidth="1"/>
    <col min="9480" max="9480" width="14.81640625" style="7" customWidth="1"/>
    <col min="9481" max="9481" width="19.453125" style="7" customWidth="1"/>
    <col min="9482" max="9482" width="15.54296875" style="7" customWidth="1"/>
    <col min="9483" max="9483" width="9.1796875" style="7"/>
    <col min="9484" max="9484" width="19.453125" style="7" customWidth="1"/>
    <col min="9485" max="9485" width="18.7265625" style="7" customWidth="1"/>
    <col min="9486" max="9486" width="10.7265625" style="7" customWidth="1"/>
    <col min="9487" max="9487" width="27.1796875" style="7" customWidth="1"/>
    <col min="9488" max="9488" width="17" style="7" customWidth="1"/>
    <col min="9489" max="9729" width="9.1796875" style="7"/>
    <col min="9730" max="9730" width="14.26953125" style="7" customWidth="1"/>
    <col min="9731" max="9731" width="24.54296875" style="7" bestFit="1" customWidth="1"/>
    <col min="9732" max="9732" width="64.54296875" style="7" customWidth="1"/>
    <col min="9733" max="9733" width="18" style="7" customWidth="1"/>
    <col min="9734" max="9734" width="13.1796875" style="7" customWidth="1"/>
    <col min="9735" max="9735" width="19" style="7" customWidth="1"/>
    <col min="9736" max="9736" width="14.81640625" style="7" customWidth="1"/>
    <col min="9737" max="9737" width="19.453125" style="7" customWidth="1"/>
    <col min="9738" max="9738" width="15.54296875" style="7" customWidth="1"/>
    <col min="9739" max="9739" width="9.1796875" style="7"/>
    <col min="9740" max="9740" width="19.453125" style="7" customWidth="1"/>
    <col min="9741" max="9741" width="18.7265625" style="7" customWidth="1"/>
    <col min="9742" max="9742" width="10.7265625" style="7" customWidth="1"/>
    <col min="9743" max="9743" width="27.1796875" style="7" customWidth="1"/>
    <col min="9744" max="9744" width="17" style="7" customWidth="1"/>
    <col min="9745" max="9985" width="9.1796875" style="7"/>
    <col min="9986" max="9986" width="14.26953125" style="7" customWidth="1"/>
    <col min="9987" max="9987" width="24.54296875" style="7" bestFit="1" customWidth="1"/>
    <col min="9988" max="9988" width="64.54296875" style="7" customWidth="1"/>
    <col min="9989" max="9989" width="18" style="7" customWidth="1"/>
    <col min="9990" max="9990" width="13.1796875" style="7" customWidth="1"/>
    <col min="9991" max="9991" width="19" style="7" customWidth="1"/>
    <col min="9992" max="9992" width="14.81640625" style="7" customWidth="1"/>
    <col min="9993" max="9993" width="19.453125" style="7" customWidth="1"/>
    <col min="9994" max="9994" width="15.54296875" style="7" customWidth="1"/>
    <col min="9995" max="9995" width="9.1796875" style="7"/>
    <col min="9996" max="9996" width="19.453125" style="7" customWidth="1"/>
    <col min="9997" max="9997" width="18.7265625" style="7" customWidth="1"/>
    <col min="9998" max="9998" width="10.7265625" style="7" customWidth="1"/>
    <col min="9999" max="9999" width="27.1796875" style="7" customWidth="1"/>
    <col min="10000" max="10000" width="17" style="7" customWidth="1"/>
    <col min="10001" max="10241" width="9.1796875" style="7"/>
    <col min="10242" max="10242" width="14.26953125" style="7" customWidth="1"/>
    <col min="10243" max="10243" width="24.54296875" style="7" bestFit="1" customWidth="1"/>
    <col min="10244" max="10244" width="64.54296875" style="7" customWidth="1"/>
    <col min="10245" max="10245" width="18" style="7" customWidth="1"/>
    <col min="10246" max="10246" width="13.1796875" style="7" customWidth="1"/>
    <col min="10247" max="10247" width="19" style="7" customWidth="1"/>
    <col min="10248" max="10248" width="14.81640625" style="7" customWidth="1"/>
    <col min="10249" max="10249" width="19.453125" style="7" customWidth="1"/>
    <col min="10250" max="10250" width="15.54296875" style="7" customWidth="1"/>
    <col min="10251" max="10251" width="9.1796875" style="7"/>
    <col min="10252" max="10252" width="19.453125" style="7" customWidth="1"/>
    <col min="10253" max="10253" width="18.7265625" style="7" customWidth="1"/>
    <col min="10254" max="10254" width="10.7265625" style="7" customWidth="1"/>
    <col min="10255" max="10255" width="27.1796875" style="7" customWidth="1"/>
    <col min="10256" max="10256" width="17" style="7" customWidth="1"/>
    <col min="10257" max="10497" width="9.1796875" style="7"/>
    <col min="10498" max="10498" width="14.26953125" style="7" customWidth="1"/>
    <col min="10499" max="10499" width="24.54296875" style="7" bestFit="1" customWidth="1"/>
    <col min="10500" max="10500" width="64.54296875" style="7" customWidth="1"/>
    <col min="10501" max="10501" width="18" style="7" customWidth="1"/>
    <col min="10502" max="10502" width="13.1796875" style="7" customWidth="1"/>
    <col min="10503" max="10503" width="19" style="7" customWidth="1"/>
    <col min="10504" max="10504" width="14.81640625" style="7" customWidth="1"/>
    <col min="10505" max="10505" width="19.453125" style="7" customWidth="1"/>
    <col min="10506" max="10506" width="15.54296875" style="7" customWidth="1"/>
    <col min="10507" max="10507" width="9.1796875" style="7"/>
    <col min="10508" max="10508" width="19.453125" style="7" customWidth="1"/>
    <col min="10509" max="10509" width="18.7265625" style="7" customWidth="1"/>
    <col min="10510" max="10510" width="10.7265625" style="7" customWidth="1"/>
    <col min="10511" max="10511" width="27.1796875" style="7" customWidth="1"/>
    <col min="10512" max="10512" width="17" style="7" customWidth="1"/>
    <col min="10513" max="10753" width="9.1796875" style="7"/>
    <col min="10754" max="10754" width="14.26953125" style="7" customWidth="1"/>
    <col min="10755" max="10755" width="24.54296875" style="7" bestFit="1" customWidth="1"/>
    <col min="10756" max="10756" width="64.54296875" style="7" customWidth="1"/>
    <col min="10757" max="10757" width="18" style="7" customWidth="1"/>
    <col min="10758" max="10758" width="13.1796875" style="7" customWidth="1"/>
    <col min="10759" max="10759" width="19" style="7" customWidth="1"/>
    <col min="10760" max="10760" width="14.81640625" style="7" customWidth="1"/>
    <col min="10761" max="10761" width="19.453125" style="7" customWidth="1"/>
    <col min="10762" max="10762" width="15.54296875" style="7" customWidth="1"/>
    <col min="10763" max="10763" width="9.1796875" style="7"/>
    <col min="10764" max="10764" width="19.453125" style="7" customWidth="1"/>
    <col min="10765" max="10765" width="18.7265625" style="7" customWidth="1"/>
    <col min="10766" max="10766" width="10.7265625" style="7" customWidth="1"/>
    <col min="10767" max="10767" width="27.1796875" style="7" customWidth="1"/>
    <col min="10768" max="10768" width="17" style="7" customWidth="1"/>
    <col min="10769" max="11009" width="9.1796875" style="7"/>
    <col min="11010" max="11010" width="14.26953125" style="7" customWidth="1"/>
    <col min="11011" max="11011" width="24.54296875" style="7" bestFit="1" customWidth="1"/>
    <col min="11012" max="11012" width="64.54296875" style="7" customWidth="1"/>
    <col min="11013" max="11013" width="18" style="7" customWidth="1"/>
    <col min="11014" max="11014" width="13.1796875" style="7" customWidth="1"/>
    <col min="11015" max="11015" width="19" style="7" customWidth="1"/>
    <col min="11016" max="11016" width="14.81640625" style="7" customWidth="1"/>
    <col min="11017" max="11017" width="19.453125" style="7" customWidth="1"/>
    <col min="11018" max="11018" width="15.54296875" style="7" customWidth="1"/>
    <col min="11019" max="11019" width="9.1796875" style="7"/>
    <col min="11020" max="11020" width="19.453125" style="7" customWidth="1"/>
    <col min="11021" max="11021" width="18.7265625" style="7" customWidth="1"/>
    <col min="11022" max="11022" width="10.7265625" style="7" customWidth="1"/>
    <col min="11023" max="11023" width="27.1796875" style="7" customWidth="1"/>
    <col min="11024" max="11024" width="17" style="7" customWidth="1"/>
    <col min="11025" max="11265" width="9.1796875" style="7"/>
    <col min="11266" max="11266" width="14.26953125" style="7" customWidth="1"/>
    <col min="11267" max="11267" width="24.54296875" style="7" bestFit="1" customWidth="1"/>
    <col min="11268" max="11268" width="64.54296875" style="7" customWidth="1"/>
    <col min="11269" max="11269" width="18" style="7" customWidth="1"/>
    <col min="11270" max="11270" width="13.1796875" style="7" customWidth="1"/>
    <col min="11271" max="11271" width="19" style="7" customWidth="1"/>
    <col min="11272" max="11272" width="14.81640625" style="7" customWidth="1"/>
    <col min="11273" max="11273" width="19.453125" style="7" customWidth="1"/>
    <col min="11274" max="11274" width="15.54296875" style="7" customWidth="1"/>
    <col min="11275" max="11275" width="9.1796875" style="7"/>
    <col min="11276" max="11276" width="19.453125" style="7" customWidth="1"/>
    <col min="11277" max="11277" width="18.7265625" style="7" customWidth="1"/>
    <col min="11278" max="11278" width="10.7265625" style="7" customWidth="1"/>
    <col min="11279" max="11279" width="27.1796875" style="7" customWidth="1"/>
    <col min="11280" max="11280" width="17" style="7" customWidth="1"/>
    <col min="11281" max="11521" width="9.1796875" style="7"/>
    <col min="11522" max="11522" width="14.26953125" style="7" customWidth="1"/>
    <col min="11523" max="11523" width="24.54296875" style="7" bestFit="1" customWidth="1"/>
    <col min="11524" max="11524" width="64.54296875" style="7" customWidth="1"/>
    <col min="11525" max="11525" width="18" style="7" customWidth="1"/>
    <col min="11526" max="11526" width="13.1796875" style="7" customWidth="1"/>
    <col min="11527" max="11527" width="19" style="7" customWidth="1"/>
    <col min="11528" max="11528" width="14.81640625" style="7" customWidth="1"/>
    <col min="11529" max="11529" width="19.453125" style="7" customWidth="1"/>
    <col min="11530" max="11530" width="15.54296875" style="7" customWidth="1"/>
    <col min="11531" max="11531" width="9.1796875" style="7"/>
    <col min="11532" max="11532" width="19.453125" style="7" customWidth="1"/>
    <col min="11533" max="11533" width="18.7265625" style="7" customWidth="1"/>
    <col min="11534" max="11534" width="10.7265625" style="7" customWidth="1"/>
    <col min="11535" max="11535" width="27.1796875" style="7" customWidth="1"/>
    <col min="11536" max="11536" width="17" style="7" customWidth="1"/>
    <col min="11537" max="11777" width="9.1796875" style="7"/>
    <col min="11778" max="11778" width="14.26953125" style="7" customWidth="1"/>
    <col min="11779" max="11779" width="24.54296875" style="7" bestFit="1" customWidth="1"/>
    <col min="11780" max="11780" width="64.54296875" style="7" customWidth="1"/>
    <col min="11781" max="11781" width="18" style="7" customWidth="1"/>
    <col min="11782" max="11782" width="13.1796875" style="7" customWidth="1"/>
    <col min="11783" max="11783" width="19" style="7" customWidth="1"/>
    <col min="11784" max="11784" width="14.81640625" style="7" customWidth="1"/>
    <col min="11785" max="11785" width="19.453125" style="7" customWidth="1"/>
    <col min="11786" max="11786" width="15.54296875" style="7" customWidth="1"/>
    <col min="11787" max="11787" width="9.1796875" style="7"/>
    <col min="11788" max="11788" width="19.453125" style="7" customWidth="1"/>
    <col min="11789" max="11789" width="18.7265625" style="7" customWidth="1"/>
    <col min="11790" max="11790" width="10.7265625" style="7" customWidth="1"/>
    <col min="11791" max="11791" width="27.1796875" style="7" customWidth="1"/>
    <col min="11792" max="11792" width="17" style="7" customWidth="1"/>
    <col min="11793" max="12033" width="9.1796875" style="7"/>
    <col min="12034" max="12034" width="14.26953125" style="7" customWidth="1"/>
    <col min="12035" max="12035" width="24.54296875" style="7" bestFit="1" customWidth="1"/>
    <col min="12036" max="12036" width="64.54296875" style="7" customWidth="1"/>
    <col min="12037" max="12037" width="18" style="7" customWidth="1"/>
    <col min="12038" max="12038" width="13.1796875" style="7" customWidth="1"/>
    <col min="12039" max="12039" width="19" style="7" customWidth="1"/>
    <col min="12040" max="12040" width="14.81640625" style="7" customWidth="1"/>
    <col min="12041" max="12041" width="19.453125" style="7" customWidth="1"/>
    <col min="12042" max="12042" width="15.54296875" style="7" customWidth="1"/>
    <col min="12043" max="12043" width="9.1796875" style="7"/>
    <col min="12044" max="12044" width="19.453125" style="7" customWidth="1"/>
    <col min="12045" max="12045" width="18.7265625" style="7" customWidth="1"/>
    <col min="12046" max="12046" width="10.7265625" style="7" customWidth="1"/>
    <col min="12047" max="12047" width="27.1796875" style="7" customWidth="1"/>
    <col min="12048" max="12048" width="17" style="7" customWidth="1"/>
    <col min="12049" max="12289" width="9.1796875" style="7"/>
    <col min="12290" max="12290" width="14.26953125" style="7" customWidth="1"/>
    <col min="12291" max="12291" width="24.54296875" style="7" bestFit="1" customWidth="1"/>
    <col min="12292" max="12292" width="64.54296875" style="7" customWidth="1"/>
    <col min="12293" max="12293" width="18" style="7" customWidth="1"/>
    <col min="12294" max="12294" width="13.1796875" style="7" customWidth="1"/>
    <col min="12295" max="12295" width="19" style="7" customWidth="1"/>
    <col min="12296" max="12296" width="14.81640625" style="7" customWidth="1"/>
    <col min="12297" max="12297" width="19.453125" style="7" customWidth="1"/>
    <col min="12298" max="12298" width="15.54296875" style="7" customWidth="1"/>
    <col min="12299" max="12299" width="9.1796875" style="7"/>
    <col min="12300" max="12300" width="19.453125" style="7" customWidth="1"/>
    <col min="12301" max="12301" width="18.7265625" style="7" customWidth="1"/>
    <col min="12302" max="12302" width="10.7265625" style="7" customWidth="1"/>
    <col min="12303" max="12303" width="27.1796875" style="7" customWidth="1"/>
    <col min="12304" max="12304" width="17" style="7" customWidth="1"/>
    <col min="12305" max="12545" width="9.1796875" style="7"/>
    <col min="12546" max="12546" width="14.26953125" style="7" customWidth="1"/>
    <col min="12547" max="12547" width="24.54296875" style="7" bestFit="1" customWidth="1"/>
    <col min="12548" max="12548" width="64.54296875" style="7" customWidth="1"/>
    <col min="12549" max="12549" width="18" style="7" customWidth="1"/>
    <col min="12550" max="12550" width="13.1796875" style="7" customWidth="1"/>
    <col min="12551" max="12551" width="19" style="7" customWidth="1"/>
    <col min="12552" max="12552" width="14.81640625" style="7" customWidth="1"/>
    <col min="12553" max="12553" width="19.453125" style="7" customWidth="1"/>
    <col min="12554" max="12554" width="15.54296875" style="7" customWidth="1"/>
    <col min="12555" max="12555" width="9.1796875" style="7"/>
    <col min="12556" max="12556" width="19.453125" style="7" customWidth="1"/>
    <col min="12557" max="12557" width="18.7265625" style="7" customWidth="1"/>
    <col min="12558" max="12558" width="10.7265625" style="7" customWidth="1"/>
    <col min="12559" max="12559" width="27.1796875" style="7" customWidth="1"/>
    <col min="12560" max="12560" width="17" style="7" customWidth="1"/>
    <col min="12561" max="12801" width="9.1796875" style="7"/>
    <col min="12802" max="12802" width="14.26953125" style="7" customWidth="1"/>
    <col min="12803" max="12803" width="24.54296875" style="7" bestFit="1" customWidth="1"/>
    <col min="12804" max="12804" width="64.54296875" style="7" customWidth="1"/>
    <col min="12805" max="12805" width="18" style="7" customWidth="1"/>
    <col min="12806" max="12806" width="13.1796875" style="7" customWidth="1"/>
    <col min="12807" max="12807" width="19" style="7" customWidth="1"/>
    <col min="12808" max="12808" width="14.81640625" style="7" customWidth="1"/>
    <col min="12809" max="12809" width="19.453125" style="7" customWidth="1"/>
    <col min="12810" max="12810" width="15.54296875" style="7" customWidth="1"/>
    <col min="12811" max="12811" width="9.1796875" style="7"/>
    <col min="12812" max="12812" width="19.453125" style="7" customWidth="1"/>
    <col min="12813" max="12813" width="18.7265625" style="7" customWidth="1"/>
    <col min="12814" max="12814" width="10.7265625" style="7" customWidth="1"/>
    <col min="12815" max="12815" width="27.1796875" style="7" customWidth="1"/>
    <col min="12816" max="12816" width="17" style="7" customWidth="1"/>
    <col min="12817" max="13057" width="9.1796875" style="7"/>
    <col min="13058" max="13058" width="14.26953125" style="7" customWidth="1"/>
    <col min="13059" max="13059" width="24.54296875" style="7" bestFit="1" customWidth="1"/>
    <col min="13060" max="13060" width="64.54296875" style="7" customWidth="1"/>
    <col min="13061" max="13061" width="18" style="7" customWidth="1"/>
    <col min="13062" max="13062" width="13.1796875" style="7" customWidth="1"/>
    <col min="13063" max="13063" width="19" style="7" customWidth="1"/>
    <col min="13064" max="13064" width="14.81640625" style="7" customWidth="1"/>
    <col min="13065" max="13065" width="19.453125" style="7" customWidth="1"/>
    <col min="13066" max="13066" width="15.54296875" style="7" customWidth="1"/>
    <col min="13067" max="13067" width="9.1796875" style="7"/>
    <col min="13068" max="13068" width="19.453125" style="7" customWidth="1"/>
    <col min="13069" max="13069" width="18.7265625" style="7" customWidth="1"/>
    <col min="13070" max="13070" width="10.7265625" style="7" customWidth="1"/>
    <col min="13071" max="13071" width="27.1796875" style="7" customWidth="1"/>
    <col min="13072" max="13072" width="17" style="7" customWidth="1"/>
    <col min="13073" max="13313" width="9.1796875" style="7"/>
    <col min="13314" max="13314" width="14.26953125" style="7" customWidth="1"/>
    <col min="13315" max="13315" width="24.54296875" style="7" bestFit="1" customWidth="1"/>
    <col min="13316" max="13316" width="64.54296875" style="7" customWidth="1"/>
    <col min="13317" max="13317" width="18" style="7" customWidth="1"/>
    <col min="13318" max="13318" width="13.1796875" style="7" customWidth="1"/>
    <col min="13319" max="13319" width="19" style="7" customWidth="1"/>
    <col min="13320" max="13320" width="14.81640625" style="7" customWidth="1"/>
    <col min="13321" max="13321" width="19.453125" style="7" customWidth="1"/>
    <col min="13322" max="13322" width="15.54296875" style="7" customWidth="1"/>
    <col min="13323" max="13323" width="9.1796875" style="7"/>
    <col min="13324" max="13324" width="19.453125" style="7" customWidth="1"/>
    <col min="13325" max="13325" width="18.7265625" style="7" customWidth="1"/>
    <col min="13326" max="13326" width="10.7265625" style="7" customWidth="1"/>
    <col min="13327" max="13327" width="27.1796875" style="7" customWidth="1"/>
    <col min="13328" max="13328" width="17" style="7" customWidth="1"/>
    <col min="13329" max="13569" width="9.1796875" style="7"/>
    <col min="13570" max="13570" width="14.26953125" style="7" customWidth="1"/>
    <col min="13571" max="13571" width="24.54296875" style="7" bestFit="1" customWidth="1"/>
    <col min="13572" max="13572" width="64.54296875" style="7" customWidth="1"/>
    <col min="13573" max="13573" width="18" style="7" customWidth="1"/>
    <col min="13574" max="13574" width="13.1796875" style="7" customWidth="1"/>
    <col min="13575" max="13575" width="19" style="7" customWidth="1"/>
    <col min="13576" max="13576" width="14.81640625" style="7" customWidth="1"/>
    <col min="13577" max="13577" width="19.453125" style="7" customWidth="1"/>
    <col min="13578" max="13578" width="15.54296875" style="7" customWidth="1"/>
    <col min="13579" max="13579" width="9.1796875" style="7"/>
    <col min="13580" max="13580" width="19.453125" style="7" customWidth="1"/>
    <col min="13581" max="13581" width="18.7265625" style="7" customWidth="1"/>
    <col min="13582" max="13582" width="10.7265625" style="7" customWidth="1"/>
    <col min="13583" max="13583" width="27.1796875" style="7" customWidth="1"/>
    <col min="13584" max="13584" width="17" style="7" customWidth="1"/>
    <col min="13585" max="13825" width="9.1796875" style="7"/>
    <col min="13826" max="13826" width="14.26953125" style="7" customWidth="1"/>
    <col min="13827" max="13827" width="24.54296875" style="7" bestFit="1" customWidth="1"/>
    <col min="13828" max="13828" width="64.54296875" style="7" customWidth="1"/>
    <col min="13829" max="13829" width="18" style="7" customWidth="1"/>
    <col min="13830" max="13830" width="13.1796875" style="7" customWidth="1"/>
    <col min="13831" max="13831" width="19" style="7" customWidth="1"/>
    <col min="13832" max="13832" width="14.81640625" style="7" customWidth="1"/>
    <col min="13833" max="13833" width="19.453125" style="7" customWidth="1"/>
    <col min="13834" max="13834" width="15.54296875" style="7" customWidth="1"/>
    <col min="13835" max="13835" width="9.1796875" style="7"/>
    <col min="13836" max="13836" width="19.453125" style="7" customWidth="1"/>
    <col min="13837" max="13837" width="18.7265625" style="7" customWidth="1"/>
    <col min="13838" max="13838" width="10.7265625" style="7" customWidth="1"/>
    <col min="13839" max="13839" width="27.1796875" style="7" customWidth="1"/>
    <col min="13840" max="13840" width="17" style="7" customWidth="1"/>
    <col min="13841" max="14081" width="9.1796875" style="7"/>
    <col min="14082" max="14082" width="14.26953125" style="7" customWidth="1"/>
    <col min="14083" max="14083" width="24.54296875" style="7" bestFit="1" customWidth="1"/>
    <col min="14084" max="14084" width="64.54296875" style="7" customWidth="1"/>
    <col min="14085" max="14085" width="18" style="7" customWidth="1"/>
    <col min="14086" max="14086" width="13.1796875" style="7" customWidth="1"/>
    <col min="14087" max="14087" width="19" style="7" customWidth="1"/>
    <col min="14088" max="14088" width="14.81640625" style="7" customWidth="1"/>
    <col min="14089" max="14089" width="19.453125" style="7" customWidth="1"/>
    <col min="14090" max="14090" width="15.54296875" style="7" customWidth="1"/>
    <col min="14091" max="14091" width="9.1796875" style="7"/>
    <col min="14092" max="14092" width="19.453125" style="7" customWidth="1"/>
    <col min="14093" max="14093" width="18.7265625" style="7" customWidth="1"/>
    <col min="14094" max="14094" width="10.7265625" style="7" customWidth="1"/>
    <col min="14095" max="14095" width="27.1796875" style="7" customWidth="1"/>
    <col min="14096" max="14096" width="17" style="7" customWidth="1"/>
    <col min="14097" max="14337" width="9.1796875" style="7"/>
    <col min="14338" max="14338" width="14.26953125" style="7" customWidth="1"/>
    <col min="14339" max="14339" width="24.54296875" style="7" bestFit="1" customWidth="1"/>
    <col min="14340" max="14340" width="64.54296875" style="7" customWidth="1"/>
    <col min="14341" max="14341" width="18" style="7" customWidth="1"/>
    <col min="14342" max="14342" width="13.1796875" style="7" customWidth="1"/>
    <col min="14343" max="14343" width="19" style="7" customWidth="1"/>
    <col min="14344" max="14344" width="14.81640625" style="7" customWidth="1"/>
    <col min="14345" max="14345" width="19.453125" style="7" customWidth="1"/>
    <col min="14346" max="14346" width="15.54296875" style="7" customWidth="1"/>
    <col min="14347" max="14347" width="9.1796875" style="7"/>
    <col min="14348" max="14348" width="19.453125" style="7" customWidth="1"/>
    <col min="14349" max="14349" width="18.7265625" style="7" customWidth="1"/>
    <col min="14350" max="14350" width="10.7265625" style="7" customWidth="1"/>
    <col min="14351" max="14351" width="27.1796875" style="7" customWidth="1"/>
    <col min="14352" max="14352" width="17" style="7" customWidth="1"/>
    <col min="14353" max="14593" width="9.1796875" style="7"/>
    <col min="14594" max="14594" width="14.26953125" style="7" customWidth="1"/>
    <col min="14595" max="14595" width="24.54296875" style="7" bestFit="1" customWidth="1"/>
    <col min="14596" max="14596" width="64.54296875" style="7" customWidth="1"/>
    <col min="14597" max="14597" width="18" style="7" customWidth="1"/>
    <col min="14598" max="14598" width="13.1796875" style="7" customWidth="1"/>
    <col min="14599" max="14599" width="19" style="7" customWidth="1"/>
    <col min="14600" max="14600" width="14.81640625" style="7" customWidth="1"/>
    <col min="14601" max="14601" width="19.453125" style="7" customWidth="1"/>
    <col min="14602" max="14602" width="15.54296875" style="7" customWidth="1"/>
    <col min="14603" max="14603" width="9.1796875" style="7"/>
    <col min="14604" max="14604" width="19.453125" style="7" customWidth="1"/>
    <col min="14605" max="14605" width="18.7265625" style="7" customWidth="1"/>
    <col min="14606" max="14606" width="10.7265625" style="7" customWidth="1"/>
    <col min="14607" max="14607" width="27.1796875" style="7" customWidth="1"/>
    <col min="14608" max="14608" width="17" style="7" customWidth="1"/>
    <col min="14609" max="14849" width="9.1796875" style="7"/>
    <col min="14850" max="14850" width="14.26953125" style="7" customWidth="1"/>
    <col min="14851" max="14851" width="24.54296875" style="7" bestFit="1" customWidth="1"/>
    <col min="14852" max="14852" width="64.54296875" style="7" customWidth="1"/>
    <col min="14853" max="14853" width="18" style="7" customWidth="1"/>
    <col min="14854" max="14854" width="13.1796875" style="7" customWidth="1"/>
    <col min="14855" max="14855" width="19" style="7" customWidth="1"/>
    <col min="14856" max="14856" width="14.81640625" style="7" customWidth="1"/>
    <col min="14857" max="14857" width="19.453125" style="7" customWidth="1"/>
    <col min="14858" max="14858" width="15.54296875" style="7" customWidth="1"/>
    <col min="14859" max="14859" width="9.1796875" style="7"/>
    <col min="14860" max="14860" width="19.453125" style="7" customWidth="1"/>
    <col min="14861" max="14861" width="18.7265625" style="7" customWidth="1"/>
    <col min="14862" max="14862" width="10.7265625" style="7" customWidth="1"/>
    <col min="14863" max="14863" width="27.1796875" style="7" customWidth="1"/>
    <col min="14864" max="14864" width="17" style="7" customWidth="1"/>
    <col min="14865" max="15105" width="9.1796875" style="7"/>
    <col min="15106" max="15106" width="14.26953125" style="7" customWidth="1"/>
    <col min="15107" max="15107" width="24.54296875" style="7" bestFit="1" customWidth="1"/>
    <col min="15108" max="15108" width="64.54296875" style="7" customWidth="1"/>
    <col min="15109" max="15109" width="18" style="7" customWidth="1"/>
    <col min="15110" max="15110" width="13.1796875" style="7" customWidth="1"/>
    <col min="15111" max="15111" width="19" style="7" customWidth="1"/>
    <col min="15112" max="15112" width="14.81640625" style="7" customWidth="1"/>
    <col min="15113" max="15113" width="19.453125" style="7" customWidth="1"/>
    <col min="15114" max="15114" width="15.54296875" style="7" customWidth="1"/>
    <col min="15115" max="15115" width="9.1796875" style="7"/>
    <col min="15116" max="15116" width="19.453125" style="7" customWidth="1"/>
    <col min="15117" max="15117" width="18.7265625" style="7" customWidth="1"/>
    <col min="15118" max="15118" width="10.7265625" style="7" customWidth="1"/>
    <col min="15119" max="15119" width="27.1796875" style="7" customWidth="1"/>
    <col min="15120" max="15120" width="17" style="7" customWidth="1"/>
    <col min="15121" max="15361" width="9.1796875" style="7"/>
    <col min="15362" max="15362" width="14.26953125" style="7" customWidth="1"/>
    <col min="15363" max="15363" width="24.54296875" style="7" bestFit="1" customWidth="1"/>
    <col min="15364" max="15364" width="64.54296875" style="7" customWidth="1"/>
    <col min="15365" max="15365" width="18" style="7" customWidth="1"/>
    <col min="15366" max="15366" width="13.1796875" style="7" customWidth="1"/>
    <col min="15367" max="15367" width="19" style="7" customWidth="1"/>
    <col min="15368" max="15368" width="14.81640625" style="7" customWidth="1"/>
    <col min="15369" max="15369" width="19.453125" style="7" customWidth="1"/>
    <col min="15370" max="15370" width="15.54296875" style="7" customWidth="1"/>
    <col min="15371" max="15371" width="9.1796875" style="7"/>
    <col min="15372" max="15372" width="19.453125" style="7" customWidth="1"/>
    <col min="15373" max="15373" width="18.7265625" style="7" customWidth="1"/>
    <col min="15374" max="15374" width="10.7265625" style="7" customWidth="1"/>
    <col min="15375" max="15375" width="27.1796875" style="7" customWidth="1"/>
    <col min="15376" max="15376" width="17" style="7" customWidth="1"/>
    <col min="15377" max="15617" width="9.1796875" style="7"/>
    <col min="15618" max="15618" width="14.26953125" style="7" customWidth="1"/>
    <col min="15619" max="15619" width="24.54296875" style="7" bestFit="1" customWidth="1"/>
    <col min="15620" max="15620" width="64.54296875" style="7" customWidth="1"/>
    <col min="15621" max="15621" width="18" style="7" customWidth="1"/>
    <col min="15622" max="15622" width="13.1796875" style="7" customWidth="1"/>
    <col min="15623" max="15623" width="19" style="7" customWidth="1"/>
    <col min="15624" max="15624" width="14.81640625" style="7" customWidth="1"/>
    <col min="15625" max="15625" width="19.453125" style="7" customWidth="1"/>
    <col min="15626" max="15626" width="15.54296875" style="7" customWidth="1"/>
    <col min="15627" max="15627" width="9.1796875" style="7"/>
    <col min="15628" max="15628" width="19.453125" style="7" customWidth="1"/>
    <col min="15629" max="15629" width="18.7265625" style="7" customWidth="1"/>
    <col min="15630" max="15630" width="10.7265625" style="7" customWidth="1"/>
    <col min="15631" max="15631" width="27.1796875" style="7" customWidth="1"/>
    <col min="15632" max="15632" width="17" style="7" customWidth="1"/>
    <col min="15633" max="15873" width="9.1796875" style="7"/>
    <col min="15874" max="15874" width="14.26953125" style="7" customWidth="1"/>
    <col min="15875" max="15875" width="24.54296875" style="7" bestFit="1" customWidth="1"/>
    <col min="15876" max="15876" width="64.54296875" style="7" customWidth="1"/>
    <col min="15877" max="15877" width="18" style="7" customWidth="1"/>
    <col min="15878" max="15878" width="13.1796875" style="7" customWidth="1"/>
    <col min="15879" max="15879" width="19" style="7" customWidth="1"/>
    <col min="15880" max="15880" width="14.81640625" style="7" customWidth="1"/>
    <col min="15881" max="15881" width="19.453125" style="7" customWidth="1"/>
    <col min="15882" max="15882" width="15.54296875" style="7" customWidth="1"/>
    <col min="15883" max="15883" width="9.1796875" style="7"/>
    <col min="15884" max="15884" width="19.453125" style="7" customWidth="1"/>
    <col min="15885" max="15885" width="18.7265625" style="7" customWidth="1"/>
    <col min="15886" max="15886" width="10.7265625" style="7" customWidth="1"/>
    <col min="15887" max="15887" width="27.1796875" style="7" customWidth="1"/>
    <col min="15888" max="15888" width="17" style="7" customWidth="1"/>
    <col min="15889" max="16129" width="9.1796875" style="7"/>
    <col min="16130" max="16130" width="14.26953125" style="7" customWidth="1"/>
    <col min="16131" max="16131" width="24.54296875" style="7" bestFit="1" customWidth="1"/>
    <col min="16132" max="16132" width="64.54296875" style="7" customWidth="1"/>
    <col min="16133" max="16133" width="18" style="7" customWidth="1"/>
    <col min="16134" max="16134" width="13.1796875" style="7" customWidth="1"/>
    <col min="16135" max="16135" width="19" style="7" customWidth="1"/>
    <col min="16136" max="16136" width="14.81640625" style="7" customWidth="1"/>
    <col min="16137" max="16137" width="19.453125" style="7" customWidth="1"/>
    <col min="16138" max="16138" width="15.54296875" style="7" customWidth="1"/>
    <col min="16139" max="16139" width="9.1796875" style="7"/>
    <col min="16140" max="16140" width="19.453125" style="7" customWidth="1"/>
    <col min="16141" max="16141" width="18.7265625" style="7" customWidth="1"/>
    <col min="16142" max="16142" width="10.7265625" style="7" customWidth="1"/>
    <col min="16143" max="16143" width="27.1796875" style="7" customWidth="1"/>
    <col min="16144" max="16144" width="17" style="7" customWidth="1"/>
    <col min="16145" max="16384" width="9.1796875" style="7"/>
  </cols>
  <sheetData>
    <row r="5" spans="1:17" x14ac:dyDescent="0.3">
      <c r="A5" s="1"/>
      <c r="B5" s="1"/>
      <c r="C5" s="1" t="s">
        <v>0</v>
      </c>
      <c r="D5" s="1"/>
      <c r="E5" s="2"/>
      <c r="F5" s="3" t="s">
        <v>1</v>
      </c>
      <c r="G5" s="1"/>
      <c r="H5" s="3"/>
      <c r="I5" s="4"/>
      <c r="J5" s="1"/>
      <c r="K5" s="1"/>
      <c r="L5" s="5" t="s">
        <v>0</v>
      </c>
      <c r="M5" s="1"/>
      <c r="N5" s="1"/>
      <c r="O5" s="5"/>
      <c r="P5" s="6"/>
    </row>
    <row r="6" spans="1:17" x14ac:dyDescent="0.3">
      <c r="A6" s="1"/>
      <c r="B6" s="1"/>
      <c r="C6" s="1"/>
      <c r="D6" s="1"/>
      <c r="E6" s="8"/>
      <c r="F6" s="3" t="s">
        <v>2</v>
      </c>
      <c r="G6" s="1"/>
      <c r="H6" s="3"/>
      <c r="I6" s="4"/>
      <c r="J6" s="1"/>
      <c r="K6" s="1"/>
      <c r="L6" s="5"/>
      <c r="M6" s="1"/>
      <c r="N6" s="1"/>
      <c r="O6" s="5"/>
      <c r="P6" s="6"/>
    </row>
    <row r="7" spans="1:17" x14ac:dyDescent="0.3">
      <c r="A7" s="1"/>
      <c r="B7" s="1"/>
      <c r="C7" s="1"/>
      <c r="D7" s="1"/>
      <c r="E7" s="2"/>
      <c r="F7" s="3" t="s">
        <v>3</v>
      </c>
      <c r="G7" s="1"/>
      <c r="H7" s="3"/>
      <c r="I7" s="4"/>
      <c r="J7" s="1"/>
      <c r="K7" s="1"/>
      <c r="L7" s="5"/>
      <c r="M7" s="1" t="s">
        <v>0</v>
      </c>
      <c r="N7" s="1"/>
      <c r="O7" s="5"/>
      <c r="P7" s="6"/>
    </row>
    <row r="8" spans="1:17" x14ac:dyDescent="0.3">
      <c r="A8" s="1"/>
      <c r="B8" s="1"/>
      <c r="C8" s="1"/>
      <c r="D8" s="1"/>
      <c r="E8" s="2"/>
      <c r="F8" s="9" t="s">
        <v>4</v>
      </c>
      <c r="G8" s="10"/>
      <c r="H8" s="9"/>
      <c r="I8" s="11"/>
      <c r="J8" s="12"/>
      <c r="K8" s="1"/>
      <c r="L8" s="5"/>
      <c r="M8" s="1"/>
      <c r="N8" s="1"/>
      <c r="O8" s="5"/>
      <c r="P8" s="6"/>
    </row>
    <row r="9" spans="1:17" x14ac:dyDescent="0.3">
      <c r="A9" s="1"/>
      <c r="B9" s="1"/>
      <c r="C9" s="1"/>
      <c r="D9" s="1"/>
      <c r="E9" s="2"/>
      <c r="F9" s="9"/>
      <c r="G9" s="10"/>
      <c r="H9" s="9"/>
      <c r="I9" s="11"/>
      <c r="J9" s="12"/>
      <c r="K9" s="1"/>
      <c r="L9" s="5"/>
      <c r="M9" s="1"/>
      <c r="N9" s="1"/>
      <c r="O9" s="5"/>
      <c r="P9" s="6"/>
    </row>
    <row r="10" spans="1:17" x14ac:dyDescent="0.3">
      <c r="A10" s="1" t="s">
        <v>5</v>
      </c>
      <c r="B10" s="5" t="s">
        <v>6</v>
      </c>
      <c r="C10" s="5" t="s">
        <v>7</v>
      </c>
      <c r="D10" s="13" t="s">
        <v>8</v>
      </c>
      <c r="E10" s="3" t="s">
        <v>9</v>
      </c>
      <c r="F10" s="14"/>
      <c r="G10" s="15" t="s">
        <v>10</v>
      </c>
      <c r="H10" s="15" t="s">
        <v>10</v>
      </c>
      <c r="I10" s="15" t="s">
        <v>11</v>
      </c>
      <c r="J10" s="15"/>
      <c r="K10" s="15"/>
      <c r="L10" s="3" t="s">
        <v>12</v>
      </c>
      <c r="M10" s="15"/>
      <c r="N10" s="16"/>
      <c r="O10" s="4" t="s">
        <v>13</v>
      </c>
      <c r="P10" s="3"/>
      <c r="Q10" s="3"/>
    </row>
    <row r="11" spans="1:17" x14ac:dyDescent="0.3">
      <c r="A11" s="1"/>
      <c r="B11" s="15" t="s">
        <v>14</v>
      </c>
      <c r="C11" s="15" t="s">
        <v>14</v>
      </c>
      <c r="D11" s="17"/>
      <c r="E11" s="3" t="s">
        <v>15</v>
      </c>
      <c r="F11" s="14"/>
      <c r="G11" s="5" t="s">
        <v>16</v>
      </c>
      <c r="H11" s="5" t="s">
        <v>17</v>
      </c>
      <c r="I11" s="5" t="s">
        <v>16</v>
      </c>
      <c r="J11" s="5" t="s">
        <v>17</v>
      </c>
      <c r="K11" s="15" t="s">
        <v>18</v>
      </c>
      <c r="L11" s="5" t="s">
        <v>16</v>
      </c>
      <c r="M11" s="15" t="s">
        <v>17</v>
      </c>
      <c r="N11" s="15" t="s">
        <v>18</v>
      </c>
      <c r="O11" s="15" t="s">
        <v>16</v>
      </c>
      <c r="P11" s="15" t="s">
        <v>17</v>
      </c>
      <c r="Q11" s="18" t="s">
        <v>18</v>
      </c>
    </row>
    <row r="12" spans="1:17" x14ac:dyDescent="0.35">
      <c r="A12" s="6">
        <v>1</v>
      </c>
      <c r="B12" s="6" t="s">
        <v>755</v>
      </c>
      <c r="C12" s="6" t="s">
        <v>19</v>
      </c>
      <c r="D12" s="6" t="s">
        <v>20</v>
      </c>
      <c r="E12" s="19">
        <v>45560</v>
      </c>
      <c r="F12" s="19">
        <v>45589</v>
      </c>
      <c r="G12" s="20">
        <v>53000000</v>
      </c>
      <c r="H12" s="20">
        <v>265000</v>
      </c>
      <c r="I12" s="21">
        <f t="shared" ref="I12:J13" si="0">G12*30%</f>
        <v>15900000</v>
      </c>
      <c r="J12" s="21">
        <f t="shared" si="0"/>
        <v>79500</v>
      </c>
      <c r="K12" s="22">
        <f t="shared" ref="K12:K75" si="1">I12/G12*100</f>
        <v>30</v>
      </c>
      <c r="L12" s="21">
        <f t="shared" ref="L12:M13" si="2">G12*70%</f>
        <v>37100000</v>
      </c>
      <c r="M12" s="23">
        <f t="shared" si="2"/>
        <v>185500</v>
      </c>
      <c r="N12" s="24">
        <f t="shared" ref="N12:N75" si="3">L12/G12*100</f>
        <v>70</v>
      </c>
      <c r="O12" s="6"/>
      <c r="P12" s="6"/>
      <c r="Q12" s="6"/>
    </row>
    <row r="13" spans="1:17" x14ac:dyDescent="0.35">
      <c r="A13" s="6">
        <v>2</v>
      </c>
      <c r="B13" s="6" t="s">
        <v>756</v>
      </c>
      <c r="C13" s="6" t="s">
        <v>21</v>
      </c>
      <c r="D13" s="6" t="s">
        <v>22</v>
      </c>
      <c r="E13" s="19">
        <v>45475</v>
      </c>
      <c r="F13" s="19">
        <v>45838</v>
      </c>
      <c r="G13" s="20">
        <v>191247630.40000001</v>
      </c>
      <c r="H13" s="20">
        <v>1912476.3</v>
      </c>
      <c r="I13" s="21">
        <f t="shared" si="0"/>
        <v>57374289.119999997</v>
      </c>
      <c r="J13" s="21">
        <f t="shared" si="0"/>
        <v>573742.89</v>
      </c>
      <c r="K13" s="22">
        <f t="shared" si="1"/>
        <v>30</v>
      </c>
      <c r="L13" s="21">
        <f t="shared" si="2"/>
        <v>133873341.28</v>
      </c>
      <c r="M13" s="23">
        <f t="shared" si="2"/>
        <v>1338733.4099999999</v>
      </c>
      <c r="N13" s="24">
        <f t="shared" si="3"/>
        <v>70</v>
      </c>
      <c r="O13" s="6"/>
      <c r="P13" s="6"/>
      <c r="Q13" s="6"/>
    </row>
    <row r="14" spans="1:17" x14ac:dyDescent="0.35">
      <c r="A14" s="6">
        <v>3</v>
      </c>
      <c r="B14" s="6" t="s">
        <v>757</v>
      </c>
      <c r="C14" s="6" t="s">
        <v>23</v>
      </c>
      <c r="D14" s="6" t="s">
        <v>24</v>
      </c>
      <c r="E14" s="19">
        <v>45486</v>
      </c>
      <c r="F14" s="19">
        <v>45850</v>
      </c>
      <c r="G14" s="20">
        <v>600000000</v>
      </c>
      <c r="H14" s="20">
        <v>1200000</v>
      </c>
      <c r="I14" s="21">
        <v>150000000</v>
      </c>
      <c r="J14" s="21">
        <f>H14*K14%</f>
        <v>300000</v>
      </c>
      <c r="K14" s="22">
        <f t="shared" si="1"/>
        <v>25</v>
      </c>
      <c r="L14" s="21">
        <v>350000000</v>
      </c>
      <c r="M14" s="23">
        <v>699960</v>
      </c>
      <c r="N14" s="24">
        <f t="shared" si="3"/>
        <v>58.333333333333336</v>
      </c>
      <c r="O14" s="23">
        <f>G14-I14-L14</f>
        <v>100000000</v>
      </c>
      <c r="P14" s="25">
        <f>H14-J14-M14</f>
        <v>200040</v>
      </c>
      <c r="Q14" s="6">
        <f>100-25-58.33</f>
        <v>16.670000000000002</v>
      </c>
    </row>
    <row r="15" spans="1:17" x14ac:dyDescent="0.35">
      <c r="A15" s="6">
        <v>4</v>
      </c>
      <c r="B15" s="6" t="s">
        <v>758</v>
      </c>
      <c r="C15" s="6" t="s">
        <v>25</v>
      </c>
      <c r="D15" s="6" t="s">
        <v>24</v>
      </c>
      <c r="E15" s="19">
        <v>45456</v>
      </c>
      <c r="F15" s="19">
        <v>45810</v>
      </c>
      <c r="G15" s="20">
        <v>671897019.16999996</v>
      </c>
      <c r="H15" s="20">
        <v>1343794.04</v>
      </c>
      <c r="I15" s="21">
        <v>150000000</v>
      </c>
      <c r="J15" s="21">
        <v>299934.83</v>
      </c>
      <c r="K15" s="22">
        <f t="shared" si="1"/>
        <v>22.324849749340498</v>
      </c>
      <c r="L15" s="21">
        <v>350000000</v>
      </c>
      <c r="M15" s="23">
        <v>699982.32</v>
      </c>
      <c r="N15" s="24">
        <f t="shared" si="3"/>
        <v>52.091316081794488</v>
      </c>
      <c r="O15" s="23">
        <f t="shared" ref="O15:P30" si="4">G15-I15-L15</f>
        <v>171897019.16999996</v>
      </c>
      <c r="P15" s="25">
        <f>H15-J15-M15</f>
        <v>343876.89</v>
      </c>
      <c r="Q15" s="25">
        <f>100-K15-N15</f>
        <v>25.58383416886501</v>
      </c>
    </row>
    <row r="16" spans="1:17" x14ac:dyDescent="0.35">
      <c r="A16" s="6">
        <v>5</v>
      </c>
      <c r="B16" s="6" t="s">
        <v>759</v>
      </c>
      <c r="C16" s="6" t="s">
        <v>26</v>
      </c>
      <c r="D16" s="6" t="s">
        <v>27</v>
      </c>
      <c r="E16" s="19">
        <v>45446</v>
      </c>
      <c r="F16" s="19">
        <v>45810</v>
      </c>
      <c r="G16" s="20">
        <v>1988024396.5999999</v>
      </c>
      <c r="H16" s="20">
        <v>2982036.59</v>
      </c>
      <c r="I16" s="21">
        <v>150000000</v>
      </c>
      <c r="J16" s="26">
        <v>225143.76</v>
      </c>
      <c r="K16" s="22">
        <f t="shared" si="1"/>
        <v>7.5451790358577133</v>
      </c>
      <c r="L16" s="21">
        <v>350000000</v>
      </c>
      <c r="M16" s="23">
        <v>525136.64000000001</v>
      </c>
      <c r="N16" s="24">
        <f t="shared" si="3"/>
        <v>17.605417750334666</v>
      </c>
      <c r="O16" s="23">
        <f t="shared" si="4"/>
        <v>1488024396.5999999</v>
      </c>
      <c r="P16" s="25">
        <f t="shared" si="4"/>
        <v>2231756.19</v>
      </c>
      <c r="Q16" s="25">
        <f>100-K16-N16</f>
        <v>74.849403213807619</v>
      </c>
    </row>
    <row r="17" spans="1:17" x14ac:dyDescent="0.35">
      <c r="A17" s="6">
        <v>6</v>
      </c>
      <c r="B17" s="6" t="s">
        <v>760</v>
      </c>
      <c r="C17" s="6" t="s">
        <v>28</v>
      </c>
      <c r="D17" s="6" t="s">
        <v>29</v>
      </c>
      <c r="E17" s="19">
        <v>45462</v>
      </c>
      <c r="F17" s="19">
        <v>45826</v>
      </c>
      <c r="G17" s="20">
        <v>997473365.02999997</v>
      </c>
      <c r="H17" s="20">
        <v>1994946.73</v>
      </c>
      <c r="I17" s="21">
        <v>150000000</v>
      </c>
      <c r="J17" s="21">
        <v>300039.99</v>
      </c>
      <c r="K17" s="22">
        <f t="shared" si="1"/>
        <v>15.037995525373113</v>
      </c>
      <c r="L17" s="21">
        <v>350000000</v>
      </c>
      <c r="M17" s="23">
        <v>700026.81</v>
      </c>
      <c r="N17" s="24">
        <f t="shared" si="3"/>
        <v>35.088656225870594</v>
      </c>
      <c r="O17" s="23">
        <f t="shared" si="4"/>
        <v>497473365.02999997</v>
      </c>
      <c r="P17" s="25">
        <f t="shared" si="4"/>
        <v>994879.92999999993</v>
      </c>
      <c r="Q17" s="25">
        <f t="shared" ref="Q17:Q80" si="5">100-K17-N17</f>
        <v>49.873348248756301</v>
      </c>
    </row>
    <row r="18" spans="1:17" x14ac:dyDescent="0.35">
      <c r="A18" s="6">
        <v>7</v>
      </c>
      <c r="B18" s="6" t="s">
        <v>761</v>
      </c>
      <c r="C18" s="6" t="s">
        <v>30</v>
      </c>
      <c r="D18" s="6" t="s">
        <v>29</v>
      </c>
      <c r="E18" s="19">
        <v>45463</v>
      </c>
      <c r="F18" s="19">
        <v>45827</v>
      </c>
      <c r="G18" s="20">
        <v>4095040445.98</v>
      </c>
      <c r="H18" s="20">
        <v>8190080.8899999997</v>
      </c>
      <c r="I18" s="21">
        <v>150000000</v>
      </c>
      <c r="J18" s="21">
        <v>299756.96000000002</v>
      </c>
      <c r="K18" s="22">
        <f t="shared" si="1"/>
        <v>3.6629674841734787</v>
      </c>
      <c r="L18" s="21">
        <v>350000000</v>
      </c>
      <c r="M18" s="23">
        <v>700251.92</v>
      </c>
      <c r="N18" s="24">
        <f t="shared" si="3"/>
        <v>8.546924129738116</v>
      </c>
      <c r="O18" s="23">
        <f t="shared" si="4"/>
        <v>3595040445.98</v>
      </c>
      <c r="P18" s="25">
        <f t="shared" si="4"/>
        <v>7190072.0099999998</v>
      </c>
      <c r="Q18" s="25">
        <f t="shared" si="5"/>
        <v>87.790108386088406</v>
      </c>
    </row>
    <row r="19" spans="1:17" x14ac:dyDescent="0.35">
      <c r="A19" s="6">
        <v>8</v>
      </c>
      <c r="B19" s="6" t="s">
        <v>762</v>
      </c>
      <c r="C19" s="6" t="s">
        <v>31</v>
      </c>
      <c r="D19" s="6" t="s">
        <v>29</v>
      </c>
      <c r="E19" s="19">
        <v>45462</v>
      </c>
      <c r="F19" s="19">
        <v>45826</v>
      </c>
      <c r="G19" s="20">
        <v>1868957592.45</v>
      </c>
      <c r="H19" s="20">
        <v>3737915.18</v>
      </c>
      <c r="I19" s="21">
        <v>150000000</v>
      </c>
      <c r="J19" s="21">
        <v>300154.59000000003</v>
      </c>
      <c r="K19" s="22">
        <f t="shared" si="1"/>
        <v>8.0258642895886325</v>
      </c>
      <c r="L19" s="21">
        <v>350000000</v>
      </c>
      <c r="M19" s="23">
        <v>700111.51</v>
      </c>
      <c r="N19" s="24">
        <f t="shared" si="3"/>
        <v>18.72701667570681</v>
      </c>
      <c r="O19" s="23">
        <f t="shared" si="4"/>
        <v>1368957592.45</v>
      </c>
      <c r="P19" s="25">
        <f t="shared" si="4"/>
        <v>2737649.08</v>
      </c>
      <c r="Q19" s="25">
        <f t="shared" si="5"/>
        <v>73.247119034704554</v>
      </c>
    </row>
    <row r="20" spans="1:17" x14ac:dyDescent="0.35">
      <c r="A20" s="6">
        <v>9</v>
      </c>
      <c r="B20" s="6" t="s">
        <v>763</v>
      </c>
      <c r="C20" s="6" t="s">
        <v>32</v>
      </c>
      <c r="D20" s="6" t="s">
        <v>29</v>
      </c>
      <c r="E20" s="19">
        <v>45462</v>
      </c>
      <c r="F20" s="19">
        <v>45826</v>
      </c>
      <c r="G20" s="20">
        <v>5984840190.1499996</v>
      </c>
      <c r="H20" s="20">
        <v>11969680.380000001</v>
      </c>
      <c r="I20" s="21">
        <v>150000000</v>
      </c>
      <c r="J20" s="21">
        <v>300438.98</v>
      </c>
      <c r="K20" s="22">
        <f t="shared" si="1"/>
        <v>2.5063325875747489</v>
      </c>
      <c r="L20" s="21">
        <v>350000000</v>
      </c>
      <c r="M20" s="23">
        <v>700226.3</v>
      </c>
      <c r="N20" s="24">
        <f t="shared" si="3"/>
        <v>5.8481093710077472</v>
      </c>
      <c r="O20" s="23">
        <f t="shared" si="4"/>
        <v>5484840190.1499996</v>
      </c>
      <c r="P20" s="25">
        <f t="shared" si="4"/>
        <v>10969015.1</v>
      </c>
      <c r="Q20" s="25">
        <f t="shared" si="5"/>
        <v>91.645558041417502</v>
      </c>
    </row>
    <row r="21" spans="1:17" x14ac:dyDescent="0.35">
      <c r="A21" s="6">
        <v>10</v>
      </c>
      <c r="B21" s="6" t="s">
        <v>764</v>
      </c>
      <c r="C21" s="6" t="s">
        <v>33</v>
      </c>
      <c r="D21" s="6" t="s">
        <v>29</v>
      </c>
      <c r="E21" s="19">
        <v>45464</v>
      </c>
      <c r="F21" s="19">
        <v>45828</v>
      </c>
      <c r="G21" s="20">
        <v>1214199929.5699999</v>
      </c>
      <c r="H21" s="20">
        <v>2428399.86</v>
      </c>
      <c r="I21" s="21">
        <v>150000000</v>
      </c>
      <c r="J21" s="21">
        <v>299907.38</v>
      </c>
      <c r="K21" s="22">
        <f t="shared" si="1"/>
        <v>12.353813926930584</v>
      </c>
      <c r="L21" s="21">
        <v>350000000</v>
      </c>
      <c r="M21" s="23">
        <v>700107.68</v>
      </c>
      <c r="N21" s="24">
        <f t="shared" si="3"/>
        <v>28.825565829504697</v>
      </c>
      <c r="O21" s="23">
        <f t="shared" si="4"/>
        <v>714199929.56999993</v>
      </c>
      <c r="P21" s="25">
        <f t="shared" si="4"/>
        <v>1428384.7999999998</v>
      </c>
      <c r="Q21" s="25">
        <f t="shared" si="5"/>
        <v>58.820620243564719</v>
      </c>
    </row>
    <row r="22" spans="1:17" x14ac:dyDescent="0.35">
      <c r="A22" s="6">
        <v>11</v>
      </c>
      <c r="B22" s="6" t="s">
        <v>765</v>
      </c>
      <c r="C22" s="6" t="s">
        <v>34</v>
      </c>
      <c r="D22" s="6" t="s">
        <v>29</v>
      </c>
      <c r="E22" s="19">
        <v>45464</v>
      </c>
      <c r="F22" s="19">
        <v>45828</v>
      </c>
      <c r="G22" s="20">
        <v>5463899683.04</v>
      </c>
      <c r="H22" s="20">
        <v>10927799.369999999</v>
      </c>
      <c r="I22" s="21">
        <v>150000000</v>
      </c>
      <c r="J22" s="21">
        <v>300514.48</v>
      </c>
      <c r="K22" s="22">
        <f t="shared" si="1"/>
        <v>2.745291983774913</v>
      </c>
      <c r="L22" s="21">
        <v>350000000</v>
      </c>
      <c r="M22" s="23">
        <v>700471.94</v>
      </c>
      <c r="N22" s="24">
        <f t="shared" si="3"/>
        <v>6.4056812954747961</v>
      </c>
      <c r="O22" s="23">
        <f t="shared" si="4"/>
        <v>4963899683.04</v>
      </c>
      <c r="P22" s="25">
        <f t="shared" si="4"/>
        <v>9926812.9499999993</v>
      </c>
      <c r="Q22" s="25">
        <f t="shared" si="5"/>
        <v>90.849026720750288</v>
      </c>
    </row>
    <row r="23" spans="1:17" x14ac:dyDescent="0.35">
      <c r="A23" s="6">
        <v>12</v>
      </c>
      <c r="B23" s="6" t="s">
        <v>766</v>
      </c>
      <c r="C23" s="6" t="s">
        <v>35</v>
      </c>
      <c r="D23" s="6" t="s">
        <v>29</v>
      </c>
      <c r="E23" s="19">
        <v>45462</v>
      </c>
      <c r="F23" s="19">
        <v>45826</v>
      </c>
      <c r="G23" s="20">
        <v>8410309166.0200005</v>
      </c>
      <c r="H23" s="20">
        <v>16820618.329999998</v>
      </c>
      <c r="I23" s="21">
        <v>150000000</v>
      </c>
      <c r="J23" s="21">
        <v>299407.01</v>
      </c>
      <c r="K23" s="22">
        <f t="shared" si="1"/>
        <v>1.783525397687423</v>
      </c>
      <c r="L23" s="21">
        <v>350000000</v>
      </c>
      <c r="M23" s="23">
        <v>699737.72</v>
      </c>
      <c r="N23" s="24">
        <f t="shared" si="3"/>
        <v>4.1615592612706536</v>
      </c>
      <c r="O23" s="23">
        <f t="shared" si="4"/>
        <v>7910309166.0200005</v>
      </c>
      <c r="P23" s="25">
        <f t="shared" si="4"/>
        <v>15821473.599999998</v>
      </c>
      <c r="Q23" s="25">
        <f t="shared" si="5"/>
        <v>94.054915341041919</v>
      </c>
    </row>
    <row r="24" spans="1:17" x14ac:dyDescent="0.35">
      <c r="A24" s="6">
        <v>13</v>
      </c>
      <c r="B24" s="6" t="s">
        <v>767</v>
      </c>
      <c r="C24" s="6" t="s">
        <v>36</v>
      </c>
      <c r="D24" s="6" t="s">
        <v>29</v>
      </c>
      <c r="E24" s="19">
        <v>45462</v>
      </c>
      <c r="F24" s="19">
        <v>45826</v>
      </c>
      <c r="G24" s="20">
        <v>1449392208.8499999</v>
      </c>
      <c r="H24" s="20">
        <v>2898784.42</v>
      </c>
      <c r="I24" s="21">
        <v>150000000</v>
      </c>
      <c r="J24" s="21">
        <v>300024.19</v>
      </c>
      <c r="K24" s="22">
        <f t="shared" si="1"/>
        <v>10.349165607769855</v>
      </c>
      <c r="L24" s="21">
        <v>350000000</v>
      </c>
      <c r="M24" s="23">
        <v>700056.44</v>
      </c>
      <c r="N24" s="24">
        <f t="shared" si="3"/>
        <v>24.148053084796324</v>
      </c>
      <c r="O24" s="23">
        <f t="shared" si="4"/>
        <v>949392208.8499999</v>
      </c>
      <c r="P24" s="25">
        <f t="shared" si="4"/>
        <v>1898703.79</v>
      </c>
      <c r="Q24" s="25">
        <f t="shared" si="5"/>
        <v>65.502781307433821</v>
      </c>
    </row>
    <row r="25" spans="1:17" x14ac:dyDescent="0.35">
      <c r="A25" s="6">
        <v>14</v>
      </c>
      <c r="B25" s="6" t="s">
        <v>768</v>
      </c>
      <c r="C25" s="6" t="s">
        <v>37</v>
      </c>
      <c r="D25" s="6" t="s">
        <v>38</v>
      </c>
      <c r="E25" s="19">
        <v>45408</v>
      </c>
      <c r="F25" s="19">
        <v>45772</v>
      </c>
      <c r="G25" s="20">
        <v>105000000</v>
      </c>
      <c r="H25" s="20">
        <v>525000</v>
      </c>
      <c r="I25" s="21">
        <f t="shared" ref="I25:J40" si="6">G25*30%</f>
        <v>31500000</v>
      </c>
      <c r="J25" s="21">
        <f t="shared" si="6"/>
        <v>157500</v>
      </c>
      <c r="K25" s="22">
        <f t="shared" si="1"/>
        <v>30</v>
      </c>
      <c r="L25" s="21">
        <f t="shared" ref="L25:M40" si="7">G25*70%</f>
        <v>73500000</v>
      </c>
      <c r="M25" s="23">
        <f t="shared" si="7"/>
        <v>367500</v>
      </c>
      <c r="N25" s="24">
        <f t="shared" si="3"/>
        <v>70</v>
      </c>
      <c r="O25" s="23">
        <f t="shared" si="4"/>
        <v>0</v>
      </c>
      <c r="P25" s="25">
        <f t="shared" si="4"/>
        <v>0</v>
      </c>
      <c r="Q25" s="25">
        <f t="shared" si="5"/>
        <v>0</v>
      </c>
    </row>
    <row r="26" spans="1:17" x14ac:dyDescent="0.35">
      <c r="A26" s="6">
        <v>15</v>
      </c>
      <c r="B26" s="6" t="s">
        <v>769</v>
      </c>
      <c r="C26" s="6" t="s">
        <v>39</v>
      </c>
      <c r="D26" s="6" t="s">
        <v>40</v>
      </c>
      <c r="E26" s="19">
        <v>45482</v>
      </c>
      <c r="F26" s="19">
        <v>45666</v>
      </c>
      <c r="G26" s="20">
        <v>75000000</v>
      </c>
      <c r="H26" s="20">
        <v>375000</v>
      </c>
      <c r="I26" s="21">
        <f t="shared" si="6"/>
        <v>22500000</v>
      </c>
      <c r="J26" s="21">
        <f t="shared" si="6"/>
        <v>112500</v>
      </c>
      <c r="K26" s="22">
        <f t="shared" si="1"/>
        <v>30</v>
      </c>
      <c r="L26" s="21">
        <f t="shared" si="7"/>
        <v>52500000</v>
      </c>
      <c r="M26" s="23">
        <f t="shared" si="7"/>
        <v>262500</v>
      </c>
      <c r="N26" s="24">
        <f t="shared" si="3"/>
        <v>70</v>
      </c>
      <c r="O26" s="23">
        <f t="shared" si="4"/>
        <v>0</v>
      </c>
      <c r="P26" s="25">
        <f t="shared" si="4"/>
        <v>0</v>
      </c>
      <c r="Q26" s="25">
        <f t="shared" si="5"/>
        <v>0</v>
      </c>
    </row>
    <row r="27" spans="1:17" x14ac:dyDescent="0.35">
      <c r="A27" s="6">
        <v>16</v>
      </c>
      <c r="B27" s="6" t="s">
        <v>770</v>
      </c>
      <c r="C27" s="6" t="s">
        <v>41</v>
      </c>
      <c r="D27" s="6" t="s">
        <v>20</v>
      </c>
      <c r="E27" s="19">
        <v>45477</v>
      </c>
      <c r="F27" s="19">
        <v>45660</v>
      </c>
      <c r="G27" s="20">
        <v>98000000</v>
      </c>
      <c r="H27" s="20">
        <v>735000</v>
      </c>
      <c r="I27" s="21">
        <f t="shared" si="6"/>
        <v>29400000</v>
      </c>
      <c r="J27" s="21">
        <f t="shared" si="6"/>
        <v>220500</v>
      </c>
      <c r="K27" s="22">
        <f t="shared" si="1"/>
        <v>30</v>
      </c>
      <c r="L27" s="21">
        <f t="shared" si="7"/>
        <v>68600000</v>
      </c>
      <c r="M27" s="23">
        <f t="shared" si="7"/>
        <v>514499.99999999994</v>
      </c>
      <c r="N27" s="24">
        <f t="shared" si="3"/>
        <v>70</v>
      </c>
      <c r="O27" s="23">
        <f t="shared" si="4"/>
        <v>0</v>
      </c>
      <c r="P27" s="25">
        <f t="shared" si="4"/>
        <v>0</v>
      </c>
      <c r="Q27" s="25">
        <f t="shared" si="5"/>
        <v>0</v>
      </c>
    </row>
    <row r="28" spans="1:17" x14ac:dyDescent="0.35">
      <c r="A28" s="6">
        <v>17</v>
      </c>
      <c r="B28" s="6" t="s">
        <v>771</v>
      </c>
      <c r="C28" s="6" t="s">
        <v>42</v>
      </c>
      <c r="D28" s="6" t="s">
        <v>43</v>
      </c>
      <c r="E28" s="19">
        <v>45523</v>
      </c>
      <c r="F28" s="19">
        <v>45887</v>
      </c>
      <c r="G28" s="20">
        <v>144952894.49000001</v>
      </c>
      <c r="H28" s="20">
        <v>1449528.94</v>
      </c>
      <c r="I28" s="21">
        <f t="shared" si="6"/>
        <v>43485868.347000003</v>
      </c>
      <c r="J28" s="21">
        <f t="shared" si="6"/>
        <v>434858.68199999997</v>
      </c>
      <c r="K28" s="22">
        <f t="shared" si="1"/>
        <v>30</v>
      </c>
      <c r="L28" s="21">
        <f t="shared" si="7"/>
        <v>101467026.14300001</v>
      </c>
      <c r="M28" s="23">
        <f t="shared" si="7"/>
        <v>1014670.2579999999</v>
      </c>
      <c r="N28" s="24">
        <f t="shared" si="3"/>
        <v>70</v>
      </c>
      <c r="O28" s="23">
        <f t="shared" si="4"/>
        <v>0</v>
      </c>
      <c r="P28" s="25">
        <f t="shared" si="4"/>
        <v>0</v>
      </c>
      <c r="Q28" s="25">
        <f t="shared" si="5"/>
        <v>0</v>
      </c>
    </row>
    <row r="29" spans="1:17" x14ac:dyDescent="0.35">
      <c r="A29" s="6">
        <v>18</v>
      </c>
      <c r="B29" s="6" t="s">
        <v>772</v>
      </c>
      <c r="C29" s="6" t="s">
        <v>44</v>
      </c>
      <c r="D29" s="6" t="s">
        <v>43</v>
      </c>
      <c r="E29" s="19">
        <v>45523</v>
      </c>
      <c r="F29" s="19">
        <v>45887</v>
      </c>
      <c r="G29" s="20">
        <v>144952894.49000001</v>
      </c>
      <c r="H29" s="20">
        <v>1449528.94</v>
      </c>
      <c r="I29" s="21">
        <f t="shared" si="6"/>
        <v>43485868.347000003</v>
      </c>
      <c r="J29" s="21">
        <f t="shared" si="6"/>
        <v>434858.68199999997</v>
      </c>
      <c r="K29" s="22">
        <f t="shared" si="1"/>
        <v>30</v>
      </c>
      <c r="L29" s="21">
        <f t="shared" si="7"/>
        <v>101467026.14300001</v>
      </c>
      <c r="M29" s="23">
        <f t="shared" si="7"/>
        <v>1014670.2579999999</v>
      </c>
      <c r="N29" s="24">
        <f t="shared" si="3"/>
        <v>70</v>
      </c>
      <c r="O29" s="23">
        <f t="shared" si="4"/>
        <v>0</v>
      </c>
      <c r="P29" s="25">
        <f t="shared" si="4"/>
        <v>0</v>
      </c>
      <c r="Q29" s="25">
        <f t="shared" si="5"/>
        <v>0</v>
      </c>
    </row>
    <row r="30" spans="1:17" x14ac:dyDescent="0.35">
      <c r="A30" s="6">
        <v>19</v>
      </c>
      <c r="B30" s="6" t="s">
        <v>773</v>
      </c>
      <c r="C30" s="6" t="s">
        <v>45</v>
      </c>
      <c r="D30" s="6" t="s">
        <v>46</v>
      </c>
      <c r="E30" s="19">
        <v>45554</v>
      </c>
      <c r="F30" s="19">
        <v>45765</v>
      </c>
      <c r="G30" s="20">
        <v>114866996.7</v>
      </c>
      <c r="H30" s="20">
        <v>516901.49</v>
      </c>
      <c r="I30" s="21">
        <f t="shared" si="6"/>
        <v>34460099.009999998</v>
      </c>
      <c r="J30" s="21">
        <f t="shared" si="6"/>
        <v>155070.44699999999</v>
      </c>
      <c r="K30" s="22">
        <f t="shared" si="1"/>
        <v>30</v>
      </c>
      <c r="L30" s="21">
        <f t="shared" si="7"/>
        <v>80406897.689999998</v>
      </c>
      <c r="M30" s="23">
        <f t="shared" si="7"/>
        <v>361831.04299999995</v>
      </c>
      <c r="N30" s="24">
        <f t="shared" si="3"/>
        <v>70</v>
      </c>
      <c r="O30" s="23">
        <f t="shared" si="4"/>
        <v>0</v>
      </c>
      <c r="P30" s="25">
        <f t="shared" si="4"/>
        <v>0</v>
      </c>
      <c r="Q30" s="25">
        <f t="shared" si="5"/>
        <v>0</v>
      </c>
    </row>
    <row r="31" spans="1:17" x14ac:dyDescent="0.35">
      <c r="A31" s="6">
        <v>20</v>
      </c>
      <c r="B31" s="6" t="s">
        <v>774</v>
      </c>
      <c r="C31" s="6" t="s">
        <v>47</v>
      </c>
      <c r="D31" s="6" t="s">
        <v>48</v>
      </c>
      <c r="E31" s="19">
        <v>45537</v>
      </c>
      <c r="F31" s="19">
        <v>45901</v>
      </c>
      <c r="G31" s="20">
        <v>590066261.61000001</v>
      </c>
      <c r="H31" s="20">
        <v>2360265.0499999998</v>
      </c>
      <c r="I31" s="21">
        <v>150000000</v>
      </c>
      <c r="J31" s="21">
        <v>599979.38</v>
      </c>
      <c r="K31" s="22">
        <f t="shared" si="1"/>
        <v>25.420873850798369</v>
      </c>
      <c r="L31" s="21">
        <v>350000000</v>
      </c>
      <c r="M31" s="23">
        <v>1400109.23</v>
      </c>
      <c r="N31" s="24">
        <f t="shared" si="3"/>
        <v>59.315372318529533</v>
      </c>
      <c r="O31" s="23">
        <f t="shared" ref="O31:P46" si="8">G31-I31-L31</f>
        <v>90066261.610000014</v>
      </c>
      <c r="P31" s="25">
        <f t="shared" si="8"/>
        <v>360176.43999999994</v>
      </c>
      <c r="Q31" s="25">
        <f t="shared" si="5"/>
        <v>15.263753830672094</v>
      </c>
    </row>
    <row r="32" spans="1:17" x14ac:dyDescent="0.35">
      <c r="A32" s="6">
        <v>21</v>
      </c>
      <c r="B32" s="6" t="s">
        <v>775</v>
      </c>
      <c r="C32" s="6" t="s">
        <v>49</v>
      </c>
      <c r="D32" s="6" t="s">
        <v>50</v>
      </c>
      <c r="E32" s="19">
        <v>45518</v>
      </c>
      <c r="F32" s="19">
        <v>45701</v>
      </c>
      <c r="G32" s="20">
        <v>274963500</v>
      </c>
      <c r="H32" s="20">
        <v>1374817.5</v>
      </c>
      <c r="I32" s="21">
        <f t="shared" si="6"/>
        <v>82489050</v>
      </c>
      <c r="J32" s="21">
        <f t="shared" si="6"/>
        <v>412445.25</v>
      </c>
      <c r="K32" s="22">
        <f t="shared" si="1"/>
        <v>30</v>
      </c>
      <c r="L32" s="21">
        <f t="shared" si="7"/>
        <v>192474450</v>
      </c>
      <c r="M32" s="23">
        <f t="shared" si="7"/>
        <v>962372.24999999988</v>
      </c>
      <c r="N32" s="24">
        <f t="shared" si="3"/>
        <v>70</v>
      </c>
      <c r="O32" s="23">
        <f t="shared" si="8"/>
        <v>0</v>
      </c>
      <c r="P32" s="25">
        <f t="shared" si="8"/>
        <v>0</v>
      </c>
      <c r="Q32" s="25">
        <f t="shared" si="5"/>
        <v>0</v>
      </c>
    </row>
    <row r="33" spans="1:17" x14ac:dyDescent="0.35">
      <c r="A33" s="6">
        <v>22</v>
      </c>
      <c r="B33" s="6" t="s">
        <v>776</v>
      </c>
      <c r="C33" s="27" t="s">
        <v>51</v>
      </c>
      <c r="D33" s="27" t="s">
        <v>52</v>
      </c>
      <c r="E33" s="28">
        <v>45559</v>
      </c>
      <c r="F33" s="28">
        <v>45831</v>
      </c>
      <c r="G33" s="29">
        <v>138077253.77000001</v>
      </c>
      <c r="H33" s="29">
        <v>690386.27</v>
      </c>
      <c r="I33" s="21">
        <f t="shared" si="6"/>
        <v>41423176.131000005</v>
      </c>
      <c r="J33" s="21">
        <f t="shared" si="6"/>
        <v>207115.88099999999</v>
      </c>
      <c r="K33" s="22">
        <f t="shared" si="1"/>
        <v>30</v>
      </c>
      <c r="L33" s="21">
        <f t="shared" si="7"/>
        <v>96654077.638999999</v>
      </c>
      <c r="M33" s="23">
        <f t="shared" si="7"/>
        <v>483270.38899999997</v>
      </c>
      <c r="N33" s="24">
        <f t="shared" si="3"/>
        <v>70</v>
      </c>
      <c r="O33" s="23">
        <f t="shared" si="8"/>
        <v>0</v>
      </c>
      <c r="P33" s="25">
        <f t="shared" si="8"/>
        <v>0</v>
      </c>
      <c r="Q33" s="25">
        <f t="shared" si="5"/>
        <v>0</v>
      </c>
    </row>
    <row r="34" spans="1:17" x14ac:dyDescent="0.35">
      <c r="A34" s="6">
        <v>23</v>
      </c>
      <c r="B34" s="6" t="s">
        <v>777</v>
      </c>
      <c r="C34" s="27" t="s">
        <v>53</v>
      </c>
      <c r="D34" s="27" t="s">
        <v>54</v>
      </c>
      <c r="E34" s="28">
        <v>45562</v>
      </c>
      <c r="F34" s="28">
        <v>45803</v>
      </c>
      <c r="G34" s="29">
        <v>102668854.52</v>
      </c>
      <c r="H34" s="29">
        <v>924019.69</v>
      </c>
      <c r="I34" s="21">
        <f t="shared" si="6"/>
        <v>30800656.355999999</v>
      </c>
      <c r="J34" s="21">
        <f t="shared" si="6"/>
        <v>277205.90699999995</v>
      </c>
      <c r="K34" s="22">
        <f t="shared" si="1"/>
        <v>30</v>
      </c>
      <c r="L34" s="21">
        <f t="shared" si="7"/>
        <v>71868198.16399999</v>
      </c>
      <c r="M34" s="23">
        <f t="shared" si="7"/>
        <v>646813.78299999994</v>
      </c>
      <c r="N34" s="24">
        <f t="shared" si="3"/>
        <v>70</v>
      </c>
      <c r="O34" s="23">
        <f t="shared" si="8"/>
        <v>0</v>
      </c>
      <c r="P34" s="25">
        <f t="shared" si="8"/>
        <v>0</v>
      </c>
      <c r="Q34" s="25">
        <f t="shared" si="5"/>
        <v>0</v>
      </c>
    </row>
    <row r="35" spans="1:17" x14ac:dyDescent="0.35">
      <c r="A35" s="6">
        <v>24</v>
      </c>
      <c r="B35" s="6" t="s">
        <v>778</v>
      </c>
      <c r="C35" s="27" t="s">
        <v>55</v>
      </c>
      <c r="D35" s="27" t="s">
        <v>56</v>
      </c>
      <c r="E35" s="28">
        <v>45499</v>
      </c>
      <c r="F35" s="28">
        <v>45682</v>
      </c>
      <c r="G35" s="29">
        <v>89481931.280000001</v>
      </c>
      <c r="H35" s="29">
        <v>357927.73</v>
      </c>
      <c r="I35" s="21">
        <f t="shared" si="6"/>
        <v>26844579.384</v>
      </c>
      <c r="J35" s="21">
        <f t="shared" si="6"/>
        <v>107378.31899999999</v>
      </c>
      <c r="K35" s="22">
        <f t="shared" si="1"/>
        <v>30</v>
      </c>
      <c r="L35" s="21">
        <f t="shared" si="7"/>
        <v>62637351.895999998</v>
      </c>
      <c r="M35" s="23">
        <f t="shared" si="7"/>
        <v>250549.41099999996</v>
      </c>
      <c r="N35" s="24">
        <f t="shared" si="3"/>
        <v>70</v>
      </c>
      <c r="O35" s="23">
        <f t="shared" si="8"/>
        <v>0</v>
      </c>
      <c r="P35" s="25">
        <f t="shared" si="8"/>
        <v>0</v>
      </c>
      <c r="Q35" s="25">
        <f t="shared" si="5"/>
        <v>0</v>
      </c>
    </row>
    <row r="36" spans="1:17" x14ac:dyDescent="0.35">
      <c r="A36" s="6">
        <v>25</v>
      </c>
      <c r="B36" s="6" t="s">
        <v>779</v>
      </c>
      <c r="C36" s="30" t="s">
        <v>57</v>
      </c>
      <c r="D36" s="30" t="s">
        <v>58</v>
      </c>
      <c r="E36" s="31">
        <v>45489</v>
      </c>
      <c r="F36" s="31">
        <v>45672</v>
      </c>
      <c r="G36" s="32">
        <v>2910565245.71</v>
      </c>
      <c r="H36" s="32">
        <v>13097543.609999999</v>
      </c>
      <c r="I36" s="21">
        <v>150000000</v>
      </c>
      <c r="J36" s="21">
        <v>674523.5</v>
      </c>
      <c r="K36" s="22">
        <f t="shared" si="1"/>
        <v>5.1536381196432917</v>
      </c>
      <c r="L36" s="21">
        <v>350000000</v>
      </c>
      <c r="M36" s="23">
        <v>1575634.5</v>
      </c>
      <c r="N36" s="24">
        <f t="shared" si="3"/>
        <v>12.025155612501013</v>
      </c>
      <c r="O36" s="23">
        <f t="shared" si="8"/>
        <v>2410565245.71</v>
      </c>
      <c r="P36" s="25">
        <f t="shared" si="8"/>
        <v>10847385.609999999</v>
      </c>
      <c r="Q36" s="25">
        <f t="shared" si="5"/>
        <v>82.8212062678557</v>
      </c>
    </row>
    <row r="37" spans="1:17" x14ac:dyDescent="0.35">
      <c r="A37" s="6">
        <v>26</v>
      </c>
      <c r="B37" s="6" t="s">
        <v>780</v>
      </c>
      <c r="C37" s="30" t="s">
        <v>59</v>
      </c>
      <c r="D37" s="30" t="s">
        <v>58</v>
      </c>
      <c r="E37" s="31">
        <v>45489</v>
      </c>
      <c r="F37" s="31">
        <v>45672</v>
      </c>
      <c r="G37" s="32">
        <v>323396138.41000003</v>
      </c>
      <c r="H37" s="32">
        <v>1455282.62</v>
      </c>
      <c r="I37" s="21">
        <f t="shared" si="6"/>
        <v>97018841.523000002</v>
      </c>
      <c r="J37" s="21">
        <f t="shared" si="6"/>
        <v>436584.78600000002</v>
      </c>
      <c r="K37" s="22">
        <f t="shared" si="1"/>
        <v>30</v>
      </c>
      <c r="L37" s="21">
        <f>G37*70%</f>
        <v>226377296.88699999</v>
      </c>
      <c r="M37" s="23">
        <f t="shared" si="7"/>
        <v>1018697.834</v>
      </c>
      <c r="N37" s="24">
        <f t="shared" si="3"/>
        <v>70</v>
      </c>
      <c r="O37" s="23">
        <f t="shared" si="8"/>
        <v>0</v>
      </c>
      <c r="P37" s="25">
        <f t="shared" si="8"/>
        <v>0</v>
      </c>
      <c r="Q37" s="25">
        <f t="shared" si="5"/>
        <v>0</v>
      </c>
    </row>
    <row r="38" spans="1:17" x14ac:dyDescent="0.35">
      <c r="A38" s="6">
        <v>27</v>
      </c>
      <c r="B38" s="6" t="s">
        <v>781</v>
      </c>
      <c r="C38" s="27" t="s">
        <v>60</v>
      </c>
      <c r="D38" s="27" t="s">
        <v>61</v>
      </c>
      <c r="E38" s="28">
        <v>45484</v>
      </c>
      <c r="F38" s="28">
        <v>45848</v>
      </c>
      <c r="G38" s="29">
        <v>120000000</v>
      </c>
      <c r="H38" s="29">
        <v>600000</v>
      </c>
      <c r="I38" s="21">
        <f t="shared" si="6"/>
        <v>36000000</v>
      </c>
      <c r="J38" s="21">
        <f t="shared" si="6"/>
        <v>180000</v>
      </c>
      <c r="K38" s="22">
        <f t="shared" si="1"/>
        <v>30</v>
      </c>
      <c r="L38" s="21">
        <f t="shared" si="7"/>
        <v>84000000</v>
      </c>
      <c r="M38" s="23">
        <f t="shared" si="7"/>
        <v>420000</v>
      </c>
      <c r="N38" s="24">
        <f t="shared" si="3"/>
        <v>70</v>
      </c>
      <c r="O38" s="23">
        <f t="shared" si="8"/>
        <v>0</v>
      </c>
      <c r="P38" s="25">
        <f t="shared" si="8"/>
        <v>0</v>
      </c>
      <c r="Q38" s="25">
        <f t="shared" si="5"/>
        <v>0</v>
      </c>
    </row>
    <row r="39" spans="1:17" x14ac:dyDescent="0.35">
      <c r="A39" s="6">
        <v>28</v>
      </c>
      <c r="B39" s="6" t="s">
        <v>782</v>
      </c>
      <c r="C39" s="27" t="s">
        <v>62</v>
      </c>
      <c r="D39" s="27" t="s">
        <v>63</v>
      </c>
      <c r="E39" s="28">
        <v>45488</v>
      </c>
      <c r="F39" s="28">
        <v>45730</v>
      </c>
      <c r="G39" s="29">
        <v>132301262.41</v>
      </c>
      <c r="H39" s="29">
        <v>529205.05000000005</v>
      </c>
      <c r="I39" s="21">
        <f t="shared" si="6"/>
        <v>39690378.722999997</v>
      </c>
      <c r="J39" s="21">
        <f t="shared" si="6"/>
        <v>158761.51500000001</v>
      </c>
      <c r="K39" s="22">
        <f t="shared" si="1"/>
        <v>30</v>
      </c>
      <c r="L39" s="21">
        <f t="shared" si="7"/>
        <v>92610883.686999992</v>
      </c>
      <c r="M39" s="23">
        <f t="shared" si="7"/>
        <v>370443.53500000003</v>
      </c>
      <c r="N39" s="24">
        <f t="shared" si="3"/>
        <v>70</v>
      </c>
      <c r="O39" s="23">
        <f t="shared" si="8"/>
        <v>0</v>
      </c>
      <c r="P39" s="25">
        <f t="shared" si="8"/>
        <v>0</v>
      </c>
      <c r="Q39" s="25">
        <f t="shared" si="5"/>
        <v>0</v>
      </c>
    </row>
    <row r="40" spans="1:17" x14ac:dyDescent="0.35">
      <c r="A40" s="6">
        <v>29</v>
      </c>
      <c r="B40" s="6" t="s">
        <v>783</v>
      </c>
      <c r="C40" s="27" t="s">
        <v>64</v>
      </c>
      <c r="D40" s="27" t="s">
        <v>65</v>
      </c>
      <c r="E40" s="28">
        <v>45499</v>
      </c>
      <c r="F40" s="28">
        <v>45682</v>
      </c>
      <c r="G40" s="29">
        <v>66070204.130000003</v>
      </c>
      <c r="H40" s="29">
        <v>330351.02</v>
      </c>
      <c r="I40" s="21">
        <f t="shared" si="6"/>
        <v>19821061.239</v>
      </c>
      <c r="J40" s="21">
        <f t="shared" si="6"/>
        <v>99105.305999999997</v>
      </c>
      <c r="K40" s="22">
        <f t="shared" si="1"/>
        <v>30</v>
      </c>
      <c r="L40" s="21">
        <f t="shared" si="7"/>
        <v>46249142.891000003</v>
      </c>
      <c r="M40" s="23">
        <f t="shared" si="7"/>
        <v>231245.71400000001</v>
      </c>
      <c r="N40" s="24">
        <f t="shared" si="3"/>
        <v>70</v>
      </c>
      <c r="O40" s="23">
        <f t="shared" si="8"/>
        <v>0</v>
      </c>
      <c r="P40" s="25">
        <f t="shared" si="8"/>
        <v>0</v>
      </c>
      <c r="Q40" s="25">
        <f t="shared" si="5"/>
        <v>0</v>
      </c>
    </row>
    <row r="41" spans="1:17" x14ac:dyDescent="0.35">
      <c r="A41" s="6">
        <v>30</v>
      </c>
      <c r="B41" s="6" t="s">
        <v>784</v>
      </c>
      <c r="C41" s="27" t="s">
        <v>66</v>
      </c>
      <c r="D41" s="27" t="s">
        <v>67</v>
      </c>
      <c r="E41" s="28">
        <v>45499</v>
      </c>
      <c r="F41" s="28">
        <v>45682</v>
      </c>
      <c r="G41" s="29">
        <v>71265521.099999994</v>
      </c>
      <c r="H41" s="29">
        <v>356327.61</v>
      </c>
      <c r="I41" s="21">
        <f t="shared" ref="I41:J56" si="9">G41*30%</f>
        <v>21379656.329999998</v>
      </c>
      <c r="J41" s="21">
        <f t="shared" si="9"/>
        <v>106898.283</v>
      </c>
      <c r="K41" s="22">
        <f t="shared" si="1"/>
        <v>30</v>
      </c>
      <c r="L41" s="21">
        <f t="shared" ref="L41:M56" si="10">G41*70%</f>
        <v>49885864.769999996</v>
      </c>
      <c r="M41" s="23">
        <f t="shared" si="10"/>
        <v>249429.32699999996</v>
      </c>
      <c r="N41" s="24">
        <f t="shared" si="3"/>
        <v>70</v>
      </c>
      <c r="O41" s="23">
        <f t="shared" si="8"/>
        <v>0</v>
      </c>
      <c r="P41" s="25">
        <f t="shared" si="8"/>
        <v>0</v>
      </c>
      <c r="Q41" s="25">
        <f t="shared" si="5"/>
        <v>0</v>
      </c>
    </row>
    <row r="42" spans="1:17" x14ac:dyDescent="0.35">
      <c r="A42" s="6">
        <v>31</v>
      </c>
      <c r="B42" s="6" t="s">
        <v>785</v>
      </c>
      <c r="C42" s="30" t="s">
        <v>68</v>
      </c>
      <c r="D42" s="30" t="s">
        <v>69</v>
      </c>
      <c r="E42" s="31">
        <v>45498</v>
      </c>
      <c r="F42" s="31">
        <v>45862</v>
      </c>
      <c r="G42" s="32">
        <v>320125300</v>
      </c>
      <c r="H42" s="32">
        <v>1600626.5</v>
      </c>
      <c r="I42" s="21">
        <f t="shared" si="9"/>
        <v>96037590</v>
      </c>
      <c r="J42" s="21">
        <f t="shared" si="9"/>
        <v>480187.94999999995</v>
      </c>
      <c r="K42" s="22">
        <f t="shared" si="1"/>
        <v>30</v>
      </c>
      <c r="L42" s="21">
        <f t="shared" si="10"/>
        <v>224087710</v>
      </c>
      <c r="M42" s="23">
        <f t="shared" si="10"/>
        <v>1120438.5499999998</v>
      </c>
      <c r="N42" s="24">
        <f t="shared" si="3"/>
        <v>70</v>
      </c>
      <c r="O42" s="23">
        <f t="shared" si="8"/>
        <v>0</v>
      </c>
      <c r="P42" s="25">
        <f t="shared" si="8"/>
        <v>0</v>
      </c>
      <c r="Q42" s="25">
        <f t="shared" si="5"/>
        <v>0</v>
      </c>
    </row>
    <row r="43" spans="1:17" x14ac:dyDescent="0.35">
      <c r="A43" s="6">
        <v>32</v>
      </c>
      <c r="B43" s="6" t="s">
        <v>786</v>
      </c>
      <c r="C43" s="27" t="s">
        <v>70</v>
      </c>
      <c r="D43" s="27" t="s">
        <v>71</v>
      </c>
      <c r="E43" s="28">
        <v>45526</v>
      </c>
      <c r="F43" s="28">
        <v>45709</v>
      </c>
      <c r="G43" s="29">
        <v>136630452.11000001</v>
      </c>
      <c r="H43" s="29">
        <v>683152.26</v>
      </c>
      <c r="I43" s="21">
        <f t="shared" si="9"/>
        <v>40989135.633000001</v>
      </c>
      <c r="J43" s="21">
        <f t="shared" si="9"/>
        <v>204945.67799999999</v>
      </c>
      <c r="K43" s="22">
        <f t="shared" si="1"/>
        <v>30</v>
      </c>
      <c r="L43" s="21">
        <f t="shared" si="10"/>
        <v>95641316.476999998</v>
      </c>
      <c r="M43" s="23">
        <f t="shared" si="10"/>
        <v>478206.58199999999</v>
      </c>
      <c r="N43" s="24">
        <f t="shared" si="3"/>
        <v>70</v>
      </c>
      <c r="O43" s="23">
        <f t="shared" si="8"/>
        <v>0</v>
      </c>
      <c r="P43" s="25">
        <f t="shared" si="8"/>
        <v>0</v>
      </c>
      <c r="Q43" s="25">
        <f t="shared" si="5"/>
        <v>0</v>
      </c>
    </row>
    <row r="44" spans="1:17" x14ac:dyDescent="0.35">
      <c r="A44" s="6">
        <v>33</v>
      </c>
      <c r="B44" s="6" t="s">
        <v>787</v>
      </c>
      <c r="C44" s="27" t="s">
        <v>72</v>
      </c>
      <c r="D44" s="27" t="s">
        <v>73</v>
      </c>
      <c r="E44" s="28">
        <v>45537</v>
      </c>
      <c r="F44" s="28">
        <v>45839</v>
      </c>
      <c r="G44" s="29">
        <v>95805483.609999999</v>
      </c>
      <c r="H44" s="29">
        <v>383221.93</v>
      </c>
      <c r="I44" s="21">
        <f t="shared" si="9"/>
        <v>28741645.083000001</v>
      </c>
      <c r="J44" s="21">
        <f t="shared" si="9"/>
        <v>114966.579</v>
      </c>
      <c r="K44" s="22">
        <f t="shared" si="1"/>
        <v>30</v>
      </c>
      <c r="L44" s="21">
        <f t="shared" si="10"/>
        <v>67063838.526999995</v>
      </c>
      <c r="M44" s="23">
        <f t="shared" si="10"/>
        <v>268255.35099999997</v>
      </c>
      <c r="N44" s="24">
        <f t="shared" si="3"/>
        <v>70</v>
      </c>
      <c r="O44" s="23">
        <f t="shared" si="8"/>
        <v>0</v>
      </c>
      <c r="P44" s="25">
        <f t="shared" si="8"/>
        <v>0</v>
      </c>
      <c r="Q44" s="25">
        <f t="shared" si="5"/>
        <v>0</v>
      </c>
    </row>
    <row r="45" spans="1:17" x14ac:dyDescent="0.35">
      <c r="A45" s="6">
        <v>34</v>
      </c>
      <c r="B45" s="6" t="s">
        <v>788</v>
      </c>
      <c r="C45" s="27" t="s">
        <v>74</v>
      </c>
      <c r="D45" s="27" t="s">
        <v>75</v>
      </c>
      <c r="E45" s="28">
        <v>45538</v>
      </c>
      <c r="F45" s="28">
        <v>45782</v>
      </c>
      <c r="G45" s="29">
        <v>134992479.56999999</v>
      </c>
      <c r="H45" s="29">
        <v>539969.92000000004</v>
      </c>
      <c r="I45" s="21">
        <f t="shared" si="9"/>
        <v>40497743.870999999</v>
      </c>
      <c r="J45" s="21">
        <f t="shared" si="9"/>
        <v>161990.976</v>
      </c>
      <c r="K45" s="22">
        <f t="shared" si="1"/>
        <v>30</v>
      </c>
      <c r="L45" s="21">
        <f t="shared" si="10"/>
        <v>94494735.698999986</v>
      </c>
      <c r="M45" s="23">
        <f t="shared" si="10"/>
        <v>377978.94400000002</v>
      </c>
      <c r="N45" s="24">
        <f t="shared" si="3"/>
        <v>70</v>
      </c>
      <c r="O45" s="23">
        <f t="shared" si="8"/>
        <v>0</v>
      </c>
      <c r="P45" s="25">
        <f t="shared" si="8"/>
        <v>0</v>
      </c>
      <c r="Q45" s="25">
        <f t="shared" si="5"/>
        <v>0</v>
      </c>
    </row>
    <row r="46" spans="1:17" x14ac:dyDescent="0.35">
      <c r="A46" s="6">
        <v>35</v>
      </c>
      <c r="B46" s="6" t="s">
        <v>789</v>
      </c>
      <c r="C46" s="27" t="s">
        <v>76</v>
      </c>
      <c r="D46" s="27" t="s">
        <v>77</v>
      </c>
      <c r="E46" s="28">
        <v>45537</v>
      </c>
      <c r="F46" s="28">
        <v>45699</v>
      </c>
      <c r="G46" s="29">
        <v>236000713.56999999</v>
      </c>
      <c r="H46" s="29">
        <v>944002.85</v>
      </c>
      <c r="I46" s="21">
        <f t="shared" si="9"/>
        <v>70800214.070999995</v>
      </c>
      <c r="J46" s="21">
        <f t="shared" si="9"/>
        <v>283200.85499999998</v>
      </c>
      <c r="K46" s="22">
        <f t="shared" si="1"/>
        <v>30</v>
      </c>
      <c r="L46" s="21">
        <f t="shared" si="10"/>
        <v>165200499.49899998</v>
      </c>
      <c r="M46" s="23">
        <f t="shared" si="10"/>
        <v>660801.995</v>
      </c>
      <c r="N46" s="24">
        <f t="shared" si="3"/>
        <v>70</v>
      </c>
      <c r="O46" s="23">
        <f t="shared" si="8"/>
        <v>0</v>
      </c>
      <c r="P46" s="25">
        <f t="shared" si="8"/>
        <v>0</v>
      </c>
      <c r="Q46" s="25">
        <f t="shared" si="5"/>
        <v>0</v>
      </c>
    </row>
    <row r="47" spans="1:17" x14ac:dyDescent="0.35">
      <c r="A47" s="6">
        <v>36</v>
      </c>
      <c r="B47" s="6" t="s">
        <v>790</v>
      </c>
      <c r="C47" s="27" t="s">
        <v>78</v>
      </c>
      <c r="D47" s="27" t="s">
        <v>79</v>
      </c>
      <c r="E47" s="28">
        <v>45544</v>
      </c>
      <c r="F47" s="28">
        <v>45724</v>
      </c>
      <c r="G47" s="29">
        <v>104432050</v>
      </c>
      <c r="H47" s="29">
        <v>417728.2</v>
      </c>
      <c r="I47" s="21">
        <f t="shared" si="9"/>
        <v>31329615</v>
      </c>
      <c r="J47" s="21">
        <f t="shared" si="9"/>
        <v>125318.45999999999</v>
      </c>
      <c r="K47" s="22">
        <f t="shared" si="1"/>
        <v>30</v>
      </c>
      <c r="L47" s="21">
        <f t="shared" si="10"/>
        <v>73102435</v>
      </c>
      <c r="M47" s="23">
        <f t="shared" si="10"/>
        <v>292409.74</v>
      </c>
      <c r="N47" s="24">
        <f t="shared" si="3"/>
        <v>70</v>
      </c>
      <c r="O47" s="23">
        <f t="shared" ref="O47:P62" si="11">G47-I47-L47</f>
        <v>0</v>
      </c>
      <c r="P47" s="25">
        <f t="shared" si="11"/>
        <v>0</v>
      </c>
      <c r="Q47" s="25">
        <f t="shared" si="5"/>
        <v>0</v>
      </c>
    </row>
    <row r="48" spans="1:17" x14ac:dyDescent="0.35">
      <c r="A48" s="6">
        <v>37</v>
      </c>
      <c r="B48" s="6" t="s">
        <v>791</v>
      </c>
      <c r="C48" s="27" t="s">
        <v>80</v>
      </c>
      <c r="D48" s="27" t="s">
        <v>81</v>
      </c>
      <c r="E48" s="28">
        <v>45544</v>
      </c>
      <c r="F48" s="28">
        <v>45724</v>
      </c>
      <c r="G48" s="29">
        <v>56724733.200000003</v>
      </c>
      <c r="H48" s="29">
        <v>226898.93</v>
      </c>
      <c r="I48" s="21">
        <f t="shared" si="9"/>
        <v>17017419.960000001</v>
      </c>
      <c r="J48" s="21">
        <f t="shared" si="9"/>
        <v>68069.678999999989</v>
      </c>
      <c r="K48" s="22">
        <f t="shared" si="1"/>
        <v>30</v>
      </c>
      <c r="L48" s="21">
        <f t="shared" si="10"/>
        <v>39707313.240000002</v>
      </c>
      <c r="M48" s="23">
        <f t="shared" si="10"/>
        <v>158829.25099999999</v>
      </c>
      <c r="N48" s="24">
        <f t="shared" si="3"/>
        <v>70</v>
      </c>
      <c r="O48" s="23">
        <f t="shared" si="11"/>
        <v>0</v>
      </c>
      <c r="P48" s="25">
        <f t="shared" si="11"/>
        <v>0</v>
      </c>
      <c r="Q48" s="25">
        <f t="shared" si="5"/>
        <v>0</v>
      </c>
    </row>
    <row r="49" spans="1:17" x14ac:dyDescent="0.35">
      <c r="A49" s="6">
        <v>38</v>
      </c>
      <c r="B49" s="6" t="s">
        <v>792</v>
      </c>
      <c r="C49" s="27" t="s">
        <v>82</v>
      </c>
      <c r="D49" s="27" t="s">
        <v>83</v>
      </c>
      <c r="E49" s="28">
        <v>45554</v>
      </c>
      <c r="F49" s="28">
        <v>45734</v>
      </c>
      <c r="G49" s="29">
        <v>217178013.28</v>
      </c>
      <c r="H49" s="29">
        <v>868712.05</v>
      </c>
      <c r="I49" s="21">
        <f t="shared" si="9"/>
        <v>65153403.983999997</v>
      </c>
      <c r="J49" s="21">
        <f t="shared" si="9"/>
        <v>260613.61499999999</v>
      </c>
      <c r="K49" s="22">
        <f t="shared" si="1"/>
        <v>30</v>
      </c>
      <c r="L49" s="21">
        <f t="shared" si="10"/>
        <v>152024609.296</v>
      </c>
      <c r="M49" s="23">
        <f t="shared" si="10"/>
        <v>608098.43499999994</v>
      </c>
      <c r="N49" s="24">
        <f t="shared" si="3"/>
        <v>70</v>
      </c>
      <c r="O49" s="23">
        <f t="shared" si="11"/>
        <v>0</v>
      </c>
      <c r="P49" s="25">
        <f t="shared" si="11"/>
        <v>0</v>
      </c>
      <c r="Q49" s="25">
        <f t="shared" si="5"/>
        <v>0</v>
      </c>
    </row>
    <row r="50" spans="1:17" x14ac:dyDescent="0.35">
      <c r="A50" s="6">
        <v>39</v>
      </c>
      <c r="B50" s="6" t="s">
        <v>793</v>
      </c>
      <c r="C50" s="30" t="s">
        <v>84</v>
      </c>
      <c r="D50" s="30" t="s">
        <v>85</v>
      </c>
      <c r="E50" s="31">
        <v>45532</v>
      </c>
      <c r="F50" s="31">
        <v>45715</v>
      </c>
      <c r="G50" s="32">
        <v>54894643.899999999</v>
      </c>
      <c r="H50" s="32">
        <v>219578.58</v>
      </c>
      <c r="I50" s="21">
        <f t="shared" si="9"/>
        <v>16468393.169999998</v>
      </c>
      <c r="J50" s="21">
        <f t="shared" si="9"/>
        <v>65873.573999999993</v>
      </c>
      <c r="K50" s="22">
        <f t="shared" si="1"/>
        <v>30</v>
      </c>
      <c r="L50" s="21">
        <f t="shared" si="10"/>
        <v>38426250.729999997</v>
      </c>
      <c r="M50" s="23">
        <f t="shared" si="10"/>
        <v>153705.00599999999</v>
      </c>
      <c r="N50" s="24">
        <f t="shared" si="3"/>
        <v>70</v>
      </c>
      <c r="O50" s="23">
        <f t="shared" si="11"/>
        <v>0</v>
      </c>
      <c r="P50" s="25">
        <f t="shared" si="11"/>
        <v>0</v>
      </c>
      <c r="Q50" s="25">
        <f t="shared" si="5"/>
        <v>0</v>
      </c>
    </row>
    <row r="51" spans="1:17" x14ac:dyDescent="0.35">
      <c r="A51" s="6">
        <v>40</v>
      </c>
      <c r="B51" s="6" t="s">
        <v>794</v>
      </c>
      <c r="C51" s="30" t="s">
        <v>86</v>
      </c>
      <c r="D51" s="30" t="s">
        <v>87</v>
      </c>
      <c r="E51" s="31">
        <v>45516</v>
      </c>
      <c r="F51" s="31">
        <v>45699</v>
      </c>
      <c r="G51" s="32">
        <v>51118756.630000003</v>
      </c>
      <c r="H51" s="32">
        <v>204475.03</v>
      </c>
      <c r="I51" s="21">
        <f t="shared" si="9"/>
        <v>15335626.989</v>
      </c>
      <c r="J51" s="21">
        <f t="shared" si="9"/>
        <v>61342.508999999998</v>
      </c>
      <c r="K51" s="22">
        <f t="shared" si="1"/>
        <v>30</v>
      </c>
      <c r="L51" s="21">
        <f t="shared" si="10"/>
        <v>35783129.641000003</v>
      </c>
      <c r="M51" s="23">
        <f t="shared" si="10"/>
        <v>143132.52099999998</v>
      </c>
      <c r="N51" s="24">
        <f t="shared" si="3"/>
        <v>70</v>
      </c>
      <c r="O51" s="23">
        <f t="shared" si="11"/>
        <v>0</v>
      </c>
      <c r="P51" s="25">
        <f t="shared" si="11"/>
        <v>0</v>
      </c>
      <c r="Q51" s="25">
        <f t="shared" si="5"/>
        <v>0</v>
      </c>
    </row>
    <row r="52" spans="1:17" x14ac:dyDescent="0.35">
      <c r="A52" s="6">
        <v>41</v>
      </c>
      <c r="B52" s="6" t="s">
        <v>795</v>
      </c>
      <c r="C52" s="30" t="s">
        <v>88</v>
      </c>
      <c r="D52" s="30" t="s">
        <v>89</v>
      </c>
      <c r="E52" s="31">
        <v>45531</v>
      </c>
      <c r="F52" s="31">
        <v>45714</v>
      </c>
      <c r="G52" s="32">
        <v>27851850.399999999</v>
      </c>
      <c r="H52" s="32">
        <v>111407.4</v>
      </c>
      <c r="I52" s="21">
        <f t="shared" si="9"/>
        <v>8355555.1199999992</v>
      </c>
      <c r="J52" s="21">
        <f t="shared" si="9"/>
        <v>33422.219999999994</v>
      </c>
      <c r="K52" s="22">
        <f t="shared" si="1"/>
        <v>30</v>
      </c>
      <c r="L52" s="21">
        <f t="shared" si="10"/>
        <v>19496295.279999997</v>
      </c>
      <c r="M52" s="23">
        <f t="shared" si="10"/>
        <v>77985.179999999993</v>
      </c>
      <c r="N52" s="24">
        <f t="shared" si="3"/>
        <v>70</v>
      </c>
      <c r="O52" s="23">
        <f t="shared" si="11"/>
        <v>0</v>
      </c>
      <c r="P52" s="25">
        <f t="shared" si="11"/>
        <v>0</v>
      </c>
      <c r="Q52" s="25">
        <f t="shared" si="5"/>
        <v>0</v>
      </c>
    </row>
    <row r="53" spans="1:17" x14ac:dyDescent="0.35">
      <c r="A53" s="6">
        <v>42</v>
      </c>
      <c r="B53" s="6" t="s">
        <v>796</v>
      </c>
      <c r="C53" s="30" t="s">
        <v>90</v>
      </c>
      <c r="D53" s="30" t="s">
        <v>91</v>
      </c>
      <c r="E53" s="31">
        <v>45526</v>
      </c>
      <c r="F53" s="31">
        <v>45890</v>
      </c>
      <c r="G53" s="32">
        <v>123525828</v>
      </c>
      <c r="H53" s="32">
        <v>494103.31</v>
      </c>
      <c r="I53" s="21">
        <f t="shared" si="9"/>
        <v>37057748.399999999</v>
      </c>
      <c r="J53" s="21">
        <f t="shared" si="9"/>
        <v>148230.99299999999</v>
      </c>
      <c r="K53" s="22">
        <f t="shared" si="1"/>
        <v>30</v>
      </c>
      <c r="L53" s="21">
        <f t="shared" si="10"/>
        <v>86468079.599999994</v>
      </c>
      <c r="M53" s="23">
        <f t="shared" si="10"/>
        <v>345872.31699999998</v>
      </c>
      <c r="N53" s="24">
        <f t="shared" si="3"/>
        <v>70</v>
      </c>
      <c r="O53" s="23">
        <f t="shared" si="11"/>
        <v>0</v>
      </c>
      <c r="P53" s="25">
        <f t="shared" si="11"/>
        <v>0</v>
      </c>
      <c r="Q53" s="25">
        <f t="shared" si="5"/>
        <v>0</v>
      </c>
    </row>
    <row r="54" spans="1:17" x14ac:dyDescent="0.35">
      <c r="A54" s="6">
        <v>43</v>
      </c>
      <c r="B54" s="6" t="s">
        <v>797</v>
      </c>
      <c r="C54" s="30" t="s">
        <v>92</v>
      </c>
      <c r="D54" s="30" t="s">
        <v>93</v>
      </c>
      <c r="E54" s="31">
        <v>45525</v>
      </c>
      <c r="F54" s="31">
        <v>45889</v>
      </c>
      <c r="G54" s="32">
        <v>79458095.909999996</v>
      </c>
      <c r="H54" s="32">
        <v>317832.38</v>
      </c>
      <c r="I54" s="21">
        <f t="shared" si="9"/>
        <v>23837428.772999998</v>
      </c>
      <c r="J54" s="21">
        <f t="shared" si="9"/>
        <v>95349.713999999993</v>
      </c>
      <c r="K54" s="22">
        <f t="shared" si="1"/>
        <v>30</v>
      </c>
      <c r="L54" s="21">
        <f t="shared" si="10"/>
        <v>55620667.136999995</v>
      </c>
      <c r="M54" s="23">
        <f t="shared" si="10"/>
        <v>222482.666</v>
      </c>
      <c r="N54" s="24">
        <f t="shared" si="3"/>
        <v>70</v>
      </c>
      <c r="O54" s="23">
        <f t="shared" si="11"/>
        <v>0</v>
      </c>
      <c r="P54" s="25">
        <f t="shared" si="11"/>
        <v>0</v>
      </c>
      <c r="Q54" s="25">
        <f t="shared" si="5"/>
        <v>0</v>
      </c>
    </row>
    <row r="55" spans="1:17" x14ac:dyDescent="0.35">
      <c r="A55" s="6">
        <v>44</v>
      </c>
      <c r="B55" s="6" t="s">
        <v>798</v>
      </c>
      <c r="C55" s="30" t="s">
        <v>94</v>
      </c>
      <c r="D55" s="30" t="s">
        <v>95</v>
      </c>
      <c r="E55" s="31">
        <v>45516</v>
      </c>
      <c r="F55" s="31">
        <v>45699</v>
      </c>
      <c r="G55" s="32">
        <v>53979000</v>
      </c>
      <c r="H55" s="32">
        <v>215916</v>
      </c>
      <c r="I55" s="21">
        <f t="shared" si="9"/>
        <v>16193700</v>
      </c>
      <c r="J55" s="21">
        <f t="shared" si="9"/>
        <v>64774.799999999996</v>
      </c>
      <c r="K55" s="22">
        <f t="shared" si="1"/>
        <v>30</v>
      </c>
      <c r="L55" s="21">
        <f t="shared" si="10"/>
        <v>37785300</v>
      </c>
      <c r="M55" s="23">
        <f t="shared" si="10"/>
        <v>151141.19999999998</v>
      </c>
      <c r="N55" s="24">
        <f t="shared" si="3"/>
        <v>70</v>
      </c>
      <c r="O55" s="23">
        <f t="shared" si="11"/>
        <v>0</v>
      </c>
      <c r="P55" s="25">
        <f t="shared" si="11"/>
        <v>0</v>
      </c>
      <c r="Q55" s="25">
        <f t="shared" si="5"/>
        <v>0</v>
      </c>
    </row>
    <row r="56" spans="1:17" x14ac:dyDescent="0.35">
      <c r="A56" s="6">
        <v>45</v>
      </c>
      <c r="B56" s="6" t="s">
        <v>799</v>
      </c>
      <c r="C56" s="30" t="s">
        <v>96</v>
      </c>
      <c r="D56" s="30" t="s">
        <v>97</v>
      </c>
      <c r="E56" s="31">
        <v>45516</v>
      </c>
      <c r="F56" s="31">
        <v>45699</v>
      </c>
      <c r="G56" s="32">
        <v>52200000</v>
      </c>
      <c r="H56" s="32">
        <v>208800</v>
      </c>
      <c r="I56" s="21">
        <f t="shared" si="9"/>
        <v>15660000</v>
      </c>
      <c r="J56" s="21">
        <f t="shared" si="9"/>
        <v>62640</v>
      </c>
      <c r="K56" s="22">
        <f t="shared" si="1"/>
        <v>30</v>
      </c>
      <c r="L56" s="21">
        <f t="shared" si="10"/>
        <v>36540000</v>
      </c>
      <c r="M56" s="23">
        <f t="shared" si="10"/>
        <v>146160</v>
      </c>
      <c r="N56" s="24">
        <f t="shared" si="3"/>
        <v>70</v>
      </c>
      <c r="O56" s="23">
        <f t="shared" si="11"/>
        <v>0</v>
      </c>
      <c r="P56" s="25">
        <f t="shared" si="11"/>
        <v>0</v>
      </c>
      <c r="Q56" s="25">
        <f t="shared" si="5"/>
        <v>0</v>
      </c>
    </row>
    <row r="57" spans="1:17" x14ac:dyDescent="0.35">
      <c r="A57" s="6">
        <v>46</v>
      </c>
      <c r="B57" s="6" t="s">
        <v>800</v>
      </c>
      <c r="C57" s="30" t="s">
        <v>98</v>
      </c>
      <c r="D57" s="30" t="s">
        <v>77</v>
      </c>
      <c r="E57" s="31">
        <v>45517</v>
      </c>
      <c r="F57" s="31">
        <v>45881</v>
      </c>
      <c r="G57" s="32">
        <v>448619010</v>
      </c>
      <c r="H57" s="32">
        <v>1794476.04</v>
      </c>
      <c r="I57" s="21">
        <f t="shared" ref="I57:J60" si="12">G57*30%</f>
        <v>134585703</v>
      </c>
      <c r="J57" s="21">
        <f t="shared" si="12"/>
        <v>538342.81200000003</v>
      </c>
      <c r="K57" s="22">
        <f t="shared" si="1"/>
        <v>30</v>
      </c>
      <c r="L57" s="21">
        <f t="shared" ref="L57:M60" si="13">G57*70%</f>
        <v>314033307</v>
      </c>
      <c r="M57" s="23">
        <f t="shared" si="13"/>
        <v>1256133.2279999999</v>
      </c>
      <c r="N57" s="24">
        <f t="shared" si="3"/>
        <v>70</v>
      </c>
      <c r="O57" s="23">
        <f t="shared" si="11"/>
        <v>0</v>
      </c>
      <c r="P57" s="25">
        <f t="shared" si="11"/>
        <v>0</v>
      </c>
      <c r="Q57" s="25">
        <f t="shared" si="5"/>
        <v>0</v>
      </c>
    </row>
    <row r="58" spans="1:17" x14ac:dyDescent="0.35">
      <c r="A58" s="6">
        <v>47</v>
      </c>
      <c r="B58" s="6" t="s">
        <v>801</v>
      </c>
      <c r="C58" s="30" t="s">
        <v>99</v>
      </c>
      <c r="D58" s="30" t="s">
        <v>100</v>
      </c>
      <c r="E58" s="31">
        <v>45526</v>
      </c>
      <c r="F58" s="31">
        <v>45890</v>
      </c>
      <c r="G58" s="32">
        <v>214544921</v>
      </c>
      <c r="H58" s="32">
        <v>858179.68</v>
      </c>
      <c r="I58" s="21">
        <f t="shared" si="12"/>
        <v>64363476.299999997</v>
      </c>
      <c r="J58" s="21">
        <f t="shared" si="12"/>
        <v>257453.90400000001</v>
      </c>
      <c r="K58" s="22">
        <f t="shared" si="1"/>
        <v>30</v>
      </c>
      <c r="L58" s="21">
        <f t="shared" si="13"/>
        <v>150181444.69999999</v>
      </c>
      <c r="M58" s="23">
        <f t="shared" si="13"/>
        <v>600725.77599999995</v>
      </c>
      <c r="N58" s="24">
        <f t="shared" si="3"/>
        <v>70</v>
      </c>
      <c r="O58" s="23">
        <f t="shared" si="11"/>
        <v>0</v>
      </c>
      <c r="P58" s="25">
        <f t="shared" si="11"/>
        <v>0</v>
      </c>
      <c r="Q58" s="25">
        <f t="shared" si="5"/>
        <v>0</v>
      </c>
    </row>
    <row r="59" spans="1:17" x14ac:dyDescent="0.35">
      <c r="A59" s="6">
        <v>48</v>
      </c>
      <c r="B59" s="6" t="s">
        <v>802</v>
      </c>
      <c r="C59" s="30" t="s">
        <v>101</v>
      </c>
      <c r="D59" s="30" t="s">
        <v>102</v>
      </c>
      <c r="E59" s="31">
        <v>45517</v>
      </c>
      <c r="F59" s="31">
        <v>45881</v>
      </c>
      <c r="G59" s="32">
        <v>449979015</v>
      </c>
      <c r="H59" s="32">
        <v>1799916.06</v>
      </c>
      <c r="I59" s="21">
        <f t="shared" si="12"/>
        <v>134993704.5</v>
      </c>
      <c r="J59" s="21">
        <f t="shared" si="12"/>
        <v>539974.81799999997</v>
      </c>
      <c r="K59" s="22">
        <f t="shared" si="1"/>
        <v>30</v>
      </c>
      <c r="L59" s="21">
        <f t="shared" si="13"/>
        <v>314985310.5</v>
      </c>
      <c r="M59" s="23">
        <f t="shared" si="13"/>
        <v>1259941.2419999999</v>
      </c>
      <c r="N59" s="24">
        <f t="shared" si="3"/>
        <v>70</v>
      </c>
      <c r="O59" s="23">
        <f t="shared" si="11"/>
        <v>0</v>
      </c>
      <c r="P59" s="25">
        <f t="shared" si="11"/>
        <v>0</v>
      </c>
      <c r="Q59" s="25">
        <f t="shared" si="5"/>
        <v>0</v>
      </c>
    </row>
    <row r="60" spans="1:17" x14ac:dyDescent="0.35">
      <c r="A60" s="6">
        <v>49</v>
      </c>
      <c r="B60" s="6" t="s">
        <v>803</v>
      </c>
      <c r="C60" s="30" t="s">
        <v>103</v>
      </c>
      <c r="D60" s="30" t="s">
        <v>100</v>
      </c>
      <c r="E60" s="31">
        <v>45541</v>
      </c>
      <c r="F60" s="31">
        <v>45905</v>
      </c>
      <c r="G60" s="32">
        <v>321827006.32999998</v>
      </c>
      <c r="H60" s="32">
        <v>1287308.02</v>
      </c>
      <c r="I60" s="21">
        <f t="shared" si="12"/>
        <v>96548101.898999989</v>
      </c>
      <c r="J60" s="21">
        <f t="shared" si="12"/>
        <v>386192.40600000002</v>
      </c>
      <c r="K60" s="22">
        <f t="shared" si="1"/>
        <v>30</v>
      </c>
      <c r="L60" s="21">
        <f t="shared" si="13"/>
        <v>225278904.43099996</v>
      </c>
      <c r="M60" s="23">
        <f t="shared" si="13"/>
        <v>901115.61399999994</v>
      </c>
      <c r="N60" s="24">
        <f t="shared" si="3"/>
        <v>70</v>
      </c>
      <c r="O60" s="23">
        <f t="shared" si="11"/>
        <v>0</v>
      </c>
      <c r="P60" s="25">
        <f t="shared" si="11"/>
        <v>0</v>
      </c>
      <c r="Q60" s="25">
        <f t="shared" si="5"/>
        <v>0</v>
      </c>
    </row>
    <row r="61" spans="1:17" x14ac:dyDescent="0.35">
      <c r="A61" s="6">
        <v>50</v>
      </c>
      <c r="B61" s="6" t="s">
        <v>804</v>
      </c>
      <c r="C61" s="30" t="s">
        <v>104</v>
      </c>
      <c r="D61" s="30" t="s">
        <v>105</v>
      </c>
      <c r="E61" s="31">
        <v>45538</v>
      </c>
      <c r="F61" s="31">
        <v>45902</v>
      </c>
      <c r="G61" s="32">
        <v>1148780332.8199999</v>
      </c>
      <c r="H61" s="32">
        <v>4595121.33</v>
      </c>
      <c r="I61" s="21">
        <v>150000000</v>
      </c>
      <c r="J61" s="21">
        <v>600122.85</v>
      </c>
      <c r="K61" s="22">
        <f t="shared" si="1"/>
        <v>13.057326602361256</v>
      </c>
      <c r="L61" s="21">
        <v>350000000</v>
      </c>
      <c r="M61" s="23">
        <v>1400133.47</v>
      </c>
      <c r="N61" s="24">
        <f t="shared" si="3"/>
        <v>30.467095405509593</v>
      </c>
      <c r="O61" s="23">
        <f t="shared" si="11"/>
        <v>648780332.81999993</v>
      </c>
      <c r="P61" s="25">
        <f t="shared" si="11"/>
        <v>2594865.0099999998</v>
      </c>
      <c r="Q61" s="25">
        <f t="shared" si="5"/>
        <v>56.475577992129146</v>
      </c>
    </row>
    <row r="62" spans="1:17" x14ac:dyDescent="0.35">
      <c r="A62" s="6">
        <v>51</v>
      </c>
      <c r="B62" s="6" t="s">
        <v>805</v>
      </c>
      <c r="C62" s="30" t="s">
        <v>106</v>
      </c>
      <c r="D62" s="30" t="s">
        <v>107</v>
      </c>
      <c r="E62" s="31">
        <v>45534</v>
      </c>
      <c r="F62" s="31">
        <v>45716</v>
      </c>
      <c r="G62" s="32">
        <v>585881048</v>
      </c>
      <c r="H62" s="32">
        <v>2343524.19</v>
      </c>
      <c r="I62" s="21">
        <v>150000000</v>
      </c>
      <c r="J62" s="21">
        <v>599942.18999999994</v>
      </c>
      <c r="K62" s="22">
        <f t="shared" si="1"/>
        <v>25.602466663164702</v>
      </c>
      <c r="L62" s="21">
        <v>350000000</v>
      </c>
      <c r="M62" s="23">
        <v>1400021.35</v>
      </c>
      <c r="N62" s="24">
        <f t="shared" si="3"/>
        <v>59.739088880717638</v>
      </c>
      <c r="O62" s="23">
        <f t="shared" si="11"/>
        <v>85881048</v>
      </c>
      <c r="P62" s="25">
        <f t="shared" si="11"/>
        <v>343560.64999999991</v>
      </c>
      <c r="Q62" s="25">
        <f t="shared" si="5"/>
        <v>14.658444456117657</v>
      </c>
    </row>
    <row r="63" spans="1:17" x14ac:dyDescent="0.35">
      <c r="A63" s="6">
        <v>52</v>
      </c>
      <c r="B63" s="6" t="s">
        <v>806</v>
      </c>
      <c r="C63" s="30" t="s">
        <v>108</v>
      </c>
      <c r="D63" s="30" t="s">
        <v>109</v>
      </c>
      <c r="E63" s="31">
        <v>45489</v>
      </c>
      <c r="F63" s="31">
        <v>45853</v>
      </c>
      <c r="G63" s="32">
        <v>137169050.77000001</v>
      </c>
      <c r="H63" s="32">
        <v>685845.25</v>
      </c>
      <c r="I63" s="21">
        <f t="shared" ref="I63:J79" si="14">G63*30%</f>
        <v>41150715.230999999</v>
      </c>
      <c r="J63" s="21">
        <f t="shared" si="14"/>
        <v>205753.57499999998</v>
      </c>
      <c r="K63" s="22">
        <f t="shared" si="1"/>
        <v>30</v>
      </c>
      <c r="L63" s="21">
        <f t="shared" ref="L63:M79" si="15">G63*70%</f>
        <v>96018335.539000005</v>
      </c>
      <c r="M63" s="23">
        <f t="shared" si="15"/>
        <v>480091.67499999999</v>
      </c>
      <c r="N63" s="24">
        <f t="shared" si="3"/>
        <v>70</v>
      </c>
      <c r="O63" s="23">
        <f t="shared" ref="O63:P80" si="16">G63-I63-L63</f>
        <v>0</v>
      </c>
      <c r="P63" s="25">
        <f t="shared" si="16"/>
        <v>0</v>
      </c>
      <c r="Q63" s="25">
        <f t="shared" si="5"/>
        <v>0</v>
      </c>
    </row>
    <row r="64" spans="1:17" x14ac:dyDescent="0.35">
      <c r="A64" s="6">
        <v>53</v>
      </c>
      <c r="B64" s="6" t="s">
        <v>807</v>
      </c>
      <c r="C64" s="30" t="s">
        <v>110</v>
      </c>
      <c r="D64" s="30" t="s">
        <v>111</v>
      </c>
      <c r="E64" s="31">
        <v>45503</v>
      </c>
      <c r="F64" s="31">
        <v>45686</v>
      </c>
      <c r="G64" s="32">
        <v>59952750</v>
      </c>
      <c r="H64" s="32">
        <v>299763.75</v>
      </c>
      <c r="I64" s="21">
        <f t="shared" si="14"/>
        <v>17985825</v>
      </c>
      <c r="J64" s="21">
        <f t="shared" si="14"/>
        <v>89929.125</v>
      </c>
      <c r="K64" s="22">
        <f t="shared" si="1"/>
        <v>30</v>
      </c>
      <c r="L64" s="21">
        <f t="shared" si="15"/>
        <v>41966925</v>
      </c>
      <c r="M64" s="23">
        <f t="shared" si="15"/>
        <v>209834.625</v>
      </c>
      <c r="N64" s="24">
        <f t="shared" si="3"/>
        <v>70</v>
      </c>
      <c r="O64" s="23">
        <f t="shared" si="16"/>
        <v>0</v>
      </c>
      <c r="P64" s="25">
        <f t="shared" si="16"/>
        <v>0</v>
      </c>
      <c r="Q64" s="25">
        <f t="shared" si="5"/>
        <v>0</v>
      </c>
    </row>
    <row r="65" spans="1:17" x14ac:dyDescent="0.35">
      <c r="A65" s="6">
        <v>54</v>
      </c>
      <c r="B65" s="6" t="s">
        <v>808</v>
      </c>
      <c r="C65" s="30" t="s">
        <v>112</v>
      </c>
      <c r="D65" s="30" t="s">
        <v>113</v>
      </c>
      <c r="E65" s="31">
        <v>45524</v>
      </c>
      <c r="F65" s="31">
        <v>45707</v>
      </c>
      <c r="G65" s="32">
        <v>90000000</v>
      </c>
      <c r="H65" s="32">
        <v>450000</v>
      </c>
      <c r="I65" s="21">
        <f t="shared" si="14"/>
        <v>27000000</v>
      </c>
      <c r="J65" s="21">
        <f t="shared" si="14"/>
        <v>135000</v>
      </c>
      <c r="K65" s="22">
        <f t="shared" si="1"/>
        <v>30</v>
      </c>
      <c r="L65" s="21">
        <f t="shared" si="15"/>
        <v>62999999.999999993</v>
      </c>
      <c r="M65" s="23">
        <f t="shared" si="15"/>
        <v>315000</v>
      </c>
      <c r="N65" s="24">
        <f t="shared" si="3"/>
        <v>70</v>
      </c>
      <c r="O65" s="23">
        <f t="shared" si="16"/>
        <v>0</v>
      </c>
      <c r="P65" s="25">
        <f t="shared" si="16"/>
        <v>0</v>
      </c>
      <c r="Q65" s="25">
        <f t="shared" si="5"/>
        <v>0</v>
      </c>
    </row>
    <row r="66" spans="1:17" x14ac:dyDescent="0.35">
      <c r="A66" s="6">
        <v>55</v>
      </c>
      <c r="B66" s="6" t="s">
        <v>809</v>
      </c>
      <c r="C66" s="30" t="s">
        <v>114</v>
      </c>
      <c r="D66" s="30" t="s">
        <v>115</v>
      </c>
      <c r="E66" s="31">
        <v>45532</v>
      </c>
      <c r="F66" s="31">
        <v>45715</v>
      </c>
      <c r="G66" s="32">
        <v>50100815</v>
      </c>
      <c r="H66" s="32">
        <v>250504.08</v>
      </c>
      <c r="I66" s="21">
        <f t="shared" si="14"/>
        <v>15030244.5</v>
      </c>
      <c r="J66" s="21">
        <f t="shared" si="14"/>
        <v>75151.223999999987</v>
      </c>
      <c r="K66" s="22">
        <f t="shared" si="1"/>
        <v>30</v>
      </c>
      <c r="L66" s="21">
        <f t="shared" si="15"/>
        <v>35070570.5</v>
      </c>
      <c r="M66" s="23">
        <f t="shared" si="15"/>
        <v>175352.85599999997</v>
      </c>
      <c r="N66" s="24">
        <f t="shared" si="3"/>
        <v>70</v>
      </c>
      <c r="O66" s="23">
        <f t="shared" si="16"/>
        <v>0</v>
      </c>
      <c r="P66" s="25">
        <f t="shared" si="16"/>
        <v>0</v>
      </c>
      <c r="Q66" s="25">
        <f t="shared" si="5"/>
        <v>0</v>
      </c>
    </row>
    <row r="67" spans="1:17" x14ac:dyDescent="0.35">
      <c r="A67" s="6">
        <v>56</v>
      </c>
      <c r="B67" s="6" t="s">
        <v>810</v>
      </c>
      <c r="C67" s="30" t="s">
        <v>116</v>
      </c>
      <c r="D67" s="30" t="s">
        <v>117</v>
      </c>
      <c r="E67" s="31">
        <v>45511</v>
      </c>
      <c r="F67" s="31">
        <v>45694</v>
      </c>
      <c r="G67" s="32">
        <v>58716121.600000001</v>
      </c>
      <c r="H67" s="32">
        <v>293580.61</v>
      </c>
      <c r="I67" s="21">
        <f t="shared" si="14"/>
        <v>17614836.48</v>
      </c>
      <c r="J67" s="21">
        <f t="shared" si="14"/>
        <v>88074.18299999999</v>
      </c>
      <c r="K67" s="22">
        <f t="shared" si="1"/>
        <v>30</v>
      </c>
      <c r="L67" s="21">
        <f t="shared" si="15"/>
        <v>41101285.119999997</v>
      </c>
      <c r="M67" s="23">
        <f t="shared" si="15"/>
        <v>205506.42699999997</v>
      </c>
      <c r="N67" s="24">
        <f t="shared" si="3"/>
        <v>70</v>
      </c>
      <c r="O67" s="23">
        <f t="shared" si="16"/>
        <v>0</v>
      </c>
      <c r="P67" s="25">
        <f t="shared" si="16"/>
        <v>0</v>
      </c>
      <c r="Q67" s="25">
        <f t="shared" si="5"/>
        <v>0</v>
      </c>
    </row>
    <row r="68" spans="1:17" x14ac:dyDescent="0.35">
      <c r="A68" s="6">
        <v>57</v>
      </c>
      <c r="B68" s="6" t="s">
        <v>811</v>
      </c>
      <c r="C68" s="30" t="s">
        <v>118</v>
      </c>
      <c r="D68" s="30" t="s">
        <v>119</v>
      </c>
      <c r="E68" s="31">
        <v>45512</v>
      </c>
      <c r="F68" s="31">
        <v>45876</v>
      </c>
      <c r="G68" s="32">
        <v>149940000</v>
      </c>
      <c r="H68" s="32">
        <v>749700</v>
      </c>
      <c r="I68" s="21">
        <f t="shared" si="14"/>
        <v>44982000</v>
      </c>
      <c r="J68" s="21">
        <f t="shared" si="14"/>
        <v>224910</v>
      </c>
      <c r="K68" s="22">
        <f t="shared" si="1"/>
        <v>30</v>
      </c>
      <c r="L68" s="21">
        <f t="shared" si="15"/>
        <v>104958000</v>
      </c>
      <c r="M68" s="23">
        <f t="shared" si="15"/>
        <v>524790</v>
      </c>
      <c r="N68" s="24">
        <f t="shared" si="3"/>
        <v>70</v>
      </c>
      <c r="O68" s="23">
        <f t="shared" si="16"/>
        <v>0</v>
      </c>
      <c r="P68" s="25">
        <f t="shared" si="16"/>
        <v>0</v>
      </c>
      <c r="Q68" s="25">
        <f t="shared" si="5"/>
        <v>0</v>
      </c>
    </row>
    <row r="69" spans="1:17" x14ac:dyDescent="0.35">
      <c r="A69" s="6">
        <v>58</v>
      </c>
      <c r="B69" s="6" t="s">
        <v>812</v>
      </c>
      <c r="C69" s="30" t="s">
        <v>120</v>
      </c>
      <c r="D69" s="30" t="s">
        <v>121</v>
      </c>
      <c r="E69" s="31">
        <v>45512</v>
      </c>
      <c r="F69" s="31">
        <v>45695</v>
      </c>
      <c r="G69" s="32">
        <v>132645869</v>
      </c>
      <c r="H69" s="32">
        <v>663229.35</v>
      </c>
      <c r="I69" s="21">
        <f t="shared" si="14"/>
        <v>39793760.699999996</v>
      </c>
      <c r="J69" s="21">
        <f t="shared" si="14"/>
        <v>198968.80499999999</v>
      </c>
      <c r="K69" s="22">
        <f t="shared" si="1"/>
        <v>30</v>
      </c>
      <c r="L69" s="21">
        <f t="shared" si="15"/>
        <v>92852108.299999997</v>
      </c>
      <c r="M69" s="23">
        <f t="shared" si="15"/>
        <v>464260.54499999993</v>
      </c>
      <c r="N69" s="24">
        <f t="shared" si="3"/>
        <v>70</v>
      </c>
      <c r="O69" s="23">
        <f t="shared" si="16"/>
        <v>0</v>
      </c>
      <c r="P69" s="25">
        <f t="shared" si="16"/>
        <v>0</v>
      </c>
      <c r="Q69" s="25">
        <f t="shared" si="5"/>
        <v>0</v>
      </c>
    </row>
    <row r="70" spans="1:17" x14ac:dyDescent="0.35">
      <c r="A70" s="6">
        <v>59</v>
      </c>
      <c r="B70" s="6" t="s">
        <v>813</v>
      </c>
      <c r="C70" s="30" t="s">
        <v>122</v>
      </c>
      <c r="D70" s="30" t="s">
        <v>123</v>
      </c>
      <c r="E70" s="31">
        <v>45512</v>
      </c>
      <c r="F70" s="31">
        <v>45695</v>
      </c>
      <c r="G70" s="32">
        <v>88257034.599999994</v>
      </c>
      <c r="H70" s="32">
        <v>441285.17</v>
      </c>
      <c r="I70" s="21">
        <f t="shared" si="14"/>
        <v>26477110.379999999</v>
      </c>
      <c r="J70" s="21">
        <f t="shared" si="14"/>
        <v>132385.55099999998</v>
      </c>
      <c r="K70" s="22">
        <f t="shared" si="1"/>
        <v>30</v>
      </c>
      <c r="L70" s="21">
        <f t="shared" si="15"/>
        <v>61779924.219999991</v>
      </c>
      <c r="M70" s="23">
        <f t="shared" si="15"/>
        <v>308899.61899999995</v>
      </c>
      <c r="N70" s="24">
        <f t="shared" si="3"/>
        <v>70</v>
      </c>
      <c r="O70" s="23">
        <f t="shared" si="16"/>
        <v>0</v>
      </c>
      <c r="P70" s="25">
        <f t="shared" si="16"/>
        <v>0</v>
      </c>
      <c r="Q70" s="25">
        <f t="shared" si="5"/>
        <v>0</v>
      </c>
    </row>
    <row r="71" spans="1:17" x14ac:dyDescent="0.35">
      <c r="A71" s="6">
        <v>60</v>
      </c>
      <c r="B71" s="6" t="s">
        <v>814</v>
      </c>
      <c r="C71" s="30" t="s">
        <v>124</v>
      </c>
      <c r="D71" s="30" t="s">
        <v>125</v>
      </c>
      <c r="E71" s="31">
        <v>45514</v>
      </c>
      <c r="F71" s="31">
        <v>45697</v>
      </c>
      <c r="G71" s="32">
        <v>148500000</v>
      </c>
      <c r="H71" s="32">
        <v>742500</v>
      </c>
      <c r="I71" s="21">
        <f t="shared" si="14"/>
        <v>44550000</v>
      </c>
      <c r="J71" s="21">
        <f t="shared" si="14"/>
        <v>222750</v>
      </c>
      <c r="K71" s="22">
        <f t="shared" si="1"/>
        <v>30</v>
      </c>
      <c r="L71" s="21">
        <f t="shared" si="15"/>
        <v>103950000</v>
      </c>
      <c r="M71" s="23">
        <f t="shared" si="15"/>
        <v>519749.99999999994</v>
      </c>
      <c r="N71" s="24">
        <f t="shared" si="3"/>
        <v>70</v>
      </c>
      <c r="O71" s="23">
        <f t="shared" si="16"/>
        <v>0</v>
      </c>
      <c r="P71" s="25">
        <f t="shared" si="16"/>
        <v>0</v>
      </c>
      <c r="Q71" s="25">
        <f t="shared" si="5"/>
        <v>0</v>
      </c>
    </row>
    <row r="72" spans="1:17" x14ac:dyDescent="0.35">
      <c r="A72" s="6">
        <v>61</v>
      </c>
      <c r="B72" s="6" t="s">
        <v>815</v>
      </c>
      <c r="C72" s="30" t="s">
        <v>126</v>
      </c>
      <c r="D72" s="30" t="s">
        <v>127</v>
      </c>
      <c r="E72" s="31">
        <v>45512</v>
      </c>
      <c r="F72" s="31">
        <v>45695</v>
      </c>
      <c r="G72" s="32">
        <v>130724788</v>
      </c>
      <c r="H72" s="32">
        <v>653623.93999999994</v>
      </c>
      <c r="I72" s="21">
        <f t="shared" si="14"/>
        <v>39217436.399999999</v>
      </c>
      <c r="J72" s="21">
        <f t="shared" si="14"/>
        <v>196087.18199999997</v>
      </c>
      <c r="K72" s="22">
        <f t="shared" si="1"/>
        <v>30</v>
      </c>
      <c r="L72" s="21">
        <f t="shared" si="15"/>
        <v>91507351.599999994</v>
      </c>
      <c r="M72" s="23">
        <f t="shared" si="15"/>
        <v>457536.75799999991</v>
      </c>
      <c r="N72" s="24">
        <f t="shared" si="3"/>
        <v>70</v>
      </c>
      <c r="O72" s="23">
        <f t="shared" si="16"/>
        <v>0</v>
      </c>
      <c r="P72" s="25">
        <f t="shared" si="16"/>
        <v>0</v>
      </c>
      <c r="Q72" s="25">
        <f t="shared" si="5"/>
        <v>0</v>
      </c>
    </row>
    <row r="73" spans="1:17" x14ac:dyDescent="0.35">
      <c r="A73" s="6">
        <v>62</v>
      </c>
      <c r="B73" s="6" t="s">
        <v>816</v>
      </c>
      <c r="C73" s="30" t="s">
        <v>128</v>
      </c>
      <c r="D73" s="30" t="s">
        <v>129</v>
      </c>
      <c r="E73" s="31">
        <v>45534</v>
      </c>
      <c r="F73" s="31">
        <v>45716</v>
      </c>
      <c r="G73" s="32">
        <v>59690370</v>
      </c>
      <c r="H73" s="32">
        <v>298451.84999999998</v>
      </c>
      <c r="I73" s="21">
        <f t="shared" si="14"/>
        <v>17907111</v>
      </c>
      <c r="J73" s="21">
        <f t="shared" si="14"/>
        <v>89535.554999999993</v>
      </c>
      <c r="K73" s="22">
        <f t="shared" si="1"/>
        <v>30</v>
      </c>
      <c r="L73" s="21">
        <f t="shared" si="15"/>
        <v>41783259</v>
      </c>
      <c r="M73" s="23">
        <f t="shared" si="15"/>
        <v>208916.29499999998</v>
      </c>
      <c r="N73" s="24">
        <f t="shared" si="3"/>
        <v>70</v>
      </c>
      <c r="O73" s="23">
        <f t="shared" si="16"/>
        <v>0</v>
      </c>
      <c r="P73" s="25">
        <f t="shared" si="16"/>
        <v>0</v>
      </c>
      <c r="Q73" s="25">
        <f t="shared" si="5"/>
        <v>0</v>
      </c>
    </row>
    <row r="74" spans="1:17" x14ac:dyDescent="0.35">
      <c r="A74" s="6">
        <v>63</v>
      </c>
      <c r="B74" s="6" t="s">
        <v>817</v>
      </c>
      <c r="C74" s="30" t="s">
        <v>130</v>
      </c>
      <c r="D74" s="30" t="s">
        <v>131</v>
      </c>
      <c r="E74" s="31">
        <v>45512</v>
      </c>
      <c r="F74" s="31">
        <v>45695</v>
      </c>
      <c r="G74" s="32">
        <v>128850000</v>
      </c>
      <c r="H74" s="32">
        <v>644250</v>
      </c>
      <c r="I74" s="21">
        <f t="shared" si="14"/>
        <v>38655000</v>
      </c>
      <c r="J74" s="21">
        <f t="shared" si="14"/>
        <v>193275</v>
      </c>
      <c r="K74" s="22">
        <f t="shared" si="1"/>
        <v>30</v>
      </c>
      <c r="L74" s="21">
        <f t="shared" si="15"/>
        <v>90195000</v>
      </c>
      <c r="M74" s="23">
        <f t="shared" si="15"/>
        <v>450975</v>
      </c>
      <c r="N74" s="24">
        <f t="shared" si="3"/>
        <v>70</v>
      </c>
      <c r="O74" s="23">
        <f t="shared" si="16"/>
        <v>0</v>
      </c>
      <c r="P74" s="25">
        <f t="shared" si="16"/>
        <v>0</v>
      </c>
      <c r="Q74" s="25">
        <f t="shared" si="5"/>
        <v>0</v>
      </c>
    </row>
    <row r="75" spans="1:17" x14ac:dyDescent="0.35">
      <c r="A75" s="6">
        <v>64</v>
      </c>
      <c r="B75" s="6" t="s">
        <v>818</v>
      </c>
      <c r="C75" s="30" t="s">
        <v>132</v>
      </c>
      <c r="D75" s="30" t="s">
        <v>133</v>
      </c>
      <c r="E75" s="31">
        <v>45516</v>
      </c>
      <c r="F75" s="31">
        <v>45699</v>
      </c>
      <c r="G75" s="32">
        <v>23999988.420000002</v>
      </c>
      <c r="H75" s="32">
        <v>95999.95</v>
      </c>
      <c r="I75" s="21">
        <f t="shared" si="14"/>
        <v>7199996.5260000005</v>
      </c>
      <c r="J75" s="21">
        <f t="shared" si="14"/>
        <v>28799.984999999997</v>
      </c>
      <c r="K75" s="22">
        <f t="shared" si="1"/>
        <v>30</v>
      </c>
      <c r="L75" s="21">
        <f t="shared" si="15"/>
        <v>16799991.894000001</v>
      </c>
      <c r="M75" s="23">
        <f t="shared" si="15"/>
        <v>67199.964999999997</v>
      </c>
      <c r="N75" s="24">
        <f t="shared" si="3"/>
        <v>70</v>
      </c>
      <c r="O75" s="23">
        <f t="shared" si="16"/>
        <v>0</v>
      </c>
      <c r="P75" s="25">
        <f t="shared" si="16"/>
        <v>0</v>
      </c>
      <c r="Q75" s="25">
        <f t="shared" si="5"/>
        <v>0</v>
      </c>
    </row>
    <row r="76" spans="1:17" x14ac:dyDescent="0.35">
      <c r="A76" s="6">
        <v>65</v>
      </c>
      <c r="B76" s="6" t="s">
        <v>819</v>
      </c>
      <c r="C76" s="30" t="s">
        <v>134</v>
      </c>
      <c r="D76" s="30" t="s">
        <v>100</v>
      </c>
      <c r="E76" s="31">
        <v>45538</v>
      </c>
      <c r="F76" s="31">
        <v>45902</v>
      </c>
      <c r="G76" s="32">
        <v>321956079.01999998</v>
      </c>
      <c r="H76" s="32">
        <v>1287824.32</v>
      </c>
      <c r="I76" s="21">
        <f t="shared" si="14"/>
        <v>96586823.705999985</v>
      </c>
      <c r="J76" s="21">
        <f t="shared" si="14"/>
        <v>386347.29600000003</v>
      </c>
      <c r="K76" s="22">
        <f t="shared" ref="K76:K139" si="17">I76/G76*100</f>
        <v>30</v>
      </c>
      <c r="L76" s="21">
        <f t="shared" si="15"/>
        <v>225369255.31399998</v>
      </c>
      <c r="M76" s="23">
        <f t="shared" si="15"/>
        <v>901477.02399999998</v>
      </c>
      <c r="N76" s="24">
        <f t="shared" ref="N76:N139" si="18">L76/G76*100</f>
        <v>70</v>
      </c>
      <c r="O76" s="23">
        <f t="shared" si="16"/>
        <v>0</v>
      </c>
      <c r="P76" s="25">
        <f t="shared" si="16"/>
        <v>0</v>
      </c>
      <c r="Q76" s="25">
        <f t="shared" si="5"/>
        <v>0</v>
      </c>
    </row>
    <row r="77" spans="1:17" x14ac:dyDescent="0.35">
      <c r="A77" s="6">
        <v>66</v>
      </c>
      <c r="B77" s="6" t="s">
        <v>820</v>
      </c>
      <c r="C77" s="30" t="s">
        <v>135</v>
      </c>
      <c r="D77" s="30" t="s">
        <v>113</v>
      </c>
      <c r="E77" s="31">
        <v>45541</v>
      </c>
      <c r="F77" s="31">
        <v>45721</v>
      </c>
      <c r="G77" s="32">
        <v>117599201.16</v>
      </c>
      <c r="H77" s="32">
        <v>587996.01</v>
      </c>
      <c r="I77" s="21">
        <f t="shared" si="14"/>
        <v>35279760.347999997</v>
      </c>
      <c r="J77" s="21">
        <f t="shared" si="14"/>
        <v>176398.80299999999</v>
      </c>
      <c r="K77" s="22">
        <f t="shared" si="17"/>
        <v>30</v>
      </c>
      <c r="L77" s="21">
        <f t="shared" si="15"/>
        <v>82319440.811999992</v>
      </c>
      <c r="M77" s="23">
        <f t="shared" si="15"/>
        <v>411597.20699999999</v>
      </c>
      <c r="N77" s="24">
        <f t="shared" si="18"/>
        <v>70</v>
      </c>
      <c r="O77" s="23">
        <f t="shared" si="16"/>
        <v>0</v>
      </c>
      <c r="P77" s="25">
        <f t="shared" si="16"/>
        <v>0</v>
      </c>
      <c r="Q77" s="25">
        <f t="shared" si="5"/>
        <v>0</v>
      </c>
    </row>
    <row r="78" spans="1:17" x14ac:dyDescent="0.35">
      <c r="A78" s="6">
        <v>67</v>
      </c>
      <c r="B78" s="6" t="s">
        <v>821</v>
      </c>
      <c r="C78" s="30" t="s">
        <v>136</v>
      </c>
      <c r="D78" s="30" t="s">
        <v>137</v>
      </c>
      <c r="E78" s="31">
        <v>45511</v>
      </c>
      <c r="F78" s="31">
        <v>45694</v>
      </c>
      <c r="G78" s="32">
        <v>57143479.200000003</v>
      </c>
      <c r="H78" s="32">
        <v>285717.40000000002</v>
      </c>
      <c r="I78" s="21">
        <f t="shared" si="14"/>
        <v>17143043.760000002</v>
      </c>
      <c r="J78" s="21">
        <f t="shared" si="14"/>
        <v>85715.22</v>
      </c>
      <c r="K78" s="22">
        <f t="shared" si="17"/>
        <v>30</v>
      </c>
      <c r="L78" s="21">
        <f t="shared" si="15"/>
        <v>40000435.439999998</v>
      </c>
      <c r="M78" s="23">
        <f t="shared" si="15"/>
        <v>200002.18</v>
      </c>
      <c r="N78" s="24">
        <f t="shared" si="18"/>
        <v>70</v>
      </c>
      <c r="O78" s="23">
        <f t="shared" si="16"/>
        <v>0</v>
      </c>
      <c r="P78" s="25">
        <f t="shared" si="16"/>
        <v>0</v>
      </c>
      <c r="Q78" s="25">
        <f t="shared" si="5"/>
        <v>0</v>
      </c>
    </row>
    <row r="79" spans="1:17" x14ac:dyDescent="0.35">
      <c r="A79" s="6">
        <v>68</v>
      </c>
      <c r="B79" s="6" t="s">
        <v>822</v>
      </c>
      <c r="C79" s="30" t="s">
        <v>138</v>
      </c>
      <c r="D79" s="30" t="s">
        <v>139</v>
      </c>
      <c r="E79" s="31">
        <v>45541</v>
      </c>
      <c r="F79" s="31">
        <v>45721</v>
      </c>
      <c r="G79" s="32">
        <v>58797872.850000001</v>
      </c>
      <c r="H79" s="32">
        <v>293989.36</v>
      </c>
      <c r="I79" s="21">
        <f t="shared" si="14"/>
        <v>17639361.855</v>
      </c>
      <c r="J79" s="21">
        <f t="shared" si="14"/>
        <v>88196.80799999999</v>
      </c>
      <c r="K79" s="22">
        <f t="shared" si="17"/>
        <v>30</v>
      </c>
      <c r="L79" s="21">
        <f t="shared" si="15"/>
        <v>41158510.994999997</v>
      </c>
      <c r="M79" s="23">
        <f t="shared" si="15"/>
        <v>205792.55199999997</v>
      </c>
      <c r="N79" s="24">
        <f t="shared" si="18"/>
        <v>70</v>
      </c>
      <c r="O79" s="23">
        <f t="shared" si="16"/>
        <v>0</v>
      </c>
      <c r="P79" s="25">
        <f t="shared" si="16"/>
        <v>0</v>
      </c>
      <c r="Q79" s="25">
        <f t="shared" si="5"/>
        <v>0</v>
      </c>
    </row>
    <row r="80" spans="1:17" x14ac:dyDescent="0.35">
      <c r="A80" s="6">
        <v>69</v>
      </c>
      <c r="B80" s="6" t="s">
        <v>823</v>
      </c>
      <c r="C80" s="30" t="s">
        <v>140</v>
      </c>
      <c r="D80" s="30" t="s">
        <v>141</v>
      </c>
      <c r="E80" s="31">
        <v>45546</v>
      </c>
      <c r="F80" s="31">
        <v>45910</v>
      </c>
      <c r="G80" s="32">
        <v>388304099.69999999</v>
      </c>
      <c r="H80" s="32">
        <v>1941520.5</v>
      </c>
      <c r="I80" s="21">
        <f t="shared" ref="I80:J95" si="19">G80*30%</f>
        <v>116491229.91</v>
      </c>
      <c r="J80" s="21">
        <f t="shared" si="19"/>
        <v>582456.15</v>
      </c>
      <c r="K80" s="22">
        <f t="shared" si="17"/>
        <v>30</v>
      </c>
      <c r="L80" s="21">
        <f t="shared" ref="L80:M95" si="20">G80*70%</f>
        <v>271812869.78999996</v>
      </c>
      <c r="M80" s="23">
        <f t="shared" si="20"/>
        <v>1359064.3499999999</v>
      </c>
      <c r="N80" s="24">
        <f t="shared" si="18"/>
        <v>70</v>
      </c>
      <c r="O80" s="23">
        <f t="shared" si="16"/>
        <v>0</v>
      </c>
      <c r="P80" s="25">
        <f t="shared" si="16"/>
        <v>0</v>
      </c>
      <c r="Q80" s="25">
        <f t="shared" si="5"/>
        <v>0</v>
      </c>
    </row>
    <row r="81" spans="1:17" x14ac:dyDescent="0.35">
      <c r="A81" s="6">
        <v>70</v>
      </c>
      <c r="B81" s="6" t="s">
        <v>824</v>
      </c>
      <c r="C81" s="30" t="s">
        <v>142</v>
      </c>
      <c r="D81" s="30" t="s">
        <v>143</v>
      </c>
      <c r="E81" s="31">
        <v>45565</v>
      </c>
      <c r="F81" s="31">
        <v>45929</v>
      </c>
      <c r="G81" s="32">
        <v>92877690.900000006</v>
      </c>
      <c r="H81" s="32">
        <v>464388.45</v>
      </c>
      <c r="I81" s="21">
        <f t="shared" si="19"/>
        <v>27863307.27</v>
      </c>
      <c r="J81" s="21">
        <f t="shared" si="19"/>
        <v>139316.535</v>
      </c>
      <c r="K81" s="22">
        <f t="shared" si="17"/>
        <v>30</v>
      </c>
      <c r="L81" s="21">
        <f t="shared" si="20"/>
        <v>65014383.630000003</v>
      </c>
      <c r="M81" s="23">
        <f t="shared" si="20"/>
        <v>325071.91499999998</v>
      </c>
      <c r="N81" s="24">
        <f t="shared" si="18"/>
        <v>70</v>
      </c>
      <c r="O81" s="23">
        <f t="shared" ref="O81:P96" si="21">G81-I81-L81</f>
        <v>0</v>
      </c>
      <c r="P81" s="25">
        <f t="shared" si="21"/>
        <v>0</v>
      </c>
      <c r="Q81" s="25">
        <f t="shared" ref="Q81:Q140" si="22">100-K81-N81</f>
        <v>0</v>
      </c>
    </row>
    <row r="82" spans="1:17" x14ac:dyDescent="0.35">
      <c r="A82" s="6">
        <v>71</v>
      </c>
      <c r="B82" s="6" t="s">
        <v>825</v>
      </c>
      <c r="C82" s="30" t="s">
        <v>144</v>
      </c>
      <c r="D82" s="30" t="s">
        <v>145</v>
      </c>
      <c r="E82" s="31">
        <v>45467</v>
      </c>
      <c r="F82" s="31">
        <v>45831</v>
      </c>
      <c r="G82" s="32">
        <v>149839803.25999999</v>
      </c>
      <c r="H82" s="32">
        <v>599359.21</v>
      </c>
      <c r="I82" s="21">
        <f t="shared" si="19"/>
        <v>44951940.977999993</v>
      </c>
      <c r="J82" s="21">
        <f t="shared" si="19"/>
        <v>179807.76299999998</v>
      </c>
      <c r="K82" s="22">
        <f t="shared" si="17"/>
        <v>30</v>
      </c>
      <c r="L82" s="21">
        <f t="shared" si="20"/>
        <v>104887862.28199999</v>
      </c>
      <c r="M82" s="23">
        <f t="shared" si="20"/>
        <v>419551.44699999993</v>
      </c>
      <c r="N82" s="24">
        <f t="shared" si="18"/>
        <v>70</v>
      </c>
      <c r="O82" s="23">
        <f t="shared" si="21"/>
        <v>0</v>
      </c>
      <c r="P82" s="25">
        <f t="shared" si="21"/>
        <v>0</v>
      </c>
      <c r="Q82" s="25">
        <f t="shared" si="22"/>
        <v>0</v>
      </c>
    </row>
    <row r="83" spans="1:17" x14ac:dyDescent="0.35">
      <c r="A83" s="6">
        <v>72</v>
      </c>
      <c r="B83" s="6" t="s">
        <v>826</v>
      </c>
      <c r="C83" s="30" t="s">
        <v>146</v>
      </c>
      <c r="D83" s="30" t="s">
        <v>147</v>
      </c>
      <c r="E83" s="31">
        <v>45485</v>
      </c>
      <c r="F83" s="31">
        <v>45668</v>
      </c>
      <c r="G83" s="32">
        <v>104967823.14</v>
      </c>
      <c r="H83" s="32">
        <v>419871.29</v>
      </c>
      <c r="I83" s="21">
        <f t="shared" si="19"/>
        <v>31490346.941999998</v>
      </c>
      <c r="J83" s="21">
        <f t="shared" si="19"/>
        <v>125961.38699999999</v>
      </c>
      <c r="K83" s="22">
        <f t="shared" si="17"/>
        <v>30</v>
      </c>
      <c r="L83" s="21">
        <f t="shared" si="20"/>
        <v>73477476.197999999</v>
      </c>
      <c r="M83" s="23">
        <f t="shared" si="20"/>
        <v>293909.90299999999</v>
      </c>
      <c r="N83" s="24">
        <f t="shared" si="18"/>
        <v>70</v>
      </c>
      <c r="O83" s="23">
        <f t="shared" si="21"/>
        <v>0</v>
      </c>
      <c r="P83" s="25">
        <f t="shared" si="21"/>
        <v>0</v>
      </c>
      <c r="Q83" s="25">
        <f t="shared" si="22"/>
        <v>0</v>
      </c>
    </row>
    <row r="84" spans="1:17" x14ac:dyDescent="0.35">
      <c r="A84" s="6">
        <v>73</v>
      </c>
      <c r="B84" s="6" t="s">
        <v>827</v>
      </c>
      <c r="C84" s="30" t="s">
        <v>148</v>
      </c>
      <c r="D84" s="30" t="s">
        <v>149</v>
      </c>
      <c r="E84" s="31">
        <v>45488</v>
      </c>
      <c r="F84" s="31">
        <v>45852</v>
      </c>
      <c r="G84" s="32">
        <v>157142857.13999999</v>
      </c>
      <c r="H84" s="32">
        <v>785714.29</v>
      </c>
      <c r="I84" s="21">
        <f t="shared" si="19"/>
        <v>47142857.141999997</v>
      </c>
      <c r="J84" s="21">
        <f t="shared" si="19"/>
        <v>235714.28700000001</v>
      </c>
      <c r="K84" s="22">
        <f t="shared" si="17"/>
        <v>30</v>
      </c>
      <c r="L84" s="21">
        <f t="shared" si="20"/>
        <v>109999999.99799998</v>
      </c>
      <c r="M84" s="23">
        <f t="shared" si="20"/>
        <v>550000.00300000003</v>
      </c>
      <c r="N84" s="24">
        <f t="shared" si="18"/>
        <v>70</v>
      </c>
      <c r="O84" s="23">
        <f t="shared" si="21"/>
        <v>0</v>
      </c>
      <c r="P84" s="25">
        <f t="shared" si="21"/>
        <v>0</v>
      </c>
      <c r="Q84" s="25">
        <f t="shared" si="22"/>
        <v>0</v>
      </c>
    </row>
    <row r="85" spans="1:17" x14ac:dyDescent="0.35">
      <c r="A85" s="6">
        <v>74</v>
      </c>
      <c r="B85" s="6" t="s">
        <v>828</v>
      </c>
      <c r="C85" s="30" t="s">
        <v>150</v>
      </c>
      <c r="D85" s="30" t="s">
        <v>145</v>
      </c>
      <c r="E85" s="31">
        <v>45491</v>
      </c>
      <c r="F85" s="31">
        <v>45855</v>
      </c>
      <c r="G85" s="32">
        <v>76500000</v>
      </c>
      <c r="H85" s="32">
        <v>306000</v>
      </c>
      <c r="I85" s="21">
        <f t="shared" si="19"/>
        <v>22950000</v>
      </c>
      <c r="J85" s="21">
        <f t="shared" si="19"/>
        <v>91800</v>
      </c>
      <c r="K85" s="22">
        <f t="shared" si="17"/>
        <v>30</v>
      </c>
      <c r="L85" s="21">
        <f t="shared" si="20"/>
        <v>53550000</v>
      </c>
      <c r="M85" s="23">
        <f t="shared" si="20"/>
        <v>214200</v>
      </c>
      <c r="N85" s="24">
        <f t="shared" si="18"/>
        <v>70</v>
      </c>
      <c r="O85" s="23">
        <f t="shared" si="21"/>
        <v>0</v>
      </c>
      <c r="P85" s="25">
        <f t="shared" si="21"/>
        <v>0</v>
      </c>
      <c r="Q85" s="25">
        <f t="shared" si="22"/>
        <v>0</v>
      </c>
    </row>
    <row r="86" spans="1:17" x14ac:dyDescent="0.35">
      <c r="A86" s="6">
        <v>75</v>
      </c>
      <c r="B86" s="6" t="s">
        <v>829</v>
      </c>
      <c r="C86" s="30" t="s">
        <v>151</v>
      </c>
      <c r="D86" s="30" t="s">
        <v>152</v>
      </c>
      <c r="E86" s="31">
        <v>45504</v>
      </c>
      <c r="F86" s="31">
        <v>45687</v>
      </c>
      <c r="G86" s="32">
        <v>78846303.120000005</v>
      </c>
      <c r="H86" s="32">
        <v>394231.52</v>
      </c>
      <c r="I86" s="21">
        <f t="shared" si="19"/>
        <v>23653890.936000001</v>
      </c>
      <c r="J86" s="21">
        <f t="shared" si="19"/>
        <v>118269.45600000001</v>
      </c>
      <c r="K86" s="22">
        <f t="shared" si="17"/>
        <v>30</v>
      </c>
      <c r="L86" s="21">
        <f t="shared" si="20"/>
        <v>55192412.184</v>
      </c>
      <c r="M86" s="23">
        <f t="shared" si="20"/>
        <v>275962.06400000001</v>
      </c>
      <c r="N86" s="24">
        <f t="shared" si="18"/>
        <v>70</v>
      </c>
      <c r="O86" s="23">
        <f t="shared" si="21"/>
        <v>0</v>
      </c>
      <c r="P86" s="25">
        <f t="shared" si="21"/>
        <v>0</v>
      </c>
      <c r="Q86" s="25">
        <f t="shared" si="22"/>
        <v>0</v>
      </c>
    </row>
    <row r="87" spans="1:17" x14ac:dyDescent="0.35">
      <c r="A87" s="6">
        <v>76</v>
      </c>
      <c r="B87" s="6" t="s">
        <v>830</v>
      </c>
      <c r="C87" s="30" t="s">
        <v>153</v>
      </c>
      <c r="D87" s="30" t="s">
        <v>154</v>
      </c>
      <c r="E87" s="31">
        <v>45510</v>
      </c>
      <c r="F87" s="31">
        <v>45693</v>
      </c>
      <c r="G87" s="32">
        <v>140082597</v>
      </c>
      <c r="H87" s="32">
        <v>700412.99</v>
      </c>
      <c r="I87" s="21">
        <f t="shared" si="19"/>
        <v>42024779.100000001</v>
      </c>
      <c r="J87" s="21">
        <f t="shared" si="19"/>
        <v>210123.897</v>
      </c>
      <c r="K87" s="22">
        <f t="shared" si="17"/>
        <v>30</v>
      </c>
      <c r="L87" s="21">
        <f t="shared" si="20"/>
        <v>98057817.899999991</v>
      </c>
      <c r="M87" s="23">
        <f t="shared" si="20"/>
        <v>490289.09299999994</v>
      </c>
      <c r="N87" s="24">
        <f t="shared" si="18"/>
        <v>70</v>
      </c>
      <c r="O87" s="23">
        <f t="shared" si="21"/>
        <v>0</v>
      </c>
      <c r="P87" s="25">
        <f t="shared" si="21"/>
        <v>0</v>
      </c>
      <c r="Q87" s="25">
        <f t="shared" si="22"/>
        <v>0</v>
      </c>
    </row>
    <row r="88" spans="1:17" x14ac:dyDescent="0.35">
      <c r="A88" s="6">
        <v>77</v>
      </c>
      <c r="B88" s="6" t="s">
        <v>831</v>
      </c>
      <c r="C88" s="30" t="s">
        <v>155</v>
      </c>
      <c r="D88" s="30" t="s">
        <v>156</v>
      </c>
      <c r="E88" s="31">
        <v>45510</v>
      </c>
      <c r="F88" s="31">
        <v>45693</v>
      </c>
      <c r="G88" s="32">
        <v>140081480</v>
      </c>
      <c r="H88" s="32">
        <v>700407.4</v>
      </c>
      <c r="I88" s="21">
        <f t="shared" si="19"/>
        <v>42024444</v>
      </c>
      <c r="J88" s="21">
        <f t="shared" si="19"/>
        <v>210122.22</v>
      </c>
      <c r="K88" s="22">
        <f t="shared" si="17"/>
        <v>30</v>
      </c>
      <c r="L88" s="21">
        <f t="shared" si="20"/>
        <v>98057036</v>
      </c>
      <c r="M88" s="23">
        <f t="shared" si="20"/>
        <v>490285.18</v>
      </c>
      <c r="N88" s="24">
        <f t="shared" si="18"/>
        <v>70</v>
      </c>
      <c r="O88" s="23">
        <f t="shared" si="21"/>
        <v>0</v>
      </c>
      <c r="P88" s="25">
        <f t="shared" si="21"/>
        <v>0</v>
      </c>
      <c r="Q88" s="25">
        <f t="shared" si="22"/>
        <v>0</v>
      </c>
    </row>
    <row r="89" spans="1:17" x14ac:dyDescent="0.35">
      <c r="A89" s="6">
        <v>78</v>
      </c>
      <c r="B89" s="6" t="s">
        <v>832</v>
      </c>
      <c r="C89" s="30" t="s">
        <v>157</v>
      </c>
      <c r="D89" s="30" t="s">
        <v>127</v>
      </c>
      <c r="E89" s="31">
        <v>45510</v>
      </c>
      <c r="F89" s="31">
        <v>45693</v>
      </c>
      <c r="G89" s="32">
        <v>147163831</v>
      </c>
      <c r="H89" s="32">
        <v>735819.16</v>
      </c>
      <c r="I89" s="21">
        <f t="shared" si="19"/>
        <v>44149149.299999997</v>
      </c>
      <c r="J89" s="21">
        <f t="shared" si="19"/>
        <v>220745.74799999999</v>
      </c>
      <c r="K89" s="22">
        <f t="shared" si="17"/>
        <v>30</v>
      </c>
      <c r="L89" s="21">
        <f t="shared" si="20"/>
        <v>103014681.69999999</v>
      </c>
      <c r="M89" s="23">
        <f t="shared" si="20"/>
        <v>515073.41200000001</v>
      </c>
      <c r="N89" s="24">
        <f t="shared" si="18"/>
        <v>70</v>
      </c>
      <c r="O89" s="23">
        <f t="shared" si="21"/>
        <v>0</v>
      </c>
      <c r="P89" s="25">
        <f t="shared" si="21"/>
        <v>0</v>
      </c>
      <c r="Q89" s="25">
        <f t="shared" si="22"/>
        <v>0</v>
      </c>
    </row>
    <row r="90" spans="1:17" x14ac:dyDescent="0.35">
      <c r="A90" s="6">
        <v>79</v>
      </c>
      <c r="B90" s="6" t="s">
        <v>833</v>
      </c>
      <c r="C90" s="30" t="s">
        <v>158</v>
      </c>
      <c r="D90" s="30" t="s">
        <v>159</v>
      </c>
      <c r="E90" s="31">
        <v>45531</v>
      </c>
      <c r="F90" s="31">
        <v>45714</v>
      </c>
      <c r="G90" s="32">
        <v>80642159.799999997</v>
      </c>
      <c r="H90" s="32">
        <v>322568.64</v>
      </c>
      <c r="I90" s="21">
        <f t="shared" si="19"/>
        <v>24192647.939999998</v>
      </c>
      <c r="J90" s="21">
        <f t="shared" si="19"/>
        <v>96770.592000000004</v>
      </c>
      <c r="K90" s="22">
        <f t="shared" si="17"/>
        <v>30</v>
      </c>
      <c r="L90" s="21">
        <f t="shared" si="20"/>
        <v>56449511.859999992</v>
      </c>
      <c r="M90" s="23">
        <f t="shared" si="20"/>
        <v>225798.04800000001</v>
      </c>
      <c r="N90" s="24">
        <f t="shared" si="18"/>
        <v>70</v>
      </c>
      <c r="O90" s="23">
        <f t="shared" si="21"/>
        <v>0</v>
      </c>
      <c r="P90" s="25">
        <f t="shared" si="21"/>
        <v>0</v>
      </c>
      <c r="Q90" s="25">
        <f t="shared" si="22"/>
        <v>0</v>
      </c>
    </row>
    <row r="91" spans="1:17" x14ac:dyDescent="0.35">
      <c r="A91" s="6">
        <v>80</v>
      </c>
      <c r="B91" s="6" t="s">
        <v>834</v>
      </c>
      <c r="C91" s="30" t="s">
        <v>160</v>
      </c>
      <c r="D91" s="30" t="s">
        <v>161</v>
      </c>
      <c r="E91" s="31">
        <v>45520</v>
      </c>
      <c r="F91" s="31">
        <v>45884</v>
      </c>
      <c r="G91" s="32">
        <v>147518190</v>
      </c>
      <c r="H91" s="32">
        <v>590072.76</v>
      </c>
      <c r="I91" s="21">
        <f t="shared" si="19"/>
        <v>44255457</v>
      </c>
      <c r="J91" s="21">
        <f t="shared" si="19"/>
        <v>177021.82800000001</v>
      </c>
      <c r="K91" s="22">
        <f t="shared" si="17"/>
        <v>30</v>
      </c>
      <c r="L91" s="21">
        <f t="shared" si="20"/>
        <v>103262733</v>
      </c>
      <c r="M91" s="23">
        <f t="shared" si="20"/>
        <v>413050.93199999997</v>
      </c>
      <c r="N91" s="24">
        <f t="shared" si="18"/>
        <v>70</v>
      </c>
      <c r="O91" s="23">
        <f t="shared" si="21"/>
        <v>0</v>
      </c>
      <c r="P91" s="25">
        <f t="shared" si="21"/>
        <v>0</v>
      </c>
      <c r="Q91" s="25">
        <f t="shared" si="22"/>
        <v>0</v>
      </c>
    </row>
    <row r="92" spans="1:17" x14ac:dyDescent="0.35">
      <c r="A92" s="6">
        <v>81</v>
      </c>
      <c r="B92" s="6" t="s">
        <v>835</v>
      </c>
      <c r="C92" s="30" t="s">
        <v>162</v>
      </c>
      <c r="D92" s="30" t="s">
        <v>163</v>
      </c>
      <c r="E92" s="31">
        <v>45523</v>
      </c>
      <c r="F92" s="31">
        <v>45887</v>
      </c>
      <c r="G92" s="32">
        <v>126390000</v>
      </c>
      <c r="H92" s="32">
        <v>505560</v>
      </c>
      <c r="I92" s="21">
        <f t="shared" si="19"/>
        <v>37917000</v>
      </c>
      <c r="J92" s="21">
        <f t="shared" si="19"/>
        <v>151668</v>
      </c>
      <c r="K92" s="22">
        <f t="shared" si="17"/>
        <v>30</v>
      </c>
      <c r="L92" s="21">
        <f t="shared" si="20"/>
        <v>88473000</v>
      </c>
      <c r="M92" s="23">
        <f t="shared" si="20"/>
        <v>353892</v>
      </c>
      <c r="N92" s="24">
        <f t="shared" si="18"/>
        <v>70</v>
      </c>
      <c r="O92" s="23">
        <f t="shared" si="21"/>
        <v>0</v>
      </c>
      <c r="P92" s="25">
        <f t="shared" si="21"/>
        <v>0</v>
      </c>
      <c r="Q92" s="25">
        <f t="shared" si="22"/>
        <v>0</v>
      </c>
    </row>
    <row r="93" spans="1:17" x14ac:dyDescent="0.35">
      <c r="A93" s="6">
        <v>82</v>
      </c>
      <c r="B93" s="6" t="s">
        <v>836</v>
      </c>
      <c r="C93" s="30" t="s">
        <v>164</v>
      </c>
      <c r="D93" s="30" t="s">
        <v>165</v>
      </c>
      <c r="E93" s="31">
        <v>45523</v>
      </c>
      <c r="F93" s="31">
        <v>45887</v>
      </c>
      <c r="G93" s="32">
        <v>75000000</v>
      </c>
      <c r="H93" s="32">
        <v>300000</v>
      </c>
      <c r="I93" s="21">
        <f t="shared" si="19"/>
        <v>22500000</v>
      </c>
      <c r="J93" s="21">
        <f t="shared" si="19"/>
        <v>90000</v>
      </c>
      <c r="K93" s="22">
        <f t="shared" si="17"/>
        <v>30</v>
      </c>
      <c r="L93" s="21">
        <f t="shared" si="20"/>
        <v>52500000</v>
      </c>
      <c r="M93" s="23">
        <f t="shared" si="20"/>
        <v>210000</v>
      </c>
      <c r="N93" s="24">
        <f t="shared" si="18"/>
        <v>70</v>
      </c>
      <c r="O93" s="23">
        <f t="shared" si="21"/>
        <v>0</v>
      </c>
      <c r="P93" s="25">
        <f t="shared" si="21"/>
        <v>0</v>
      </c>
      <c r="Q93" s="25">
        <f t="shared" si="22"/>
        <v>0</v>
      </c>
    </row>
    <row r="94" spans="1:17" x14ac:dyDescent="0.35">
      <c r="A94" s="6">
        <v>83</v>
      </c>
      <c r="B94" s="6" t="s">
        <v>837</v>
      </c>
      <c r="C94" s="30" t="s">
        <v>166</v>
      </c>
      <c r="D94" s="30" t="s">
        <v>167</v>
      </c>
      <c r="E94" s="31">
        <v>45518</v>
      </c>
      <c r="F94" s="31">
        <v>45882</v>
      </c>
      <c r="G94" s="32">
        <v>59990941.5</v>
      </c>
      <c r="H94" s="32">
        <v>239963.77</v>
      </c>
      <c r="I94" s="21">
        <f t="shared" si="19"/>
        <v>17997282.449999999</v>
      </c>
      <c r="J94" s="21">
        <f t="shared" si="19"/>
        <v>71989.130999999994</v>
      </c>
      <c r="K94" s="22">
        <f t="shared" si="17"/>
        <v>30</v>
      </c>
      <c r="L94" s="21">
        <f t="shared" si="20"/>
        <v>41993659.049999997</v>
      </c>
      <c r="M94" s="23">
        <f t="shared" si="20"/>
        <v>167974.639</v>
      </c>
      <c r="N94" s="24">
        <f t="shared" si="18"/>
        <v>70</v>
      </c>
      <c r="O94" s="23">
        <f t="shared" si="21"/>
        <v>0</v>
      </c>
      <c r="P94" s="25">
        <f t="shared" si="21"/>
        <v>0</v>
      </c>
      <c r="Q94" s="25">
        <f t="shared" si="22"/>
        <v>0</v>
      </c>
    </row>
    <row r="95" spans="1:17" x14ac:dyDescent="0.35">
      <c r="A95" s="6">
        <v>84</v>
      </c>
      <c r="B95" s="6" t="s">
        <v>838</v>
      </c>
      <c r="C95" s="30" t="s">
        <v>168</v>
      </c>
      <c r="D95" s="30" t="s">
        <v>169</v>
      </c>
      <c r="E95" s="31">
        <v>45524</v>
      </c>
      <c r="F95" s="31">
        <v>45888</v>
      </c>
      <c r="G95" s="32">
        <v>130990664</v>
      </c>
      <c r="H95" s="32">
        <v>523962.66</v>
      </c>
      <c r="I95" s="21">
        <f t="shared" si="19"/>
        <v>39297199.199999996</v>
      </c>
      <c r="J95" s="21">
        <f t="shared" si="19"/>
        <v>157188.79799999998</v>
      </c>
      <c r="K95" s="22">
        <f t="shared" si="17"/>
        <v>30</v>
      </c>
      <c r="L95" s="21">
        <f t="shared" si="20"/>
        <v>91693464.799999997</v>
      </c>
      <c r="M95" s="23">
        <f t="shared" si="20"/>
        <v>366773.86199999996</v>
      </c>
      <c r="N95" s="24">
        <f t="shared" si="18"/>
        <v>70</v>
      </c>
      <c r="O95" s="23">
        <f t="shared" si="21"/>
        <v>0</v>
      </c>
      <c r="P95" s="25">
        <f t="shared" si="21"/>
        <v>0</v>
      </c>
      <c r="Q95" s="25">
        <f t="shared" si="22"/>
        <v>0</v>
      </c>
    </row>
    <row r="96" spans="1:17" x14ac:dyDescent="0.35">
      <c r="A96" s="6">
        <v>85</v>
      </c>
      <c r="B96" s="6" t="s">
        <v>839</v>
      </c>
      <c r="C96" s="30" t="s">
        <v>170</v>
      </c>
      <c r="D96" s="30" t="s">
        <v>171</v>
      </c>
      <c r="E96" s="31">
        <v>45539</v>
      </c>
      <c r="F96" s="31">
        <v>45719</v>
      </c>
      <c r="G96" s="32">
        <v>62425785.509999998</v>
      </c>
      <c r="H96" s="32">
        <v>312128.93</v>
      </c>
      <c r="I96" s="21">
        <f t="shared" ref="I96:J111" si="23">G96*30%</f>
        <v>18727735.652999997</v>
      </c>
      <c r="J96" s="21">
        <f t="shared" si="23"/>
        <v>93638.678999999989</v>
      </c>
      <c r="K96" s="22">
        <f t="shared" si="17"/>
        <v>30</v>
      </c>
      <c r="L96" s="21">
        <f t="shared" ref="L96:M111" si="24">G96*70%</f>
        <v>43698049.856999993</v>
      </c>
      <c r="M96" s="23">
        <f t="shared" si="24"/>
        <v>218490.25099999999</v>
      </c>
      <c r="N96" s="24">
        <f t="shared" si="18"/>
        <v>70</v>
      </c>
      <c r="O96" s="23">
        <f t="shared" si="21"/>
        <v>0</v>
      </c>
      <c r="P96" s="25">
        <f t="shared" si="21"/>
        <v>0</v>
      </c>
      <c r="Q96" s="25">
        <f t="shared" si="22"/>
        <v>0</v>
      </c>
    </row>
    <row r="97" spans="1:17" x14ac:dyDescent="0.35">
      <c r="A97" s="6">
        <v>86</v>
      </c>
      <c r="B97" s="6" t="s">
        <v>840</v>
      </c>
      <c r="C97" s="30" t="s">
        <v>172</v>
      </c>
      <c r="D97" s="30" t="s">
        <v>173</v>
      </c>
      <c r="E97" s="31">
        <v>45555</v>
      </c>
      <c r="F97" s="31">
        <v>45919</v>
      </c>
      <c r="G97" s="32">
        <v>101303508.78</v>
      </c>
      <c r="H97" s="32">
        <v>506517.54</v>
      </c>
      <c r="I97" s="21">
        <f t="shared" si="23"/>
        <v>30391052.634</v>
      </c>
      <c r="J97" s="21">
        <f t="shared" si="23"/>
        <v>151955.26199999999</v>
      </c>
      <c r="K97" s="22">
        <f t="shared" si="17"/>
        <v>30</v>
      </c>
      <c r="L97" s="21">
        <f t="shared" si="24"/>
        <v>70912456.145999998</v>
      </c>
      <c r="M97" s="23">
        <f t="shared" si="24"/>
        <v>354562.27799999999</v>
      </c>
      <c r="N97" s="24">
        <f t="shared" si="18"/>
        <v>70</v>
      </c>
      <c r="O97" s="23">
        <f t="shared" ref="O97:P112" si="25">G97-I97-L97</f>
        <v>0</v>
      </c>
      <c r="P97" s="25">
        <f t="shared" si="25"/>
        <v>0</v>
      </c>
      <c r="Q97" s="25">
        <f t="shared" si="22"/>
        <v>0</v>
      </c>
    </row>
    <row r="98" spans="1:17" x14ac:dyDescent="0.35">
      <c r="A98" s="6">
        <v>87</v>
      </c>
      <c r="B98" s="6" t="s">
        <v>841</v>
      </c>
      <c r="C98" s="30" t="s">
        <v>174</v>
      </c>
      <c r="D98" s="30" t="s">
        <v>175</v>
      </c>
      <c r="E98" s="31">
        <v>45547</v>
      </c>
      <c r="F98" s="31">
        <v>45727</v>
      </c>
      <c r="G98" s="32">
        <v>51885861.899999999</v>
      </c>
      <c r="H98" s="32">
        <v>207543.45</v>
      </c>
      <c r="I98" s="21">
        <f t="shared" si="23"/>
        <v>15565758.569999998</v>
      </c>
      <c r="J98" s="21">
        <f t="shared" si="23"/>
        <v>62263.035000000003</v>
      </c>
      <c r="K98" s="22">
        <f t="shared" si="17"/>
        <v>30</v>
      </c>
      <c r="L98" s="21">
        <f t="shared" si="24"/>
        <v>36320103.329999998</v>
      </c>
      <c r="M98" s="23">
        <f t="shared" si="24"/>
        <v>145280.41500000001</v>
      </c>
      <c r="N98" s="24">
        <f t="shared" si="18"/>
        <v>70</v>
      </c>
      <c r="O98" s="23">
        <f t="shared" si="25"/>
        <v>0</v>
      </c>
      <c r="P98" s="25">
        <f t="shared" si="25"/>
        <v>0</v>
      </c>
      <c r="Q98" s="25">
        <f t="shared" si="22"/>
        <v>0</v>
      </c>
    </row>
    <row r="99" spans="1:17" x14ac:dyDescent="0.35">
      <c r="A99" s="6">
        <v>88</v>
      </c>
      <c r="B99" s="6" t="s">
        <v>842</v>
      </c>
      <c r="C99" s="30" t="s">
        <v>176</v>
      </c>
      <c r="D99" s="30" t="s">
        <v>177</v>
      </c>
      <c r="E99" s="31">
        <v>45544</v>
      </c>
      <c r="F99" s="31">
        <v>45649</v>
      </c>
      <c r="G99" s="32">
        <v>448108463.02999997</v>
      </c>
      <c r="H99" s="32">
        <v>1792433.85</v>
      </c>
      <c r="I99" s="21">
        <f t="shared" si="23"/>
        <v>134432538.90899998</v>
      </c>
      <c r="J99" s="21">
        <f t="shared" si="23"/>
        <v>537730.15500000003</v>
      </c>
      <c r="K99" s="22">
        <f t="shared" si="17"/>
        <v>30</v>
      </c>
      <c r="L99" s="21">
        <f t="shared" si="24"/>
        <v>313675924.12099993</v>
      </c>
      <c r="M99" s="23">
        <f t="shared" si="24"/>
        <v>1254703.6950000001</v>
      </c>
      <c r="N99" s="24">
        <f t="shared" si="18"/>
        <v>69.999999999999986</v>
      </c>
      <c r="O99" s="23">
        <f t="shared" si="25"/>
        <v>0</v>
      </c>
      <c r="P99" s="25">
        <f t="shared" si="25"/>
        <v>0</v>
      </c>
      <c r="Q99" s="25">
        <f t="shared" si="22"/>
        <v>0</v>
      </c>
    </row>
    <row r="100" spans="1:17" x14ac:dyDescent="0.35">
      <c r="A100" s="6">
        <v>89</v>
      </c>
      <c r="B100" s="6" t="s">
        <v>843</v>
      </c>
      <c r="C100" s="30" t="s">
        <v>178</v>
      </c>
      <c r="D100" s="30" t="s">
        <v>179</v>
      </c>
      <c r="E100" s="31">
        <v>45544</v>
      </c>
      <c r="F100" s="31">
        <v>45635</v>
      </c>
      <c r="G100" s="32">
        <v>266984586.69999999</v>
      </c>
      <c r="H100" s="32">
        <v>1067938.3500000001</v>
      </c>
      <c r="I100" s="21">
        <f t="shared" si="23"/>
        <v>80095376.00999999</v>
      </c>
      <c r="J100" s="21">
        <f t="shared" si="23"/>
        <v>320381.505</v>
      </c>
      <c r="K100" s="22">
        <f t="shared" si="17"/>
        <v>30</v>
      </c>
      <c r="L100" s="21">
        <f t="shared" si="24"/>
        <v>186889210.68999997</v>
      </c>
      <c r="M100" s="23">
        <f t="shared" si="24"/>
        <v>747556.84499999997</v>
      </c>
      <c r="N100" s="24">
        <f t="shared" si="18"/>
        <v>70</v>
      </c>
      <c r="O100" s="23">
        <f t="shared" si="25"/>
        <v>0</v>
      </c>
      <c r="P100" s="25">
        <f t="shared" si="25"/>
        <v>0</v>
      </c>
      <c r="Q100" s="25">
        <f t="shared" si="22"/>
        <v>0</v>
      </c>
    </row>
    <row r="101" spans="1:17" x14ac:dyDescent="0.35">
      <c r="A101" s="6">
        <v>90</v>
      </c>
      <c r="B101" s="6" t="s">
        <v>844</v>
      </c>
      <c r="C101" s="27" t="s">
        <v>180</v>
      </c>
      <c r="D101" s="27" t="s">
        <v>181</v>
      </c>
      <c r="E101" s="28">
        <v>45531</v>
      </c>
      <c r="F101" s="28">
        <v>46080</v>
      </c>
      <c r="G101" s="29">
        <v>53503248</v>
      </c>
      <c r="H101" s="29">
        <v>535032.48</v>
      </c>
      <c r="I101" s="21">
        <f t="shared" si="23"/>
        <v>16050974.399999999</v>
      </c>
      <c r="J101" s="21">
        <f t="shared" si="23"/>
        <v>160509.74399999998</v>
      </c>
      <c r="K101" s="22">
        <f t="shared" si="17"/>
        <v>30</v>
      </c>
      <c r="L101" s="21">
        <f t="shared" si="24"/>
        <v>37452273.599999994</v>
      </c>
      <c r="M101" s="23">
        <f t="shared" si="24"/>
        <v>374522.73599999998</v>
      </c>
      <c r="N101" s="24">
        <f t="shared" si="18"/>
        <v>69.999999999999986</v>
      </c>
      <c r="O101" s="23">
        <f t="shared" si="25"/>
        <v>0</v>
      </c>
      <c r="P101" s="25">
        <f t="shared" si="25"/>
        <v>0</v>
      </c>
      <c r="Q101" s="25">
        <f t="shared" si="22"/>
        <v>0</v>
      </c>
    </row>
    <row r="102" spans="1:17" x14ac:dyDescent="0.35">
      <c r="A102" s="6">
        <v>91</v>
      </c>
      <c r="B102" s="6" t="s">
        <v>845</v>
      </c>
      <c r="C102" s="27" t="s">
        <v>182</v>
      </c>
      <c r="D102" s="27" t="s">
        <v>183</v>
      </c>
      <c r="E102" s="28">
        <v>45492</v>
      </c>
      <c r="F102" s="28">
        <v>45856</v>
      </c>
      <c r="G102" s="29">
        <v>749966888.90999997</v>
      </c>
      <c r="H102" s="29">
        <v>3749834.44</v>
      </c>
      <c r="I102" s="21">
        <v>150000000</v>
      </c>
      <c r="J102" s="21">
        <v>749966.89</v>
      </c>
      <c r="K102" s="22">
        <f t="shared" si="17"/>
        <v>20.000883001382853</v>
      </c>
      <c r="L102" s="21">
        <v>350000000</v>
      </c>
      <c r="M102" s="23">
        <v>1750047.73</v>
      </c>
      <c r="N102" s="24">
        <f t="shared" si="18"/>
        <v>46.668727003226657</v>
      </c>
      <c r="O102" s="23">
        <f t="shared" si="25"/>
        <v>249966888.90999997</v>
      </c>
      <c r="P102" s="25">
        <f t="shared" si="25"/>
        <v>1249819.8199999998</v>
      </c>
      <c r="Q102" s="25">
        <f t="shared" si="22"/>
        <v>33.330389995390497</v>
      </c>
    </row>
    <row r="103" spans="1:17" x14ac:dyDescent="0.35">
      <c r="A103" s="6">
        <v>92</v>
      </c>
      <c r="B103" s="6" t="s">
        <v>846</v>
      </c>
      <c r="C103" s="27" t="s">
        <v>182</v>
      </c>
      <c r="D103" s="27" t="s">
        <v>183</v>
      </c>
      <c r="E103" s="28">
        <v>45490</v>
      </c>
      <c r="F103" s="28">
        <v>45854</v>
      </c>
      <c r="G103" s="29">
        <v>300151217.49000001</v>
      </c>
      <c r="H103" s="29">
        <v>1500756.09</v>
      </c>
      <c r="I103" s="21">
        <f t="shared" si="23"/>
        <v>90045365.246999994</v>
      </c>
      <c r="J103" s="21">
        <f t="shared" si="23"/>
        <v>450226.82699999999</v>
      </c>
      <c r="K103" s="22">
        <f t="shared" si="17"/>
        <v>30</v>
      </c>
      <c r="L103" s="21">
        <f t="shared" si="24"/>
        <v>210105852.243</v>
      </c>
      <c r="M103" s="23">
        <f t="shared" si="24"/>
        <v>1050529.263</v>
      </c>
      <c r="N103" s="24">
        <f t="shared" si="18"/>
        <v>70</v>
      </c>
      <c r="O103" s="23">
        <f t="shared" si="25"/>
        <v>0</v>
      </c>
      <c r="P103" s="25">
        <f t="shared" si="25"/>
        <v>0</v>
      </c>
      <c r="Q103" s="25">
        <f t="shared" si="22"/>
        <v>0</v>
      </c>
    </row>
    <row r="104" spans="1:17" x14ac:dyDescent="0.35">
      <c r="A104" s="6">
        <v>93</v>
      </c>
      <c r="B104" s="6" t="s">
        <v>847</v>
      </c>
      <c r="C104" s="30" t="s">
        <v>184</v>
      </c>
      <c r="D104" s="30" t="s">
        <v>185</v>
      </c>
      <c r="E104" s="31">
        <v>45471</v>
      </c>
      <c r="F104" s="31">
        <v>45835</v>
      </c>
      <c r="G104" s="32">
        <v>79333395.239999995</v>
      </c>
      <c r="H104" s="32">
        <v>396666.98</v>
      </c>
      <c r="I104" s="21">
        <f t="shared" si="23"/>
        <v>23800018.571999997</v>
      </c>
      <c r="J104" s="21">
        <f t="shared" si="23"/>
        <v>119000.09399999998</v>
      </c>
      <c r="K104" s="22">
        <f t="shared" si="17"/>
        <v>30</v>
      </c>
      <c r="L104" s="21">
        <f t="shared" si="24"/>
        <v>55533376.66799999</v>
      </c>
      <c r="M104" s="23">
        <f t="shared" si="24"/>
        <v>277666.88599999994</v>
      </c>
      <c r="N104" s="24">
        <f t="shared" si="18"/>
        <v>70</v>
      </c>
      <c r="O104" s="23">
        <f t="shared" si="25"/>
        <v>0</v>
      </c>
      <c r="P104" s="25">
        <f t="shared" si="25"/>
        <v>0</v>
      </c>
      <c r="Q104" s="25">
        <f t="shared" si="22"/>
        <v>0</v>
      </c>
    </row>
    <row r="105" spans="1:17" x14ac:dyDescent="0.35">
      <c r="A105" s="6">
        <v>94</v>
      </c>
      <c r="B105" s="6" t="s">
        <v>848</v>
      </c>
      <c r="C105" s="30" t="s">
        <v>186</v>
      </c>
      <c r="D105" s="30" t="s">
        <v>187</v>
      </c>
      <c r="E105" s="31">
        <v>45481</v>
      </c>
      <c r="F105" s="31">
        <v>45845</v>
      </c>
      <c r="G105" s="32">
        <v>800000000</v>
      </c>
      <c r="H105" s="32">
        <v>4000000</v>
      </c>
      <c r="I105" s="21">
        <v>150000000</v>
      </c>
      <c r="J105" s="21">
        <v>750000</v>
      </c>
      <c r="K105" s="22">
        <f t="shared" si="17"/>
        <v>18.75</v>
      </c>
      <c r="L105" s="21">
        <v>350000000</v>
      </c>
      <c r="M105" s="23">
        <v>1750000</v>
      </c>
      <c r="N105" s="24">
        <f t="shared" si="18"/>
        <v>43.75</v>
      </c>
      <c r="O105" s="23">
        <f t="shared" si="25"/>
        <v>300000000</v>
      </c>
      <c r="P105" s="25">
        <f t="shared" si="25"/>
        <v>1500000</v>
      </c>
      <c r="Q105" s="25">
        <f t="shared" si="22"/>
        <v>37.5</v>
      </c>
    </row>
    <row r="106" spans="1:17" x14ac:dyDescent="0.35">
      <c r="A106" s="6">
        <v>95</v>
      </c>
      <c r="B106" s="6" t="s">
        <v>849</v>
      </c>
      <c r="C106" s="30" t="s">
        <v>188</v>
      </c>
      <c r="D106" s="30" t="s">
        <v>189</v>
      </c>
      <c r="E106" s="31">
        <v>45485</v>
      </c>
      <c r="F106" s="31">
        <v>45667</v>
      </c>
      <c r="G106" s="32">
        <v>201942523.41</v>
      </c>
      <c r="H106" s="32">
        <v>1009712.62</v>
      </c>
      <c r="I106" s="21">
        <f t="shared" si="23"/>
        <v>60582757.022999994</v>
      </c>
      <c r="J106" s="21">
        <f t="shared" si="23"/>
        <v>302913.78599999996</v>
      </c>
      <c r="K106" s="22">
        <f t="shared" si="17"/>
        <v>30</v>
      </c>
      <c r="L106" s="21">
        <f t="shared" si="24"/>
        <v>141359766.38699999</v>
      </c>
      <c r="M106" s="23">
        <f t="shared" si="24"/>
        <v>706798.83399999992</v>
      </c>
      <c r="N106" s="24">
        <f t="shared" si="18"/>
        <v>70</v>
      </c>
      <c r="O106" s="23">
        <f t="shared" si="25"/>
        <v>0</v>
      </c>
      <c r="P106" s="25">
        <f t="shared" si="25"/>
        <v>0</v>
      </c>
      <c r="Q106" s="25">
        <f t="shared" si="22"/>
        <v>0</v>
      </c>
    </row>
    <row r="107" spans="1:17" x14ac:dyDescent="0.35">
      <c r="A107" s="6">
        <v>96</v>
      </c>
      <c r="B107" s="6" t="s">
        <v>850</v>
      </c>
      <c r="C107" s="30" t="s">
        <v>190</v>
      </c>
      <c r="D107" s="30" t="s">
        <v>191</v>
      </c>
      <c r="E107" s="31">
        <v>45488</v>
      </c>
      <c r="F107" s="31">
        <v>45668</v>
      </c>
      <c r="G107" s="32">
        <v>76800000</v>
      </c>
      <c r="H107" s="32">
        <v>384000</v>
      </c>
      <c r="I107" s="21">
        <f t="shared" si="23"/>
        <v>23040000</v>
      </c>
      <c r="J107" s="21">
        <f t="shared" si="23"/>
        <v>115200</v>
      </c>
      <c r="K107" s="22">
        <f t="shared" si="17"/>
        <v>30</v>
      </c>
      <c r="L107" s="21">
        <f t="shared" si="24"/>
        <v>53760000</v>
      </c>
      <c r="M107" s="23">
        <f t="shared" si="24"/>
        <v>268800</v>
      </c>
      <c r="N107" s="24">
        <f t="shared" si="18"/>
        <v>70</v>
      </c>
      <c r="O107" s="23">
        <f t="shared" si="25"/>
        <v>0</v>
      </c>
      <c r="P107" s="25">
        <f t="shared" si="25"/>
        <v>0</v>
      </c>
      <c r="Q107" s="25">
        <f t="shared" si="22"/>
        <v>0</v>
      </c>
    </row>
    <row r="108" spans="1:17" x14ac:dyDescent="0.35">
      <c r="A108" s="6">
        <v>97</v>
      </c>
      <c r="B108" s="6" t="s">
        <v>851</v>
      </c>
      <c r="C108" s="30" t="s">
        <v>192</v>
      </c>
      <c r="D108" s="30" t="s">
        <v>193</v>
      </c>
      <c r="E108" s="31">
        <v>45498</v>
      </c>
      <c r="F108" s="31">
        <v>45861</v>
      </c>
      <c r="G108" s="32">
        <v>77400000</v>
      </c>
      <c r="H108" s="32">
        <v>387000</v>
      </c>
      <c r="I108" s="21">
        <f t="shared" si="23"/>
        <v>23220000</v>
      </c>
      <c r="J108" s="21">
        <f t="shared" si="23"/>
        <v>116100</v>
      </c>
      <c r="K108" s="22">
        <f t="shared" si="17"/>
        <v>30</v>
      </c>
      <c r="L108" s="21">
        <f t="shared" si="24"/>
        <v>54180000</v>
      </c>
      <c r="M108" s="23">
        <f t="shared" si="24"/>
        <v>270900</v>
      </c>
      <c r="N108" s="24">
        <f t="shared" si="18"/>
        <v>70</v>
      </c>
      <c r="O108" s="23">
        <f t="shared" si="25"/>
        <v>0</v>
      </c>
      <c r="P108" s="25">
        <f t="shared" si="25"/>
        <v>0</v>
      </c>
      <c r="Q108" s="25">
        <f t="shared" si="22"/>
        <v>0</v>
      </c>
    </row>
    <row r="109" spans="1:17" x14ac:dyDescent="0.35">
      <c r="A109" s="6">
        <v>98</v>
      </c>
      <c r="B109" s="6" t="s">
        <v>852</v>
      </c>
      <c r="C109" s="30" t="s">
        <v>194</v>
      </c>
      <c r="D109" s="30" t="s">
        <v>195</v>
      </c>
      <c r="E109" s="31">
        <v>45489</v>
      </c>
      <c r="F109" s="31">
        <v>45853</v>
      </c>
      <c r="G109" s="32">
        <v>121602052.64</v>
      </c>
      <c r="H109" s="32">
        <v>608010.26</v>
      </c>
      <c r="I109" s="21">
        <f t="shared" si="23"/>
        <v>36480615.791999996</v>
      </c>
      <c r="J109" s="21">
        <f t="shared" si="23"/>
        <v>182403.07800000001</v>
      </c>
      <c r="K109" s="22">
        <f t="shared" si="17"/>
        <v>30</v>
      </c>
      <c r="L109" s="21">
        <f t="shared" si="24"/>
        <v>85121436.84799999</v>
      </c>
      <c r="M109" s="23">
        <f t="shared" si="24"/>
        <v>425607.18199999997</v>
      </c>
      <c r="N109" s="24">
        <f t="shared" si="18"/>
        <v>70</v>
      </c>
      <c r="O109" s="23">
        <f t="shared" si="25"/>
        <v>0</v>
      </c>
      <c r="P109" s="25">
        <f t="shared" si="25"/>
        <v>0</v>
      </c>
      <c r="Q109" s="25">
        <f t="shared" si="22"/>
        <v>0</v>
      </c>
    </row>
    <row r="110" spans="1:17" x14ac:dyDescent="0.35">
      <c r="A110" s="6">
        <v>99</v>
      </c>
      <c r="B110" s="6" t="s">
        <v>853</v>
      </c>
      <c r="C110" s="30" t="s">
        <v>196</v>
      </c>
      <c r="D110" s="30" t="s">
        <v>197</v>
      </c>
      <c r="E110" s="31">
        <v>45502</v>
      </c>
      <c r="F110" s="31">
        <v>45680</v>
      </c>
      <c r="G110" s="32">
        <v>71248290</v>
      </c>
      <c r="H110" s="32">
        <v>356241.45</v>
      </c>
      <c r="I110" s="21">
        <f t="shared" si="23"/>
        <v>21374487</v>
      </c>
      <c r="J110" s="21">
        <f t="shared" si="23"/>
        <v>106872.435</v>
      </c>
      <c r="K110" s="22">
        <f t="shared" si="17"/>
        <v>30</v>
      </c>
      <c r="L110" s="21">
        <f t="shared" si="24"/>
        <v>49873803</v>
      </c>
      <c r="M110" s="23">
        <f t="shared" si="24"/>
        <v>249369.01499999998</v>
      </c>
      <c r="N110" s="24">
        <f t="shared" si="18"/>
        <v>70</v>
      </c>
      <c r="O110" s="23">
        <f t="shared" si="25"/>
        <v>0</v>
      </c>
      <c r="P110" s="25">
        <f t="shared" si="25"/>
        <v>0</v>
      </c>
      <c r="Q110" s="25">
        <f t="shared" si="22"/>
        <v>0</v>
      </c>
    </row>
    <row r="111" spans="1:17" x14ac:dyDescent="0.35">
      <c r="A111" s="6">
        <v>100</v>
      </c>
      <c r="B111" s="6" t="s">
        <v>854</v>
      </c>
      <c r="C111" s="30" t="s">
        <v>198</v>
      </c>
      <c r="D111" s="30" t="s">
        <v>199</v>
      </c>
      <c r="E111" s="31">
        <v>45510</v>
      </c>
      <c r="F111" s="31">
        <v>45752</v>
      </c>
      <c r="G111" s="32">
        <v>133572028.5</v>
      </c>
      <c r="H111" s="32">
        <v>667860.14</v>
      </c>
      <c r="I111" s="21">
        <f t="shared" si="23"/>
        <v>40071608.549999997</v>
      </c>
      <c r="J111" s="21">
        <f t="shared" si="23"/>
        <v>200358.04199999999</v>
      </c>
      <c r="K111" s="22">
        <f t="shared" si="17"/>
        <v>30</v>
      </c>
      <c r="L111" s="21">
        <f t="shared" si="24"/>
        <v>93500419.949999988</v>
      </c>
      <c r="M111" s="23">
        <f t="shared" si="24"/>
        <v>467502.098</v>
      </c>
      <c r="N111" s="24">
        <f t="shared" si="18"/>
        <v>70</v>
      </c>
      <c r="O111" s="23">
        <f t="shared" si="25"/>
        <v>0</v>
      </c>
      <c r="P111" s="25">
        <f t="shared" si="25"/>
        <v>0</v>
      </c>
      <c r="Q111" s="25">
        <f t="shared" si="22"/>
        <v>0</v>
      </c>
    </row>
    <row r="112" spans="1:17" x14ac:dyDescent="0.35">
      <c r="A112" s="6">
        <v>101</v>
      </c>
      <c r="B112" s="6" t="s">
        <v>855</v>
      </c>
      <c r="C112" s="30" t="s">
        <v>200</v>
      </c>
      <c r="D112" s="30" t="s">
        <v>201</v>
      </c>
      <c r="E112" s="31">
        <v>45517</v>
      </c>
      <c r="F112" s="31">
        <v>45693</v>
      </c>
      <c r="G112" s="32">
        <v>63705688.200000003</v>
      </c>
      <c r="H112" s="32">
        <v>318528.44</v>
      </c>
      <c r="I112" s="21">
        <f t="shared" ref="I112:J127" si="26">G112*30%</f>
        <v>19111706.460000001</v>
      </c>
      <c r="J112" s="21">
        <f t="shared" si="26"/>
        <v>95558.531999999992</v>
      </c>
      <c r="K112" s="22">
        <f t="shared" si="17"/>
        <v>30</v>
      </c>
      <c r="L112" s="21">
        <f t="shared" ref="L112:M127" si="27">G112*70%</f>
        <v>44593981.740000002</v>
      </c>
      <c r="M112" s="23">
        <f t="shared" si="27"/>
        <v>222969.908</v>
      </c>
      <c r="N112" s="24">
        <f t="shared" si="18"/>
        <v>70</v>
      </c>
      <c r="O112" s="23">
        <f t="shared" si="25"/>
        <v>0</v>
      </c>
      <c r="P112" s="25">
        <f t="shared" si="25"/>
        <v>0</v>
      </c>
      <c r="Q112" s="25">
        <f t="shared" si="22"/>
        <v>0</v>
      </c>
    </row>
    <row r="113" spans="1:17" x14ac:dyDescent="0.35">
      <c r="A113" s="6">
        <v>102</v>
      </c>
      <c r="B113" s="6" t="s">
        <v>856</v>
      </c>
      <c r="C113" s="30" t="s">
        <v>202</v>
      </c>
      <c r="D113" s="30" t="s">
        <v>203</v>
      </c>
      <c r="E113" s="31">
        <v>45523</v>
      </c>
      <c r="F113" s="31">
        <v>45887</v>
      </c>
      <c r="G113" s="32">
        <v>149673770.27000001</v>
      </c>
      <c r="H113" s="32">
        <v>748368.85</v>
      </c>
      <c r="I113" s="21">
        <f t="shared" si="26"/>
        <v>44902131.081</v>
      </c>
      <c r="J113" s="21">
        <f t="shared" si="26"/>
        <v>224510.655</v>
      </c>
      <c r="K113" s="22">
        <f t="shared" si="17"/>
        <v>30</v>
      </c>
      <c r="L113" s="21">
        <f t="shared" si="27"/>
        <v>104771639.189</v>
      </c>
      <c r="M113" s="23">
        <f t="shared" si="27"/>
        <v>523858.19499999995</v>
      </c>
      <c r="N113" s="24">
        <f t="shared" si="18"/>
        <v>70</v>
      </c>
      <c r="O113" s="23">
        <f t="shared" ref="O113:P128" si="28">G113-I113-L113</f>
        <v>0</v>
      </c>
      <c r="P113" s="25">
        <f t="shared" si="28"/>
        <v>0</v>
      </c>
      <c r="Q113" s="25">
        <f t="shared" si="22"/>
        <v>0</v>
      </c>
    </row>
    <row r="114" spans="1:17" x14ac:dyDescent="0.35">
      <c r="A114" s="6">
        <v>103</v>
      </c>
      <c r="B114" s="6" t="s">
        <v>857</v>
      </c>
      <c r="C114" s="30" t="s">
        <v>204</v>
      </c>
      <c r="D114" s="30" t="s">
        <v>205</v>
      </c>
      <c r="E114" s="31">
        <v>45523</v>
      </c>
      <c r="F114" s="31">
        <v>45887</v>
      </c>
      <c r="G114" s="32">
        <v>134970045</v>
      </c>
      <c r="H114" s="32">
        <v>674850.23</v>
      </c>
      <c r="I114" s="21">
        <f t="shared" si="26"/>
        <v>40491013.5</v>
      </c>
      <c r="J114" s="21">
        <f t="shared" si="26"/>
        <v>202455.06899999999</v>
      </c>
      <c r="K114" s="22">
        <f t="shared" si="17"/>
        <v>30</v>
      </c>
      <c r="L114" s="21">
        <f t="shared" si="27"/>
        <v>94479031.5</v>
      </c>
      <c r="M114" s="23">
        <f t="shared" si="27"/>
        <v>472395.16099999996</v>
      </c>
      <c r="N114" s="24">
        <f t="shared" si="18"/>
        <v>70</v>
      </c>
      <c r="O114" s="23">
        <f t="shared" si="28"/>
        <v>0</v>
      </c>
      <c r="P114" s="25">
        <f t="shared" si="28"/>
        <v>0</v>
      </c>
      <c r="Q114" s="25">
        <f t="shared" si="22"/>
        <v>0</v>
      </c>
    </row>
    <row r="115" spans="1:17" x14ac:dyDescent="0.35">
      <c r="A115" s="6">
        <v>104</v>
      </c>
      <c r="B115" s="6" t="s">
        <v>858</v>
      </c>
      <c r="C115" s="30" t="s">
        <v>206</v>
      </c>
      <c r="D115" s="30" t="s">
        <v>207</v>
      </c>
      <c r="E115" s="31">
        <v>45531</v>
      </c>
      <c r="F115" s="31">
        <v>45895</v>
      </c>
      <c r="G115" s="32">
        <v>134894201.94</v>
      </c>
      <c r="H115" s="32">
        <v>674471.01</v>
      </c>
      <c r="I115" s="21">
        <f t="shared" si="26"/>
        <v>40468260.581999995</v>
      </c>
      <c r="J115" s="21">
        <f t="shared" si="26"/>
        <v>202341.30299999999</v>
      </c>
      <c r="K115" s="22">
        <f t="shared" si="17"/>
        <v>30</v>
      </c>
      <c r="L115" s="21">
        <f t="shared" si="27"/>
        <v>94425941.357999995</v>
      </c>
      <c r="M115" s="23">
        <f t="shared" si="27"/>
        <v>472129.70699999999</v>
      </c>
      <c r="N115" s="24">
        <f t="shared" si="18"/>
        <v>70</v>
      </c>
      <c r="O115" s="23">
        <f t="shared" si="28"/>
        <v>0</v>
      </c>
      <c r="P115" s="25">
        <f t="shared" si="28"/>
        <v>0</v>
      </c>
      <c r="Q115" s="25">
        <f t="shared" si="22"/>
        <v>0</v>
      </c>
    </row>
    <row r="116" spans="1:17" x14ac:dyDescent="0.35">
      <c r="A116" s="6">
        <v>105</v>
      </c>
      <c r="B116" s="6" t="s">
        <v>859</v>
      </c>
      <c r="C116" s="30" t="s">
        <v>208</v>
      </c>
      <c r="D116" s="30" t="s">
        <v>209</v>
      </c>
      <c r="E116" s="31">
        <v>45531</v>
      </c>
      <c r="F116" s="31">
        <v>45895</v>
      </c>
      <c r="G116" s="32">
        <v>89991671.140000001</v>
      </c>
      <c r="H116" s="32">
        <v>449958.36</v>
      </c>
      <c r="I116" s="21">
        <f t="shared" si="26"/>
        <v>26997501.342</v>
      </c>
      <c r="J116" s="21">
        <f t="shared" si="26"/>
        <v>134987.508</v>
      </c>
      <c r="K116" s="22">
        <f t="shared" si="17"/>
        <v>30</v>
      </c>
      <c r="L116" s="21">
        <f t="shared" si="27"/>
        <v>62994169.797999993</v>
      </c>
      <c r="M116" s="23">
        <f t="shared" si="27"/>
        <v>314970.85199999996</v>
      </c>
      <c r="N116" s="24">
        <f t="shared" si="18"/>
        <v>70</v>
      </c>
      <c r="O116" s="23">
        <f t="shared" si="28"/>
        <v>0</v>
      </c>
      <c r="P116" s="25">
        <f t="shared" si="28"/>
        <v>0</v>
      </c>
      <c r="Q116" s="25">
        <f t="shared" si="22"/>
        <v>0</v>
      </c>
    </row>
    <row r="117" spans="1:17" x14ac:dyDescent="0.35">
      <c r="A117" s="6">
        <v>106</v>
      </c>
      <c r="B117" s="6" t="s">
        <v>860</v>
      </c>
      <c r="C117" s="30" t="s">
        <v>210</v>
      </c>
      <c r="D117" s="30" t="s">
        <v>211</v>
      </c>
      <c r="E117" s="31">
        <v>45531</v>
      </c>
      <c r="F117" s="31">
        <v>45714</v>
      </c>
      <c r="G117" s="32">
        <v>149976330.30000001</v>
      </c>
      <c r="H117" s="32">
        <v>749881.65</v>
      </c>
      <c r="I117" s="21">
        <f t="shared" si="26"/>
        <v>44992899.090000004</v>
      </c>
      <c r="J117" s="21">
        <f t="shared" si="26"/>
        <v>224964.495</v>
      </c>
      <c r="K117" s="22">
        <f t="shared" si="17"/>
        <v>30</v>
      </c>
      <c r="L117" s="21">
        <f t="shared" si="27"/>
        <v>104983431.21000001</v>
      </c>
      <c r="M117" s="23">
        <f t="shared" si="27"/>
        <v>524917.15500000003</v>
      </c>
      <c r="N117" s="24">
        <f t="shared" si="18"/>
        <v>70</v>
      </c>
      <c r="O117" s="23">
        <f t="shared" si="28"/>
        <v>0</v>
      </c>
      <c r="P117" s="25">
        <f t="shared" si="28"/>
        <v>0</v>
      </c>
      <c r="Q117" s="25">
        <f t="shared" si="22"/>
        <v>0</v>
      </c>
    </row>
    <row r="118" spans="1:17" x14ac:dyDescent="0.35">
      <c r="A118" s="6">
        <v>107</v>
      </c>
      <c r="B118" s="6" t="s">
        <v>861</v>
      </c>
      <c r="C118" s="30" t="s">
        <v>212</v>
      </c>
      <c r="D118" s="30" t="s">
        <v>213</v>
      </c>
      <c r="E118" s="31">
        <v>45531</v>
      </c>
      <c r="F118" s="31">
        <v>45714</v>
      </c>
      <c r="G118" s="32">
        <v>149977294.22999999</v>
      </c>
      <c r="H118" s="32">
        <v>749886.47</v>
      </c>
      <c r="I118" s="21">
        <f t="shared" si="26"/>
        <v>44993188.268999994</v>
      </c>
      <c r="J118" s="21">
        <f t="shared" si="26"/>
        <v>224965.94099999999</v>
      </c>
      <c r="K118" s="22">
        <f t="shared" si="17"/>
        <v>30</v>
      </c>
      <c r="L118" s="21">
        <f t="shared" si="27"/>
        <v>104984105.96099998</v>
      </c>
      <c r="M118" s="23">
        <f t="shared" si="27"/>
        <v>524920.52899999998</v>
      </c>
      <c r="N118" s="24">
        <f t="shared" si="18"/>
        <v>70</v>
      </c>
      <c r="O118" s="23">
        <f t="shared" si="28"/>
        <v>0</v>
      </c>
      <c r="P118" s="25">
        <f t="shared" si="28"/>
        <v>0</v>
      </c>
      <c r="Q118" s="25">
        <f t="shared" si="22"/>
        <v>0</v>
      </c>
    </row>
    <row r="119" spans="1:17" x14ac:dyDescent="0.35">
      <c r="A119" s="6">
        <v>108</v>
      </c>
      <c r="B119" s="6" t="s">
        <v>862</v>
      </c>
      <c r="C119" s="30" t="s">
        <v>214</v>
      </c>
      <c r="D119" s="30" t="s">
        <v>215</v>
      </c>
      <c r="E119" s="31">
        <v>45531</v>
      </c>
      <c r="F119" s="31">
        <v>45714</v>
      </c>
      <c r="G119" s="32">
        <v>89992176.980000004</v>
      </c>
      <c r="H119" s="32">
        <v>449960.88</v>
      </c>
      <c r="I119" s="21">
        <f t="shared" si="26"/>
        <v>26997653.094000001</v>
      </c>
      <c r="J119" s="21">
        <f t="shared" si="26"/>
        <v>134988.264</v>
      </c>
      <c r="K119" s="22">
        <f t="shared" si="17"/>
        <v>30</v>
      </c>
      <c r="L119" s="21">
        <f t="shared" si="27"/>
        <v>62994523.886</v>
      </c>
      <c r="M119" s="23">
        <f t="shared" si="27"/>
        <v>314972.61599999998</v>
      </c>
      <c r="N119" s="24">
        <f t="shared" si="18"/>
        <v>70</v>
      </c>
      <c r="O119" s="23">
        <f t="shared" si="28"/>
        <v>0</v>
      </c>
      <c r="P119" s="25">
        <f t="shared" si="28"/>
        <v>0</v>
      </c>
      <c r="Q119" s="25">
        <f t="shared" si="22"/>
        <v>0</v>
      </c>
    </row>
    <row r="120" spans="1:17" x14ac:dyDescent="0.35">
      <c r="A120" s="6">
        <v>109</v>
      </c>
      <c r="B120" s="6" t="s">
        <v>863</v>
      </c>
      <c r="C120" s="30" t="s">
        <v>216</v>
      </c>
      <c r="D120" s="30" t="s">
        <v>217</v>
      </c>
      <c r="E120" s="31">
        <v>45531</v>
      </c>
      <c r="F120" s="31">
        <v>45714</v>
      </c>
      <c r="G120" s="32">
        <v>149978052.24000001</v>
      </c>
      <c r="H120" s="32">
        <v>749890.26</v>
      </c>
      <c r="I120" s="21">
        <f t="shared" si="26"/>
        <v>44993415.671999998</v>
      </c>
      <c r="J120" s="21">
        <f t="shared" si="26"/>
        <v>224967.07800000001</v>
      </c>
      <c r="K120" s="22">
        <f t="shared" si="17"/>
        <v>30</v>
      </c>
      <c r="L120" s="21">
        <f t="shared" si="27"/>
        <v>104984636.568</v>
      </c>
      <c r="M120" s="23">
        <f t="shared" si="27"/>
        <v>524923.18200000003</v>
      </c>
      <c r="N120" s="24">
        <f t="shared" si="18"/>
        <v>70</v>
      </c>
      <c r="O120" s="23">
        <f t="shared" si="28"/>
        <v>0</v>
      </c>
      <c r="P120" s="25">
        <f t="shared" si="28"/>
        <v>0</v>
      </c>
      <c r="Q120" s="25">
        <f t="shared" si="22"/>
        <v>0</v>
      </c>
    </row>
    <row r="121" spans="1:17" x14ac:dyDescent="0.35">
      <c r="A121" s="6">
        <v>110</v>
      </c>
      <c r="B121" s="6" t="s">
        <v>864</v>
      </c>
      <c r="C121" s="30" t="s">
        <v>218</v>
      </c>
      <c r="D121" s="30" t="s">
        <v>219</v>
      </c>
      <c r="E121" s="31">
        <v>45531</v>
      </c>
      <c r="F121" s="31">
        <v>45714</v>
      </c>
      <c r="G121" s="32">
        <v>149977002.69999999</v>
      </c>
      <c r="H121" s="32">
        <v>749885.01</v>
      </c>
      <c r="I121" s="21">
        <f t="shared" si="26"/>
        <v>44993100.809999995</v>
      </c>
      <c r="J121" s="21">
        <f t="shared" si="26"/>
        <v>224965.503</v>
      </c>
      <c r="K121" s="22">
        <f t="shared" si="17"/>
        <v>30</v>
      </c>
      <c r="L121" s="21">
        <f t="shared" si="27"/>
        <v>104983901.88999999</v>
      </c>
      <c r="M121" s="23">
        <f t="shared" si="27"/>
        <v>524919.50699999998</v>
      </c>
      <c r="N121" s="24">
        <f t="shared" si="18"/>
        <v>70</v>
      </c>
      <c r="O121" s="23">
        <f t="shared" si="28"/>
        <v>0</v>
      </c>
      <c r="P121" s="25">
        <f t="shared" si="28"/>
        <v>0</v>
      </c>
      <c r="Q121" s="25">
        <f t="shared" si="22"/>
        <v>0</v>
      </c>
    </row>
    <row r="122" spans="1:17" x14ac:dyDescent="0.35">
      <c r="A122" s="6">
        <v>111</v>
      </c>
      <c r="B122" s="6" t="s">
        <v>865</v>
      </c>
      <c r="C122" s="30" t="s">
        <v>220</v>
      </c>
      <c r="D122" s="30" t="s">
        <v>221</v>
      </c>
      <c r="E122" s="31">
        <v>45531</v>
      </c>
      <c r="F122" s="31">
        <v>45714</v>
      </c>
      <c r="G122" s="32">
        <v>59979522.549999997</v>
      </c>
      <c r="H122" s="32">
        <v>299897.61</v>
      </c>
      <c r="I122" s="21">
        <f t="shared" si="26"/>
        <v>17993856.764999997</v>
      </c>
      <c r="J122" s="21">
        <f t="shared" si="26"/>
        <v>89969.282999999996</v>
      </c>
      <c r="K122" s="22">
        <f t="shared" si="17"/>
        <v>30</v>
      </c>
      <c r="L122" s="21">
        <f t="shared" si="27"/>
        <v>41985665.784999996</v>
      </c>
      <c r="M122" s="23">
        <f t="shared" si="27"/>
        <v>209928.32699999999</v>
      </c>
      <c r="N122" s="24">
        <f t="shared" si="18"/>
        <v>70</v>
      </c>
      <c r="O122" s="23">
        <f t="shared" si="28"/>
        <v>0</v>
      </c>
      <c r="P122" s="25">
        <f t="shared" si="28"/>
        <v>0</v>
      </c>
      <c r="Q122" s="25">
        <f t="shared" si="22"/>
        <v>0</v>
      </c>
    </row>
    <row r="123" spans="1:17" x14ac:dyDescent="0.35">
      <c r="A123" s="6">
        <v>112</v>
      </c>
      <c r="B123" s="6" t="s">
        <v>866</v>
      </c>
      <c r="C123" s="30" t="s">
        <v>222</v>
      </c>
      <c r="D123" s="30" t="s">
        <v>223</v>
      </c>
      <c r="E123" s="31">
        <v>45538</v>
      </c>
      <c r="F123" s="31">
        <v>45718</v>
      </c>
      <c r="G123" s="32">
        <v>53623668.310000002</v>
      </c>
      <c r="H123" s="32">
        <v>268118.34000000003</v>
      </c>
      <c r="I123" s="21">
        <f t="shared" si="26"/>
        <v>16087100.493000001</v>
      </c>
      <c r="J123" s="21">
        <f t="shared" si="26"/>
        <v>80435.502000000008</v>
      </c>
      <c r="K123" s="22">
        <f t="shared" si="17"/>
        <v>30</v>
      </c>
      <c r="L123" s="21">
        <f t="shared" si="27"/>
        <v>37536567.817000002</v>
      </c>
      <c r="M123" s="23">
        <f t="shared" si="27"/>
        <v>187682.83800000002</v>
      </c>
      <c r="N123" s="24">
        <f t="shared" si="18"/>
        <v>70</v>
      </c>
      <c r="O123" s="23">
        <f t="shared" si="28"/>
        <v>0</v>
      </c>
      <c r="P123" s="25">
        <f t="shared" si="28"/>
        <v>0</v>
      </c>
      <c r="Q123" s="25">
        <f t="shared" si="22"/>
        <v>0</v>
      </c>
    </row>
    <row r="124" spans="1:17" x14ac:dyDescent="0.35">
      <c r="A124" s="6">
        <v>113</v>
      </c>
      <c r="B124" s="6" t="s">
        <v>867</v>
      </c>
      <c r="C124" s="30" t="s">
        <v>224</v>
      </c>
      <c r="D124" s="30" t="s">
        <v>225</v>
      </c>
      <c r="E124" s="31">
        <v>45540</v>
      </c>
      <c r="F124" s="31">
        <v>45904</v>
      </c>
      <c r="G124" s="32">
        <v>100000000</v>
      </c>
      <c r="H124" s="32">
        <v>500000</v>
      </c>
      <c r="I124" s="21">
        <f t="shared" si="26"/>
        <v>30000000</v>
      </c>
      <c r="J124" s="21">
        <f t="shared" si="26"/>
        <v>150000</v>
      </c>
      <c r="K124" s="22">
        <f t="shared" si="17"/>
        <v>30</v>
      </c>
      <c r="L124" s="21">
        <f t="shared" si="27"/>
        <v>70000000</v>
      </c>
      <c r="M124" s="23">
        <f t="shared" si="27"/>
        <v>350000</v>
      </c>
      <c r="N124" s="24">
        <f t="shared" si="18"/>
        <v>70</v>
      </c>
      <c r="O124" s="23">
        <f t="shared" si="28"/>
        <v>0</v>
      </c>
      <c r="P124" s="25">
        <f t="shared" si="28"/>
        <v>0</v>
      </c>
      <c r="Q124" s="25">
        <f t="shared" si="22"/>
        <v>0</v>
      </c>
    </row>
    <row r="125" spans="1:17" x14ac:dyDescent="0.35">
      <c r="A125" s="6">
        <v>114</v>
      </c>
      <c r="B125" s="6" t="s">
        <v>868</v>
      </c>
      <c r="C125" s="30" t="s">
        <v>226</v>
      </c>
      <c r="D125" s="30" t="s">
        <v>227</v>
      </c>
      <c r="E125" s="31">
        <v>45544</v>
      </c>
      <c r="F125" s="31">
        <v>45724</v>
      </c>
      <c r="G125" s="32">
        <v>66000000</v>
      </c>
      <c r="H125" s="32">
        <v>330000</v>
      </c>
      <c r="I125" s="21">
        <f t="shared" si="26"/>
        <v>19800000</v>
      </c>
      <c r="J125" s="21">
        <f t="shared" si="26"/>
        <v>99000</v>
      </c>
      <c r="K125" s="22">
        <f t="shared" si="17"/>
        <v>30</v>
      </c>
      <c r="L125" s="21">
        <f t="shared" si="27"/>
        <v>46200000</v>
      </c>
      <c r="M125" s="23">
        <f t="shared" si="27"/>
        <v>230999.99999999997</v>
      </c>
      <c r="N125" s="24">
        <f t="shared" si="18"/>
        <v>70</v>
      </c>
      <c r="O125" s="23">
        <f t="shared" si="28"/>
        <v>0</v>
      </c>
      <c r="P125" s="25">
        <f t="shared" si="28"/>
        <v>0</v>
      </c>
      <c r="Q125" s="25">
        <f t="shared" si="22"/>
        <v>0</v>
      </c>
    </row>
    <row r="126" spans="1:17" x14ac:dyDescent="0.35">
      <c r="A126" s="6">
        <v>115</v>
      </c>
      <c r="B126" s="6" t="s">
        <v>869</v>
      </c>
      <c r="C126" s="30" t="s">
        <v>228</v>
      </c>
      <c r="D126" s="30" t="s">
        <v>229</v>
      </c>
      <c r="E126" s="31">
        <v>45545</v>
      </c>
      <c r="F126" s="31">
        <v>45909</v>
      </c>
      <c r="G126" s="32">
        <v>117485213.29000001</v>
      </c>
      <c r="H126" s="32">
        <v>587426.06999999995</v>
      </c>
      <c r="I126" s="21">
        <f t="shared" si="26"/>
        <v>35245563.987000003</v>
      </c>
      <c r="J126" s="21">
        <f t="shared" si="26"/>
        <v>176227.82099999997</v>
      </c>
      <c r="K126" s="22">
        <f t="shared" si="17"/>
        <v>30</v>
      </c>
      <c r="L126" s="21">
        <f t="shared" si="27"/>
        <v>82239649.303000003</v>
      </c>
      <c r="M126" s="23">
        <f t="shared" si="27"/>
        <v>411198.24899999995</v>
      </c>
      <c r="N126" s="24">
        <f t="shared" si="18"/>
        <v>70</v>
      </c>
      <c r="O126" s="23">
        <f t="shared" si="28"/>
        <v>0</v>
      </c>
      <c r="P126" s="25">
        <f t="shared" si="28"/>
        <v>0</v>
      </c>
      <c r="Q126" s="25">
        <f t="shared" si="22"/>
        <v>0</v>
      </c>
    </row>
    <row r="127" spans="1:17" x14ac:dyDescent="0.35">
      <c r="A127" s="6">
        <v>116</v>
      </c>
      <c r="B127" s="6" t="s">
        <v>870</v>
      </c>
      <c r="C127" s="30" t="s">
        <v>230</v>
      </c>
      <c r="D127" s="30" t="s">
        <v>231</v>
      </c>
      <c r="E127" s="31">
        <v>45545</v>
      </c>
      <c r="F127" s="31">
        <v>45909</v>
      </c>
      <c r="G127" s="32">
        <v>228224900.38999999</v>
      </c>
      <c r="H127" s="32">
        <v>1141124.5</v>
      </c>
      <c r="I127" s="21">
        <f t="shared" si="26"/>
        <v>68467470.116999999</v>
      </c>
      <c r="J127" s="21">
        <f t="shared" si="26"/>
        <v>342337.35</v>
      </c>
      <c r="K127" s="22">
        <f t="shared" si="17"/>
        <v>30</v>
      </c>
      <c r="L127" s="21">
        <f t="shared" si="27"/>
        <v>159757430.27299997</v>
      </c>
      <c r="M127" s="23">
        <f t="shared" si="27"/>
        <v>798787.14999999991</v>
      </c>
      <c r="N127" s="24">
        <f t="shared" si="18"/>
        <v>70</v>
      </c>
      <c r="O127" s="23">
        <f t="shared" si="28"/>
        <v>0</v>
      </c>
      <c r="P127" s="25">
        <f t="shared" si="28"/>
        <v>0</v>
      </c>
      <c r="Q127" s="25">
        <f t="shared" si="22"/>
        <v>0</v>
      </c>
    </row>
    <row r="128" spans="1:17" x14ac:dyDescent="0.35">
      <c r="A128" s="6">
        <v>117</v>
      </c>
      <c r="B128" s="6" t="s">
        <v>871</v>
      </c>
      <c r="C128" s="30" t="s">
        <v>232</v>
      </c>
      <c r="D128" s="30" t="s">
        <v>231</v>
      </c>
      <c r="E128" s="31">
        <v>45545</v>
      </c>
      <c r="F128" s="31">
        <v>45909</v>
      </c>
      <c r="G128" s="32">
        <v>212527243.94</v>
      </c>
      <c r="H128" s="32">
        <v>1062636.22</v>
      </c>
      <c r="I128" s="21">
        <f t="shared" ref="I128:J140" si="29">G128*30%</f>
        <v>63758173.181999996</v>
      </c>
      <c r="J128" s="21">
        <f t="shared" si="29"/>
        <v>318790.86599999998</v>
      </c>
      <c r="K128" s="22">
        <f t="shared" si="17"/>
        <v>30</v>
      </c>
      <c r="L128" s="21">
        <f t="shared" ref="L128:M140" si="30">G128*70%</f>
        <v>148769070.75799999</v>
      </c>
      <c r="M128" s="23">
        <f t="shared" si="30"/>
        <v>743845.35399999993</v>
      </c>
      <c r="N128" s="24">
        <f t="shared" si="18"/>
        <v>70</v>
      </c>
      <c r="O128" s="23">
        <f t="shared" si="28"/>
        <v>0</v>
      </c>
      <c r="P128" s="25">
        <f t="shared" si="28"/>
        <v>0</v>
      </c>
      <c r="Q128" s="25">
        <f t="shared" si="22"/>
        <v>0</v>
      </c>
    </row>
    <row r="129" spans="1:17" x14ac:dyDescent="0.35">
      <c r="A129" s="6">
        <v>118</v>
      </c>
      <c r="B129" s="6" t="s">
        <v>872</v>
      </c>
      <c r="C129" s="30" t="s">
        <v>233</v>
      </c>
      <c r="D129" s="30" t="s">
        <v>231</v>
      </c>
      <c r="E129" s="31">
        <v>45555</v>
      </c>
      <c r="F129" s="31">
        <v>45919</v>
      </c>
      <c r="G129" s="32">
        <v>437048205.85000002</v>
      </c>
      <c r="H129" s="32">
        <v>2185241.0299999998</v>
      </c>
      <c r="I129" s="21">
        <f t="shared" si="29"/>
        <v>131114461.755</v>
      </c>
      <c r="J129" s="21">
        <f t="shared" si="29"/>
        <v>655572.30899999989</v>
      </c>
      <c r="K129" s="22">
        <f t="shared" si="17"/>
        <v>30</v>
      </c>
      <c r="L129" s="21">
        <f t="shared" si="30"/>
        <v>305933744.09499997</v>
      </c>
      <c r="M129" s="23">
        <f t="shared" si="30"/>
        <v>1529668.7209999997</v>
      </c>
      <c r="N129" s="24">
        <f t="shared" si="18"/>
        <v>69.999999999999986</v>
      </c>
      <c r="O129" s="23">
        <f t="shared" ref="O129:P140" si="31">G129-I129-L129</f>
        <v>0</v>
      </c>
      <c r="P129" s="25">
        <f t="shared" si="31"/>
        <v>0</v>
      </c>
      <c r="Q129" s="25">
        <f t="shared" si="22"/>
        <v>0</v>
      </c>
    </row>
    <row r="130" spans="1:17" x14ac:dyDescent="0.35">
      <c r="A130" s="6">
        <v>119</v>
      </c>
      <c r="B130" s="6" t="s">
        <v>873</v>
      </c>
      <c r="C130" s="30" t="s">
        <v>234</v>
      </c>
      <c r="D130" s="30" t="s">
        <v>231</v>
      </c>
      <c r="E130" s="31">
        <v>45555</v>
      </c>
      <c r="F130" s="31">
        <v>45919</v>
      </c>
      <c r="G130" s="32">
        <v>429564065.51999998</v>
      </c>
      <c r="H130" s="32">
        <v>2147820.33</v>
      </c>
      <c r="I130" s="21">
        <f t="shared" si="29"/>
        <v>128869219.65599999</v>
      </c>
      <c r="J130" s="21">
        <f t="shared" si="29"/>
        <v>644346.09900000005</v>
      </c>
      <c r="K130" s="22">
        <f t="shared" si="17"/>
        <v>30</v>
      </c>
      <c r="L130" s="21">
        <f t="shared" si="30"/>
        <v>300694845.86399996</v>
      </c>
      <c r="M130" s="23">
        <f t="shared" si="30"/>
        <v>1503474.2309999999</v>
      </c>
      <c r="N130" s="24">
        <f t="shared" si="18"/>
        <v>70</v>
      </c>
      <c r="O130" s="23">
        <f t="shared" si="31"/>
        <v>0</v>
      </c>
      <c r="P130" s="25">
        <f t="shared" si="31"/>
        <v>0</v>
      </c>
      <c r="Q130" s="25">
        <f t="shared" si="22"/>
        <v>0</v>
      </c>
    </row>
    <row r="131" spans="1:17" x14ac:dyDescent="0.35">
      <c r="A131" s="6">
        <v>120</v>
      </c>
      <c r="B131" s="6" t="s">
        <v>874</v>
      </c>
      <c r="C131" s="30" t="s">
        <v>235</v>
      </c>
      <c r="D131" s="30" t="s">
        <v>229</v>
      </c>
      <c r="E131" s="31">
        <v>45555</v>
      </c>
      <c r="F131" s="31">
        <v>45919</v>
      </c>
      <c r="G131" s="32">
        <v>109198451.3</v>
      </c>
      <c r="H131" s="32">
        <v>545992.26</v>
      </c>
      <c r="I131" s="21">
        <f t="shared" si="29"/>
        <v>32759535.389999997</v>
      </c>
      <c r="J131" s="21">
        <f t="shared" si="29"/>
        <v>163797.67799999999</v>
      </c>
      <c r="K131" s="22">
        <f t="shared" si="17"/>
        <v>30</v>
      </c>
      <c r="L131" s="21">
        <f t="shared" si="30"/>
        <v>76438915.909999996</v>
      </c>
      <c r="M131" s="23">
        <f t="shared" si="30"/>
        <v>382194.58199999999</v>
      </c>
      <c r="N131" s="24">
        <f t="shared" si="18"/>
        <v>70</v>
      </c>
      <c r="O131" s="23">
        <f t="shared" si="31"/>
        <v>0</v>
      </c>
      <c r="P131" s="25">
        <f t="shared" si="31"/>
        <v>0</v>
      </c>
      <c r="Q131" s="25">
        <f t="shared" si="22"/>
        <v>0</v>
      </c>
    </row>
    <row r="132" spans="1:17" x14ac:dyDescent="0.35">
      <c r="A132" s="6">
        <v>121</v>
      </c>
      <c r="B132" s="6" t="s">
        <v>875</v>
      </c>
      <c r="C132" s="30" t="s">
        <v>236</v>
      </c>
      <c r="D132" s="30" t="s">
        <v>237</v>
      </c>
      <c r="E132" s="31">
        <v>45555</v>
      </c>
      <c r="F132" s="31">
        <v>45919</v>
      </c>
      <c r="G132" s="32">
        <v>144548692.5</v>
      </c>
      <c r="H132" s="32">
        <v>722743.46</v>
      </c>
      <c r="I132" s="21">
        <f t="shared" si="29"/>
        <v>43364607.75</v>
      </c>
      <c r="J132" s="21">
        <f t="shared" si="29"/>
        <v>216823.03799999997</v>
      </c>
      <c r="K132" s="22">
        <f t="shared" si="17"/>
        <v>30</v>
      </c>
      <c r="L132" s="21">
        <f t="shared" si="30"/>
        <v>101184084.75</v>
      </c>
      <c r="M132" s="23">
        <f t="shared" si="30"/>
        <v>505920.42199999996</v>
      </c>
      <c r="N132" s="24">
        <f t="shared" si="18"/>
        <v>70</v>
      </c>
      <c r="O132" s="23">
        <f t="shared" si="31"/>
        <v>0</v>
      </c>
      <c r="P132" s="25">
        <f t="shared" si="31"/>
        <v>0</v>
      </c>
      <c r="Q132" s="25">
        <f t="shared" si="22"/>
        <v>0</v>
      </c>
    </row>
    <row r="133" spans="1:17" x14ac:dyDescent="0.35">
      <c r="A133" s="6">
        <v>122</v>
      </c>
      <c r="B133" s="6" t="s">
        <v>876</v>
      </c>
      <c r="C133" s="30" t="s">
        <v>238</v>
      </c>
      <c r="D133" s="30" t="s">
        <v>189</v>
      </c>
      <c r="E133" s="31">
        <v>45554</v>
      </c>
      <c r="F133" s="31">
        <v>45734</v>
      </c>
      <c r="G133" s="32">
        <v>296176191.72000003</v>
      </c>
      <c r="H133" s="32">
        <v>1480880.96</v>
      </c>
      <c r="I133" s="21">
        <f t="shared" si="29"/>
        <v>88852857.516000003</v>
      </c>
      <c r="J133" s="21">
        <f t="shared" si="29"/>
        <v>444264.288</v>
      </c>
      <c r="K133" s="22">
        <f t="shared" si="17"/>
        <v>30</v>
      </c>
      <c r="L133" s="21">
        <f t="shared" si="30"/>
        <v>207323334.204</v>
      </c>
      <c r="M133" s="23">
        <f t="shared" si="30"/>
        <v>1036616.6719999999</v>
      </c>
      <c r="N133" s="24">
        <f t="shared" si="18"/>
        <v>70</v>
      </c>
      <c r="O133" s="23">
        <f t="shared" si="31"/>
        <v>0</v>
      </c>
      <c r="P133" s="25">
        <f t="shared" si="31"/>
        <v>0</v>
      </c>
      <c r="Q133" s="25">
        <f t="shared" si="22"/>
        <v>0</v>
      </c>
    </row>
    <row r="134" spans="1:17" x14ac:dyDescent="0.35">
      <c r="A134" s="6">
        <v>123</v>
      </c>
      <c r="B134" s="6" t="s">
        <v>877</v>
      </c>
      <c r="C134" s="30" t="s">
        <v>239</v>
      </c>
      <c r="D134" s="30" t="s">
        <v>240</v>
      </c>
      <c r="E134" s="31">
        <v>45555</v>
      </c>
      <c r="F134" s="31">
        <v>45735</v>
      </c>
      <c r="G134" s="32">
        <v>62916736.130000003</v>
      </c>
      <c r="H134" s="32">
        <v>314583.67999999999</v>
      </c>
      <c r="I134" s="21">
        <f t="shared" si="29"/>
        <v>18875020.839000002</v>
      </c>
      <c r="J134" s="21">
        <f t="shared" si="29"/>
        <v>94375.103999999992</v>
      </c>
      <c r="K134" s="22">
        <f t="shared" si="17"/>
        <v>30</v>
      </c>
      <c r="L134" s="21">
        <f t="shared" si="30"/>
        <v>44041715.291000001</v>
      </c>
      <c r="M134" s="23">
        <f t="shared" si="30"/>
        <v>220208.57599999997</v>
      </c>
      <c r="N134" s="24">
        <f t="shared" si="18"/>
        <v>70</v>
      </c>
      <c r="O134" s="23">
        <f t="shared" si="31"/>
        <v>0</v>
      </c>
      <c r="P134" s="25">
        <f t="shared" si="31"/>
        <v>0</v>
      </c>
      <c r="Q134" s="25">
        <f t="shared" si="22"/>
        <v>0</v>
      </c>
    </row>
    <row r="135" spans="1:17" x14ac:dyDescent="0.35">
      <c r="A135" s="6">
        <v>124</v>
      </c>
      <c r="B135" s="6" t="s">
        <v>878</v>
      </c>
      <c r="C135" s="30" t="s">
        <v>241</v>
      </c>
      <c r="D135" s="30" t="s">
        <v>242</v>
      </c>
      <c r="E135" s="31">
        <v>45555</v>
      </c>
      <c r="F135" s="31">
        <v>45735</v>
      </c>
      <c r="G135" s="32">
        <v>77735445.329999998</v>
      </c>
      <c r="H135" s="32">
        <v>388677.23</v>
      </c>
      <c r="I135" s="21">
        <f t="shared" si="29"/>
        <v>23320633.598999999</v>
      </c>
      <c r="J135" s="21">
        <f t="shared" si="29"/>
        <v>116603.16899999999</v>
      </c>
      <c r="K135" s="22">
        <f t="shared" si="17"/>
        <v>30</v>
      </c>
      <c r="L135" s="21">
        <f t="shared" si="30"/>
        <v>54414811.730999999</v>
      </c>
      <c r="M135" s="23">
        <f t="shared" si="30"/>
        <v>272074.06099999999</v>
      </c>
      <c r="N135" s="24">
        <f t="shared" si="18"/>
        <v>70</v>
      </c>
      <c r="O135" s="23">
        <f t="shared" si="31"/>
        <v>0</v>
      </c>
      <c r="P135" s="25">
        <f t="shared" si="31"/>
        <v>0</v>
      </c>
      <c r="Q135" s="25">
        <f t="shared" si="22"/>
        <v>0</v>
      </c>
    </row>
    <row r="136" spans="1:17" x14ac:dyDescent="0.35">
      <c r="A136" s="6">
        <v>125</v>
      </c>
      <c r="B136" s="6" t="s">
        <v>879</v>
      </c>
      <c r="C136" s="30" t="s">
        <v>243</v>
      </c>
      <c r="D136" s="30" t="s">
        <v>244</v>
      </c>
      <c r="E136" s="31">
        <v>45555</v>
      </c>
      <c r="F136" s="31">
        <v>45735</v>
      </c>
      <c r="G136" s="32">
        <v>82290662.060000002</v>
      </c>
      <c r="H136" s="32">
        <v>411453.31</v>
      </c>
      <c r="I136" s="21">
        <f t="shared" si="29"/>
        <v>24687198.618000001</v>
      </c>
      <c r="J136" s="21">
        <f t="shared" si="29"/>
        <v>123435.99299999999</v>
      </c>
      <c r="K136" s="22">
        <f t="shared" si="17"/>
        <v>30</v>
      </c>
      <c r="L136" s="21">
        <f t="shared" si="30"/>
        <v>57603463.442000002</v>
      </c>
      <c r="M136" s="23">
        <f t="shared" si="30"/>
        <v>288017.31699999998</v>
      </c>
      <c r="N136" s="24">
        <f t="shared" si="18"/>
        <v>70</v>
      </c>
      <c r="O136" s="23">
        <f t="shared" si="31"/>
        <v>0</v>
      </c>
      <c r="P136" s="25">
        <f t="shared" si="31"/>
        <v>0</v>
      </c>
      <c r="Q136" s="25">
        <f t="shared" si="22"/>
        <v>0</v>
      </c>
    </row>
    <row r="137" spans="1:17" x14ac:dyDescent="0.35">
      <c r="A137" s="6">
        <v>126</v>
      </c>
      <c r="B137" s="6" t="s">
        <v>880</v>
      </c>
      <c r="C137" s="30" t="s">
        <v>245</v>
      </c>
      <c r="D137" s="30" t="s">
        <v>246</v>
      </c>
      <c r="E137" s="31">
        <v>45554</v>
      </c>
      <c r="F137" s="31">
        <v>45826</v>
      </c>
      <c r="G137" s="32">
        <v>89851179.329999998</v>
      </c>
      <c r="H137" s="32">
        <v>449255.9</v>
      </c>
      <c r="I137" s="21">
        <f t="shared" si="29"/>
        <v>26955353.798999999</v>
      </c>
      <c r="J137" s="21">
        <f t="shared" si="29"/>
        <v>134776.76999999999</v>
      </c>
      <c r="K137" s="22">
        <f t="shared" si="17"/>
        <v>30</v>
      </c>
      <c r="L137" s="21">
        <f t="shared" si="30"/>
        <v>62895825.530999996</v>
      </c>
      <c r="M137" s="23">
        <f t="shared" si="30"/>
        <v>314479.13</v>
      </c>
      <c r="N137" s="24">
        <f t="shared" si="18"/>
        <v>70</v>
      </c>
      <c r="O137" s="23">
        <f t="shared" si="31"/>
        <v>0</v>
      </c>
      <c r="P137" s="25">
        <f t="shared" si="31"/>
        <v>0</v>
      </c>
      <c r="Q137" s="25">
        <f t="shared" si="22"/>
        <v>0</v>
      </c>
    </row>
    <row r="138" spans="1:17" x14ac:dyDescent="0.35">
      <c r="A138" s="6">
        <v>127</v>
      </c>
      <c r="B138" s="6" t="s">
        <v>881</v>
      </c>
      <c r="C138" s="30" t="s">
        <v>247</v>
      </c>
      <c r="D138" s="30" t="s">
        <v>248</v>
      </c>
      <c r="E138" s="31">
        <v>45554</v>
      </c>
      <c r="F138" s="31">
        <v>45826</v>
      </c>
      <c r="G138" s="32">
        <v>89860583.75</v>
      </c>
      <c r="H138" s="32">
        <v>449302.92</v>
      </c>
      <c r="I138" s="21">
        <f t="shared" si="29"/>
        <v>26958175.125</v>
      </c>
      <c r="J138" s="21">
        <f t="shared" si="29"/>
        <v>134790.87599999999</v>
      </c>
      <c r="K138" s="22">
        <f t="shared" si="17"/>
        <v>30</v>
      </c>
      <c r="L138" s="21">
        <f t="shared" si="30"/>
        <v>62902408.624999993</v>
      </c>
      <c r="M138" s="23">
        <f t="shared" si="30"/>
        <v>314512.04399999999</v>
      </c>
      <c r="N138" s="24">
        <f t="shared" si="18"/>
        <v>70</v>
      </c>
      <c r="O138" s="23">
        <f t="shared" si="31"/>
        <v>0</v>
      </c>
      <c r="P138" s="25">
        <f t="shared" si="31"/>
        <v>0</v>
      </c>
      <c r="Q138" s="25">
        <f t="shared" si="22"/>
        <v>0</v>
      </c>
    </row>
    <row r="139" spans="1:17" x14ac:dyDescent="0.35">
      <c r="A139" s="6">
        <v>128</v>
      </c>
      <c r="B139" s="6" t="s">
        <v>882</v>
      </c>
      <c r="C139" s="30" t="s">
        <v>249</v>
      </c>
      <c r="D139" s="30" t="s">
        <v>250</v>
      </c>
      <c r="E139" s="31">
        <v>45517</v>
      </c>
      <c r="F139" s="31">
        <v>45696</v>
      </c>
      <c r="G139" s="32">
        <v>85001964.659999996</v>
      </c>
      <c r="H139" s="32">
        <v>425009.82</v>
      </c>
      <c r="I139" s="21">
        <f t="shared" si="29"/>
        <v>25500589.397999998</v>
      </c>
      <c r="J139" s="21">
        <f t="shared" si="29"/>
        <v>127502.946</v>
      </c>
      <c r="K139" s="22">
        <f t="shared" si="17"/>
        <v>30</v>
      </c>
      <c r="L139" s="21">
        <f t="shared" si="30"/>
        <v>59501375.261999995</v>
      </c>
      <c r="M139" s="23">
        <f t="shared" si="30"/>
        <v>297506.87400000001</v>
      </c>
      <c r="N139" s="24">
        <f t="shared" si="18"/>
        <v>70</v>
      </c>
      <c r="O139" s="23">
        <f t="shared" si="31"/>
        <v>0</v>
      </c>
      <c r="P139" s="25">
        <f t="shared" si="31"/>
        <v>0</v>
      </c>
      <c r="Q139" s="25">
        <f t="shared" si="22"/>
        <v>0</v>
      </c>
    </row>
    <row r="140" spans="1:17" x14ac:dyDescent="0.35">
      <c r="A140" s="6">
        <v>129</v>
      </c>
      <c r="B140" s="6" t="s">
        <v>883</v>
      </c>
      <c r="C140" s="30" t="s">
        <v>251</v>
      </c>
      <c r="D140" s="30" t="s">
        <v>252</v>
      </c>
      <c r="E140" s="31">
        <v>45483</v>
      </c>
      <c r="F140" s="31">
        <v>45848</v>
      </c>
      <c r="G140" s="32">
        <v>146382431.38999999</v>
      </c>
      <c r="H140" s="32">
        <v>731912.16</v>
      </c>
      <c r="I140" s="21">
        <f t="shared" si="29"/>
        <v>43914729.416999996</v>
      </c>
      <c r="J140" s="21">
        <f t="shared" si="29"/>
        <v>219573.64800000002</v>
      </c>
      <c r="K140" s="22">
        <f t="shared" ref="K140" si="32">I140/G140*100</f>
        <v>30</v>
      </c>
      <c r="L140" s="21">
        <f t="shared" si="30"/>
        <v>102467701.97299999</v>
      </c>
      <c r="M140" s="23">
        <f t="shared" si="30"/>
        <v>512338.51199999999</v>
      </c>
      <c r="N140" s="24">
        <f t="shared" ref="N140" si="33">L140/G140*100</f>
        <v>70</v>
      </c>
      <c r="O140" s="23">
        <f t="shared" si="31"/>
        <v>0</v>
      </c>
      <c r="P140" s="25">
        <f t="shared" si="31"/>
        <v>0</v>
      </c>
      <c r="Q140" s="25">
        <f t="shared" si="22"/>
        <v>0</v>
      </c>
    </row>
    <row r="141" spans="1:17" x14ac:dyDescent="0.35">
      <c r="C141" s="33"/>
      <c r="D141" s="33"/>
      <c r="E141" s="33"/>
      <c r="F141" s="33"/>
      <c r="G141" s="33"/>
      <c r="H141" s="33"/>
      <c r="I141" s="33"/>
      <c r="J141" s="34">
        <f>SUM(J12:J140)</f>
        <v>29929888.303999986</v>
      </c>
      <c r="M141" s="35">
        <f>SUM(M12:M140)</f>
        <v>69838755.315999985</v>
      </c>
    </row>
    <row r="153" spans="3:10" x14ac:dyDescent="0.35">
      <c r="C153" s="33"/>
      <c r="D153" s="33"/>
      <c r="E153" s="33"/>
      <c r="F153" s="33"/>
      <c r="G153" s="33"/>
      <c r="H153" s="33"/>
      <c r="I153" s="33"/>
      <c r="J153" s="33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D1F-FE55-4EA0-9F60-6E559DD87268}">
  <dimension ref="A3:Q36"/>
  <sheetViews>
    <sheetView topLeftCell="A6" workbookViewId="0">
      <selection activeCell="I15" sqref="I15"/>
    </sheetView>
  </sheetViews>
  <sheetFormatPr defaultColWidth="18.7265625" defaultRowHeight="14.5" x14ac:dyDescent="0.35"/>
  <cols>
    <col min="1" max="1" width="8.54296875" style="7" customWidth="1"/>
    <col min="2" max="3" width="18.7265625" style="7"/>
    <col min="4" max="4" width="27.7265625" style="7" customWidth="1"/>
    <col min="5" max="5" width="17.26953125" style="7" customWidth="1"/>
    <col min="6" max="14" width="18.7265625" style="7"/>
    <col min="15" max="15" width="23.1796875" style="7" customWidth="1"/>
    <col min="16" max="16384" width="18.7265625" style="7"/>
  </cols>
  <sheetData>
    <row r="3" spans="1:17" x14ac:dyDescent="0.3">
      <c r="A3" s="1"/>
      <c r="B3" s="1"/>
      <c r="C3" s="1" t="s">
        <v>0</v>
      </c>
      <c r="D3" s="1"/>
      <c r="E3" s="2"/>
      <c r="F3" s="3" t="s">
        <v>1</v>
      </c>
      <c r="G3" s="1"/>
      <c r="H3" s="3"/>
      <c r="I3" s="4"/>
      <c r="J3" s="1"/>
      <c r="K3" s="1"/>
      <c r="L3" s="5" t="s">
        <v>0</v>
      </c>
      <c r="M3" s="1"/>
      <c r="N3" s="1"/>
      <c r="O3" s="5"/>
      <c r="P3" s="6"/>
      <c r="Q3" s="6"/>
    </row>
    <row r="4" spans="1:17" x14ac:dyDescent="0.3">
      <c r="A4" s="1"/>
      <c r="B4" s="1"/>
      <c r="C4" s="1"/>
      <c r="D4" s="1"/>
      <c r="E4" s="8"/>
      <c r="F4" s="3" t="s">
        <v>2</v>
      </c>
      <c r="G4" s="1"/>
      <c r="H4" s="3"/>
      <c r="I4" s="4"/>
      <c r="J4" s="1"/>
      <c r="K4" s="1"/>
      <c r="L4" s="5"/>
      <c r="M4" s="1"/>
      <c r="N4" s="1"/>
      <c r="O4" s="5"/>
      <c r="P4" s="6"/>
      <c r="Q4" s="6"/>
    </row>
    <row r="5" spans="1:17" x14ac:dyDescent="0.3">
      <c r="A5" s="1"/>
      <c r="B5" s="1"/>
      <c r="C5" s="1"/>
      <c r="D5" s="1"/>
      <c r="E5" s="2"/>
      <c r="F5" s="3" t="s">
        <v>253</v>
      </c>
      <c r="G5" s="1"/>
      <c r="H5" s="3"/>
      <c r="I5" s="4"/>
      <c r="J5" s="1"/>
      <c r="K5" s="1"/>
      <c r="L5" s="5"/>
      <c r="M5" s="1" t="s">
        <v>0</v>
      </c>
      <c r="N5" s="1"/>
      <c r="O5" s="5"/>
      <c r="P5" s="6"/>
      <c r="Q5" s="6"/>
    </row>
    <row r="6" spans="1:17" ht="21.75" customHeight="1" x14ac:dyDescent="0.3">
      <c r="A6" s="1"/>
      <c r="B6" s="1"/>
      <c r="C6" s="1"/>
      <c r="D6" s="1"/>
      <c r="E6" s="2"/>
      <c r="F6" s="9" t="s">
        <v>4</v>
      </c>
      <c r="G6" s="10"/>
      <c r="H6" s="9"/>
      <c r="I6" s="11"/>
      <c r="J6" s="12"/>
      <c r="K6" s="1"/>
      <c r="L6" s="5"/>
      <c r="M6" s="1"/>
      <c r="N6" s="1"/>
      <c r="O6" s="5"/>
      <c r="P6" s="6"/>
      <c r="Q6" s="6"/>
    </row>
    <row r="7" spans="1:17" ht="24.75" customHeight="1" x14ac:dyDescent="0.3">
      <c r="A7" s="1" t="s">
        <v>5</v>
      </c>
      <c r="B7" s="5" t="s">
        <v>6</v>
      </c>
      <c r="C7" s="5" t="s">
        <v>7</v>
      </c>
      <c r="D7" s="13" t="s">
        <v>8</v>
      </c>
      <c r="E7" s="3" t="s">
        <v>9</v>
      </c>
      <c r="F7" s="14"/>
      <c r="G7" s="15" t="s">
        <v>10</v>
      </c>
      <c r="H7" s="15" t="s">
        <v>10</v>
      </c>
      <c r="I7" s="15" t="s">
        <v>11</v>
      </c>
      <c r="J7" s="15"/>
      <c r="K7" s="15"/>
      <c r="L7" s="3" t="s">
        <v>12</v>
      </c>
      <c r="M7" s="15"/>
      <c r="N7" s="16"/>
      <c r="O7" s="4" t="s">
        <v>13</v>
      </c>
      <c r="P7" s="3"/>
      <c r="Q7" s="3"/>
    </row>
    <row r="8" spans="1:17" x14ac:dyDescent="0.3">
      <c r="A8" s="1"/>
      <c r="B8" s="15" t="s">
        <v>14</v>
      </c>
      <c r="C8" s="15" t="s">
        <v>14</v>
      </c>
      <c r="D8" s="17"/>
      <c r="E8" s="3" t="s">
        <v>15</v>
      </c>
      <c r="F8" s="14"/>
      <c r="G8" s="5" t="s">
        <v>16</v>
      </c>
      <c r="H8" s="5" t="s">
        <v>17</v>
      </c>
      <c r="I8" s="5" t="s">
        <v>16</v>
      </c>
      <c r="J8" s="5" t="s">
        <v>17</v>
      </c>
      <c r="K8" s="15" t="s">
        <v>18</v>
      </c>
      <c r="L8" s="5" t="s">
        <v>16</v>
      </c>
      <c r="M8" s="15" t="s">
        <v>17</v>
      </c>
      <c r="N8" s="15" t="s">
        <v>18</v>
      </c>
      <c r="O8" s="15" t="s">
        <v>16</v>
      </c>
      <c r="P8" s="15" t="s">
        <v>17</v>
      </c>
      <c r="Q8" s="18" t="s">
        <v>18</v>
      </c>
    </row>
    <row r="9" spans="1:17" x14ac:dyDescent="0.3">
      <c r="A9" s="6">
        <v>1</v>
      </c>
      <c r="B9" s="6" t="s">
        <v>728</v>
      </c>
      <c r="C9" s="6" t="s">
        <v>254</v>
      </c>
      <c r="D9" s="6" t="s">
        <v>255</v>
      </c>
      <c r="E9" s="19">
        <v>45477</v>
      </c>
      <c r="F9" s="19">
        <v>45693</v>
      </c>
      <c r="G9" s="20">
        <v>468000000</v>
      </c>
      <c r="H9" s="20">
        <v>188949.53</v>
      </c>
      <c r="I9" s="36">
        <f t="shared" ref="I9:I35" si="0">IF(G9&gt;250000000,250000000,G9)</f>
        <v>250000000</v>
      </c>
      <c r="J9" s="37">
        <f t="shared" ref="J9:J35" si="1">H9/G9*I9</f>
        <v>100934.57799145298</v>
      </c>
      <c r="K9" s="38">
        <f t="shared" ref="K9:K35" si="2">I9/G9*100</f>
        <v>53.418803418803421</v>
      </c>
      <c r="L9" s="36">
        <f t="shared" ref="L9:L35" si="3">IF(G9-I9&gt;5000000000,5000000000,G9-I9)</f>
        <v>218000000</v>
      </c>
      <c r="M9" s="37">
        <f t="shared" ref="M9:M35" si="4">H9/G9*L9</f>
        <v>88014.952008547014</v>
      </c>
      <c r="N9" s="36">
        <f t="shared" ref="N9:N35" si="5">L9/G9*100</f>
        <v>46.581196581196579</v>
      </c>
      <c r="O9" s="39">
        <f t="shared" ref="O9:O35" si="6">G9-I9-L9</f>
        <v>0</v>
      </c>
      <c r="P9" s="39">
        <f t="shared" ref="P9:P35" si="7">H9/G9*O9</f>
        <v>0</v>
      </c>
      <c r="Q9" s="39">
        <f t="shared" ref="Q9:Q35" si="8">O9/G9*100</f>
        <v>0</v>
      </c>
    </row>
    <row r="10" spans="1:17" x14ac:dyDescent="0.3">
      <c r="A10" s="6">
        <v>2</v>
      </c>
      <c r="B10" s="6" t="s">
        <v>729</v>
      </c>
      <c r="C10" s="6" t="s">
        <v>256</v>
      </c>
      <c r="D10" s="6" t="s">
        <v>257</v>
      </c>
      <c r="E10" s="19">
        <v>45537</v>
      </c>
      <c r="F10" s="19">
        <v>45645</v>
      </c>
      <c r="G10" s="20">
        <v>458447193.19</v>
      </c>
      <c r="H10" s="20">
        <v>9222.4699999999993</v>
      </c>
      <c r="I10" s="36">
        <f t="shared" si="0"/>
        <v>250000000</v>
      </c>
      <c r="J10" s="37">
        <f t="shared" si="1"/>
        <v>5029.1888231595176</v>
      </c>
      <c r="K10" s="38">
        <f t="shared" si="2"/>
        <v>54.531907646861598</v>
      </c>
      <c r="L10" s="36">
        <f t="shared" si="3"/>
        <v>208447193.19</v>
      </c>
      <c r="M10" s="37">
        <f t="shared" si="4"/>
        <v>4193.2811768404827</v>
      </c>
      <c r="N10" s="36">
        <f t="shared" si="5"/>
        <v>45.468092353138395</v>
      </c>
      <c r="O10" s="39">
        <f t="shared" si="6"/>
        <v>0</v>
      </c>
      <c r="P10" s="39">
        <f t="shared" si="7"/>
        <v>0</v>
      </c>
      <c r="Q10" s="39">
        <f t="shared" si="8"/>
        <v>0</v>
      </c>
    </row>
    <row r="11" spans="1:17" x14ac:dyDescent="0.3">
      <c r="A11" s="6">
        <v>3</v>
      </c>
      <c r="B11" s="6" t="s">
        <v>730</v>
      </c>
      <c r="C11" s="6" t="s">
        <v>258</v>
      </c>
      <c r="D11" s="6" t="s">
        <v>259</v>
      </c>
      <c r="E11" s="19">
        <v>45484</v>
      </c>
      <c r="F11" s="19">
        <v>45657</v>
      </c>
      <c r="G11" s="20">
        <v>1979672500</v>
      </c>
      <c r="H11" s="20">
        <v>1916254.14</v>
      </c>
      <c r="I11" s="36">
        <f t="shared" si="0"/>
        <v>250000000</v>
      </c>
      <c r="J11" s="37">
        <f t="shared" si="1"/>
        <v>241991.30664289169</v>
      </c>
      <c r="K11" s="38">
        <f t="shared" si="2"/>
        <v>12.628351406608921</v>
      </c>
      <c r="L11" s="36">
        <f t="shared" si="3"/>
        <v>1729672500</v>
      </c>
      <c r="M11" s="37">
        <f t="shared" si="4"/>
        <v>1674262.8333571083</v>
      </c>
      <c r="N11" s="36">
        <f t="shared" si="5"/>
        <v>87.371648593391086</v>
      </c>
      <c r="O11" s="39">
        <f t="shared" si="6"/>
        <v>0</v>
      </c>
      <c r="P11" s="39">
        <f t="shared" si="7"/>
        <v>0</v>
      </c>
      <c r="Q11" s="39">
        <f t="shared" si="8"/>
        <v>0</v>
      </c>
    </row>
    <row r="12" spans="1:17" x14ac:dyDescent="0.3">
      <c r="A12" s="6">
        <v>4</v>
      </c>
      <c r="B12" s="6" t="s">
        <v>731</v>
      </c>
      <c r="C12" s="6" t="s">
        <v>260</v>
      </c>
      <c r="D12" s="6" t="s">
        <v>261</v>
      </c>
      <c r="E12" s="19">
        <v>45299</v>
      </c>
      <c r="F12" s="19">
        <v>45657</v>
      </c>
      <c r="G12" s="20">
        <v>613372500</v>
      </c>
      <c r="H12" s="20">
        <v>2707385.99</v>
      </c>
      <c r="I12" s="36">
        <f t="shared" si="0"/>
        <v>250000000</v>
      </c>
      <c r="J12" s="37">
        <f t="shared" si="1"/>
        <v>1103483.6049871815</v>
      </c>
      <c r="K12" s="38">
        <f t="shared" si="2"/>
        <v>40.758266795462788</v>
      </c>
      <c r="L12" s="36">
        <f t="shared" si="3"/>
        <v>363372500</v>
      </c>
      <c r="M12" s="37">
        <f t="shared" si="4"/>
        <v>1603902.3850128185</v>
      </c>
      <c r="N12" s="36">
        <f t="shared" si="5"/>
        <v>59.241733204537205</v>
      </c>
      <c r="O12" s="39">
        <f t="shared" si="6"/>
        <v>0</v>
      </c>
      <c r="P12" s="39">
        <f t="shared" si="7"/>
        <v>0</v>
      </c>
      <c r="Q12" s="39">
        <f t="shared" si="8"/>
        <v>0</v>
      </c>
    </row>
    <row r="13" spans="1:17" x14ac:dyDescent="0.3">
      <c r="A13" s="6">
        <v>5</v>
      </c>
      <c r="B13" s="6" t="s">
        <v>732</v>
      </c>
      <c r="C13" s="6" t="s">
        <v>262</v>
      </c>
      <c r="D13" s="6" t="s">
        <v>259</v>
      </c>
      <c r="E13" s="19">
        <v>45095</v>
      </c>
      <c r="F13" s="19">
        <v>45646</v>
      </c>
      <c r="G13" s="20">
        <v>550619949.10000002</v>
      </c>
      <c r="H13" s="20">
        <v>398003.20000000001</v>
      </c>
      <c r="I13" s="36">
        <f t="shared" si="0"/>
        <v>250000000</v>
      </c>
      <c r="J13" s="37">
        <f t="shared" si="1"/>
        <v>180706.85626744214</v>
      </c>
      <c r="K13" s="38">
        <f t="shared" si="2"/>
        <v>45.403367678310659</v>
      </c>
      <c r="L13" s="36">
        <f t="shared" si="3"/>
        <v>300619949.10000002</v>
      </c>
      <c r="M13" s="37">
        <f t="shared" si="4"/>
        <v>217296.3437325579</v>
      </c>
      <c r="N13" s="36">
        <f t="shared" si="5"/>
        <v>54.596632321689341</v>
      </c>
      <c r="O13" s="39">
        <f t="shared" si="6"/>
        <v>0</v>
      </c>
      <c r="P13" s="39">
        <f t="shared" si="7"/>
        <v>0</v>
      </c>
      <c r="Q13" s="39">
        <f t="shared" si="8"/>
        <v>0</v>
      </c>
    </row>
    <row r="14" spans="1:17" x14ac:dyDescent="0.3">
      <c r="A14" s="6">
        <v>6</v>
      </c>
      <c r="B14" s="6" t="s">
        <v>733</v>
      </c>
      <c r="C14" s="6" t="s">
        <v>263</v>
      </c>
      <c r="D14" s="6" t="s">
        <v>264</v>
      </c>
      <c r="E14" s="19">
        <v>45519</v>
      </c>
      <c r="F14" s="19">
        <v>45702</v>
      </c>
      <c r="G14" s="20">
        <v>3317629800</v>
      </c>
      <c r="H14" s="20">
        <v>1664479.15</v>
      </c>
      <c r="I14" s="36">
        <f t="shared" si="0"/>
        <v>250000000</v>
      </c>
      <c r="J14" s="37">
        <f t="shared" si="1"/>
        <v>125426.82956971269</v>
      </c>
      <c r="K14" s="38">
        <f t="shared" si="2"/>
        <v>7.5355001935417869</v>
      </c>
      <c r="L14" s="36">
        <f t="shared" si="3"/>
        <v>3067629800</v>
      </c>
      <c r="M14" s="37">
        <f t="shared" si="4"/>
        <v>1539052.3204302874</v>
      </c>
      <c r="N14" s="36">
        <f t="shared" si="5"/>
        <v>92.464499806458207</v>
      </c>
      <c r="O14" s="39">
        <f t="shared" si="6"/>
        <v>0</v>
      </c>
      <c r="P14" s="39">
        <f t="shared" si="7"/>
        <v>0</v>
      </c>
      <c r="Q14" s="39">
        <f t="shared" si="8"/>
        <v>0</v>
      </c>
    </row>
    <row r="15" spans="1:17" x14ac:dyDescent="0.3">
      <c r="A15" s="6">
        <v>7</v>
      </c>
      <c r="B15" s="6" t="s">
        <v>734</v>
      </c>
      <c r="C15" s="6" t="s">
        <v>265</v>
      </c>
      <c r="D15" s="6" t="s">
        <v>266</v>
      </c>
      <c r="E15" s="19">
        <v>45474</v>
      </c>
      <c r="F15" s="19">
        <v>45838</v>
      </c>
      <c r="G15" s="20">
        <v>9126702000</v>
      </c>
      <c r="H15" s="20">
        <v>7005540</v>
      </c>
      <c r="I15" s="36">
        <f t="shared" si="0"/>
        <v>250000000</v>
      </c>
      <c r="J15" s="37">
        <f t="shared" si="1"/>
        <v>191896.81004156813</v>
      </c>
      <c r="K15" s="38">
        <f t="shared" si="2"/>
        <v>2.7392151074944708</v>
      </c>
      <c r="L15" s="36">
        <f t="shared" si="3"/>
        <v>5000000000</v>
      </c>
      <c r="M15" s="37">
        <f t="shared" si="4"/>
        <v>3837936.2008313625</v>
      </c>
      <c r="N15" s="36">
        <f t="shared" si="5"/>
        <v>54.784302149889406</v>
      </c>
      <c r="O15" s="39">
        <f t="shared" si="6"/>
        <v>3876702000</v>
      </c>
      <c r="P15" s="39">
        <f t="shared" si="7"/>
        <v>2975706.9891270692</v>
      </c>
      <c r="Q15" s="39">
        <f t="shared" si="8"/>
        <v>42.47648274261612</v>
      </c>
    </row>
    <row r="16" spans="1:17" x14ac:dyDescent="0.3">
      <c r="A16" s="6">
        <v>8</v>
      </c>
      <c r="B16" s="6" t="s">
        <v>735</v>
      </c>
      <c r="C16" s="6" t="s">
        <v>267</v>
      </c>
      <c r="D16" s="6" t="s">
        <v>268</v>
      </c>
      <c r="E16" s="19">
        <v>45539</v>
      </c>
      <c r="F16" s="19">
        <v>45722</v>
      </c>
      <c r="G16" s="20">
        <v>2129110756.5</v>
      </c>
      <c r="H16" s="20">
        <v>2927527.3</v>
      </c>
      <c r="I16" s="36">
        <f t="shared" si="0"/>
        <v>250000000</v>
      </c>
      <c r="J16" s="37">
        <f t="shared" si="1"/>
        <v>343750.00115218287</v>
      </c>
      <c r="K16" s="38">
        <f t="shared" si="2"/>
        <v>11.741991309600525</v>
      </c>
      <c r="L16" s="36">
        <f t="shared" si="3"/>
        <v>1879110756.5</v>
      </c>
      <c r="M16" s="37">
        <f t="shared" si="4"/>
        <v>2583777.2988478169</v>
      </c>
      <c r="N16" s="36">
        <f t="shared" si="5"/>
        <v>88.258008690399464</v>
      </c>
      <c r="O16" s="39">
        <f t="shared" si="6"/>
        <v>0</v>
      </c>
      <c r="P16" s="39">
        <f t="shared" si="7"/>
        <v>0</v>
      </c>
      <c r="Q16" s="39">
        <f t="shared" si="8"/>
        <v>0</v>
      </c>
    </row>
    <row r="17" spans="1:17" x14ac:dyDescent="0.3">
      <c r="A17" s="6">
        <v>9</v>
      </c>
      <c r="B17" s="6" t="s">
        <v>736</v>
      </c>
      <c r="C17" s="6" t="s">
        <v>269</v>
      </c>
      <c r="D17" s="6" t="s">
        <v>270</v>
      </c>
      <c r="E17" s="19">
        <v>45474</v>
      </c>
      <c r="F17" s="19">
        <v>45565</v>
      </c>
      <c r="G17" s="20">
        <v>3446757346.3600001</v>
      </c>
      <c r="H17" s="20">
        <v>2728950.04</v>
      </c>
      <c r="I17" s="36">
        <f t="shared" si="0"/>
        <v>250000000</v>
      </c>
      <c r="J17" s="37">
        <f t="shared" si="1"/>
        <v>197936.04290725227</v>
      </c>
      <c r="K17" s="38">
        <f t="shared" si="2"/>
        <v>7.2531940858562685</v>
      </c>
      <c r="L17" s="36">
        <f t="shared" si="3"/>
        <v>3196757346.3600001</v>
      </c>
      <c r="M17" s="37">
        <f t="shared" si="4"/>
        <v>2531013.9970927476</v>
      </c>
      <c r="N17" s="36">
        <f t="shared" si="5"/>
        <v>92.746805914143721</v>
      </c>
      <c r="O17" s="39">
        <f t="shared" si="6"/>
        <v>0</v>
      </c>
      <c r="P17" s="39">
        <f t="shared" si="7"/>
        <v>0</v>
      </c>
      <c r="Q17" s="39">
        <f t="shared" si="8"/>
        <v>0</v>
      </c>
    </row>
    <row r="18" spans="1:17" x14ac:dyDescent="0.3">
      <c r="A18" s="6">
        <v>10</v>
      </c>
      <c r="B18" s="6" t="s">
        <v>737</v>
      </c>
      <c r="C18" s="6" t="s">
        <v>271</v>
      </c>
      <c r="D18" s="6" t="s">
        <v>272</v>
      </c>
      <c r="E18" s="19">
        <v>45493</v>
      </c>
      <c r="F18" s="19">
        <v>45857</v>
      </c>
      <c r="G18" s="20">
        <v>17541906510.189999</v>
      </c>
      <c r="H18" s="20">
        <v>532895.92000000004</v>
      </c>
      <c r="I18" s="36">
        <f t="shared" si="0"/>
        <v>250000000</v>
      </c>
      <c r="J18" s="37">
        <f t="shared" si="1"/>
        <v>7594.6123599855537</v>
      </c>
      <c r="K18" s="38">
        <f t="shared" si="2"/>
        <v>1.4251586613734166</v>
      </c>
      <c r="L18" s="36">
        <f t="shared" si="3"/>
        <v>5000000000</v>
      </c>
      <c r="M18" s="37">
        <f t="shared" si="4"/>
        <v>151892.24719971107</v>
      </c>
      <c r="N18" s="36">
        <f t="shared" si="5"/>
        <v>28.503173227468331</v>
      </c>
      <c r="O18" s="39">
        <f t="shared" si="6"/>
        <v>12291906510.189999</v>
      </c>
      <c r="P18" s="39">
        <f t="shared" si="7"/>
        <v>373409.06044030341</v>
      </c>
      <c r="Q18" s="39">
        <f t="shared" si="8"/>
        <v>70.071668111158246</v>
      </c>
    </row>
    <row r="19" spans="1:17" x14ac:dyDescent="0.3">
      <c r="A19" s="6">
        <v>11</v>
      </c>
      <c r="B19" s="6" t="s">
        <v>738</v>
      </c>
      <c r="C19" s="6" t="s">
        <v>273</v>
      </c>
      <c r="D19" s="6" t="s">
        <v>259</v>
      </c>
      <c r="E19" s="19">
        <v>45474</v>
      </c>
      <c r="F19" s="19">
        <v>45565</v>
      </c>
      <c r="G19" s="20">
        <v>3438500000</v>
      </c>
      <c r="H19" s="20">
        <v>1549625</v>
      </c>
      <c r="I19" s="36">
        <f t="shared" si="0"/>
        <v>250000000</v>
      </c>
      <c r="J19" s="37">
        <f t="shared" si="1"/>
        <v>112667.22408026757</v>
      </c>
      <c r="K19" s="38">
        <f t="shared" si="2"/>
        <v>7.2706121855460228</v>
      </c>
      <c r="L19" s="36">
        <f t="shared" si="3"/>
        <v>3188500000</v>
      </c>
      <c r="M19" s="37">
        <f t="shared" si="4"/>
        <v>1436957.7759197324</v>
      </c>
      <c r="N19" s="36">
        <f t="shared" si="5"/>
        <v>92.729387814453972</v>
      </c>
      <c r="O19" s="39">
        <f t="shared" si="6"/>
        <v>0</v>
      </c>
      <c r="P19" s="39">
        <f t="shared" si="7"/>
        <v>0</v>
      </c>
      <c r="Q19" s="39">
        <f t="shared" si="8"/>
        <v>0</v>
      </c>
    </row>
    <row r="20" spans="1:17" x14ac:dyDescent="0.3">
      <c r="A20" s="6">
        <v>12</v>
      </c>
      <c r="B20" s="6" t="s">
        <v>739</v>
      </c>
      <c r="C20" s="6" t="s">
        <v>274</v>
      </c>
      <c r="D20" s="6" t="s">
        <v>275</v>
      </c>
      <c r="E20" s="19">
        <v>45556</v>
      </c>
      <c r="F20" s="19">
        <v>45585</v>
      </c>
      <c r="G20" s="20">
        <v>3734290598.7600002</v>
      </c>
      <c r="H20" s="20">
        <v>1311269.26</v>
      </c>
      <c r="I20" s="36">
        <f t="shared" si="0"/>
        <v>250000000</v>
      </c>
      <c r="J20" s="37">
        <f t="shared" si="1"/>
        <v>87785.700210062452</v>
      </c>
      <c r="K20" s="38">
        <f t="shared" si="2"/>
        <v>6.6947119777720134</v>
      </c>
      <c r="L20" s="36">
        <f t="shared" si="3"/>
        <v>3484290598.7600002</v>
      </c>
      <c r="M20" s="37">
        <f t="shared" si="4"/>
        <v>1223483.5597899377</v>
      </c>
      <c r="N20" s="36">
        <f t="shared" si="5"/>
        <v>93.305288022227984</v>
      </c>
      <c r="O20" s="39">
        <f t="shared" si="6"/>
        <v>0</v>
      </c>
      <c r="P20" s="39">
        <f t="shared" si="7"/>
        <v>0</v>
      </c>
      <c r="Q20" s="39">
        <f t="shared" si="8"/>
        <v>0</v>
      </c>
    </row>
    <row r="21" spans="1:17" x14ac:dyDescent="0.3">
      <c r="A21" s="6">
        <v>13</v>
      </c>
      <c r="B21" s="6" t="s">
        <v>740</v>
      </c>
      <c r="C21" s="6" t="s">
        <v>276</v>
      </c>
      <c r="D21" s="6" t="s">
        <v>277</v>
      </c>
      <c r="E21" s="19">
        <v>45525</v>
      </c>
      <c r="F21" s="19">
        <v>45616</v>
      </c>
      <c r="G21" s="20">
        <v>590027600</v>
      </c>
      <c r="H21" s="20">
        <v>110217.35</v>
      </c>
      <c r="I21" s="36">
        <f t="shared" si="0"/>
        <v>250000000</v>
      </c>
      <c r="J21" s="37">
        <f t="shared" si="1"/>
        <v>46700.082335131447</v>
      </c>
      <c r="K21" s="38">
        <f t="shared" si="2"/>
        <v>42.370899259627855</v>
      </c>
      <c r="L21" s="36">
        <f t="shared" si="3"/>
        <v>340027600</v>
      </c>
      <c r="M21" s="37">
        <f t="shared" si="4"/>
        <v>63517.267664868566</v>
      </c>
      <c r="N21" s="36">
        <f t="shared" si="5"/>
        <v>57.629100740372138</v>
      </c>
      <c r="O21" s="39">
        <f t="shared" si="6"/>
        <v>0</v>
      </c>
      <c r="P21" s="39">
        <f t="shared" si="7"/>
        <v>0</v>
      </c>
      <c r="Q21" s="39">
        <f t="shared" si="8"/>
        <v>0</v>
      </c>
    </row>
    <row r="22" spans="1:17" x14ac:dyDescent="0.3">
      <c r="A22" s="6">
        <v>14</v>
      </c>
      <c r="B22" s="6" t="s">
        <v>741</v>
      </c>
      <c r="C22" s="6" t="s">
        <v>278</v>
      </c>
      <c r="D22" s="6" t="s">
        <v>277</v>
      </c>
      <c r="E22" s="19">
        <v>45525</v>
      </c>
      <c r="F22" s="19">
        <v>45616</v>
      </c>
      <c r="G22" s="20">
        <v>359820275.88</v>
      </c>
      <c r="H22" s="20">
        <v>110217.35</v>
      </c>
      <c r="I22" s="36">
        <f t="shared" si="0"/>
        <v>250000000</v>
      </c>
      <c r="J22" s="37">
        <f t="shared" si="1"/>
        <v>76578.056732937883</v>
      </c>
      <c r="K22" s="38">
        <f t="shared" si="2"/>
        <v>69.479130765653395</v>
      </c>
      <c r="L22" s="36">
        <f t="shared" si="3"/>
        <v>109820275.88</v>
      </c>
      <c r="M22" s="37">
        <f t="shared" si="4"/>
        <v>33639.293267062116</v>
      </c>
      <c r="N22" s="36">
        <f t="shared" si="5"/>
        <v>30.520869234346605</v>
      </c>
      <c r="O22" s="39">
        <f t="shared" si="6"/>
        <v>0</v>
      </c>
      <c r="P22" s="39">
        <f t="shared" si="7"/>
        <v>0</v>
      </c>
      <c r="Q22" s="39">
        <f t="shared" si="8"/>
        <v>0</v>
      </c>
    </row>
    <row r="23" spans="1:17" x14ac:dyDescent="0.3">
      <c r="A23" s="6">
        <v>15</v>
      </c>
      <c r="B23" s="6" t="s">
        <v>742</v>
      </c>
      <c r="C23" s="6" t="s">
        <v>279</v>
      </c>
      <c r="D23" s="6" t="s">
        <v>280</v>
      </c>
      <c r="E23" s="19">
        <v>45477</v>
      </c>
      <c r="F23" s="19">
        <v>45568</v>
      </c>
      <c r="G23" s="20">
        <v>10559269872.799999</v>
      </c>
      <c r="H23" s="20">
        <v>531212.9</v>
      </c>
      <c r="I23" s="36">
        <f t="shared" si="0"/>
        <v>250000000</v>
      </c>
      <c r="J23" s="37">
        <f t="shared" si="1"/>
        <v>12576.932553082348</v>
      </c>
      <c r="K23" s="38">
        <f t="shared" si="2"/>
        <v>2.3675879394273647</v>
      </c>
      <c r="L23" s="36">
        <f t="shared" si="3"/>
        <v>5000000000</v>
      </c>
      <c r="M23" s="37">
        <f t="shared" si="4"/>
        <v>251538.65106164696</v>
      </c>
      <c r="N23" s="36">
        <f t="shared" si="5"/>
        <v>47.351758788547293</v>
      </c>
      <c r="O23" s="39">
        <f t="shared" si="6"/>
        <v>5309269872.7999992</v>
      </c>
      <c r="P23" s="39">
        <f t="shared" si="7"/>
        <v>267097.31638527074</v>
      </c>
      <c r="Q23" s="39">
        <f t="shared" si="8"/>
        <v>50.280653272025347</v>
      </c>
    </row>
    <row r="24" spans="1:17" x14ac:dyDescent="0.3">
      <c r="A24" s="6">
        <v>16</v>
      </c>
      <c r="B24" s="6" t="s">
        <v>743</v>
      </c>
      <c r="C24" s="6" t="s">
        <v>281</v>
      </c>
      <c r="D24" s="6" t="s">
        <v>282</v>
      </c>
      <c r="E24" s="19">
        <v>45533</v>
      </c>
      <c r="F24" s="19">
        <v>45622</v>
      </c>
      <c r="G24" s="20">
        <v>718250000</v>
      </c>
      <c r="H24" s="20">
        <v>119677.25</v>
      </c>
      <c r="I24" s="36">
        <f t="shared" si="0"/>
        <v>250000000</v>
      </c>
      <c r="J24" s="37">
        <f t="shared" si="1"/>
        <v>41655.847546119039</v>
      </c>
      <c r="K24" s="38">
        <f t="shared" si="2"/>
        <v>34.80682213713888</v>
      </c>
      <c r="L24" s="36">
        <f t="shared" si="3"/>
        <v>468250000</v>
      </c>
      <c r="M24" s="37">
        <f t="shared" si="4"/>
        <v>78021.402453880961</v>
      </c>
      <c r="N24" s="36">
        <f t="shared" si="5"/>
        <v>65.19317786286112</v>
      </c>
      <c r="O24" s="39">
        <f t="shared" si="6"/>
        <v>0</v>
      </c>
      <c r="P24" s="39">
        <f t="shared" si="7"/>
        <v>0</v>
      </c>
      <c r="Q24" s="39">
        <f t="shared" si="8"/>
        <v>0</v>
      </c>
    </row>
    <row r="25" spans="1:17" x14ac:dyDescent="0.3">
      <c r="A25" s="6">
        <v>17</v>
      </c>
      <c r="B25" s="6" t="s">
        <v>744</v>
      </c>
      <c r="C25" s="6" t="s">
        <v>256</v>
      </c>
      <c r="D25" s="6" t="s">
        <v>257</v>
      </c>
      <c r="E25" s="19">
        <v>45523</v>
      </c>
      <c r="F25" s="19">
        <v>45645</v>
      </c>
      <c r="G25" s="20">
        <v>3056314621.2800002</v>
      </c>
      <c r="H25" s="20">
        <v>3969738.46</v>
      </c>
      <c r="I25" s="36">
        <f t="shared" si="0"/>
        <v>250000000</v>
      </c>
      <c r="J25" s="37">
        <f t="shared" si="1"/>
        <v>324716.11662295531</v>
      </c>
      <c r="K25" s="38">
        <f t="shared" si="2"/>
        <v>8.1797861469935551</v>
      </c>
      <c r="L25" s="36">
        <f t="shared" si="3"/>
        <v>2806314621.2800002</v>
      </c>
      <c r="M25" s="37">
        <f t="shared" si="4"/>
        <v>3645022.3433770444</v>
      </c>
      <c r="N25" s="36">
        <f t="shared" si="5"/>
        <v>91.82021385300645</v>
      </c>
      <c r="O25" s="39">
        <f t="shared" si="6"/>
        <v>0</v>
      </c>
      <c r="P25" s="39">
        <f t="shared" si="7"/>
        <v>0</v>
      </c>
      <c r="Q25" s="39">
        <f t="shared" si="8"/>
        <v>0</v>
      </c>
    </row>
    <row r="26" spans="1:17" x14ac:dyDescent="0.3">
      <c r="A26" s="6">
        <v>18</v>
      </c>
      <c r="B26" s="6" t="s">
        <v>745</v>
      </c>
      <c r="C26" s="27" t="s">
        <v>283</v>
      </c>
      <c r="D26" s="27" t="s">
        <v>284</v>
      </c>
      <c r="E26" s="28">
        <v>45538</v>
      </c>
      <c r="F26" s="28">
        <v>45629</v>
      </c>
      <c r="G26" s="29">
        <v>1286004750</v>
      </c>
      <c r="H26" s="29">
        <v>589911.17000000004</v>
      </c>
      <c r="I26" s="36">
        <f t="shared" si="0"/>
        <v>250000000</v>
      </c>
      <c r="J26" s="37">
        <f t="shared" si="1"/>
        <v>114679.04181535878</v>
      </c>
      <c r="K26" s="38">
        <f t="shared" si="2"/>
        <v>19.440052612558389</v>
      </c>
      <c r="L26" s="36">
        <f t="shared" si="3"/>
        <v>1036004750</v>
      </c>
      <c r="M26" s="37">
        <f t="shared" si="4"/>
        <v>475232.1281846413</v>
      </c>
      <c r="N26" s="36">
        <f t="shared" si="5"/>
        <v>80.559947387441611</v>
      </c>
      <c r="O26" s="39">
        <f t="shared" si="6"/>
        <v>0</v>
      </c>
      <c r="P26" s="39">
        <f t="shared" si="7"/>
        <v>0</v>
      </c>
      <c r="Q26" s="39">
        <f t="shared" si="8"/>
        <v>0</v>
      </c>
    </row>
    <row r="27" spans="1:17" x14ac:dyDescent="0.3">
      <c r="A27" s="6">
        <v>19</v>
      </c>
      <c r="B27" s="6" t="s">
        <v>746</v>
      </c>
      <c r="C27" s="30" t="s">
        <v>285</v>
      </c>
      <c r="D27" s="30" t="s">
        <v>286</v>
      </c>
      <c r="E27" s="31">
        <v>45505</v>
      </c>
      <c r="F27" s="31">
        <v>45512</v>
      </c>
      <c r="G27" s="32">
        <v>2113503028.3199999</v>
      </c>
      <c r="H27" s="32">
        <v>1186999.1299999999</v>
      </c>
      <c r="I27" s="36">
        <f t="shared" si="0"/>
        <v>250000000</v>
      </c>
      <c r="J27" s="37">
        <f t="shared" si="1"/>
        <v>140406.60388165287</v>
      </c>
      <c r="K27" s="38">
        <f t="shared" si="2"/>
        <v>11.828703183771742</v>
      </c>
      <c r="L27" s="36">
        <f t="shared" si="3"/>
        <v>1863503028.3199999</v>
      </c>
      <c r="M27" s="37">
        <f t="shared" si="4"/>
        <v>1046592.5261183471</v>
      </c>
      <c r="N27" s="36">
        <f t="shared" si="5"/>
        <v>88.171296816228264</v>
      </c>
      <c r="O27" s="39">
        <f t="shared" si="6"/>
        <v>0</v>
      </c>
      <c r="P27" s="39">
        <f t="shared" si="7"/>
        <v>0</v>
      </c>
      <c r="Q27" s="39">
        <f t="shared" si="8"/>
        <v>0</v>
      </c>
    </row>
    <row r="28" spans="1:17" x14ac:dyDescent="0.3">
      <c r="A28" s="6">
        <v>20</v>
      </c>
      <c r="B28" s="6" t="s">
        <v>747</v>
      </c>
      <c r="C28" s="30" t="s">
        <v>287</v>
      </c>
      <c r="D28" s="30" t="s">
        <v>288</v>
      </c>
      <c r="E28" s="31">
        <v>45505</v>
      </c>
      <c r="F28" s="31">
        <v>45512</v>
      </c>
      <c r="G28" s="32">
        <v>2113503028.3199999</v>
      </c>
      <c r="H28" s="32">
        <v>980739.15</v>
      </c>
      <c r="I28" s="36">
        <f t="shared" si="0"/>
        <v>250000000</v>
      </c>
      <c r="J28" s="37">
        <f t="shared" si="1"/>
        <v>116008.72306054592</v>
      </c>
      <c r="K28" s="38">
        <f t="shared" si="2"/>
        <v>11.828703183771742</v>
      </c>
      <c r="L28" s="36">
        <f t="shared" si="3"/>
        <v>1863503028.3199999</v>
      </c>
      <c r="M28" s="37">
        <f t="shared" si="4"/>
        <v>864730.42693945416</v>
      </c>
      <c r="N28" s="36">
        <f t="shared" si="5"/>
        <v>88.171296816228264</v>
      </c>
      <c r="O28" s="39">
        <f t="shared" si="6"/>
        <v>0</v>
      </c>
      <c r="P28" s="39">
        <f t="shared" si="7"/>
        <v>0</v>
      </c>
      <c r="Q28" s="39">
        <f t="shared" si="8"/>
        <v>0</v>
      </c>
    </row>
    <row r="29" spans="1:17" x14ac:dyDescent="0.3">
      <c r="A29" s="6">
        <v>21</v>
      </c>
      <c r="B29" s="6" t="s">
        <v>748</v>
      </c>
      <c r="C29" s="30" t="s">
        <v>285</v>
      </c>
      <c r="D29" s="30" t="s">
        <v>286</v>
      </c>
      <c r="E29" s="31">
        <v>45485</v>
      </c>
      <c r="F29" s="31">
        <v>45516</v>
      </c>
      <c r="G29" s="32">
        <v>44031313090</v>
      </c>
      <c r="H29" s="32">
        <v>310869.06</v>
      </c>
      <c r="I29" s="36">
        <f t="shared" si="0"/>
        <v>250000000</v>
      </c>
      <c r="J29" s="37">
        <f t="shared" si="1"/>
        <v>1765.0453630839015</v>
      </c>
      <c r="K29" s="38">
        <f t="shared" si="2"/>
        <v>0.56777775282104359</v>
      </c>
      <c r="L29" s="36">
        <f t="shared" si="3"/>
        <v>5000000000</v>
      </c>
      <c r="M29" s="37">
        <f t="shared" si="4"/>
        <v>35300.907261678032</v>
      </c>
      <c r="N29" s="36">
        <f t="shared" si="5"/>
        <v>11.35555505642087</v>
      </c>
      <c r="O29" s="39">
        <f t="shared" si="6"/>
        <v>38781313090</v>
      </c>
      <c r="P29" s="39">
        <f t="shared" si="7"/>
        <v>273803.10737523803</v>
      </c>
      <c r="Q29" s="39">
        <f t="shared" si="8"/>
        <v>88.076667190758087</v>
      </c>
    </row>
    <row r="30" spans="1:17" x14ac:dyDescent="0.3">
      <c r="A30" s="6">
        <v>22</v>
      </c>
      <c r="B30" s="6" t="s">
        <v>749</v>
      </c>
      <c r="C30" s="30" t="s">
        <v>287</v>
      </c>
      <c r="D30" s="30" t="s">
        <v>288</v>
      </c>
      <c r="E30" s="31">
        <v>45485</v>
      </c>
      <c r="F30" s="31">
        <v>45516</v>
      </c>
      <c r="G30" s="32">
        <v>44031313090</v>
      </c>
      <c r="H30" s="32">
        <v>249414.51</v>
      </c>
      <c r="I30" s="36">
        <f t="shared" si="0"/>
        <v>250000000</v>
      </c>
      <c r="J30" s="37">
        <f t="shared" si="1"/>
        <v>1416.1201000876169</v>
      </c>
      <c r="K30" s="38">
        <f t="shared" si="2"/>
        <v>0.56777775282104359</v>
      </c>
      <c r="L30" s="36">
        <f t="shared" si="3"/>
        <v>5000000000</v>
      </c>
      <c r="M30" s="37">
        <f t="shared" si="4"/>
        <v>28322.40200175234</v>
      </c>
      <c r="N30" s="36">
        <f t="shared" si="5"/>
        <v>11.35555505642087</v>
      </c>
      <c r="O30" s="39">
        <f t="shared" si="6"/>
        <v>38781313090</v>
      </c>
      <c r="P30" s="39">
        <f t="shared" si="7"/>
        <v>219675.98789816006</v>
      </c>
      <c r="Q30" s="39">
        <f t="shared" si="8"/>
        <v>88.076667190758087</v>
      </c>
    </row>
    <row r="31" spans="1:17" x14ac:dyDescent="0.3">
      <c r="A31" s="6">
        <v>23</v>
      </c>
      <c r="B31" s="6" t="s">
        <v>750</v>
      </c>
      <c r="C31" s="30" t="s">
        <v>285</v>
      </c>
      <c r="D31" s="30" t="s">
        <v>286</v>
      </c>
      <c r="E31" s="31">
        <v>45516</v>
      </c>
      <c r="F31" s="31">
        <v>45789</v>
      </c>
      <c r="G31" s="32">
        <v>44031313090</v>
      </c>
      <c r="H31" s="32">
        <v>1808346.46</v>
      </c>
      <c r="I31" s="36">
        <f t="shared" si="0"/>
        <v>250000000</v>
      </c>
      <c r="J31" s="37">
        <f t="shared" si="1"/>
        <v>10267.38889380689</v>
      </c>
      <c r="K31" s="38">
        <f t="shared" si="2"/>
        <v>0.56777775282104359</v>
      </c>
      <c r="L31" s="36">
        <f t="shared" si="3"/>
        <v>5000000000</v>
      </c>
      <c r="M31" s="37">
        <f t="shared" si="4"/>
        <v>205347.77787613781</v>
      </c>
      <c r="N31" s="36">
        <f t="shared" si="5"/>
        <v>11.35555505642087</v>
      </c>
      <c r="O31" s="39">
        <f t="shared" si="6"/>
        <v>38781313090</v>
      </c>
      <c r="P31" s="39">
        <f t="shared" si="7"/>
        <v>1592731.2932300551</v>
      </c>
      <c r="Q31" s="39">
        <f t="shared" si="8"/>
        <v>88.076667190758087</v>
      </c>
    </row>
    <row r="32" spans="1:17" x14ac:dyDescent="0.3">
      <c r="A32" s="6">
        <v>24</v>
      </c>
      <c r="B32" s="6" t="s">
        <v>751</v>
      </c>
      <c r="C32" s="30" t="s">
        <v>287</v>
      </c>
      <c r="D32" s="30" t="s">
        <v>288</v>
      </c>
      <c r="E32" s="31">
        <v>45516</v>
      </c>
      <c r="F32" s="31">
        <v>45789</v>
      </c>
      <c r="G32" s="32">
        <v>44031313090</v>
      </c>
      <c r="H32" s="32">
        <v>1494667.43</v>
      </c>
      <c r="I32" s="36">
        <f t="shared" si="0"/>
        <v>250000000</v>
      </c>
      <c r="J32" s="37">
        <f t="shared" si="1"/>
        <v>8486.3891462020438</v>
      </c>
      <c r="K32" s="38">
        <f t="shared" si="2"/>
        <v>0.56777775282104359</v>
      </c>
      <c r="L32" s="36">
        <f t="shared" si="3"/>
        <v>5000000000</v>
      </c>
      <c r="M32" s="37">
        <f t="shared" si="4"/>
        <v>169727.78292404089</v>
      </c>
      <c r="N32" s="36">
        <f t="shared" si="5"/>
        <v>11.35555505642087</v>
      </c>
      <c r="O32" s="39">
        <f t="shared" si="6"/>
        <v>38781313090</v>
      </c>
      <c r="P32" s="39">
        <f t="shared" si="7"/>
        <v>1316453.257929757</v>
      </c>
      <c r="Q32" s="39">
        <f t="shared" si="8"/>
        <v>88.076667190758087</v>
      </c>
    </row>
    <row r="33" spans="1:17" x14ac:dyDescent="0.3">
      <c r="A33" s="6">
        <v>25</v>
      </c>
      <c r="B33" s="6" t="s">
        <v>752</v>
      </c>
      <c r="C33" s="30" t="s">
        <v>289</v>
      </c>
      <c r="D33" s="30" t="s">
        <v>290</v>
      </c>
      <c r="E33" s="31">
        <v>45511</v>
      </c>
      <c r="F33" s="31">
        <v>45602</v>
      </c>
      <c r="G33" s="32">
        <v>50301422000</v>
      </c>
      <c r="H33" s="32">
        <v>440137.44</v>
      </c>
      <c r="I33" s="36">
        <f t="shared" si="0"/>
        <v>250000000</v>
      </c>
      <c r="J33" s="37">
        <f t="shared" si="1"/>
        <v>2187.499987574904</v>
      </c>
      <c r="K33" s="38">
        <f t="shared" si="2"/>
        <v>0.49700384215778232</v>
      </c>
      <c r="L33" s="36">
        <f t="shared" si="3"/>
        <v>5000000000</v>
      </c>
      <c r="M33" s="37">
        <f t="shared" si="4"/>
        <v>43749.999751498079</v>
      </c>
      <c r="N33" s="36">
        <f t="shared" si="5"/>
        <v>9.9400768431556479</v>
      </c>
      <c r="O33" s="39">
        <f t="shared" si="6"/>
        <v>45051422000</v>
      </c>
      <c r="P33" s="39">
        <f t="shared" si="7"/>
        <v>394199.94026092702</v>
      </c>
      <c r="Q33" s="39">
        <f t="shared" si="8"/>
        <v>89.562919314686567</v>
      </c>
    </row>
    <row r="34" spans="1:17" x14ac:dyDescent="0.3">
      <c r="A34" s="6">
        <v>26</v>
      </c>
      <c r="B34" s="6" t="s">
        <v>753</v>
      </c>
      <c r="C34" s="30" t="s">
        <v>291</v>
      </c>
      <c r="D34" s="30" t="s">
        <v>292</v>
      </c>
      <c r="E34" s="31">
        <v>45558</v>
      </c>
      <c r="F34" s="31">
        <v>45648</v>
      </c>
      <c r="G34" s="32">
        <v>69345925123.550003</v>
      </c>
      <c r="H34" s="32">
        <v>1408589.11</v>
      </c>
      <c r="I34" s="36">
        <f t="shared" si="0"/>
        <v>250000000</v>
      </c>
      <c r="J34" s="37">
        <f t="shared" si="1"/>
        <v>5078.1250213707253</v>
      </c>
      <c r="K34" s="38">
        <f t="shared" si="2"/>
        <v>0.36051144974212701</v>
      </c>
      <c r="L34" s="36">
        <f t="shared" si="3"/>
        <v>5000000000</v>
      </c>
      <c r="M34" s="37">
        <f t="shared" si="4"/>
        <v>101562.5004274145</v>
      </c>
      <c r="N34" s="36">
        <f t="shared" si="5"/>
        <v>7.2102289948425407</v>
      </c>
      <c r="O34" s="39">
        <f t="shared" si="6"/>
        <v>64095925123.550003</v>
      </c>
      <c r="P34" s="39">
        <f t="shared" si="7"/>
        <v>1301948.4845512151</v>
      </c>
      <c r="Q34" s="39">
        <f t="shared" si="8"/>
        <v>92.429259555415328</v>
      </c>
    </row>
    <row r="35" spans="1:17" x14ac:dyDescent="0.3">
      <c r="A35" s="6">
        <v>27</v>
      </c>
      <c r="B35" s="6" t="s">
        <v>754</v>
      </c>
      <c r="C35" s="30" t="s">
        <v>293</v>
      </c>
      <c r="D35" s="30" t="s">
        <v>252</v>
      </c>
      <c r="E35" s="31">
        <v>45484</v>
      </c>
      <c r="F35" s="31">
        <v>45848</v>
      </c>
      <c r="G35" s="32">
        <v>1463824313.99</v>
      </c>
      <c r="H35" s="32">
        <v>731912.16</v>
      </c>
      <c r="I35" s="36">
        <f t="shared" si="0"/>
        <v>250000000</v>
      </c>
      <c r="J35" s="37">
        <f t="shared" si="1"/>
        <v>125000.00051321049</v>
      </c>
      <c r="K35" s="38">
        <f t="shared" si="2"/>
        <v>17.078552228618594</v>
      </c>
      <c r="L35" s="36">
        <f t="shared" si="3"/>
        <v>1213824313.99</v>
      </c>
      <c r="M35" s="37">
        <f t="shared" si="4"/>
        <v>606912.15948678949</v>
      </c>
      <c r="N35" s="36">
        <f t="shared" si="5"/>
        <v>82.921447771381409</v>
      </c>
      <c r="O35" s="39">
        <f t="shared" si="6"/>
        <v>0</v>
      </c>
      <c r="P35" s="39">
        <f t="shared" si="7"/>
        <v>0</v>
      </c>
      <c r="Q35" s="39">
        <f t="shared" si="8"/>
        <v>0</v>
      </c>
    </row>
    <row r="36" spans="1:17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40">
        <f>SUM(M9:M35)</f>
        <v>24541000.764195722</v>
      </c>
      <c r="N36" s="6"/>
      <c r="O36" s="6"/>
      <c r="P36" s="39"/>
      <c r="Q36" s="6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E8A0-56C8-4B98-B3D4-6180145880A5}">
  <dimension ref="A1:T121"/>
  <sheetViews>
    <sheetView tabSelected="1" workbookViewId="0">
      <selection sqref="A1:XFD1"/>
    </sheetView>
  </sheetViews>
  <sheetFormatPr defaultColWidth="23.7265625" defaultRowHeight="14.5" x14ac:dyDescent="0.35"/>
  <cols>
    <col min="1" max="1" width="8.453125" style="7" customWidth="1"/>
    <col min="2" max="2" width="23.7265625" style="7"/>
    <col min="3" max="3" width="27" style="7" customWidth="1"/>
    <col min="4" max="4" width="33.453125" style="7" customWidth="1"/>
    <col min="5" max="16384" width="23.7265625" style="7"/>
  </cols>
  <sheetData>
    <row r="1" spans="1:20" x14ac:dyDescent="0.3">
      <c r="A1" s="1" t="s">
        <v>5</v>
      </c>
      <c r="B1" s="5" t="s">
        <v>6</v>
      </c>
      <c r="C1" s="5" t="s">
        <v>7</v>
      </c>
      <c r="D1" s="13" t="s">
        <v>8</v>
      </c>
      <c r="E1" s="3" t="s">
        <v>1086</v>
      </c>
      <c r="F1" s="14" t="s">
        <v>1087</v>
      </c>
      <c r="G1" s="15" t="s">
        <v>1088</v>
      </c>
      <c r="H1" s="15" t="s">
        <v>1089</v>
      </c>
      <c r="I1" s="15" t="s">
        <v>1090</v>
      </c>
      <c r="J1" s="15" t="s">
        <v>1091</v>
      </c>
      <c r="K1" s="4" t="s">
        <v>1092</v>
      </c>
      <c r="L1" s="3" t="s">
        <v>1093</v>
      </c>
      <c r="M1" s="15" t="s">
        <v>1094</v>
      </c>
      <c r="N1" s="14" t="s">
        <v>1095</v>
      </c>
      <c r="O1" s="4" t="s">
        <v>1096</v>
      </c>
      <c r="P1" s="3" t="s">
        <v>1097</v>
      </c>
      <c r="Q1" s="3" t="s">
        <v>1098</v>
      </c>
      <c r="R1" s="168"/>
      <c r="S1" s="6"/>
      <c r="T1" s="6"/>
    </row>
    <row r="2" spans="1:20" x14ac:dyDescent="0.3">
      <c r="A2" s="6">
        <v>1</v>
      </c>
      <c r="B2" s="6" t="s">
        <v>621</v>
      </c>
      <c r="C2" s="6" t="s">
        <v>294</v>
      </c>
      <c r="D2" s="6" t="s">
        <v>295</v>
      </c>
      <c r="E2" s="19">
        <v>45448</v>
      </c>
      <c r="F2" s="19">
        <v>45630</v>
      </c>
      <c r="G2" s="20">
        <v>1994824800</v>
      </c>
      <c r="H2" s="20">
        <v>1906721.56</v>
      </c>
      <c r="I2" s="36">
        <f t="shared" ref="I2:I65" si="0">IF(G2&gt;250000000,250000000,G2)</f>
        <v>250000000</v>
      </c>
      <c r="J2" s="37">
        <f t="shared" ref="J2:J65" si="1">H2/G2*I2</f>
        <v>238958.52407690141</v>
      </c>
      <c r="K2" s="38">
        <f t="shared" ref="K2:K65" si="2">I2/G2*100</f>
        <v>12.532428913055421</v>
      </c>
      <c r="L2" s="36">
        <f t="shared" ref="L2:L25" si="3">IF(G2-I2&gt;5000000000,5000000000,G2-I2)</f>
        <v>1744824800</v>
      </c>
      <c r="M2" s="37">
        <f t="shared" ref="M2:M65" si="4">H2/G2*L2</f>
        <v>1667763.0359230987</v>
      </c>
      <c r="N2" s="36">
        <f t="shared" ref="N2:N25" si="5">L2/G2*100</f>
        <v>87.467571086944574</v>
      </c>
      <c r="O2" s="39">
        <f t="shared" ref="O2:O65" si="6">G2-I2-L2</f>
        <v>0</v>
      </c>
      <c r="P2" s="39">
        <f t="shared" ref="P2:P65" si="7">H2/G2*O2</f>
        <v>0</v>
      </c>
      <c r="Q2" s="39">
        <f t="shared" ref="Q2:Q65" si="8">O2/G2*100</f>
        <v>0</v>
      </c>
    </row>
    <row r="3" spans="1:20" x14ac:dyDescent="0.3">
      <c r="A3" s="6">
        <v>2</v>
      </c>
      <c r="B3" s="6" t="s">
        <v>622</v>
      </c>
      <c r="C3" s="6" t="s">
        <v>296</v>
      </c>
      <c r="D3" s="6" t="s">
        <v>297</v>
      </c>
      <c r="E3" s="19">
        <v>45510</v>
      </c>
      <c r="F3" s="19">
        <v>45544</v>
      </c>
      <c r="G3" s="20">
        <v>328500000</v>
      </c>
      <c r="H3" s="20">
        <v>106053.26</v>
      </c>
      <c r="I3" s="36">
        <f t="shared" si="0"/>
        <v>250000000</v>
      </c>
      <c r="J3" s="37">
        <f t="shared" si="1"/>
        <v>80710.243531202432</v>
      </c>
      <c r="K3" s="38">
        <f t="shared" si="2"/>
        <v>76.103500761035008</v>
      </c>
      <c r="L3" s="36">
        <f t="shared" si="3"/>
        <v>78500000</v>
      </c>
      <c r="M3" s="37">
        <f t="shared" si="4"/>
        <v>25343.016468797563</v>
      </c>
      <c r="N3" s="36">
        <f t="shared" si="5"/>
        <v>23.896499238964992</v>
      </c>
      <c r="O3" s="39">
        <f t="shared" si="6"/>
        <v>0</v>
      </c>
      <c r="P3" s="39">
        <f t="shared" si="7"/>
        <v>0</v>
      </c>
      <c r="Q3" s="39">
        <f t="shared" si="8"/>
        <v>0</v>
      </c>
    </row>
    <row r="4" spans="1:20" x14ac:dyDescent="0.3">
      <c r="A4" s="6">
        <v>3</v>
      </c>
      <c r="B4" s="6" t="s">
        <v>623</v>
      </c>
      <c r="C4" s="6" t="s">
        <v>298</v>
      </c>
      <c r="D4" s="6" t="s">
        <v>299</v>
      </c>
      <c r="E4" s="19">
        <v>45539</v>
      </c>
      <c r="F4" s="19">
        <v>45672</v>
      </c>
      <c r="G4" s="20">
        <v>94449060000</v>
      </c>
      <c r="H4" s="20">
        <v>7530.73</v>
      </c>
      <c r="I4" s="36">
        <f t="shared" si="0"/>
        <v>250000000</v>
      </c>
      <c r="J4" s="37">
        <f t="shared" si="1"/>
        <v>19.933311141476683</v>
      </c>
      <c r="K4" s="38">
        <f t="shared" si="2"/>
        <v>0.26469294665293652</v>
      </c>
      <c r="L4" s="36">
        <f t="shared" si="3"/>
        <v>5000000000</v>
      </c>
      <c r="M4" s="37">
        <f t="shared" si="4"/>
        <v>398.66622282953369</v>
      </c>
      <c r="N4" s="36">
        <f t="shared" si="5"/>
        <v>5.29385893305873</v>
      </c>
      <c r="O4" s="39">
        <f t="shared" si="6"/>
        <v>89199060000</v>
      </c>
      <c r="P4" s="39">
        <f t="shared" si="7"/>
        <v>7112.1304660289888</v>
      </c>
      <c r="Q4" s="39">
        <f t="shared" si="8"/>
        <v>94.441448120288328</v>
      </c>
    </row>
    <row r="5" spans="1:20" x14ac:dyDescent="0.3">
      <c r="A5" s="6">
        <v>4</v>
      </c>
      <c r="B5" s="6" t="s">
        <v>624</v>
      </c>
      <c r="C5" s="6" t="s">
        <v>300</v>
      </c>
      <c r="D5" s="6" t="s">
        <v>301</v>
      </c>
      <c r="E5" s="19">
        <v>45474</v>
      </c>
      <c r="F5" s="19">
        <v>45747</v>
      </c>
      <c r="G5" s="20">
        <v>370967850</v>
      </c>
      <c r="H5" s="20">
        <v>1162650.71</v>
      </c>
      <c r="I5" s="36">
        <f t="shared" si="0"/>
        <v>250000000</v>
      </c>
      <c r="J5" s="37">
        <f t="shared" si="1"/>
        <v>783525.25023394881</v>
      </c>
      <c r="K5" s="38">
        <f t="shared" si="2"/>
        <v>67.391284716451835</v>
      </c>
      <c r="L5" s="36">
        <f t="shared" si="3"/>
        <v>120967850</v>
      </c>
      <c r="M5" s="37">
        <f t="shared" si="4"/>
        <v>379125.45976605109</v>
      </c>
      <c r="N5" s="36">
        <f t="shared" si="5"/>
        <v>32.608715283548158</v>
      </c>
      <c r="O5" s="39">
        <f t="shared" si="6"/>
        <v>0</v>
      </c>
      <c r="P5" s="39">
        <f t="shared" si="7"/>
        <v>0</v>
      </c>
      <c r="Q5" s="39">
        <f t="shared" si="8"/>
        <v>0</v>
      </c>
    </row>
    <row r="6" spans="1:20" x14ac:dyDescent="0.3">
      <c r="A6" s="6">
        <v>5</v>
      </c>
      <c r="B6" s="6" t="s">
        <v>625</v>
      </c>
      <c r="C6" s="6" t="s">
        <v>302</v>
      </c>
      <c r="D6" s="6" t="s">
        <v>303</v>
      </c>
      <c r="E6" s="19">
        <v>45559</v>
      </c>
      <c r="F6" s="19">
        <v>45680</v>
      </c>
      <c r="G6" s="20">
        <v>760000000</v>
      </c>
      <c r="H6" s="20">
        <v>461106.14</v>
      </c>
      <c r="I6" s="36">
        <f t="shared" si="0"/>
        <v>250000000</v>
      </c>
      <c r="J6" s="37">
        <f t="shared" si="1"/>
        <v>151679.6513157895</v>
      </c>
      <c r="K6" s="38">
        <f t="shared" si="2"/>
        <v>32.894736842105267</v>
      </c>
      <c r="L6" s="36">
        <f t="shared" si="3"/>
        <v>510000000</v>
      </c>
      <c r="M6" s="37">
        <f t="shared" si="4"/>
        <v>309426.48868421058</v>
      </c>
      <c r="N6" s="36">
        <f t="shared" si="5"/>
        <v>67.10526315789474</v>
      </c>
      <c r="O6" s="39">
        <f t="shared" si="6"/>
        <v>0</v>
      </c>
      <c r="P6" s="39">
        <f t="shared" si="7"/>
        <v>0</v>
      </c>
      <c r="Q6" s="39">
        <f t="shared" si="8"/>
        <v>0</v>
      </c>
    </row>
    <row r="7" spans="1:20" x14ac:dyDescent="0.3">
      <c r="A7" s="6">
        <v>6</v>
      </c>
      <c r="B7" s="6" t="s">
        <v>626</v>
      </c>
      <c r="C7" s="6" t="s">
        <v>304</v>
      </c>
      <c r="D7" s="6" t="s">
        <v>305</v>
      </c>
      <c r="E7" s="19">
        <v>45492</v>
      </c>
      <c r="F7" s="19">
        <v>45857</v>
      </c>
      <c r="G7" s="20">
        <v>1365000000</v>
      </c>
      <c r="H7" s="20">
        <v>1365000</v>
      </c>
      <c r="I7" s="36">
        <f t="shared" si="0"/>
        <v>250000000</v>
      </c>
      <c r="J7" s="37">
        <f t="shared" si="1"/>
        <v>250000</v>
      </c>
      <c r="K7" s="38">
        <f t="shared" si="2"/>
        <v>18.315018315018314</v>
      </c>
      <c r="L7" s="36">
        <v>935025000</v>
      </c>
      <c r="M7" s="37">
        <f t="shared" si="4"/>
        <v>935025</v>
      </c>
      <c r="N7" s="36">
        <v>68.5</v>
      </c>
      <c r="O7" s="39">
        <f t="shared" si="6"/>
        <v>179975000</v>
      </c>
      <c r="P7" s="39">
        <f t="shared" si="7"/>
        <v>179975</v>
      </c>
      <c r="Q7" s="39">
        <f t="shared" si="8"/>
        <v>13.184981684981684</v>
      </c>
    </row>
    <row r="8" spans="1:20" x14ac:dyDescent="0.3">
      <c r="A8" s="6">
        <v>7</v>
      </c>
      <c r="B8" s="6" t="s">
        <v>627</v>
      </c>
      <c r="C8" s="6" t="s">
        <v>306</v>
      </c>
      <c r="D8" s="6" t="s">
        <v>307</v>
      </c>
      <c r="E8" s="19">
        <v>45505</v>
      </c>
      <c r="F8" s="19">
        <v>45870</v>
      </c>
      <c r="G8" s="20">
        <v>729430000</v>
      </c>
      <c r="H8" s="20">
        <v>1827590.19</v>
      </c>
      <c r="I8" s="36">
        <f t="shared" si="0"/>
        <v>250000000</v>
      </c>
      <c r="J8" s="37">
        <f t="shared" si="1"/>
        <v>626376.13958844577</v>
      </c>
      <c r="K8" s="38">
        <f t="shared" si="2"/>
        <v>34.273336714969219</v>
      </c>
      <c r="L8" s="36">
        <f t="shared" si="3"/>
        <v>479430000</v>
      </c>
      <c r="M8" s="37">
        <f t="shared" si="4"/>
        <v>1201214.0504115541</v>
      </c>
      <c r="N8" s="36">
        <f t="shared" si="5"/>
        <v>65.726663285030767</v>
      </c>
      <c r="O8" s="39">
        <f t="shared" si="6"/>
        <v>0</v>
      </c>
      <c r="P8" s="39">
        <f t="shared" si="7"/>
        <v>0</v>
      </c>
      <c r="Q8" s="39">
        <f t="shared" si="8"/>
        <v>0</v>
      </c>
    </row>
    <row r="9" spans="1:20" x14ac:dyDescent="0.3">
      <c r="A9" s="6">
        <v>8</v>
      </c>
      <c r="B9" s="6" t="s">
        <v>628</v>
      </c>
      <c r="C9" s="6" t="s">
        <v>308</v>
      </c>
      <c r="D9" s="6" t="s">
        <v>309</v>
      </c>
      <c r="E9" s="19">
        <v>45527</v>
      </c>
      <c r="F9" s="19">
        <v>45618</v>
      </c>
      <c r="G9" s="20">
        <v>461300000</v>
      </c>
      <c r="H9" s="20">
        <v>79588.78</v>
      </c>
      <c r="I9" s="36">
        <f t="shared" si="0"/>
        <v>250000000</v>
      </c>
      <c r="J9" s="37">
        <f t="shared" si="1"/>
        <v>43132.874485150664</v>
      </c>
      <c r="K9" s="38">
        <f t="shared" si="2"/>
        <v>54.194667244743123</v>
      </c>
      <c r="L9" s="36">
        <f t="shared" si="3"/>
        <v>211300000</v>
      </c>
      <c r="M9" s="37">
        <f t="shared" si="4"/>
        <v>36455.905514849335</v>
      </c>
      <c r="N9" s="36">
        <f t="shared" si="5"/>
        <v>45.805332755256885</v>
      </c>
      <c r="O9" s="39">
        <f t="shared" si="6"/>
        <v>0</v>
      </c>
      <c r="P9" s="39">
        <f t="shared" si="7"/>
        <v>0</v>
      </c>
      <c r="Q9" s="39">
        <f t="shared" si="8"/>
        <v>0</v>
      </c>
    </row>
    <row r="10" spans="1:20" x14ac:dyDescent="0.3">
      <c r="A10" s="6">
        <v>9</v>
      </c>
      <c r="B10" s="6" t="s">
        <v>629</v>
      </c>
      <c r="C10" s="6" t="s">
        <v>310</v>
      </c>
      <c r="D10" s="6" t="s">
        <v>311</v>
      </c>
      <c r="E10" s="19">
        <v>45474</v>
      </c>
      <c r="F10" s="19">
        <v>45565</v>
      </c>
      <c r="G10" s="20">
        <v>714098223.54999995</v>
      </c>
      <c r="H10" s="20">
        <v>368304.63</v>
      </c>
      <c r="I10" s="36">
        <f t="shared" si="0"/>
        <v>250000000</v>
      </c>
      <c r="J10" s="37">
        <f t="shared" si="1"/>
        <v>128940.4656998884</v>
      </c>
      <c r="K10" s="38">
        <f t="shared" si="2"/>
        <v>35.009189458163583</v>
      </c>
      <c r="L10" s="36">
        <f t="shared" si="3"/>
        <v>464098223.54999995</v>
      </c>
      <c r="M10" s="37">
        <f t="shared" si="4"/>
        <v>239364.16430011162</v>
      </c>
      <c r="N10" s="36">
        <f t="shared" si="5"/>
        <v>64.990810541836424</v>
      </c>
      <c r="O10" s="39">
        <f t="shared" si="6"/>
        <v>0</v>
      </c>
      <c r="P10" s="39">
        <f t="shared" si="7"/>
        <v>0</v>
      </c>
      <c r="Q10" s="39">
        <f t="shared" si="8"/>
        <v>0</v>
      </c>
    </row>
    <row r="11" spans="1:20" x14ac:dyDescent="0.3">
      <c r="A11" s="6">
        <v>10</v>
      </c>
      <c r="B11" s="6" t="s">
        <v>630</v>
      </c>
      <c r="C11" s="6" t="s">
        <v>312</v>
      </c>
      <c r="D11" s="6" t="s">
        <v>313</v>
      </c>
      <c r="E11" s="19">
        <v>45474</v>
      </c>
      <c r="F11" s="19">
        <v>45657</v>
      </c>
      <c r="G11" s="20">
        <v>2114000736.9000001</v>
      </c>
      <c r="H11" s="20">
        <v>2206125.1</v>
      </c>
      <c r="I11" s="36">
        <f t="shared" si="0"/>
        <v>250000000</v>
      </c>
      <c r="J11" s="37">
        <f t="shared" si="1"/>
        <v>260894.55191428793</v>
      </c>
      <c r="K11" s="38">
        <f t="shared" si="2"/>
        <v>11.825918299659794</v>
      </c>
      <c r="L11" s="36">
        <v>1448090504.78</v>
      </c>
      <c r="M11" s="37">
        <f t="shared" si="4"/>
        <v>1511195.6935036525</v>
      </c>
      <c r="N11" s="36">
        <v>68.5</v>
      </c>
      <c r="O11" s="39">
        <f t="shared" si="6"/>
        <v>415910232.12000012</v>
      </c>
      <c r="P11" s="39">
        <f t="shared" si="7"/>
        <v>434034.85458205966</v>
      </c>
      <c r="Q11" s="39">
        <f t="shared" si="8"/>
        <v>19.674081700174646</v>
      </c>
    </row>
    <row r="12" spans="1:20" x14ac:dyDescent="0.3">
      <c r="A12" s="6">
        <v>11</v>
      </c>
      <c r="B12" s="6" t="s">
        <v>631</v>
      </c>
      <c r="C12" s="6" t="s">
        <v>314</v>
      </c>
      <c r="D12" s="6" t="s">
        <v>315</v>
      </c>
      <c r="E12" s="19">
        <v>45482</v>
      </c>
      <c r="F12" s="19">
        <v>45847</v>
      </c>
      <c r="G12" s="20">
        <v>360000000</v>
      </c>
      <c r="H12" s="20">
        <v>411255</v>
      </c>
      <c r="I12" s="36">
        <f t="shared" si="0"/>
        <v>250000000</v>
      </c>
      <c r="J12" s="37">
        <f t="shared" si="1"/>
        <v>285593.75</v>
      </c>
      <c r="K12" s="38">
        <f t="shared" si="2"/>
        <v>69.444444444444443</v>
      </c>
      <c r="L12" s="36">
        <f t="shared" si="3"/>
        <v>110000000</v>
      </c>
      <c r="M12" s="37">
        <f t="shared" si="4"/>
        <v>125661.25</v>
      </c>
      <c r="N12" s="36">
        <f t="shared" si="5"/>
        <v>30.555555555555557</v>
      </c>
      <c r="O12" s="39">
        <f t="shared" si="6"/>
        <v>0</v>
      </c>
      <c r="P12" s="39">
        <f t="shared" si="7"/>
        <v>0</v>
      </c>
      <c r="Q12" s="39">
        <f t="shared" si="8"/>
        <v>0</v>
      </c>
    </row>
    <row r="13" spans="1:20" x14ac:dyDescent="0.3">
      <c r="A13" s="6">
        <v>12</v>
      </c>
      <c r="B13" s="6" t="s">
        <v>632</v>
      </c>
      <c r="C13" s="6" t="s">
        <v>316</v>
      </c>
      <c r="D13" s="6" t="s">
        <v>317</v>
      </c>
      <c r="E13" s="19">
        <v>45448</v>
      </c>
      <c r="F13" s="19">
        <v>45812</v>
      </c>
      <c r="G13" s="20">
        <v>589168461.53999996</v>
      </c>
      <c r="H13" s="20">
        <v>550015.06999999995</v>
      </c>
      <c r="I13" s="36">
        <f t="shared" si="0"/>
        <v>250000000</v>
      </c>
      <c r="J13" s="37">
        <f t="shared" si="1"/>
        <v>233386.16452853792</v>
      </c>
      <c r="K13" s="38">
        <f t="shared" si="2"/>
        <v>42.432685440516735</v>
      </c>
      <c r="L13" s="36">
        <f t="shared" si="3"/>
        <v>339168461.53999996</v>
      </c>
      <c r="M13" s="37">
        <f t="shared" si="4"/>
        <v>316628.90547146206</v>
      </c>
      <c r="N13" s="36">
        <f t="shared" si="5"/>
        <v>57.567314559483265</v>
      </c>
      <c r="O13" s="39">
        <f t="shared" si="6"/>
        <v>0</v>
      </c>
      <c r="P13" s="39">
        <f t="shared" si="7"/>
        <v>0</v>
      </c>
      <c r="Q13" s="39">
        <f t="shared" si="8"/>
        <v>0</v>
      </c>
    </row>
    <row r="14" spans="1:20" x14ac:dyDescent="0.3">
      <c r="A14" s="6">
        <v>13</v>
      </c>
      <c r="B14" s="6" t="s">
        <v>633</v>
      </c>
      <c r="C14" s="6" t="s">
        <v>318</v>
      </c>
      <c r="D14" s="6" t="s">
        <v>319</v>
      </c>
      <c r="E14" s="19">
        <v>45555</v>
      </c>
      <c r="F14" s="19">
        <v>45646</v>
      </c>
      <c r="G14" s="20">
        <v>290000000</v>
      </c>
      <c r="H14" s="20">
        <v>225928.13</v>
      </c>
      <c r="I14" s="36">
        <f t="shared" si="0"/>
        <v>250000000</v>
      </c>
      <c r="J14" s="37">
        <f t="shared" si="1"/>
        <v>194765.62931034484</v>
      </c>
      <c r="K14" s="38">
        <f t="shared" si="2"/>
        <v>86.206896551724128</v>
      </c>
      <c r="L14" s="36">
        <f t="shared" si="3"/>
        <v>40000000</v>
      </c>
      <c r="M14" s="37">
        <f t="shared" si="4"/>
        <v>31162.500689655175</v>
      </c>
      <c r="N14" s="36">
        <f t="shared" si="5"/>
        <v>13.793103448275861</v>
      </c>
      <c r="O14" s="39">
        <f t="shared" si="6"/>
        <v>0</v>
      </c>
      <c r="P14" s="39">
        <f t="shared" si="7"/>
        <v>0</v>
      </c>
      <c r="Q14" s="39">
        <f t="shared" si="8"/>
        <v>0</v>
      </c>
    </row>
    <row r="15" spans="1:20" x14ac:dyDescent="0.3">
      <c r="A15" s="6">
        <v>14</v>
      </c>
      <c r="B15" s="6" t="s">
        <v>634</v>
      </c>
      <c r="C15" s="6" t="s">
        <v>320</v>
      </c>
      <c r="D15" s="6" t="s">
        <v>321</v>
      </c>
      <c r="E15" s="19">
        <v>45521</v>
      </c>
      <c r="F15" s="19">
        <v>45886</v>
      </c>
      <c r="G15" s="20">
        <v>2371716914.0999999</v>
      </c>
      <c r="H15" s="20">
        <v>2323363.25</v>
      </c>
      <c r="I15" s="36">
        <f t="shared" si="0"/>
        <v>250000000</v>
      </c>
      <c r="J15" s="37">
        <f t="shared" si="1"/>
        <v>244903.09490431444</v>
      </c>
      <c r="K15" s="38">
        <f t="shared" si="2"/>
        <v>10.540887005263357</v>
      </c>
      <c r="L15" s="36">
        <v>1624626086.1600001</v>
      </c>
      <c r="M15" s="37">
        <f t="shared" si="4"/>
        <v>1591503.8262514696</v>
      </c>
      <c r="N15" s="36">
        <v>68.5</v>
      </c>
      <c r="O15" s="39">
        <f t="shared" si="6"/>
        <v>497090827.93999982</v>
      </c>
      <c r="P15" s="39">
        <f t="shared" si="7"/>
        <v>486956.32884421601</v>
      </c>
      <c r="Q15" s="39">
        <f t="shared" si="8"/>
        <v>20.95911299467339</v>
      </c>
    </row>
    <row r="16" spans="1:20" x14ac:dyDescent="0.3">
      <c r="A16" s="6">
        <v>15</v>
      </c>
      <c r="B16" s="6" t="s">
        <v>635</v>
      </c>
      <c r="C16" s="6" t="s">
        <v>322</v>
      </c>
      <c r="D16" s="6" t="s">
        <v>323</v>
      </c>
      <c r="E16" s="19">
        <v>45466</v>
      </c>
      <c r="F16" s="19">
        <v>45831</v>
      </c>
      <c r="G16" s="20">
        <v>325000000</v>
      </c>
      <c r="H16" s="20">
        <v>687968.5</v>
      </c>
      <c r="I16" s="36">
        <f t="shared" si="0"/>
        <v>250000000</v>
      </c>
      <c r="J16" s="37">
        <f t="shared" si="1"/>
        <v>529206.53846153838</v>
      </c>
      <c r="K16" s="38">
        <f t="shared" si="2"/>
        <v>76.923076923076934</v>
      </c>
      <c r="L16" s="36">
        <f t="shared" si="3"/>
        <v>75000000</v>
      </c>
      <c r="M16" s="37">
        <f t="shared" si="4"/>
        <v>158761.96153846153</v>
      </c>
      <c r="N16" s="36">
        <f t="shared" si="5"/>
        <v>23.076923076923077</v>
      </c>
      <c r="O16" s="39">
        <f t="shared" si="6"/>
        <v>0</v>
      </c>
      <c r="P16" s="39">
        <f t="shared" si="7"/>
        <v>0</v>
      </c>
      <c r="Q16" s="39">
        <f t="shared" si="8"/>
        <v>0</v>
      </c>
    </row>
    <row r="17" spans="1:17" x14ac:dyDescent="0.3">
      <c r="A17" s="6">
        <v>16</v>
      </c>
      <c r="B17" s="6" t="s">
        <v>636</v>
      </c>
      <c r="C17" s="6" t="s">
        <v>324</v>
      </c>
      <c r="D17" s="6" t="s">
        <v>325</v>
      </c>
      <c r="E17" s="19">
        <v>45512</v>
      </c>
      <c r="F17" s="19">
        <v>45877</v>
      </c>
      <c r="G17" s="20">
        <v>350675000</v>
      </c>
      <c r="H17" s="20">
        <v>1092004.72</v>
      </c>
      <c r="I17" s="36">
        <f t="shared" si="0"/>
        <v>250000000</v>
      </c>
      <c r="J17" s="37">
        <f t="shared" si="1"/>
        <v>778501.97476295708</v>
      </c>
      <c r="K17" s="38">
        <f t="shared" si="2"/>
        <v>71.291081485706144</v>
      </c>
      <c r="L17" s="36">
        <f t="shared" si="3"/>
        <v>100675000</v>
      </c>
      <c r="M17" s="37">
        <f t="shared" si="4"/>
        <v>313502.74523704284</v>
      </c>
      <c r="N17" s="36">
        <f t="shared" si="5"/>
        <v>28.708918514293863</v>
      </c>
      <c r="O17" s="39">
        <f t="shared" si="6"/>
        <v>0</v>
      </c>
      <c r="P17" s="39">
        <f t="shared" si="7"/>
        <v>0</v>
      </c>
      <c r="Q17" s="39">
        <f t="shared" si="8"/>
        <v>0</v>
      </c>
    </row>
    <row r="18" spans="1:17" x14ac:dyDescent="0.3">
      <c r="A18" s="6">
        <v>17</v>
      </c>
      <c r="B18" s="6" t="s">
        <v>637</v>
      </c>
      <c r="C18" s="6" t="s">
        <v>326</v>
      </c>
      <c r="D18" s="6" t="s">
        <v>327</v>
      </c>
      <c r="E18" s="19">
        <v>45497</v>
      </c>
      <c r="F18" s="19">
        <v>45589</v>
      </c>
      <c r="G18" s="20">
        <v>1114537450</v>
      </c>
      <c r="H18" s="20">
        <v>511256.35</v>
      </c>
      <c r="I18" s="36">
        <f t="shared" si="0"/>
        <v>250000000</v>
      </c>
      <c r="J18" s="37">
        <f t="shared" si="1"/>
        <v>114679.04241351424</v>
      </c>
      <c r="K18" s="38">
        <f t="shared" si="2"/>
        <v>22.430829937567374</v>
      </c>
      <c r="L18" s="36">
        <f t="shared" si="3"/>
        <v>864537450</v>
      </c>
      <c r="M18" s="37">
        <f t="shared" si="4"/>
        <v>396577.30758648575</v>
      </c>
      <c r="N18" s="36">
        <f t="shared" si="5"/>
        <v>77.569170062432619</v>
      </c>
      <c r="O18" s="39">
        <f t="shared" si="6"/>
        <v>0</v>
      </c>
      <c r="P18" s="39">
        <f t="shared" si="7"/>
        <v>0</v>
      </c>
      <c r="Q18" s="39">
        <f t="shared" si="8"/>
        <v>0</v>
      </c>
    </row>
    <row r="19" spans="1:17" x14ac:dyDescent="0.3">
      <c r="A19" s="6">
        <v>18</v>
      </c>
      <c r="B19" s="6" t="s">
        <v>638</v>
      </c>
      <c r="C19" s="6" t="s">
        <v>328</v>
      </c>
      <c r="D19" s="6" t="s">
        <v>329</v>
      </c>
      <c r="E19" s="19">
        <v>45532</v>
      </c>
      <c r="F19" s="19">
        <v>45897</v>
      </c>
      <c r="G19" s="20">
        <v>365103000</v>
      </c>
      <c r="H19" s="20">
        <v>281418.62</v>
      </c>
      <c r="I19" s="36">
        <f t="shared" si="0"/>
        <v>250000000</v>
      </c>
      <c r="J19" s="37">
        <f t="shared" si="1"/>
        <v>192698.10163159439</v>
      </c>
      <c r="K19" s="38">
        <f t="shared" si="2"/>
        <v>68.473827933487257</v>
      </c>
      <c r="L19" s="36">
        <f t="shared" si="3"/>
        <v>115103000</v>
      </c>
      <c r="M19" s="37">
        <f t="shared" si="4"/>
        <v>88720.518368405625</v>
      </c>
      <c r="N19" s="36">
        <f t="shared" si="5"/>
        <v>31.526172066512736</v>
      </c>
      <c r="O19" s="39">
        <f t="shared" si="6"/>
        <v>0</v>
      </c>
      <c r="P19" s="39">
        <f t="shared" si="7"/>
        <v>0</v>
      </c>
      <c r="Q19" s="39">
        <f t="shared" si="8"/>
        <v>0</v>
      </c>
    </row>
    <row r="20" spans="1:17" x14ac:dyDescent="0.3">
      <c r="A20" s="6">
        <v>19</v>
      </c>
      <c r="B20" s="6" t="s">
        <v>639</v>
      </c>
      <c r="C20" s="6" t="s">
        <v>330</v>
      </c>
      <c r="D20" s="6" t="s">
        <v>331</v>
      </c>
      <c r="E20" s="19">
        <v>45505</v>
      </c>
      <c r="F20" s="19">
        <v>45870</v>
      </c>
      <c r="G20" s="20">
        <v>347784046.07999998</v>
      </c>
      <c r="H20" s="20">
        <v>924141.52</v>
      </c>
      <c r="I20" s="36">
        <f t="shared" si="0"/>
        <v>250000000</v>
      </c>
      <c r="J20" s="37">
        <f t="shared" si="1"/>
        <v>664307.01064089476</v>
      </c>
      <c r="K20" s="38">
        <f t="shared" si="2"/>
        <v>71.88368840314574</v>
      </c>
      <c r="L20" s="36">
        <f t="shared" si="3"/>
        <v>97784046.079999983</v>
      </c>
      <c r="M20" s="37">
        <f t="shared" si="4"/>
        <v>259834.50935910517</v>
      </c>
      <c r="N20" s="36">
        <f t="shared" si="5"/>
        <v>28.116311596854253</v>
      </c>
      <c r="O20" s="39">
        <f t="shared" si="6"/>
        <v>0</v>
      </c>
      <c r="P20" s="39">
        <f t="shared" si="7"/>
        <v>0</v>
      </c>
      <c r="Q20" s="39">
        <f t="shared" si="8"/>
        <v>0</v>
      </c>
    </row>
    <row r="21" spans="1:17" x14ac:dyDescent="0.3">
      <c r="A21" s="6">
        <v>20</v>
      </c>
      <c r="B21" s="6" t="s">
        <v>640</v>
      </c>
      <c r="C21" s="6" t="s">
        <v>332</v>
      </c>
      <c r="D21" s="6" t="s">
        <v>333</v>
      </c>
      <c r="E21" s="19">
        <v>45470</v>
      </c>
      <c r="F21" s="19">
        <v>45835</v>
      </c>
      <c r="G21" s="20">
        <v>350000000</v>
      </c>
      <c r="H21" s="20">
        <v>129500</v>
      </c>
      <c r="I21" s="36">
        <f t="shared" si="0"/>
        <v>250000000</v>
      </c>
      <c r="J21" s="37">
        <f t="shared" si="1"/>
        <v>92500</v>
      </c>
      <c r="K21" s="38">
        <f t="shared" si="2"/>
        <v>71.428571428571431</v>
      </c>
      <c r="L21" s="36">
        <f t="shared" si="3"/>
        <v>100000000</v>
      </c>
      <c r="M21" s="37">
        <f t="shared" si="4"/>
        <v>37000</v>
      </c>
      <c r="N21" s="36">
        <f t="shared" si="5"/>
        <v>28.571428571428569</v>
      </c>
      <c r="O21" s="39">
        <f t="shared" si="6"/>
        <v>0</v>
      </c>
      <c r="P21" s="39">
        <f t="shared" si="7"/>
        <v>0</v>
      </c>
      <c r="Q21" s="39">
        <f t="shared" si="8"/>
        <v>0</v>
      </c>
    </row>
    <row r="22" spans="1:17" x14ac:dyDescent="0.3">
      <c r="A22" s="6">
        <v>21</v>
      </c>
      <c r="B22" s="6" t="s">
        <v>641</v>
      </c>
      <c r="C22" s="6" t="s">
        <v>334</v>
      </c>
      <c r="D22" s="6" t="s">
        <v>335</v>
      </c>
      <c r="E22" s="19">
        <v>45478</v>
      </c>
      <c r="F22" s="19">
        <v>45843</v>
      </c>
      <c r="G22" s="20">
        <v>550875000</v>
      </c>
      <c r="H22" s="20">
        <v>121611.07</v>
      </c>
      <c r="I22" s="36">
        <f t="shared" si="0"/>
        <v>250000000</v>
      </c>
      <c r="J22" s="37">
        <f t="shared" si="1"/>
        <v>55189.956886771048</v>
      </c>
      <c r="K22" s="38">
        <f t="shared" si="2"/>
        <v>45.382346267302019</v>
      </c>
      <c r="L22" s="36">
        <f t="shared" si="3"/>
        <v>300875000</v>
      </c>
      <c r="M22" s="37">
        <f t="shared" si="4"/>
        <v>66421.113113228959</v>
      </c>
      <c r="N22" s="36">
        <f t="shared" si="5"/>
        <v>54.617653732697981</v>
      </c>
      <c r="O22" s="39">
        <f t="shared" si="6"/>
        <v>0</v>
      </c>
      <c r="P22" s="39">
        <f t="shared" si="7"/>
        <v>0</v>
      </c>
      <c r="Q22" s="39">
        <f t="shared" si="8"/>
        <v>0</v>
      </c>
    </row>
    <row r="23" spans="1:17" x14ac:dyDescent="0.3">
      <c r="A23" s="6">
        <v>22</v>
      </c>
      <c r="B23" s="6" t="s">
        <v>642</v>
      </c>
      <c r="C23" s="6" t="s">
        <v>336</v>
      </c>
      <c r="D23" s="6" t="s">
        <v>337</v>
      </c>
      <c r="E23" s="19">
        <v>45474</v>
      </c>
      <c r="F23" s="19">
        <v>45839</v>
      </c>
      <c r="G23" s="20">
        <v>357924382.94999999</v>
      </c>
      <c r="H23" s="20">
        <v>1810383.79</v>
      </c>
      <c r="I23" s="36">
        <f t="shared" si="0"/>
        <v>250000000</v>
      </c>
      <c r="J23" s="37">
        <f t="shared" si="1"/>
        <v>1264501.5792713542</v>
      </c>
      <c r="K23" s="38">
        <f t="shared" si="2"/>
        <v>69.847155407382118</v>
      </c>
      <c r="L23" s="36">
        <f t="shared" si="3"/>
        <v>107924382.94999999</v>
      </c>
      <c r="M23" s="37">
        <f t="shared" si="4"/>
        <v>545882.21072864567</v>
      </c>
      <c r="N23" s="36">
        <f t="shared" si="5"/>
        <v>30.152844592617882</v>
      </c>
      <c r="O23" s="39">
        <f t="shared" si="6"/>
        <v>0</v>
      </c>
      <c r="P23" s="39">
        <f t="shared" si="7"/>
        <v>0</v>
      </c>
      <c r="Q23" s="39">
        <f t="shared" si="8"/>
        <v>0</v>
      </c>
    </row>
    <row r="24" spans="1:17" x14ac:dyDescent="0.3">
      <c r="A24" s="6">
        <v>23</v>
      </c>
      <c r="B24" s="6" t="s">
        <v>643</v>
      </c>
      <c r="C24" s="6" t="s">
        <v>338</v>
      </c>
      <c r="D24" s="6" t="s">
        <v>339</v>
      </c>
      <c r="E24" s="19">
        <v>45559</v>
      </c>
      <c r="F24" s="19">
        <v>45680</v>
      </c>
      <c r="G24" s="20">
        <v>1235000000</v>
      </c>
      <c r="H24" s="20">
        <v>434247.99</v>
      </c>
      <c r="I24" s="36">
        <f t="shared" si="0"/>
        <v>250000000</v>
      </c>
      <c r="J24" s="37">
        <f t="shared" si="1"/>
        <v>87904.451417004035</v>
      </c>
      <c r="K24" s="38">
        <f t="shared" si="2"/>
        <v>20.242914979757085</v>
      </c>
      <c r="L24" s="36">
        <f t="shared" si="3"/>
        <v>985000000</v>
      </c>
      <c r="M24" s="37">
        <f t="shared" si="4"/>
        <v>346343.53858299594</v>
      </c>
      <c r="N24" s="36">
        <f t="shared" si="5"/>
        <v>79.757085020242911</v>
      </c>
      <c r="O24" s="39">
        <f t="shared" si="6"/>
        <v>0</v>
      </c>
      <c r="P24" s="39">
        <f t="shared" si="7"/>
        <v>0</v>
      </c>
      <c r="Q24" s="39">
        <f t="shared" si="8"/>
        <v>0</v>
      </c>
    </row>
    <row r="25" spans="1:17" x14ac:dyDescent="0.3">
      <c r="A25" s="6">
        <v>24</v>
      </c>
      <c r="B25" s="6" t="s">
        <v>644</v>
      </c>
      <c r="C25" s="6" t="s">
        <v>340</v>
      </c>
      <c r="D25" s="6" t="s">
        <v>341</v>
      </c>
      <c r="E25" s="19">
        <v>45533</v>
      </c>
      <c r="F25" s="19">
        <v>45716</v>
      </c>
      <c r="G25" s="20">
        <v>300000000</v>
      </c>
      <c r="H25" s="20">
        <v>543206.25</v>
      </c>
      <c r="I25" s="36">
        <f t="shared" si="0"/>
        <v>250000000</v>
      </c>
      <c r="J25" s="37">
        <f t="shared" si="1"/>
        <v>452671.875</v>
      </c>
      <c r="K25" s="38">
        <f t="shared" si="2"/>
        <v>83.333333333333343</v>
      </c>
      <c r="L25" s="36">
        <f t="shared" si="3"/>
        <v>50000000</v>
      </c>
      <c r="M25" s="37">
        <f t="shared" si="4"/>
        <v>90534.375</v>
      </c>
      <c r="N25" s="36">
        <f t="shared" si="5"/>
        <v>16.666666666666664</v>
      </c>
      <c r="O25" s="39">
        <f t="shared" si="6"/>
        <v>0</v>
      </c>
      <c r="P25" s="39">
        <f t="shared" si="7"/>
        <v>0</v>
      </c>
      <c r="Q25" s="39">
        <f t="shared" si="8"/>
        <v>0</v>
      </c>
    </row>
    <row r="26" spans="1:17" x14ac:dyDescent="0.3">
      <c r="A26" s="6">
        <v>25</v>
      </c>
      <c r="B26" s="6" t="s">
        <v>645</v>
      </c>
      <c r="C26" s="6" t="s">
        <v>342</v>
      </c>
      <c r="D26" s="6" t="s">
        <v>343</v>
      </c>
      <c r="E26" s="19">
        <v>45474</v>
      </c>
      <c r="F26" s="19">
        <v>45565</v>
      </c>
      <c r="G26" s="20">
        <v>2510750000</v>
      </c>
      <c r="H26" s="20">
        <v>358350.58</v>
      </c>
      <c r="I26" s="36">
        <f t="shared" si="0"/>
        <v>250000000</v>
      </c>
      <c r="J26" s="37">
        <f t="shared" si="1"/>
        <v>35681.627003883303</v>
      </c>
      <c r="K26" s="38">
        <f t="shared" si="2"/>
        <v>9.9571841083341628</v>
      </c>
      <c r="L26" s="36">
        <v>1631987500</v>
      </c>
      <c r="M26" s="37">
        <f t="shared" si="4"/>
        <v>232927.87700000001</v>
      </c>
      <c r="N26" s="36">
        <v>65</v>
      </c>
      <c r="O26" s="39">
        <f t="shared" si="6"/>
        <v>628762500</v>
      </c>
      <c r="P26" s="39">
        <f t="shared" si="7"/>
        <v>89741.075996116691</v>
      </c>
      <c r="Q26" s="39">
        <f t="shared" si="8"/>
        <v>25.042815891665839</v>
      </c>
    </row>
    <row r="27" spans="1:17" x14ac:dyDescent="0.3">
      <c r="A27" s="6">
        <v>26</v>
      </c>
      <c r="B27" s="6" t="s">
        <v>646</v>
      </c>
      <c r="C27" s="6" t="s">
        <v>344</v>
      </c>
      <c r="D27" s="6" t="s">
        <v>345</v>
      </c>
      <c r="E27" s="19">
        <v>45474</v>
      </c>
      <c r="F27" s="19">
        <v>45565</v>
      </c>
      <c r="G27" s="20">
        <v>2234505000</v>
      </c>
      <c r="H27" s="20">
        <v>1304338.44</v>
      </c>
      <c r="I27" s="36">
        <f t="shared" si="0"/>
        <v>250000000</v>
      </c>
      <c r="J27" s="37">
        <f t="shared" si="1"/>
        <v>145931.47475615403</v>
      </c>
      <c r="K27" s="38">
        <f t="shared" si="2"/>
        <v>11.188160241306241</v>
      </c>
      <c r="L27" s="36">
        <v>1452428250</v>
      </c>
      <c r="M27" s="37">
        <f t="shared" si="4"/>
        <v>847819.98599999992</v>
      </c>
      <c r="N27" s="36">
        <v>65</v>
      </c>
      <c r="O27" s="39">
        <f t="shared" si="6"/>
        <v>532076750</v>
      </c>
      <c r="P27" s="39">
        <f t="shared" si="7"/>
        <v>310586.97924384591</v>
      </c>
      <c r="Q27" s="39">
        <f t="shared" si="8"/>
        <v>23.811839758693758</v>
      </c>
    </row>
    <row r="28" spans="1:17" x14ac:dyDescent="0.3">
      <c r="A28" s="6">
        <v>27</v>
      </c>
      <c r="B28" s="6" t="s">
        <v>647</v>
      </c>
      <c r="C28" s="6" t="s">
        <v>346</v>
      </c>
      <c r="D28" s="6" t="s">
        <v>347</v>
      </c>
      <c r="E28" s="19">
        <v>45474</v>
      </c>
      <c r="F28" s="19">
        <v>45565</v>
      </c>
      <c r="G28" s="20">
        <v>2223780000</v>
      </c>
      <c r="H28" s="20">
        <v>1304338.44</v>
      </c>
      <c r="I28" s="36">
        <f t="shared" si="0"/>
        <v>250000000</v>
      </c>
      <c r="J28" s="37">
        <f t="shared" si="1"/>
        <v>146635.28316650027</v>
      </c>
      <c r="K28" s="38">
        <f t="shared" si="2"/>
        <v>11.242119274388655</v>
      </c>
      <c r="L28" s="36">
        <v>1445457000</v>
      </c>
      <c r="M28" s="37">
        <f t="shared" si="4"/>
        <v>847819.98600000003</v>
      </c>
      <c r="N28" s="36">
        <v>65</v>
      </c>
      <c r="O28" s="39">
        <f t="shared" si="6"/>
        <v>528323000</v>
      </c>
      <c r="P28" s="39">
        <f t="shared" si="7"/>
        <v>309883.17083349969</v>
      </c>
      <c r="Q28" s="39">
        <f t="shared" si="8"/>
        <v>23.757880725611347</v>
      </c>
    </row>
    <row r="29" spans="1:17" x14ac:dyDescent="0.3">
      <c r="A29" s="6">
        <v>28</v>
      </c>
      <c r="B29" s="6" t="s">
        <v>648</v>
      </c>
      <c r="C29" s="6" t="s">
        <v>348</v>
      </c>
      <c r="D29" s="6" t="s">
        <v>349</v>
      </c>
      <c r="E29" s="19">
        <v>45474</v>
      </c>
      <c r="F29" s="19">
        <v>45658</v>
      </c>
      <c r="G29" s="20">
        <v>3344078734.4899998</v>
      </c>
      <c r="H29" s="20">
        <v>2183181.5699999998</v>
      </c>
      <c r="I29" s="36">
        <f t="shared" si="0"/>
        <v>250000000</v>
      </c>
      <c r="J29" s="37">
        <f t="shared" si="1"/>
        <v>163212.48266998064</v>
      </c>
      <c r="K29" s="38">
        <f t="shared" si="2"/>
        <v>7.4759005349234728</v>
      </c>
      <c r="L29" s="36">
        <v>2173651177.4200001</v>
      </c>
      <c r="M29" s="37">
        <f t="shared" si="4"/>
        <v>1419068.0205009792</v>
      </c>
      <c r="N29" s="36">
        <v>65</v>
      </c>
      <c r="O29" s="39">
        <f t="shared" si="6"/>
        <v>920427557.06999969</v>
      </c>
      <c r="P29" s="39">
        <f t="shared" si="7"/>
        <v>600901.06682903983</v>
      </c>
      <c r="Q29" s="39">
        <f t="shared" si="8"/>
        <v>27.524099465031664</v>
      </c>
    </row>
    <row r="30" spans="1:17" x14ac:dyDescent="0.3">
      <c r="A30" s="6">
        <v>29</v>
      </c>
      <c r="B30" s="6" t="s">
        <v>649</v>
      </c>
      <c r="C30" s="6" t="s">
        <v>350</v>
      </c>
      <c r="D30" s="6" t="s">
        <v>351</v>
      </c>
      <c r="E30" s="19">
        <v>45487</v>
      </c>
      <c r="F30" s="19">
        <v>45852</v>
      </c>
      <c r="G30" s="20">
        <v>300000000</v>
      </c>
      <c r="H30" s="20">
        <v>365375</v>
      </c>
      <c r="I30" s="36">
        <f t="shared" si="0"/>
        <v>250000000</v>
      </c>
      <c r="J30" s="37">
        <f t="shared" si="1"/>
        <v>304479.16666666663</v>
      </c>
      <c r="K30" s="38">
        <f t="shared" si="2"/>
        <v>83.333333333333343</v>
      </c>
      <c r="L30" s="36">
        <f t="shared" ref="L30:L93" si="9">IF(G30-I30&gt;5000000000,5000000000,G30-I30)</f>
        <v>50000000</v>
      </c>
      <c r="M30" s="37">
        <f t="shared" si="4"/>
        <v>60895.833333333328</v>
      </c>
      <c r="N30" s="36">
        <f t="shared" ref="N30:N93" si="10">L30/G30*100</f>
        <v>16.666666666666664</v>
      </c>
      <c r="O30" s="39">
        <f t="shared" si="6"/>
        <v>0</v>
      </c>
      <c r="P30" s="39">
        <f t="shared" si="7"/>
        <v>0</v>
      </c>
      <c r="Q30" s="39">
        <f t="shared" si="8"/>
        <v>0</v>
      </c>
    </row>
    <row r="31" spans="1:17" x14ac:dyDescent="0.3">
      <c r="A31" s="6">
        <v>30</v>
      </c>
      <c r="B31" s="6" t="s">
        <v>650</v>
      </c>
      <c r="C31" s="6" t="s">
        <v>352</v>
      </c>
      <c r="D31" s="6" t="s">
        <v>353</v>
      </c>
      <c r="E31" s="19">
        <v>45474</v>
      </c>
      <c r="F31" s="19">
        <v>45565</v>
      </c>
      <c r="G31" s="20">
        <v>677400000</v>
      </c>
      <c r="H31" s="20">
        <v>302121.78000000003</v>
      </c>
      <c r="I31" s="36">
        <f t="shared" si="0"/>
        <v>250000000</v>
      </c>
      <c r="J31" s="37">
        <f t="shared" si="1"/>
        <v>111500.50930026574</v>
      </c>
      <c r="K31" s="38">
        <f t="shared" si="2"/>
        <v>36.905816356657809</v>
      </c>
      <c r="L31" s="36">
        <f t="shared" si="9"/>
        <v>427400000</v>
      </c>
      <c r="M31" s="37">
        <f t="shared" si="4"/>
        <v>190621.2706997343</v>
      </c>
      <c r="N31" s="36">
        <f t="shared" si="10"/>
        <v>63.094183643342191</v>
      </c>
      <c r="O31" s="39">
        <f t="shared" si="6"/>
        <v>0</v>
      </c>
      <c r="P31" s="39">
        <f t="shared" si="7"/>
        <v>0</v>
      </c>
      <c r="Q31" s="39">
        <f t="shared" si="8"/>
        <v>0</v>
      </c>
    </row>
    <row r="32" spans="1:17" x14ac:dyDescent="0.3">
      <c r="A32" s="6">
        <v>31</v>
      </c>
      <c r="B32" s="6" t="s">
        <v>651</v>
      </c>
      <c r="C32" s="6" t="s">
        <v>354</v>
      </c>
      <c r="D32" s="6" t="s">
        <v>355</v>
      </c>
      <c r="E32" s="19">
        <v>45474</v>
      </c>
      <c r="F32" s="19">
        <v>45657</v>
      </c>
      <c r="G32" s="20">
        <v>275535487.5</v>
      </c>
      <c r="H32" s="20">
        <v>388343.77</v>
      </c>
      <c r="I32" s="36">
        <f t="shared" si="0"/>
        <v>250000000</v>
      </c>
      <c r="J32" s="37">
        <f t="shared" si="1"/>
        <v>352353.67821722059</v>
      </c>
      <c r="K32" s="38">
        <f t="shared" si="2"/>
        <v>90.732414277489397</v>
      </c>
      <c r="L32" s="36">
        <f t="shared" si="9"/>
        <v>25535487.5</v>
      </c>
      <c r="M32" s="37">
        <f t="shared" si="4"/>
        <v>35990.091782779433</v>
      </c>
      <c r="N32" s="36">
        <f t="shared" si="10"/>
        <v>9.2675857225106064</v>
      </c>
      <c r="O32" s="39">
        <f t="shared" si="6"/>
        <v>0</v>
      </c>
      <c r="P32" s="39">
        <f t="shared" si="7"/>
        <v>0</v>
      </c>
      <c r="Q32" s="39">
        <f t="shared" si="8"/>
        <v>0</v>
      </c>
    </row>
    <row r="33" spans="1:17" x14ac:dyDescent="0.3">
      <c r="A33" s="6">
        <v>32</v>
      </c>
      <c r="B33" s="6" t="s">
        <v>652</v>
      </c>
      <c r="C33" s="6" t="s">
        <v>356</v>
      </c>
      <c r="D33" s="6" t="s">
        <v>357</v>
      </c>
      <c r="E33" s="19">
        <v>45493</v>
      </c>
      <c r="F33" s="19">
        <v>45676</v>
      </c>
      <c r="G33" s="20">
        <v>564206037.20000005</v>
      </c>
      <c r="H33" s="20">
        <v>788043.71</v>
      </c>
      <c r="I33" s="36">
        <f t="shared" si="0"/>
        <v>250000000</v>
      </c>
      <c r="J33" s="37">
        <f t="shared" si="1"/>
        <v>349182.59378738882</v>
      </c>
      <c r="K33" s="38">
        <f t="shared" si="2"/>
        <v>44.310054043498276</v>
      </c>
      <c r="L33" s="36">
        <f t="shared" si="9"/>
        <v>314206037.20000005</v>
      </c>
      <c r="M33" s="37">
        <f t="shared" si="4"/>
        <v>438861.11621261114</v>
      </c>
      <c r="N33" s="36">
        <f t="shared" si="10"/>
        <v>55.689945956501731</v>
      </c>
      <c r="O33" s="39">
        <f t="shared" si="6"/>
        <v>0</v>
      </c>
      <c r="P33" s="39">
        <f t="shared" si="7"/>
        <v>0</v>
      </c>
      <c r="Q33" s="39">
        <f t="shared" si="8"/>
        <v>0</v>
      </c>
    </row>
    <row r="34" spans="1:17" x14ac:dyDescent="0.3">
      <c r="A34" s="6">
        <v>33</v>
      </c>
      <c r="B34" s="6" t="s">
        <v>653</v>
      </c>
      <c r="C34" s="6" t="s">
        <v>358</v>
      </c>
      <c r="D34" s="6" t="s">
        <v>359</v>
      </c>
      <c r="E34" s="19">
        <v>45474</v>
      </c>
      <c r="F34" s="19">
        <v>45565</v>
      </c>
      <c r="G34" s="20">
        <v>864738854.47000003</v>
      </c>
      <c r="H34" s="20">
        <v>855414.11</v>
      </c>
      <c r="I34" s="36">
        <f t="shared" si="0"/>
        <v>250000000</v>
      </c>
      <c r="J34" s="37">
        <f t="shared" si="1"/>
        <v>247304.17327098275</v>
      </c>
      <c r="K34" s="38">
        <f t="shared" si="2"/>
        <v>28.910462240444307</v>
      </c>
      <c r="L34" s="36">
        <f t="shared" si="9"/>
        <v>614738854.47000003</v>
      </c>
      <c r="M34" s="37">
        <f t="shared" si="4"/>
        <v>608109.9367290173</v>
      </c>
      <c r="N34" s="36">
        <f t="shared" si="10"/>
        <v>71.089537759555697</v>
      </c>
      <c r="O34" s="39">
        <f t="shared" si="6"/>
        <v>0</v>
      </c>
      <c r="P34" s="39">
        <f t="shared" si="7"/>
        <v>0</v>
      </c>
      <c r="Q34" s="39">
        <f t="shared" si="8"/>
        <v>0</v>
      </c>
    </row>
    <row r="35" spans="1:17" x14ac:dyDescent="0.3">
      <c r="A35" s="6">
        <v>34</v>
      </c>
      <c r="B35" s="6" t="s">
        <v>654</v>
      </c>
      <c r="C35" s="6" t="s">
        <v>360</v>
      </c>
      <c r="D35" s="6" t="s">
        <v>295</v>
      </c>
      <c r="E35" s="19">
        <v>45474</v>
      </c>
      <c r="F35" s="19">
        <v>45504</v>
      </c>
      <c r="G35" s="20">
        <v>23612265000</v>
      </c>
      <c r="H35" s="20">
        <v>838844.49</v>
      </c>
      <c r="I35" s="36">
        <f t="shared" si="0"/>
        <v>250000000</v>
      </c>
      <c r="J35" s="37">
        <f t="shared" si="1"/>
        <v>8881.4487936671885</v>
      </c>
      <c r="K35" s="38">
        <f t="shared" si="2"/>
        <v>1.0587717866117461</v>
      </c>
      <c r="L35" s="36">
        <f t="shared" si="9"/>
        <v>5000000000</v>
      </c>
      <c r="M35" s="37">
        <f t="shared" si="4"/>
        <v>177628.97587334376</v>
      </c>
      <c r="N35" s="36">
        <f t="shared" si="10"/>
        <v>21.17543573223492</v>
      </c>
      <c r="O35" s="39">
        <f t="shared" si="6"/>
        <v>18362265000</v>
      </c>
      <c r="P35" s="39">
        <f t="shared" si="7"/>
        <v>652334.06533298898</v>
      </c>
      <c r="Q35" s="39">
        <f t="shared" si="8"/>
        <v>77.765792481153326</v>
      </c>
    </row>
    <row r="36" spans="1:17" x14ac:dyDescent="0.3">
      <c r="A36" s="6">
        <v>35</v>
      </c>
      <c r="B36" s="6" t="s">
        <v>655</v>
      </c>
      <c r="C36" s="6" t="s">
        <v>361</v>
      </c>
      <c r="D36" s="6" t="s">
        <v>362</v>
      </c>
      <c r="E36" s="19">
        <v>45486</v>
      </c>
      <c r="F36" s="19">
        <v>45576</v>
      </c>
      <c r="G36" s="20">
        <v>8242344400</v>
      </c>
      <c r="H36" s="20">
        <v>1709760.69</v>
      </c>
      <c r="I36" s="36">
        <f t="shared" si="0"/>
        <v>250000000</v>
      </c>
      <c r="J36" s="37">
        <f t="shared" si="1"/>
        <v>51859.052686514769</v>
      </c>
      <c r="K36" s="38">
        <f t="shared" si="2"/>
        <v>3.0331176163907929</v>
      </c>
      <c r="L36" s="36">
        <f t="shared" si="9"/>
        <v>5000000000</v>
      </c>
      <c r="M36" s="37">
        <f t="shared" si="4"/>
        <v>1037181.0537302954</v>
      </c>
      <c r="N36" s="36">
        <f t="shared" si="10"/>
        <v>60.66235232781586</v>
      </c>
      <c r="O36" s="39">
        <f t="shared" si="6"/>
        <v>2992344400</v>
      </c>
      <c r="P36" s="39">
        <f t="shared" si="7"/>
        <v>620720.58358318976</v>
      </c>
      <c r="Q36" s="39">
        <f t="shared" si="8"/>
        <v>36.30453005579335</v>
      </c>
    </row>
    <row r="37" spans="1:17" x14ac:dyDescent="0.3">
      <c r="A37" s="6">
        <v>36</v>
      </c>
      <c r="B37" s="6" t="s">
        <v>656</v>
      </c>
      <c r="C37" s="6" t="s">
        <v>363</v>
      </c>
      <c r="D37" s="6" t="s">
        <v>259</v>
      </c>
      <c r="E37" s="19">
        <v>45474</v>
      </c>
      <c r="F37" s="19">
        <v>45657</v>
      </c>
      <c r="G37" s="20">
        <v>2937765806.7199998</v>
      </c>
      <c r="H37" s="20">
        <v>3842346.04</v>
      </c>
      <c r="I37" s="36">
        <f t="shared" si="0"/>
        <v>250000000</v>
      </c>
      <c r="J37" s="37">
        <f t="shared" si="1"/>
        <v>326978.58617685043</v>
      </c>
      <c r="K37" s="38">
        <f t="shared" si="2"/>
        <v>8.5098682620696611</v>
      </c>
      <c r="L37" s="36">
        <v>2012369577.5999999</v>
      </c>
      <c r="M37" s="37">
        <f t="shared" si="4"/>
        <v>2632007.0373958149</v>
      </c>
      <c r="N37" s="36">
        <v>68.5</v>
      </c>
      <c r="O37" s="39">
        <f t="shared" si="6"/>
        <v>675396229.11999989</v>
      </c>
      <c r="P37" s="39">
        <f t="shared" si="7"/>
        <v>883360.41642733489</v>
      </c>
      <c r="Q37" s="39">
        <f t="shared" si="8"/>
        <v>22.990131738039263</v>
      </c>
    </row>
    <row r="38" spans="1:17" x14ac:dyDescent="0.3">
      <c r="A38" s="6">
        <v>37</v>
      </c>
      <c r="B38" s="6" t="s">
        <v>657</v>
      </c>
      <c r="C38" s="6" t="s">
        <v>364</v>
      </c>
      <c r="D38" s="6" t="s">
        <v>259</v>
      </c>
      <c r="E38" s="19">
        <v>45474</v>
      </c>
      <c r="F38" s="19">
        <v>45657</v>
      </c>
      <c r="G38" s="20">
        <v>380679267.67000002</v>
      </c>
      <c r="H38" s="20">
        <v>572697.81000000006</v>
      </c>
      <c r="I38" s="36">
        <f t="shared" si="0"/>
        <v>250000000</v>
      </c>
      <c r="J38" s="37">
        <f t="shared" si="1"/>
        <v>376102.57415991952</v>
      </c>
      <c r="K38" s="38">
        <f t="shared" si="2"/>
        <v>65.672081784269338</v>
      </c>
      <c r="L38" s="36">
        <f t="shared" si="9"/>
        <v>130679267.67000002</v>
      </c>
      <c r="M38" s="37">
        <f t="shared" si="4"/>
        <v>196595.2358400806</v>
      </c>
      <c r="N38" s="36">
        <f t="shared" si="10"/>
        <v>34.327918215730662</v>
      </c>
      <c r="O38" s="39">
        <f t="shared" si="6"/>
        <v>0</v>
      </c>
      <c r="P38" s="39">
        <f t="shared" si="7"/>
        <v>0</v>
      </c>
      <c r="Q38" s="39">
        <f t="shared" si="8"/>
        <v>0</v>
      </c>
    </row>
    <row r="39" spans="1:17" x14ac:dyDescent="0.3">
      <c r="A39" s="6">
        <v>38</v>
      </c>
      <c r="B39" s="6" t="s">
        <v>658</v>
      </c>
      <c r="C39" s="6" t="s">
        <v>365</v>
      </c>
      <c r="D39" s="6" t="s">
        <v>366</v>
      </c>
      <c r="E39" s="19">
        <v>45481</v>
      </c>
      <c r="F39" s="19">
        <v>45487</v>
      </c>
      <c r="G39" s="20">
        <v>2118556000</v>
      </c>
      <c r="H39" s="20">
        <v>15565.19</v>
      </c>
      <c r="I39" s="36">
        <f t="shared" si="0"/>
        <v>250000000</v>
      </c>
      <c r="J39" s="37">
        <f t="shared" si="1"/>
        <v>1836.7687708042649</v>
      </c>
      <c r="K39" s="38">
        <f t="shared" si="2"/>
        <v>11.800490522790051</v>
      </c>
      <c r="L39" s="36">
        <f t="shared" si="9"/>
        <v>1868556000</v>
      </c>
      <c r="M39" s="37">
        <f t="shared" si="4"/>
        <v>13728.421229195736</v>
      </c>
      <c r="N39" s="36">
        <f t="shared" si="10"/>
        <v>88.199509477209943</v>
      </c>
      <c r="O39" s="39">
        <f t="shared" si="6"/>
        <v>0</v>
      </c>
      <c r="P39" s="39">
        <f t="shared" si="7"/>
        <v>0</v>
      </c>
      <c r="Q39" s="39">
        <f t="shared" si="8"/>
        <v>0</v>
      </c>
    </row>
    <row r="40" spans="1:17" x14ac:dyDescent="0.3">
      <c r="A40" s="6">
        <v>39</v>
      </c>
      <c r="B40" s="6" t="s">
        <v>659</v>
      </c>
      <c r="C40" s="6" t="s">
        <v>367</v>
      </c>
      <c r="D40" s="6" t="s">
        <v>368</v>
      </c>
      <c r="E40" s="19">
        <v>45497</v>
      </c>
      <c r="F40" s="19">
        <v>45562</v>
      </c>
      <c r="G40" s="20">
        <v>1852873529.3</v>
      </c>
      <c r="H40" s="20">
        <v>585864.74</v>
      </c>
      <c r="I40" s="36">
        <f t="shared" si="0"/>
        <v>250000000</v>
      </c>
      <c r="J40" s="37">
        <f t="shared" si="1"/>
        <v>79048.128587240208</v>
      </c>
      <c r="K40" s="38">
        <f t="shared" si="2"/>
        <v>13.492556078257964</v>
      </c>
      <c r="L40" s="36">
        <f t="shared" si="9"/>
        <v>1602873529.3</v>
      </c>
      <c r="M40" s="37">
        <f t="shared" si="4"/>
        <v>506816.61141275975</v>
      </c>
      <c r="N40" s="36">
        <f t="shared" si="10"/>
        <v>86.507443921742038</v>
      </c>
      <c r="O40" s="39">
        <f t="shared" si="6"/>
        <v>0</v>
      </c>
      <c r="P40" s="39">
        <f t="shared" si="7"/>
        <v>0</v>
      </c>
      <c r="Q40" s="39">
        <f t="shared" si="8"/>
        <v>0</v>
      </c>
    </row>
    <row r="41" spans="1:17" x14ac:dyDescent="0.3">
      <c r="A41" s="6">
        <v>40</v>
      </c>
      <c r="B41" s="6" t="s">
        <v>660</v>
      </c>
      <c r="C41" s="6" t="s">
        <v>369</v>
      </c>
      <c r="D41" s="6" t="s">
        <v>370</v>
      </c>
      <c r="E41" s="19">
        <v>45485</v>
      </c>
      <c r="F41" s="19">
        <v>45668</v>
      </c>
      <c r="G41" s="20">
        <v>465180000</v>
      </c>
      <c r="H41" s="20">
        <v>568056</v>
      </c>
      <c r="I41" s="36">
        <f t="shared" si="0"/>
        <v>250000000</v>
      </c>
      <c r="J41" s="37">
        <f t="shared" si="1"/>
        <v>305288.27550625562</v>
      </c>
      <c r="K41" s="38">
        <f t="shared" si="2"/>
        <v>53.742637258695559</v>
      </c>
      <c r="L41" s="36">
        <f t="shared" si="9"/>
        <v>215180000</v>
      </c>
      <c r="M41" s="37">
        <f t="shared" si="4"/>
        <v>262767.72449374438</v>
      </c>
      <c r="N41" s="36">
        <f t="shared" si="10"/>
        <v>46.257362741304441</v>
      </c>
      <c r="O41" s="39">
        <f t="shared" si="6"/>
        <v>0</v>
      </c>
      <c r="P41" s="39">
        <f t="shared" si="7"/>
        <v>0</v>
      </c>
      <c r="Q41" s="39">
        <f t="shared" si="8"/>
        <v>0</v>
      </c>
    </row>
    <row r="42" spans="1:17" x14ac:dyDescent="0.3">
      <c r="A42" s="6">
        <v>41</v>
      </c>
      <c r="B42" s="6" t="s">
        <v>661</v>
      </c>
      <c r="C42" s="6" t="s">
        <v>371</v>
      </c>
      <c r="D42" s="6" t="s">
        <v>372</v>
      </c>
      <c r="E42" s="19">
        <v>45474</v>
      </c>
      <c r="F42" s="19">
        <v>45566</v>
      </c>
      <c r="G42" s="20">
        <v>2482924407.5999999</v>
      </c>
      <c r="H42" s="20">
        <v>1956863.94</v>
      </c>
      <c r="I42" s="36">
        <f t="shared" si="0"/>
        <v>250000000</v>
      </c>
      <c r="J42" s="37">
        <f t="shared" si="1"/>
        <v>197032.1704126616</v>
      </c>
      <c r="K42" s="38">
        <f t="shared" si="2"/>
        <v>10.068772099334693</v>
      </c>
      <c r="L42" s="36">
        <v>1613900864.9400001</v>
      </c>
      <c r="M42" s="37">
        <f t="shared" si="4"/>
        <v>1271961.561</v>
      </c>
      <c r="N42" s="36">
        <v>65</v>
      </c>
      <c r="O42" s="39">
        <f t="shared" si="6"/>
        <v>619023542.65999985</v>
      </c>
      <c r="P42" s="39">
        <f t="shared" si="7"/>
        <v>487870.20858733833</v>
      </c>
      <c r="Q42" s="39">
        <f t="shared" si="8"/>
        <v>24.931227900665302</v>
      </c>
    </row>
    <row r="43" spans="1:17" x14ac:dyDescent="0.3">
      <c r="A43" s="6">
        <v>42</v>
      </c>
      <c r="B43" s="6" t="s">
        <v>662</v>
      </c>
      <c r="C43" s="6" t="s">
        <v>373</v>
      </c>
      <c r="D43" s="6" t="s">
        <v>374</v>
      </c>
      <c r="E43" s="19">
        <v>45481</v>
      </c>
      <c r="F43" s="19">
        <v>45845</v>
      </c>
      <c r="G43" s="20">
        <v>5559768805.5</v>
      </c>
      <c r="H43" s="20">
        <v>10585447.960000001</v>
      </c>
      <c r="I43" s="36">
        <f t="shared" si="0"/>
        <v>250000000</v>
      </c>
      <c r="J43" s="37">
        <f t="shared" si="1"/>
        <v>475984.17894321203</v>
      </c>
      <c r="K43" s="38">
        <f t="shared" si="2"/>
        <v>4.4965898537487305</v>
      </c>
      <c r="L43" s="36">
        <v>3808441631.77</v>
      </c>
      <c r="M43" s="37">
        <f t="shared" si="4"/>
        <v>7251031.8526047599</v>
      </c>
      <c r="N43" s="36">
        <v>68.5</v>
      </c>
      <c r="O43" s="39">
        <f t="shared" si="6"/>
        <v>1501327173.73</v>
      </c>
      <c r="P43" s="39">
        <f t="shared" si="7"/>
        <v>2858431.9284520284</v>
      </c>
      <c r="Q43" s="39">
        <f t="shared" si="8"/>
        <v>27.003410146206303</v>
      </c>
    </row>
    <row r="44" spans="1:17" x14ac:dyDescent="0.3">
      <c r="A44" s="6">
        <v>43</v>
      </c>
      <c r="B44" s="6" t="s">
        <v>663</v>
      </c>
      <c r="C44" s="6" t="s">
        <v>360</v>
      </c>
      <c r="D44" s="6" t="s">
        <v>295</v>
      </c>
      <c r="E44" s="19">
        <v>45505</v>
      </c>
      <c r="F44" s="19">
        <v>45535</v>
      </c>
      <c r="G44" s="20">
        <v>300466275</v>
      </c>
      <c r="H44" s="20">
        <v>838844.49</v>
      </c>
      <c r="I44" s="36">
        <f t="shared" si="0"/>
        <v>250000000</v>
      </c>
      <c r="J44" s="37">
        <f t="shared" si="1"/>
        <v>697952.2826646684</v>
      </c>
      <c r="K44" s="38">
        <f t="shared" si="2"/>
        <v>83.204013495358168</v>
      </c>
      <c r="L44" s="36">
        <f t="shared" si="9"/>
        <v>50466275</v>
      </c>
      <c r="M44" s="37">
        <f t="shared" si="4"/>
        <v>140892.20733533156</v>
      </c>
      <c r="N44" s="36">
        <f t="shared" si="10"/>
        <v>16.795986504641828</v>
      </c>
      <c r="O44" s="39">
        <f t="shared" si="6"/>
        <v>0</v>
      </c>
      <c r="P44" s="39">
        <f t="shared" si="7"/>
        <v>0</v>
      </c>
      <c r="Q44" s="39">
        <f t="shared" si="8"/>
        <v>0</v>
      </c>
    </row>
    <row r="45" spans="1:17" x14ac:dyDescent="0.3">
      <c r="A45" s="6">
        <v>44</v>
      </c>
      <c r="B45" s="6" t="s">
        <v>664</v>
      </c>
      <c r="C45" s="6" t="s">
        <v>375</v>
      </c>
      <c r="D45" s="6" t="s">
        <v>376</v>
      </c>
      <c r="E45" s="19">
        <v>45514</v>
      </c>
      <c r="F45" s="19">
        <v>45540</v>
      </c>
      <c r="G45" s="20">
        <v>1252178960.5799999</v>
      </c>
      <c r="H45" s="20">
        <v>247856</v>
      </c>
      <c r="I45" s="36">
        <f t="shared" si="0"/>
        <v>250000000</v>
      </c>
      <c r="J45" s="37">
        <f t="shared" si="1"/>
        <v>49484.939414170272</v>
      </c>
      <c r="K45" s="38">
        <f t="shared" si="2"/>
        <v>19.965197297693123</v>
      </c>
      <c r="L45" s="36">
        <f t="shared" si="9"/>
        <v>1002178960.5799999</v>
      </c>
      <c r="M45" s="37">
        <f t="shared" si="4"/>
        <v>198371.06058582972</v>
      </c>
      <c r="N45" s="36">
        <f t="shared" si="10"/>
        <v>80.034802702306877</v>
      </c>
      <c r="O45" s="39">
        <f t="shared" si="6"/>
        <v>0</v>
      </c>
      <c r="P45" s="39">
        <f t="shared" si="7"/>
        <v>0</v>
      </c>
      <c r="Q45" s="39">
        <f t="shared" si="8"/>
        <v>0</v>
      </c>
    </row>
    <row r="46" spans="1:17" x14ac:dyDescent="0.3">
      <c r="A46" s="6">
        <v>45</v>
      </c>
      <c r="B46" s="6" t="s">
        <v>665</v>
      </c>
      <c r="C46" s="6" t="s">
        <v>377</v>
      </c>
      <c r="D46" s="6" t="s">
        <v>378</v>
      </c>
      <c r="E46" s="19">
        <v>45505</v>
      </c>
      <c r="F46" s="19">
        <v>45870</v>
      </c>
      <c r="G46" s="20">
        <v>487353750</v>
      </c>
      <c r="H46" s="20">
        <v>1595542.55</v>
      </c>
      <c r="I46" s="36">
        <f t="shared" si="0"/>
        <v>250000000</v>
      </c>
      <c r="J46" s="37">
        <f t="shared" si="1"/>
        <v>818472.49046508828</v>
      </c>
      <c r="K46" s="38">
        <f t="shared" si="2"/>
        <v>51.29744051420554</v>
      </c>
      <c r="L46" s="36">
        <f t="shared" si="9"/>
        <v>237353750</v>
      </c>
      <c r="M46" s="37">
        <f t="shared" si="4"/>
        <v>777070.05953491176</v>
      </c>
      <c r="N46" s="36">
        <f t="shared" si="10"/>
        <v>48.702559485794453</v>
      </c>
      <c r="O46" s="39">
        <f t="shared" si="6"/>
        <v>0</v>
      </c>
      <c r="P46" s="39">
        <f t="shared" si="7"/>
        <v>0</v>
      </c>
      <c r="Q46" s="39">
        <f t="shared" si="8"/>
        <v>0</v>
      </c>
    </row>
    <row r="47" spans="1:17" x14ac:dyDescent="0.3">
      <c r="A47" s="6">
        <v>46</v>
      </c>
      <c r="B47" s="6" t="s">
        <v>666</v>
      </c>
      <c r="C47" s="6" t="s">
        <v>379</v>
      </c>
      <c r="D47" s="6" t="s">
        <v>380</v>
      </c>
      <c r="E47" s="19">
        <v>45521</v>
      </c>
      <c r="F47" s="19">
        <v>45703</v>
      </c>
      <c r="G47" s="20">
        <v>911300000</v>
      </c>
      <c r="H47" s="20">
        <v>1421081.85</v>
      </c>
      <c r="I47" s="36">
        <f t="shared" si="0"/>
        <v>250000000</v>
      </c>
      <c r="J47" s="37">
        <f t="shared" si="1"/>
        <v>389850.1728300231</v>
      </c>
      <c r="K47" s="38">
        <f t="shared" si="2"/>
        <v>27.433336991111602</v>
      </c>
      <c r="L47" s="36">
        <v>592345000</v>
      </c>
      <c r="M47" s="37">
        <f t="shared" si="4"/>
        <v>923703.20250000013</v>
      </c>
      <c r="N47" s="36">
        <v>65</v>
      </c>
      <c r="O47" s="39">
        <f t="shared" si="6"/>
        <v>68955000</v>
      </c>
      <c r="P47" s="39">
        <f t="shared" si="7"/>
        <v>107528.47466997697</v>
      </c>
      <c r="Q47" s="39">
        <f t="shared" si="8"/>
        <v>7.5666630088884013</v>
      </c>
    </row>
    <row r="48" spans="1:17" x14ac:dyDescent="0.3">
      <c r="A48" s="6">
        <v>47</v>
      </c>
      <c r="B48" s="6" t="s">
        <v>667</v>
      </c>
      <c r="C48" s="6" t="s">
        <v>365</v>
      </c>
      <c r="D48" s="6" t="s">
        <v>366</v>
      </c>
      <c r="E48" s="19">
        <v>45535</v>
      </c>
      <c r="F48" s="19">
        <v>45580</v>
      </c>
      <c r="G48" s="20">
        <v>538530250</v>
      </c>
      <c r="H48" s="20">
        <v>102285.5</v>
      </c>
      <c r="I48" s="36">
        <f t="shared" si="0"/>
        <v>250000000</v>
      </c>
      <c r="J48" s="37">
        <f t="shared" si="1"/>
        <v>47483.63717729877</v>
      </c>
      <c r="K48" s="38">
        <f t="shared" si="2"/>
        <v>46.422647567151522</v>
      </c>
      <c r="L48" s="36">
        <f t="shared" si="9"/>
        <v>288530250</v>
      </c>
      <c r="M48" s="37">
        <f t="shared" si="4"/>
        <v>54801.86282270123</v>
      </c>
      <c r="N48" s="36">
        <f t="shared" si="10"/>
        <v>53.577352432848478</v>
      </c>
      <c r="O48" s="39">
        <f t="shared" si="6"/>
        <v>0</v>
      </c>
      <c r="P48" s="39">
        <f t="shared" si="7"/>
        <v>0</v>
      </c>
      <c r="Q48" s="39">
        <f t="shared" si="8"/>
        <v>0</v>
      </c>
    </row>
    <row r="49" spans="1:17" x14ac:dyDescent="0.3">
      <c r="A49" s="6">
        <v>48</v>
      </c>
      <c r="B49" s="6" t="s">
        <v>668</v>
      </c>
      <c r="C49" s="6" t="s">
        <v>381</v>
      </c>
      <c r="D49" s="6" t="s">
        <v>382</v>
      </c>
      <c r="E49" s="19">
        <v>45535</v>
      </c>
      <c r="F49" s="19">
        <v>45747</v>
      </c>
      <c r="G49" s="20">
        <v>2191703624.5</v>
      </c>
      <c r="H49" s="20">
        <v>1754261.12</v>
      </c>
      <c r="I49" s="36">
        <f t="shared" si="0"/>
        <v>250000000</v>
      </c>
      <c r="J49" s="37">
        <f t="shared" si="1"/>
        <v>200102.45687304149</v>
      </c>
      <c r="K49" s="38">
        <f t="shared" si="2"/>
        <v>11.406651757353062</v>
      </c>
      <c r="L49" s="36">
        <v>1424607355.9300001</v>
      </c>
      <c r="M49" s="37">
        <f t="shared" si="4"/>
        <v>1140269.728004002</v>
      </c>
      <c r="N49" s="36">
        <v>65</v>
      </c>
      <c r="O49" s="39">
        <f t="shared" si="6"/>
        <v>517096268.56999993</v>
      </c>
      <c r="P49" s="39">
        <f t="shared" si="7"/>
        <v>413888.93512295641</v>
      </c>
      <c r="Q49" s="39">
        <f t="shared" si="8"/>
        <v>23.593348242418802</v>
      </c>
    </row>
    <row r="50" spans="1:17" x14ac:dyDescent="0.3">
      <c r="A50" s="6">
        <v>49</v>
      </c>
      <c r="B50" s="6" t="s">
        <v>669</v>
      </c>
      <c r="C50" s="6" t="s">
        <v>360</v>
      </c>
      <c r="D50" s="6" t="s">
        <v>295</v>
      </c>
      <c r="E50" s="19">
        <v>45536</v>
      </c>
      <c r="F50" s="19">
        <v>45565</v>
      </c>
      <c r="G50" s="20">
        <v>3788403937.5</v>
      </c>
      <c r="H50" s="20">
        <v>581615.61</v>
      </c>
      <c r="I50" s="36">
        <f t="shared" si="0"/>
        <v>250000000</v>
      </c>
      <c r="J50" s="37">
        <f t="shared" si="1"/>
        <v>38381.309094497788</v>
      </c>
      <c r="K50" s="38">
        <f t="shared" si="2"/>
        <v>6.5990851061404276</v>
      </c>
      <c r="L50" s="36">
        <f t="shared" si="9"/>
        <v>3538403937.5</v>
      </c>
      <c r="M50" s="37">
        <f t="shared" si="4"/>
        <v>543234.30090550217</v>
      </c>
      <c r="N50" s="36">
        <f t="shared" si="10"/>
        <v>93.400914893859579</v>
      </c>
      <c r="O50" s="39">
        <f t="shared" si="6"/>
        <v>0</v>
      </c>
      <c r="P50" s="39">
        <f t="shared" si="7"/>
        <v>0</v>
      </c>
      <c r="Q50" s="39">
        <f t="shared" si="8"/>
        <v>0</v>
      </c>
    </row>
    <row r="51" spans="1:17" x14ac:dyDescent="0.3">
      <c r="A51" s="6">
        <v>50</v>
      </c>
      <c r="B51" s="6" t="s">
        <v>670</v>
      </c>
      <c r="C51" s="6" t="s">
        <v>383</v>
      </c>
      <c r="D51" s="6" t="s">
        <v>384</v>
      </c>
      <c r="E51" s="19">
        <v>45536</v>
      </c>
      <c r="F51" s="19">
        <v>45658</v>
      </c>
      <c r="G51" s="20">
        <v>1129336000</v>
      </c>
      <c r="H51" s="20">
        <v>1985634.53</v>
      </c>
      <c r="I51" s="36">
        <f t="shared" si="0"/>
        <v>250000000</v>
      </c>
      <c r="J51" s="37">
        <f t="shared" si="1"/>
        <v>439557.963706107</v>
      </c>
      <c r="K51" s="38">
        <f t="shared" si="2"/>
        <v>22.136901683821289</v>
      </c>
      <c r="L51" s="36">
        <v>734068400</v>
      </c>
      <c r="M51" s="37">
        <f t="shared" si="4"/>
        <v>1290662.4445</v>
      </c>
      <c r="N51" s="36">
        <v>65</v>
      </c>
      <c r="O51" s="39">
        <f t="shared" si="6"/>
        <v>145267600</v>
      </c>
      <c r="P51" s="39">
        <f t="shared" si="7"/>
        <v>255414.12179389305</v>
      </c>
      <c r="Q51" s="39">
        <f t="shared" si="8"/>
        <v>12.863098316178711</v>
      </c>
    </row>
    <row r="52" spans="1:17" x14ac:dyDescent="0.3">
      <c r="A52" s="6">
        <v>51</v>
      </c>
      <c r="B52" s="6" t="s">
        <v>671</v>
      </c>
      <c r="C52" s="6" t="s">
        <v>385</v>
      </c>
      <c r="D52" s="6" t="s">
        <v>386</v>
      </c>
      <c r="E52" s="19">
        <v>45542</v>
      </c>
      <c r="F52" s="19">
        <v>45678</v>
      </c>
      <c r="G52" s="20">
        <v>504050116.54000002</v>
      </c>
      <c r="H52" s="20">
        <v>1861309.35</v>
      </c>
      <c r="I52" s="36">
        <f t="shared" si="0"/>
        <v>250000000</v>
      </c>
      <c r="J52" s="37">
        <f t="shared" si="1"/>
        <v>923176.72832652333</v>
      </c>
      <c r="K52" s="38">
        <f t="shared" si="2"/>
        <v>49.598242673982341</v>
      </c>
      <c r="L52" s="36">
        <f t="shared" si="9"/>
        <v>254050116.54000002</v>
      </c>
      <c r="M52" s="37">
        <f t="shared" si="4"/>
        <v>938132.62167347677</v>
      </c>
      <c r="N52" s="36">
        <f t="shared" si="10"/>
        <v>50.401757326017659</v>
      </c>
      <c r="O52" s="39">
        <f t="shared" si="6"/>
        <v>0</v>
      </c>
      <c r="P52" s="39">
        <f t="shared" si="7"/>
        <v>0</v>
      </c>
      <c r="Q52" s="39">
        <f t="shared" si="8"/>
        <v>0</v>
      </c>
    </row>
    <row r="53" spans="1:17" x14ac:dyDescent="0.3">
      <c r="A53" s="6">
        <v>52</v>
      </c>
      <c r="B53" s="6" t="s">
        <v>672</v>
      </c>
      <c r="C53" s="6" t="s">
        <v>387</v>
      </c>
      <c r="D53" s="6" t="s">
        <v>388</v>
      </c>
      <c r="E53" s="19">
        <v>45533</v>
      </c>
      <c r="F53" s="19">
        <v>45624</v>
      </c>
      <c r="G53" s="20">
        <v>755168596.95000005</v>
      </c>
      <c r="H53" s="20">
        <v>354365.05</v>
      </c>
      <c r="I53" s="36">
        <f t="shared" si="0"/>
        <v>250000000</v>
      </c>
      <c r="J53" s="37">
        <f t="shared" si="1"/>
        <v>117313.22364013192</v>
      </c>
      <c r="K53" s="38">
        <f t="shared" si="2"/>
        <v>33.105190153524426</v>
      </c>
      <c r="L53" s="36">
        <f t="shared" si="9"/>
        <v>505168596.95000005</v>
      </c>
      <c r="M53" s="37">
        <f t="shared" si="4"/>
        <v>237051.82635986808</v>
      </c>
      <c r="N53" s="36">
        <f t="shared" si="10"/>
        <v>66.894809846475567</v>
      </c>
      <c r="O53" s="39">
        <f t="shared" si="6"/>
        <v>0</v>
      </c>
      <c r="P53" s="39">
        <f t="shared" si="7"/>
        <v>0</v>
      </c>
      <c r="Q53" s="39">
        <f t="shared" si="8"/>
        <v>0</v>
      </c>
    </row>
    <row r="54" spans="1:17" x14ac:dyDescent="0.3">
      <c r="A54" s="6">
        <v>53</v>
      </c>
      <c r="B54" s="6" t="s">
        <v>673</v>
      </c>
      <c r="C54" s="6" t="s">
        <v>296</v>
      </c>
      <c r="D54" s="6" t="s">
        <v>297</v>
      </c>
      <c r="E54" s="19">
        <v>45545</v>
      </c>
      <c r="F54" s="19">
        <v>45590</v>
      </c>
      <c r="G54" s="20">
        <v>328500000</v>
      </c>
      <c r="H54" s="20">
        <v>118133.38</v>
      </c>
      <c r="I54" s="36">
        <f t="shared" si="0"/>
        <v>250000000</v>
      </c>
      <c r="J54" s="37">
        <f t="shared" si="1"/>
        <v>89903.637747336383</v>
      </c>
      <c r="K54" s="38">
        <f t="shared" si="2"/>
        <v>76.103500761035008</v>
      </c>
      <c r="L54" s="36">
        <f t="shared" si="9"/>
        <v>78500000</v>
      </c>
      <c r="M54" s="37">
        <f t="shared" si="4"/>
        <v>28229.742252663626</v>
      </c>
      <c r="N54" s="36">
        <f t="shared" si="10"/>
        <v>23.896499238964992</v>
      </c>
      <c r="O54" s="39">
        <f t="shared" si="6"/>
        <v>0</v>
      </c>
      <c r="P54" s="39">
        <f t="shared" si="7"/>
        <v>0</v>
      </c>
      <c r="Q54" s="39">
        <f t="shared" si="8"/>
        <v>0</v>
      </c>
    </row>
    <row r="55" spans="1:17" x14ac:dyDescent="0.3">
      <c r="A55" s="6">
        <v>54</v>
      </c>
      <c r="B55" s="6" t="s">
        <v>674</v>
      </c>
      <c r="C55" s="6" t="s">
        <v>389</v>
      </c>
      <c r="D55" s="6" t="s">
        <v>390</v>
      </c>
      <c r="E55" s="19">
        <v>45540</v>
      </c>
      <c r="F55" s="19">
        <v>45904</v>
      </c>
      <c r="G55" s="20">
        <v>301500000</v>
      </c>
      <c r="H55" s="20">
        <v>2126173.13</v>
      </c>
      <c r="I55" s="36">
        <f t="shared" si="0"/>
        <v>250000000</v>
      </c>
      <c r="J55" s="37">
        <f t="shared" si="1"/>
        <v>1762995.9618573796</v>
      </c>
      <c r="K55" s="38">
        <f t="shared" si="2"/>
        <v>82.91873963515755</v>
      </c>
      <c r="L55" s="36">
        <f t="shared" si="9"/>
        <v>51500000</v>
      </c>
      <c r="M55" s="37">
        <f t="shared" si="4"/>
        <v>363177.16814262018</v>
      </c>
      <c r="N55" s="36">
        <f t="shared" si="10"/>
        <v>17.081260364842453</v>
      </c>
      <c r="O55" s="39">
        <f t="shared" si="6"/>
        <v>0</v>
      </c>
      <c r="P55" s="39">
        <f t="shared" si="7"/>
        <v>0</v>
      </c>
      <c r="Q55" s="39">
        <f t="shared" si="8"/>
        <v>0</v>
      </c>
    </row>
    <row r="56" spans="1:17" x14ac:dyDescent="0.3">
      <c r="A56" s="6">
        <v>55</v>
      </c>
      <c r="B56" s="6" t="s">
        <v>675</v>
      </c>
      <c r="C56" s="6" t="s">
        <v>391</v>
      </c>
      <c r="D56" s="6" t="s">
        <v>392</v>
      </c>
      <c r="E56" s="19">
        <v>45542</v>
      </c>
      <c r="F56" s="19">
        <v>45631</v>
      </c>
      <c r="G56" s="20">
        <v>257360000</v>
      </c>
      <c r="H56" s="20">
        <v>188226.97</v>
      </c>
      <c r="I56" s="36">
        <f t="shared" si="0"/>
        <v>250000000</v>
      </c>
      <c r="J56" s="37">
        <f t="shared" si="1"/>
        <v>182844.0414205782</v>
      </c>
      <c r="K56" s="38">
        <f t="shared" si="2"/>
        <v>97.140192726142374</v>
      </c>
      <c r="L56" s="36">
        <f t="shared" si="9"/>
        <v>7360000</v>
      </c>
      <c r="M56" s="37">
        <f t="shared" si="4"/>
        <v>5382.9285794218222</v>
      </c>
      <c r="N56" s="36">
        <f t="shared" si="10"/>
        <v>2.8598072738576312</v>
      </c>
      <c r="O56" s="39">
        <f t="shared" si="6"/>
        <v>0</v>
      </c>
      <c r="P56" s="39">
        <f t="shared" si="7"/>
        <v>0</v>
      </c>
      <c r="Q56" s="39">
        <f t="shared" si="8"/>
        <v>0</v>
      </c>
    </row>
    <row r="57" spans="1:17" x14ac:dyDescent="0.3">
      <c r="A57" s="6">
        <v>56</v>
      </c>
      <c r="B57" s="6" t="s">
        <v>676</v>
      </c>
      <c r="C57" s="6" t="s">
        <v>393</v>
      </c>
      <c r="D57" s="6" t="s">
        <v>394</v>
      </c>
      <c r="E57" s="19">
        <v>45564</v>
      </c>
      <c r="F57" s="19">
        <v>45658</v>
      </c>
      <c r="G57" s="20">
        <v>1464378494.28</v>
      </c>
      <c r="H57" s="20">
        <v>825091.87</v>
      </c>
      <c r="I57" s="36">
        <f t="shared" si="0"/>
        <v>250000000</v>
      </c>
      <c r="J57" s="37">
        <f t="shared" si="1"/>
        <v>140860.41846812255</v>
      </c>
      <c r="K57" s="38">
        <f t="shared" si="2"/>
        <v>17.072089010902815</v>
      </c>
      <c r="L57" s="36">
        <f t="shared" si="9"/>
        <v>1214378494.28</v>
      </c>
      <c r="M57" s="37">
        <f t="shared" si="4"/>
        <v>684231.45153187739</v>
      </c>
      <c r="N57" s="36">
        <f t="shared" si="10"/>
        <v>82.927910989097185</v>
      </c>
      <c r="O57" s="39">
        <f t="shared" si="6"/>
        <v>0</v>
      </c>
      <c r="P57" s="39">
        <f t="shared" si="7"/>
        <v>0</v>
      </c>
      <c r="Q57" s="39">
        <f t="shared" si="8"/>
        <v>0</v>
      </c>
    </row>
    <row r="58" spans="1:17" x14ac:dyDescent="0.3">
      <c r="A58" s="6">
        <v>57</v>
      </c>
      <c r="B58" s="6" t="s">
        <v>677</v>
      </c>
      <c r="C58" s="6" t="s">
        <v>367</v>
      </c>
      <c r="D58" s="6" t="s">
        <v>368</v>
      </c>
      <c r="E58" s="19">
        <v>45563</v>
      </c>
      <c r="F58" s="19">
        <v>45576</v>
      </c>
      <c r="G58" s="20">
        <v>1852873529.3</v>
      </c>
      <c r="H58" s="20">
        <v>115853.57</v>
      </c>
      <c r="I58" s="36">
        <f t="shared" si="0"/>
        <v>250000000</v>
      </c>
      <c r="J58" s="37">
        <f t="shared" si="1"/>
        <v>15631.607900913845</v>
      </c>
      <c r="K58" s="38">
        <f t="shared" si="2"/>
        <v>13.492556078257964</v>
      </c>
      <c r="L58" s="36">
        <f t="shared" si="9"/>
        <v>1602873529.3</v>
      </c>
      <c r="M58" s="37">
        <f t="shared" si="4"/>
        <v>100221.96209908616</v>
      </c>
      <c r="N58" s="36">
        <f t="shared" si="10"/>
        <v>86.507443921742038</v>
      </c>
      <c r="O58" s="39">
        <f t="shared" si="6"/>
        <v>0</v>
      </c>
      <c r="P58" s="39">
        <f t="shared" si="7"/>
        <v>0</v>
      </c>
      <c r="Q58" s="39">
        <f t="shared" si="8"/>
        <v>0</v>
      </c>
    </row>
    <row r="59" spans="1:17" x14ac:dyDescent="0.3">
      <c r="A59" s="6">
        <v>58</v>
      </c>
      <c r="B59" s="6" t="s">
        <v>678</v>
      </c>
      <c r="C59" s="6" t="s">
        <v>395</v>
      </c>
      <c r="D59" s="6" t="s">
        <v>396</v>
      </c>
      <c r="E59" s="19">
        <v>45474</v>
      </c>
      <c r="F59" s="19">
        <v>45657</v>
      </c>
      <c r="G59" s="20">
        <v>259451757</v>
      </c>
      <c r="H59" s="20">
        <v>206020.91</v>
      </c>
      <c r="I59" s="36">
        <f t="shared" si="0"/>
        <v>250000000</v>
      </c>
      <c r="J59" s="37">
        <f t="shared" si="1"/>
        <v>198515.62423606945</v>
      </c>
      <c r="K59" s="38">
        <f t="shared" si="2"/>
        <v>96.357027175576221</v>
      </c>
      <c r="L59" s="36">
        <f t="shared" si="9"/>
        <v>9451757</v>
      </c>
      <c r="M59" s="37">
        <f t="shared" si="4"/>
        <v>7505.2857639305566</v>
      </c>
      <c r="N59" s="36">
        <f t="shared" si="10"/>
        <v>3.6429728244237713</v>
      </c>
      <c r="O59" s="39">
        <f t="shared" si="6"/>
        <v>0</v>
      </c>
      <c r="P59" s="39">
        <f t="shared" si="7"/>
        <v>0</v>
      </c>
      <c r="Q59" s="39">
        <f t="shared" si="8"/>
        <v>0</v>
      </c>
    </row>
    <row r="60" spans="1:17" x14ac:dyDescent="0.3">
      <c r="A60" s="6">
        <v>59</v>
      </c>
      <c r="B60" s="6" t="s">
        <v>679</v>
      </c>
      <c r="C60" s="6" t="s">
        <v>397</v>
      </c>
      <c r="D60" s="6" t="s">
        <v>398</v>
      </c>
      <c r="E60" s="19">
        <v>45479</v>
      </c>
      <c r="F60" s="19">
        <v>45570</v>
      </c>
      <c r="G60" s="20">
        <v>1395450000</v>
      </c>
      <c r="H60" s="20">
        <v>521755.1</v>
      </c>
      <c r="I60" s="36">
        <f t="shared" si="0"/>
        <v>250000000</v>
      </c>
      <c r="J60" s="37">
        <f t="shared" si="1"/>
        <v>93474.345193306814</v>
      </c>
      <c r="K60" s="38">
        <f t="shared" si="2"/>
        <v>17.915367802500988</v>
      </c>
      <c r="L60" s="36">
        <f t="shared" si="9"/>
        <v>1145450000</v>
      </c>
      <c r="M60" s="37">
        <f t="shared" si="4"/>
        <v>428280.75480669318</v>
      </c>
      <c r="N60" s="36">
        <f t="shared" si="10"/>
        <v>82.084632197499019</v>
      </c>
      <c r="O60" s="39">
        <f t="shared" si="6"/>
        <v>0</v>
      </c>
      <c r="P60" s="39">
        <f t="shared" si="7"/>
        <v>0</v>
      </c>
      <c r="Q60" s="39">
        <f t="shared" si="8"/>
        <v>0</v>
      </c>
    </row>
    <row r="61" spans="1:17" x14ac:dyDescent="0.3">
      <c r="A61" s="6">
        <v>60</v>
      </c>
      <c r="B61" s="6" t="s">
        <v>680</v>
      </c>
      <c r="C61" s="6" t="s">
        <v>399</v>
      </c>
      <c r="D61" s="6" t="s">
        <v>400</v>
      </c>
      <c r="E61" s="19">
        <v>45493</v>
      </c>
      <c r="F61" s="19">
        <v>45857</v>
      </c>
      <c r="G61" s="20">
        <v>1586000000</v>
      </c>
      <c r="H61" s="20">
        <v>1678096.6</v>
      </c>
      <c r="I61" s="36">
        <f t="shared" si="0"/>
        <v>250000000</v>
      </c>
      <c r="J61" s="37">
        <f t="shared" si="1"/>
        <v>264517.11853720056</v>
      </c>
      <c r="K61" s="38">
        <f t="shared" si="2"/>
        <v>15.762925598991174</v>
      </c>
      <c r="L61" s="36">
        <v>1086410000</v>
      </c>
      <c r="M61" s="37">
        <f t="shared" si="4"/>
        <v>1149496.1710000001</v>
      </c>
      <c r="N61" s="36">
        <v>68.5</v>
      </c>
      <c r="O61" s="39">
        <f t="shared" si="6"/>
        <v>249590000</v>
      </c>
      <c r="P61" s="39">
        <f t="shared" si="7"/>
        <v>264083.31046279951</v>
      </c>
      <c r="Q61" s="39">
        <f t="shared" si="8"/>
        <v>15.737074401008828</v>
      </c>
    </row>
    <row r="62" spans="1:17" x14ac:dyDescent="0.3">
      <c r="A62" s="6">
        <v>61</v>
      </c>
      <c r="B62" s="6" t="s">
        <v>681</v>
      </c>
      <c r="C62" s="6" t="s">
        <v>401</v>
      </c>
      <c r="D62" s="6" t="s">
        <v>402</v>
      </c>
      <c r="E62" s="19">
        <v>45474</v>
      </c>
      <c r="F62" s="19">
        <v>45566</v>
      </c>
      <c r="G62" s="20">
        <v>391377847</v>
      </c>
      <c r="H62" s="20">
        <v>214868.53</v>
      </c>
      <c r="I62" s="36">
        <f t="shared" si="0"/>
        <v>250000000</v>
      </c>
      <c r="J62" s="37">
        <f t="shared" si="1"/>
        <v>137251.33630263954</v>
      </c>
      <c r="K62" s="38">
        <f t="shared" si="2"/>
        <v>63.876890814415468</v>
      </c>
      <c r="L62" s="36">
        <f t="shared" si="9"/>
        <v>141377847</v>
      </c>
      <c r="M62" s="37">
        <f t="shared" si="4"/>
        <v>77617.193697360475</v>
      </c>
      <c r="N62" s="36">
        <f t="shared" si="10"/>
        <v>36.123109185584539</v>
      </c>
      <c r="O62" s="39">
        <f t="shared" si="6"/>
        <v>0</v>
      </c>
      <c r="P62" s="39">
        <f t="shared" si="7"/>
        <v>0</v>
      </c>
      <c r="Q62" s="39">
        <f t="shared" si="8"/>
        <v>0</v>
      </c>
    </row>
    <row r="63" spans="1:17" x14ac:dyDescent="0.3">
      <c r="A63" s="6">
        <v>62</v>
      </c>
      <c r="B63" s="6" t="s">
        <v>682</v>
      </c>
      <c r="C63" s="6" t="s">
        <v>403</v>
      </c>
      <c r="D63" s="6" t="s">
        <v>404</v>
      </c>
      <c r="E63" s="19">
        <v>45487</v>
      </c>
      <c r="F63" s="19">
        <v>45579</v>
      </c>
      <c r="G63" s="20">
        <v>2514403367.9400001</v>
      </c>
      <c r="H63" s="20">
        <v>1189162.6599999999</v>
      </c>
      <c r="I63" s="36">
        <f t="shared" si="0"/>
        <v>250000000</v>
      </c>
      <c r="J63" s="37">
        <f t="shared" si="1"/>
        <v>118235.07269780831</v>
      </c>
      <c r="K63" s="38">
        <f t="shared" si="2"/>
        <v>9.9427165580365884</v>
      </c>
      <c r="L63" s="36">
        <v>1722366307.04</v>
      </c>
      <c r="M63" s="37">
        <f t="shared" si="4"/>
        <v>814576.42210052011</v>
      </c>
      <c r="N63" s="36">
        <v>68.5</v>
      </c>
      <c r="O63" s="39">
        <f t="shared" si="6"/>
        <v>542037060.9000001</v>
      </c>
      <c r="P63" s="39">
        <f t="shared" si="7"/>
        <v>256351.16520167145</v>
      </c>
      <c r="Q63" s="39">
        <f t="shared" si="8"/>
        <v>21.557283441919665</v>
      </c>
    </row>
    <row r="64" spans="1:17" x14ac:dyDescent="0.3">
      <c r="A64" s="6">
        <v>63</v>
      </c>
      <c r="B64" s="6" t="s">
        <v>683</v>
      </c>
      <c r="C64" s="6" t="s">
        <v>405</v>
      </c>
      <c r="D64" s="6" t="s">
        <v>406</v>
      </c>
      <c r="E64" s="19">
        <v>45487</v>
      </c>
      <c r="F64" s="19">
        <v>45579</v>
      </c>
      <c r="G64" s="20">
        <v>11878653621.25</v>
      </c>
      <c r="H64" s="20">
        <v>1829481.02</v>
      </c>
      <c r="I64" s="36">
        <f t="shared" si="0"/>
        <v>250000000</v>
      </c>
      <c r="J64" s="37">
        <f t="shared" si="1"/>
        <v>38503.543379849019</v>
      </c>
      <c r="K64" s="38">
        <f t="shared" si="2"/>
        <v>2.1046156237165565</v>
      </c>
      <c r="L64" s="36">
        <f t="shared" si="9"/>
        <v>5000000000</v>
      </c>
      <c r="M64" s="37">
        <f t="shared" si="4"/>
        <v>770070.8675969803</v>
      </c>
      <c r="N64" s="36">
        <f t="shared" si="10"/>
        <v>42.092312474331131</v>
      </c>
      <c r="O64" s="39">
        <f t="shared" si="6"/>
        <v>6628653621.25</v>
      </c>
      <c r="P64" s="39">
        <f t="shared" si="7"/>
        <v>1020906.6090231707</v>
      </c>
      <c r="Q64" s="39">
        <f t="shared" si="8"/>
        <v>55.803071901952315</v>
      </c>
    </row>
    <row r="65" spans="1:17" x14ac:dyDescent="0.3">
      <c r="A65" s="6">
        <v>64</v>
      </c>
      <c r="B65" s="6" t="s">
        <v>684</v>
      </c>
      <c r="C65" s="6" t="s">
        <v>407</v>
      </c>
      <c r="D65" s="6" t="s">
        <v>408</v>
      </c>
      <c r="E65" s="19">
        <v>45518</v>
      </c>
      <c r="F65" s="19">
        <v>45610</v>
      </c>
      <c r="G65" s="20">
        <v>402400000</v>
      </c>
      <c r="H65" s="20">
        <v>269901.08</v>
      </c>
      <c r="I65" s="36">
        <f t="shared" si="0"/>
        <v>250000000</v>
      </c>
      <c r="J65" s="37">
        <f t="shared" si="1"/>
        <v>167682.0825049702</v>
      </c>
      <c r="K65" s="38">
        <f t="shared" si="2"/>
        <v>62.1272365805169</v>
      </c>
      <c r="L65" s="36">
        <f t="shared" si="9"/>
        <v>152400000</v>
      </c>
      <c r="M65" s="37">
        <f t="shared" si="4"/>
        <v>102218.99749502983</v>
      </c>
      <c r="N65" s="36">
        <f t="shared" si="10"/>
        <v>37.8727634194831</v>
      </c>
      <c r="O65" s="39">
        <f t="shared" si="6"/>
        <v>0</v>
      </c>
      <c r="P65" s="39">
        <f t="shared" si="7"/>
        <v>0</v>
      </c>
      <c r="Q65" s="39">
        <f t="shared" si="8"/>
        <v>0</v>
      </c>
    </row>
    <row r="66" spans="1:17" x14ac:dyDescent="0.3">
      <c r="A66" s="6">
        <v>65</v>
      </c>
      <c r="B66" s="6" t="s">
        <v>685</v>
      </c>
      <c r="C66" s="6" t="s">
        <v>409</v>
      </c>
      <c r="D66" s="6" t="s">
        <v>410</v>
      </c>
      <c r="E66" s="19">
        <v>45518</v>
      </c>
      <c r="F66" s="19">
        <v>45610</v>
      </c>
      <c r="G66" s="20">
        <v>1048060000</v>
      </c>
      <c r="H66" s="20">
        <v>1711758.49</v>
      </c>
      <c r="I66" s="36">
        <f t="shared" ref="I66:I107" si="11">IF(G66&gt;250000000,250000000,G66)</f>
        <v>250000000</v>
      </c>
      <c r="J66" s="37">
        <f t="shared" ref="J66:J107" si="12">H66/G66*I66</f>
        <v>408315.95757876459</v>
      </c>
      <c r="K66" s="38">
        <f t="shared" ref="K66:K107" si="13">I66/G66*100</f>
        <v>23.853596168158312</v>
      </c>
      <c r="L66" s="36">
        <f t="shared" si="9"/>
        <v>798060000</v>
      </c>
      <c r="M66" s="37">
        <f t="shared" ref="M66:M107" si="14">H66/G66*L66</f>
        <v>1303442.5324212355</v>
      </c>
      <c r="N66" s="36">
        <f t="shared" si="10"/>
        <v>76.146403831841695</v>
      </c>
      <c r="O66" s="39">
        <f t="shared" ref="O66:O107" si="15">G66-I66-L66</f>
        <v>0</v>
      </c>
      <c r="P66" s="39">
        <f t="shared" ref="P66:P107" si="16">H66/G66*O66</f>
        <v>0</v>
      </c>
      <c r="Q66" s="39">
        <f t="shared" ref="Q66:Q107" si="17">O66/G66*100</f>
        <v>0</v>
      </c>
    </row>
    <row r="67" spans="1:17" x14ac:dyDescent="0.3">
      <c r="A67" s="6">
        <v>66</v>
      </c>
      <c r="B67" s="6" t="s">
        <v>686</v>
      </c>
      <c r="C67" s="6" t="s">
        <v>411</v>
      </c>
      <c r="D67" s="6" t="s">
        <v>412</v>
      </c>
      <c r="E67" s="19">
        <v>45518</v>
      </c>
      <c r="F67" s="19">
        <v>45610</v>
      </c>
      <c r="G67" s="20">
        <v>650520000</v>
      </c>
      <c r="H67" s="20">
        <v>623299.47</v>
      </c>
      <c r="I67" s="36">
        <f t="shared" si="11"/>
        <v>250000000</v>
      </c>
      <c r="J67" s="37">
        <f t="shared" si="12"/>
        <v>239538.93423722559</v>
      </c>
      <c r="K67" s="38">
        <f t="shared" si="13"/>
        <v>38.430793826477277</v>
      </c>
      <c r="L67" s="36">
        <f t="shared" si="9"/>
        <v>400520000</v>
      </c>
      <c r="M67" s="37">
        <f t="shared" si="14"/>
        <v>383760.53576277435</v>
      </c>
      <c r="N67" s="36">
        <f t="shared" si="10"/>
        <v>61.569206173522716</v>
      </c>
      <c r="O67" s="39">
        <f t="shared" si="15"/>
        <v>0</v>
      </c>
      <c r="P67" s="39">
        <f t="shared" si="16"/>
        <v>0</v>
      </c>
      <c r="Q67" s="39">
        <f t="shared" si="17"/>
        <v>0</v>
      </c>
    </row>
    <row r="68" spans="1:17" x14ac:dyDescent="0.3">
      <c r="A68" s="6">
        <v>67</v>
      </c>
      <c r="B68" s="6" t="s">
        <v>687</v>
      </c>
      <c r="C68" s="6" t="s">
        <v>413</v>
      </c>
      <c r="D68" s="6" t="s">
        <v>414</v>
      </c>
      <c r="E68" s="19">
        <v>45445</v>
      </c>
      <c r="F68" s="19">
        <v>45810</v>
      </c>
      <c r="G68" s="20">
        <v>262500000</v>
      </c>
      <c r="H68" s="20">
        <v>347665</v>
      </c>
      <c r="I68" s="36">
        <f t="shared" si="11"/>
        <v>250000000</v>
      </c>
      <c r="J68" s="37">
        <f t="shared" si="12"/>
        <v>331109.52380952379</v>
      </c>
      <c r="K68" s="38">
        <f t="shared" si="13"/>
        <v>95.238095238095227</v>
      </c>
      <c r="L68" s="36">
        <f t="shared" si="9"/>
        <v>12500000</v>
      </c>
      <c r="M68" s="37">
        <f t="shared" si="14"/>
        <v>16555.476190476191</v>
      </c>
      <c r="N68" s="36">
        <f t="shared" si="10"/>
        <v>4.7619047619047619</v>
      </c>
      <c r="O68" s="39">
        <f t="shared" si="15"/>
        <v>0</v>
      </c>
      <c r="P68" s="39">
        <f t="shared" si="16"/>
        <v>0</v>
      </c>
      <c r="Q68" s="39">
        <f t="shared" si="17"/>
        <v>0</v>
      </c>
    </row>
    <row r="69" spans="1:17" x14ac:dyDescent="0.3">
      <c r="A69" s="6">
        <v>68</v>
      </c>
      <c r="B69" s="6" t="s">
        <v>688</v>
      </c>
      <c r="C69" s="6" t="s">
        <v>415</v>
      </c>
      <c r="D69" s="6" t="s">
        <v>416</v>
      </c>
      <c r="E69" s="19">
        <v>45474</v>
      </c>
      <c r="F69" s="19">
        <v>45839</v>
      </c>
      <c r="G69" s="20">
        <v>268000000</v>
      </c>
      <c r="H69" s="20">
        <v>355797.78</v>
      </c>
      <c r="I69" s="36">
        <f t="shared" si="11"/>
        <v>250000000</v>
      </c>
      <c r="J69" s="37">
        <f t="shared" si="12"/>
        <v>331900.9141791045</v>
      </c>
      <c r="K69" s="38">
        <f t="shared" si="13"/>
        <v>93.28358208955224</v>
      </c>
      <c r="L69" s="36">
        <f t="shared" si="9"/>
        <v>18000000</v>
      </c>
      <c r="M69" s="37">
        <f t="shared" si="14"/>
        <v>23896.865820895524</v>
      </c>
      <c r="N69" s="36">
        <f t="shared" si="10"/>
        <v>6.7164179104477615</v>
      </c>
      <c r="O69" s="39">
        <f t="shared" si="15"/>
        <v>0</v>
      </c>
      <c r="P69" s="39">
        <f t="shared" si="16"/>
        <v>0</v>
      </c>
      <c r="Q69" s="39">
        <f t="shared" si="17"/>
        <v>0</v>
      </c>
    </row>
    <row r="70" spans="1:17" x14ac:dyDescent="0.3">
      <c r="A70" s="6">
        <v>69</v>
      </c>
      <c r="B70" s="6" t="s">
        <v>689</v>
      </c>
      <c r="C70" s="6" t="s">
        <v>417</v>
      </c>
      <c r="D70" s="6" t="s">
        <v>418</v>
      </c>
      <c r="E70" s="19">
        <v>45478</v>
      </c>
      <c r="F70" s="19">
        <v>45843</v>
      </c>
      <c r="G70" s="20">
        <v>500000000</v>
      </c>
      <c r="H70" s="20">
        <v>1098437.5</v>
      </c>
      <c r="I70" s="36">
        <f t="shared" si="11"/>
        <v>250000000</v>
      </c>
      <c r="J70" s="37">
        <f t="shared" si="12"/>
        <v>549218.75</v>
      </c>
      <c r="K70" s="38">
        <f t="shared" si="13"/>
        <v>50</v>
      </c>
      <c r="L70" s="36">
        <f t="shared" si="9"/>
        <v>250000000</v>
      </c>
      <c r="M70" s="37">
        <f t="shared" si="14"/>
        <v>549218.75</v>
      </c>
      <c r="N70" s="36">
        <f t="shared" si="10"/>
        <v>50</v>
      </c>
      <c r="O70" s="39">
        <f t="shared" si="15"/>
        <v>0</v>
      </c>
      <c r="P70" s="39">
        <f t="shared" si="16"/>
        <v>0</v>
      </c>
      <c r="Q70" s="39">
        <f t="shared" si="17"/>
        <v>0</v>
      </c>
    </row>
    <row r="71" spans="1:17" x14ac:dyDescent="0.3">
      <c r="A71" s="6">
        <v>70</v>
      </c>
      <c r="B71" s="6" t="s">
        <v>690</v>
      </c>
      <c r="C71" s="6" t="s">
        <v>419</v>
      </c>
      <c r="D71" s="6" t="s">
        <v>420</v>
      </c>
      <c r="E71" s="19">
        <v>45522</v>
      </c>
      <c r="F71" s="19">
        <v>45887</v>
      </c>
      <c r="G71" s="20">
        <v>320000000</v>
      </c>
      <c r="H71" s="20">
        <v>441687.5</v>
      </c>
      <c r="I71" s="36">
        <f t="shared" si="11"/>
        <v>250000000</v>
      </c>
      <c r="J71" s="37">
        <f t="shared" si="12"/>
        <v>345068.359375</v>
      </c>
      <c r="K71" s="38">
        <f t="shared" si="13"/>
        <v>78.125</v>
      </c>
      <c r="L71" s="36">
        <f t="shared" si="9"/>
        <v>70000000</v>
      </c>
      <c r="M71" s="37">
        <f t="shared" si="14"/>
        <v>96619.140625</v>
      </c>
      <c r="N71" s="36">
        <f t="shared" si="10"/>
        <v>21.875</v>
      </c>
      <c r="O71" s="39">
        <f t="shared" si="15"/>
        <v>0</v>
      </c>
      <c r="P71" s="39">
        <f t="shared" si="16"/>
        <v>0</v>
      </c>
      <c r="Q71" s="39">
        <f t="shared" si="17"/>
        <v>0</v>
      </c>
    </row>
    <row r="72" spans="1:17" x14ac:dyDescent="0.3">
      <c r="A72" s="6">
        <v>71</v>
      </c>
      <c r="B72" s="6" t="s">
        <v>691</v>
      </c>
      <c r="C72" s="6" t="s">
        <v>421</v>
      </c>
      <c r="D72" s="6" t="s">
        <v>422</v>
      </c>
      <c r="E72" s="19">
        <v>45528</v>
      </c>
      <c r="F72" s="19">
        <v>45893</v>
      </c>
      <c r="G72" s="20">
        <v>384540000</v>
      </c>
      <c r="H72" s="20">
        <v>1999390.3</v>
      </c>
      <c r="I72" s="36">
        <f t="shared" si="11"/>
        <v>250000000</v>
      </c>
      <c r="J72" s="37">
        <f t="shared" si="12"/>
        <v>1299858.4672595828</v>
      </c>
      <c r="K72" s="38">
        <f t="shared" si="13"/>
        <v>65.012742497529516</v>
      </c>
      <c r="L72" s="36">
        <f t="shared" si="9"/>
        <v>134540000</v>
      </c>
      <c r="M72" s="37">
        <f t="shared" si="14"/>
        <v>699531.8327404171</v>
      </c>
      <c r="N72" s="36">
        <f t="shared" si="10"/>
        <v>34.987257502470484</v>
      </c>
      <c r="O72" s="39">
        <f t="shared" si="15"/>
        <v>0</v>
      </c>
      <c r="P72" s="39">
        <f t="shared" si="16"/>
        <v>0</v>
      </c>
      <c r="Q72" s="39">
        <f t="shared" si="17"/>
        <v>0</v>
      </c>
    </row>
    <row r="73" spans="1:17" x14ac:dyDescent="0.3">
      <c r="A73" s="6">
        <v>72</v>
      </c>
      <c r="B73" s="6" t="s">
        <v>692</v>
      </c>
      <c r="C73" s="6" t="s">
        <v>423</v>
      </c>
      <c r="D73" s="6" t="s">
        <v>424</v>
      </c>
      <c r="E73" s="19">
        <v>45561</v>
      </c>
      <c r="F73" s="19">
        <v>45926</v>
      </c>
      <c r="G73" s="20">
        <v>280800000</v>
      </c>
      <c r="H73" s="20">
        <v>170496.85</v>
      </c>
      <c r="I73" s="36">
        <f t="shared" si="11"/>
        <v>250000000</v>
      </c>
      <c r="J73" s="37">
        <f t="shared" si="12"/>
        <v>151795.62856125357</v>
      </c>
      <c r="K73" s="38">
        <f t="shared" si="13"/>
        <v>89.03133903133903</v>
      </c>
      <c r="L73" s="36">
        <f t="shared" si="9"/>
        <v>30800000</v>
      </c>
      <c r="M73" s="37">
        <f t="shared" si="14"/>
        <v>18701.221438746437</v>
      </c>
      <c r="N73" s="36">
        <f t="shared" si="10"/>
        <v>10.968660968660968</v>
      </c>
      <c r="O73" s="39">
        <f t="shared" si="15"/>
        <v>0</v>
      </c>
      <c r="P73" s="39">
        <f t="shared" si="16"/>
        <v>0</v>
      </c>
      <c r="Q73" s="39">
        <f t="shared" si="17"/>
        <v>0</v>
      </c>
    </row>
    <row r="74" spans="1:17" x14ac:dyDescent="0.3">
      <c r="A74" s="6">
        <v>73</v>
      </c>
      <c r="B74" s="6" t="s">
        <v>693</v>
      </c>
      <c r="C74" s="6" t="s">
        <v>425</v>
      </c>
      <c r="D74" s="6" t="s">
        <v>426</v>
      </c>
      <c r="E74" s="19">
        <v>45474</v>
      </c>
      <c r="F74" s="19">
        <v>45657</v>
      </c>
      <c r="G74" s="20">
        <v>361200000</v>
      </c>
      <c r="H74" s="20">
        <v>406083.32</v>
      </c>
      <c r="I74" s="36">
        <f t="shared" si="11"/>
        <v>250000000</v>
      </c>
      <c r="J74" s="37">
        <f t="shared" si="12"/>
        <v>281065.42081949057</v>
      </c>
      <c r="K74" s="38">
        <f t="shared" si="13"/>
        <v>69.213732004429673</v>
      </c>
      <c r="L74" s="36">
        <f t="shared" si="9"/>
        <v>111200000</v>
      </c>
      <c r="M74" s="37">
        <f t="shared" si="14"/>
        <v>125017.89918050941</v>
      </c>
      <c r="N74" s="36">
        <f t="shared" si="10"/>
        <v>30.78626799557032</v>
      </c>
      <c r="O74" s="39">
        <f t="shared" si="15"/>
        <v>0</v>
      </c>
      <c r="P74" s="39">
        <f t="shared" si="16"/>
        <v>0</v>
      </c>
      <c r="Q74" s="39">
        <f t="shared" si="17"/>
        <v>0</v>
      </c>
    </row>
    <row r="75" spans="1:17" x14ac:dyDescent="0.3">
      <c r="A75" s="6">
        <v>74</v>
      </c>
      <c r="B75" s="6" t="s">
        <v>694</v>
      </c>
      <c r="C75" s="6" t="s">
        <v>427</v>
      </c>
      <c r="D75" s="6" t="s">
        <v>428</v>
      </c>
      <c r="E75" s="19">
        <v>45506</v>
      </c>
      <c r="F75" s="19">
        <v>45871</v>
      </c>
      <c r="G75" s="20">
        <v>303623980</v>
      </c>
      <c r="H75" s="20">
        <v>556875.84</v>
      </c>
      <c r="I75" s="36">
        <f t="shared" si="11"/>
        <v>250000000</v>
      </c>
      <c r="J75" s="37">
        <f t="shared" si="12"/>
        <v>458524.25753723405</v>
      </c>
      <c r="K75" s="38">
        <f t="shared" si="13"/>
        <v>82.338687477846776</v>
      </c>
      <c r="L75" s="36">
        <f t="shared" si="9"/>
        <v>53623980</v>
      </c>
      <c r="M75" s="37">
        <f t="shared" si="14"/>
        <v>98351.582462765946</v>
      </c>
      <c r="N75" s="36">
        <f t="shared" si="10"/>
        <v>17.661312522153224</v>
      </c>
      <c r="O75" s="39">
        <f t="shared" si="15"/>
        <v>0</v>
      </c>
      <c r="P75" s="39">
        <f t="shared" si="16"/>
        <v>0</v>
      </c>
      <c r="Q75" s="39">
        <f t="shared" si="17"/>
        <v>0</v>
      </c>
    </row>
    <row r="76" spans="1:17" x14ac:dyDescent="0.3">
      <c r="A76" s="6">
        <v>75</v>
      </c>
      <c r="B76" s="6" t="s">
        <v>695</v>
      </c>
      <c r="C76" s="6" t="s">
        <v>429</v>
      </c>
      <c r="D76" s="6" t="s">
        <v>430</v>
      </c>
      <c r="E76" s="19">
        <v>45536</v>
      </c>
      <c r="F76" s="19">
        <v>45900</v>
      </c>
      <c r="G76" s="20">
        <v>990470000</v>
      </c>
      <c r="H76" s="20">
        <v>1654698.83</v>
      </c>
      <c r="I76" s="36">
        <f t="shared" si="11"/>
        <v>250000000</v>
      </c>
      <c r="J76" s="37">
        <f t="shared" si="12"/>
        <v>417654.95926176466</v>
      </c>
      <c r="K76" s="38">
        <f t="shared" si="13"/>
        <v>25.24054236877442</v>
      </c>
      <c r="L76" s="36">
        <v>648757850</v>
      </c>
      <c r="M76" s="37">
        <f t="shared" si="14"/>
        <v>1083827.7336500001</v>
      </c>
      <c r="N76" s="36">
        <v>65.5</v>
      </c>
      <c r="O76" s="39">
        <f t="shared" si="15"/>
        <v>91712150</v>
      </c>
      <c r="P76" s="39">
        <f t="shared" si="16"/>
        <v>153216.13708823538</v>
      </c>
      <c r="Q76" s="39">
        <f t="shared" si="17"/>
        <v>9.2594576312255796</v>
      </c>
    </row>
    <row r="77" spans="1:17" x14ac:dyDescent="0.3">
      <c r="A77" s="6">
        <v>76</v>
      </c>
      <c r="B77" s="6" t="s">
        <v>696</v>
      </c>
      <c r="C77" s="6" t="s">
        <v>431</v>
      </c>
      <c r="D77" s="6" t="s">
        <v>432</v>
      </c>
      <c r="E77" s="19">
        <v>45544</v>
      </c>
      <c r="F77" s="19">
        <v>45724</v>
      </c>
      <c r="G77" s="20">
        <v>936000000</v>
      </c>
      <c r="H77" s="20">
        <v>586644.71</v>
      </c>
      <c r="I77" s="36">
        <f t="shared" si="11"/>
        <v>250000000</v>
      </c>
      <c r="J77" s="37">
        <f t="shared" si="12"/>
        <v>156689.29220085469</v>
      </c>
      <c r="K77" s="38">
        <f t="shared" si="13"/>
        <v>26.70940170940171</v>
      </c>
      <c r="L77" s="36">
        <f t="shared" si="9"/>
        <v>686000000</v>
      </c>
      <c r="M77" s="37">
        <f t="shared" si="14"/>
        <v>429955.41779914527</v>
      </c>
      <c r="N77" s="36">
        <f t="shared" si="10"/>
        <v>73.290598290598282</v>
      </c>
      <c r="O77" s="39">
        <f t="shared" si="15"/>
        <v>0</v>
      </c>
      <c r="P77" s="39">
        <f t="shared" si="16"/>
        <v>0</v>
      </c>
      <c r="Q77" s="39">
        <f t="shared" si="17"/>
        <v>0</v>
      </c>
    </row>
    <row r="78" spans="1:17" x14ac:dyDescent="0.3">
      <c r="A78" s="6">
        <v>77</v>
      </c>
      <c r="B78" s="6" t="s">
        <v>697</v>
      </c>
      <c r="C78" s="6" t="s">
        <v>433</v>
      </c>
      <c r="D78" s="6" t="s">
        <v>434</v>
      </c>
      <c r="E78" s="19">
        <v>45533</v>
      </c>
      <c r="F78" s="19">
        <v>45716</v>
      </c>
      <c r="G78" s="20">
        <v>524340000</v>
      </c>
      <c r="H78" s="20">
        <v>813005.56</v>
      </c>
      <c r="I78" s="36">
        <f t="shared" si="11"/>
        <v>250000000</v>
      </c>
      <c r="J78" s="37">
        <f t="shared" si="12"/>
        <v>387632.8145859557</v>
      </c>
      <c r="K78" s="38">
        <f t="shared" si="13"/>
        <v>47.678986916885989</v>
      </c>
      <c r="L78" s="36">
        <f t="shared" si="9"/>
        <v>274340000</v>
      </c>
      <c r="M78" s="37">
        <f t="shared" si="14"/>
        <v>425372.74541404436</v>
      </c>
      <c r="N78" s="36">
        <f t="shared" si="10"/>
        <v>52.321013083114011</v>
      </c>
      <c r="O78" s="39">
        <f t="shared" si="15"/>
        <v>0</v>
      </c>
      <c r="P78" s="39">
        <f t="shared" si="16"/>
        <v>0</v>
      </c>
      <c r="Q78" s="39">
        <f t="shared" si="17"/>
        <v>0</v>
      </c>
    </row>
    <row r="79" spans="1:17" x14ac:dyDescent="0.3">
      <c r="A79" s="6">
        <v>78</v>
      </c>
      <c r="B79" s="6" t="s">
        <v>698</v>
      </c>
      <c r="C79" s="6" t="s">
        <v>435</v>
      </c>
      <c r="D79" s="6" t="s">
        <v>436</v>
      </c>
      <c r="E79" s="19">
        <v>45479</v>
      </c>
      <c r="F79" s="19">
        <v>45504</v>
      </c>
      <c r="G79" s="20">
        <v>1160351010</v>
      </c>
      <c r="H79" s="20">
        <v>2502285.23</v>
      </c>
      <c r="I79" s="36">
        <f t="shared" si="11"/>
        <v>250000000</v>
      </c>
      <c r="J79" s="37">
        <f t="shared" si="12"/>
        <v>539122.47424165206</v>
      </c>
      <c r="K79" s="38">
        <f t="shared" si="13"/>
        <v>21.545204670438473</v>
      </c>
      <c r="L79" s="36">
        <v>760029911.54999995</v>
      </c>
      <c r="M79" s="37">
        <f t="shared" si="14"/>
        <v>1638996.8256499998</v>
      </c>
      <c r="N79" s="36">
        <v>65.5</v>
      </c>
      <c r="O79" s="39">
        <f t="shared" si="15"/>
        <v>150321098.45000005</v>
      </c>
      <c r="P79" s="39">
        <f t="shared" si="16"/>
        <v>324165.93010834797</v>
      </c>
      <c r="Q79" s="39">
        <f t="shared" si="17"/>
        <v>12.954795329561531</v>
      </c>
    </row>
    <row r="80" spans="1:17" x14ac:dyDescent="0.3">
      <c r="A80" s="6">
        <v>79</v>
      </c>
      <c r="B80" s="6" t="s">
        <v>699</v>
      </c>
      <c r="C80" s="6" t="s">
        <v>435</v>
      </c>
      <c r="D80" s="6" t="s">
        <v>436</v>
      </c>
      <c r="E80" s="19">
        <v>45505</v>
      </c>
      <c r="F80" s="19">
        <v>45596</v>
      </c>
      <c r="G80" s="20">
        <v>1160351010</v>
      </c>
      <c r="H80" s="20">
        <v>2502285.23</v>
      </c>
      <c r="I80" s="36">
        <f t="shared" si="11"/>
        <v>250000000</v>
      </c>
      <c r="J80" s="37">
        <f t="shared" si="12"/>
        <v>539122.47424165206</v>
      </c>
      <c r="K80" s="38">
        <f t="shared" si="13"/>
        <v>21.545204670438473</v>
      </c>
      <c r="L80" s="36">
        <v>760029911.54999995</v>
      </c>
      <c r="M80" s="37">
        <f t="shared" si="14"/>
        <v>1638996.8256499998</v>
      </c>
      <c r="N80" s="36">
        <f t="shared" si="10"/>
        <v>65.499999999999986</v>
      </c>
      <c r="O80" s="39">
        <f t="shared" si="15"/>
        <v>150321098.45000005</v>
      </c>
      <c r="P80" s="39">
        <f t="shared" si="16"/>
        <v>324165.93010834797</v>
      </c>
      <c r="Q80" s="39">
        <f t="shared" si="17"/>
        <v>12.954795329561531</v>
      </c>
    </row>
    <row r="81" spans="1:17" x14ac:dyDescent="0.3">
      <c r="A81" s="6">
        <v>80</v>
      </c>
      <c r="B81" s="6" t="s">
        <v>700</v>
      </c>
      <c r="C81" s="6" t="s">
        <v>437</v>
      </c>
      <c r="D81" s="6" t="s">
        <v>438</v>
      </c>
      <c r="E81" s="19">
        <v>45474</v>
      </c>
      <c r="F81" s="19">
        <v>45657</v>
      </c>
      <c r="G81" s="20">
        <v>1039935224.9</v>
      </c>
      <c r="H81" s="20">
        <v>929086.4</v>
      </c>
      <c r="I81" s="36">
        <f t="shared" si="11"/>
        <v>250000000</v>
      </c>
      <c r="J81" s="37">
        <f t="shared" si="12"/>
        <v>223351.98812246716</v>
      </c>
      <c r="K81" s="38">
        <f t="shared" si="13"/>
        <v>24.03995883724777</v>
      </c>
      <c r="L81" s="36">
        <f t="shared" si="9"/>
        <v>789935224.89999998</v>
      </c>
      <c r="M81" s="37">
        <f t="shared" si="14"/>
        <v>705734.41187753284</v>
      </c>
      <c r="N81" s="36">
        <f t="shared" si="10"/>
        <v>75.960041162752233</v>
      </c>
      <c r="O81" s="39">
        <f t="shared" si="15"/>
        <v>0</v>
      </c>
      <c r="P81" s="39">
        <f t="shared" si="16"/>
        <v>0</v>
      </c>
      <c r="Q81" s="39">
        <f t="shared" si="17"/>
        <v>0</v>
      </c>
    </row>
    <row r="82" spans="1:17" x14ac:dyDescent="0.3">
      <c r="A82" s="6">
        <v>81</v>
      </c>
      <c r="B82" s="6" t="s">
        <v>701</v>
      </c>
      <c r="C82" s="6" t="s">
        <v>439</v>
      </c>
      <c r="D82" s="6" t="s">
        <v>440</v>
      </c>
      <c r="E82" s="19">
        <v>45556</v>
      </c>
      <c r="F82" s="19">
        <v>45646</v>
      </c>
      <c r="G82" s="20">
        <v>1163866002.6099999</v>
      </c>
      <c r="H82" s="20">
        <v>434731.83</v>
      </c>
      <c r="I82" s="36">
        <f t="shared" si="11"/>
        <v>250000000</v>
      </c>
      <c r="J82" s="37">
        <f t="shared" si="12"/>
        <v>93380.988237714337</v>
      </c>
      <c r="K82" s="38">
        <f t="shared" si="13"/>
        <v>21.480135981235684</v>
      </c>
      <c r="L82" s="36">
        <f t="shared" si="9"/>
        <v>913866002.6099999</v>
      </c>
      <c r="M82" s="37">
        <f t="shared" si="14"/>
        <v>341350.84176228568</v>
      </c>
      <c r="N82" s="36">
        <f t="shared" si="10"/>
        <v>78.519864018764324</v>
      </c>
      <c r="O82" s="39">
        <f t="shared" si="15"/>
        <v>0</v>
      </c>
      <c r="P82" s="39">
        <f t="shared" si="16"/>
        <v>0</v>
      </c>
      <c r="Q82" s="39">
        <f t="shared" si="17"/>
        <v>0</v>
      </c>
    </row>
    <row r="83" spans="1:17" x14ac:dyDescent="0.3">
      <c r="A83" s="6">
        <v>82</v>
      </c>
      <c r="B83" s="6" t="s">
        <v>702</v>
      </c>
      <c r="C83" s="6" t="s">
        <v>441</v>
      </c>
      <c r="D83" s="6" t="s">
        <v>442</v>
      </c>
      <c r="E83" s="19">
        <v>45505</v>
      </c>
      <c r="F83" s="19">
        <v>45596</v>
      </c>
      <c r="G83" s="20">
        <v>1876122517.26</v>
      </c>
      <c r="H83" s="20">
        <v>880648.67</v>
      </c>
      <c r="I83" s="36">
        <f t="shared" si="11"/>
        <v>250000000</v>
      </c>
      <c r="J83" s="37">
        <f t="shared" si="12"/>
        <v>117349.56831152894</v>
      </c>
      <c r="K83" s="38">
        <f t="shared" si="13"/>
        <v>13.325355764351402</v>
      </c>
      <c r="L83" s="36">
        <v>938061258.63</v>
      </c>
      <c r="M83" s="37">
        <f t="shared" si="14"/>
        <v>440324.33500000002</v>
      </c>
      <c r="N83" s="36">
        <v>50</v>
      </c>
      <c r="O83" s="39">
        <f t="shared" si="15"/>
        <v>688061258.63</v>
      </c>
      <c r="P83" s="39">
        <f t="shared" si="16"/>
        <v>322974.76668847108</v>
      </c>
      <c r="Q83" s="39">
        <f t="shared" si="17"/>
        <v>36.6746442356486</v>
      </c>
    </row>
    <row r="84" spans="1:17" x14ac:dyDescent="0.3">
      <c r="A84" s="6">
        <v>83</v>
      </c>
      <c r="B84" s="6" t="s">
        <v>703</v>
      </c>
      <c r="C84" s="6" t="s">
        <v>443</v>
      </c>
      <c r="D84" s="6" t="s">
        <v>442</v>
      </c>
      <c r="E84" s="19">
        <v>45518</v>
      </c>
      <c r="F84" s="19">
        <v>45609</v>
      </c>
      <c r="G84" s="20">
        <v>1876122517.26</v>
      </c>
      <c r="H84" s="20">
        <v>880648.67</v>
      </c>
      <c r="I84" s="36">
        <f t="shared" si="11"/>
        <v>250000000</v>
      </c>
      <c r="J84" s="37">
        <f t="shared" si="12"/>
        <v>117349.56831152894</v>
      </c>
      <c r="K84" s="38">
        <f t="shared" si="13"/>
        <v>13.325355764351402</v>
      </c>
      <c r="L84" s="36">
        <v>938061258.63</v>
      </c>
      <c r="M84" s="37">
        <f t="shared" si="14"/>
        <v>440324.33500000002</v>
      </c>
      <c r="N84" s="36">
        <v>50</v>
      </c>
      <c r="O84" s="39">
        <f t="shared" si="15"/>
        <v>688061258.63</v>
      </c>
      <c r="P84" s="39">
        <f t="shared" si="16"/>
        <v>322974.76668847108</v>
      </c>
      <c r="Q84" s="39">
        <f t="shared" si="17"/>
        <v>36.6746442356486</v>
      </c>
    </row>
    <row r="85" spans="1:17" x14ac:dyDescent="0.3">
      <c r="A85" s="6">
        <v>84</v>
      </c>
      <c r="B85" s="6" t="s">
        <v>704</v>
      </c>
      <c r="C85" s="27" t="s">
        <v>444</v>
      </c>
      <c r="D85" s="27" t="s">
        <v>445</v>
      </c>
      <c r="E85" s="28">
        <v>45509</v>
      </c>
      <c r="F85" s="28">
        <v>45600</v>
      </c>
      <c r="G85" s="29">
        <v>3810131811.8200002</v>
      </c>
      <c r="H85" s="29">
        <v>858973.08</v>
      </c>
      <c r="I85" s="36">
        <f t="shared" si="11"/>
        <v>250000000</v>
      </c>
      <c r="J85" s="37">
        <f t="shared" si="12"/>
        <v>56361.113107376397</v>
      </c>
      <c r="K85" s="38">
        <f t="shared" si="13"/>
        <v>6.5614527881800901</v>
      </c>
      <c r="L85" s="36">
        <v>1905065905.9100001</v>
      </c>
      <c r="M85" s="37">
        <f t="shared" si="14"/>
        <v>429486.54</v>
      </c>
      <c r="N85" s="36">
        <v>50</v>
      </c>
      <c r="O85" s="39">
        <f t="shared" si="15"/>
        <v>1655065905.9100001</v>
      </c>
      <c r="P85" s="39">
        <f t="shared" si="16"/>
        <v>373125.4268926236</v>
      </c>
      <c r="Q85" s="39">
        <f t="shared" si="17"/>
        <v>43.438547211819909</v>
      </c>
    </row>
    <row r="86" spans="1:17" x14ac:dyDescent="0.3">
      <c r="A86" s="6">
        <v>85</v>
      </c>
      <c r="B86" s="6" t="s">
        <v>705</v>
      </c>
      <c r="C86" s="27" t="s">
        <v>446</v>
      </c>
      <c r="D86" s="27" t="s">
        <v>447</v>
      </c>
      <c r="E86" s="28">
        <v>45500</v>
      </c>
      <c r="F86" s="28">
        <v>45591</v>
      </c>
      <c r="G86" s="29">
        <v>286646273.91000003</v>
      </c>
      <c r="H86" s="29">
        <v>167209.85999999999</v>
      </c>
      <c r="I86" s="36">
        <f t="shared" si="11"/>
        <v>250000000</v>
      </c>
      <c r="J86" s="37">
        <f t="shared" si="12"/>
        <v>145832.92651878306</v>
      </c>
      <c r="K86" s="38">
        <f t="shared" si="13"/>
        <v>87.215506620711892</v>
      </c>
      <c r="L86" s="36">
        <f t="shared" si="9"/>
        <v>36646273.910000026</v>
      </c>
      <c r="M86" s="37">
        <f t="shared" si="14"/>
        <v>21376.933481216922</v>
      </c>
      <c r="N86" s="36">
        <f t="shared" si="10"/>
        <v>12.784493379288115</v>
      </c>
      <c r="O86" s="39">
        <f t="shared" si="15"/>
        <v>0</v>
      </c>
      <c r="P86" s="39">
        <f t="shared" si="16"/>
        <v>0</v>
      </c>
      <c r="Q86" s="39">
        <f t="shared" si="17"/>
        <v>0</v>
      </c>
    </row>
    <row r="87" spans="1:17" x14ac:dyDescent="0.3">
      <c r="A87" s="6">
        <v>86</v>
      </c>
      <c r="B87" s="6" t="s">
        <v>706</v>
      </c>
      <c r="C87" s="27" t="s">
        <v>448</v>
      </c>
      <c r="D87" s="27" t="s">
        <v>449</v>
      </c>
      <c r="E87" s="28">
        <v>45564</v>
      </c>
      <c r="F87" s="28">
        <v>45929</v>
      </c>
      <c r="G87" s="29">
        <v>346659000</v>
      </c>
      <c r="H87" s="29">
        <v>721609.3</v>
      </c>
      <c r="I87" s="36">
        <f t="shared" si="11"/>
        <v>250000000</v>
      </c>
      <c r="J87" s="37">
        <f t="shared" si="12"/>
        <v>520402.83102414769</v>
      </c>
      <c r="K87" s="38">
        <f t="shared" si="13"/>
        <v>72.116979510123784</v>
      </c>
      <c r="L87" s="36">
        <f t="shared" si="9"/>
        <v>96659000</v>
      </c>
      <c r="M87" s="37">
        <f t="shared" si="14"/>
        <v>201206.46897585239</v>
      </c>
      <c r="N87" s="36">
        <f t="shared" si="10"/>
        <v>27.88302048987622</v>
      </c>
      <c r="O87" s="39">
        <f t="shared" si="15"/>
        <v>0</v>
      </c>
      <c r="P87" s="39">
        <f t="shared" si="16"/>
        <v>0</v>
      </c>
      <c r="Q87" s="39">
        <f t="shared" si="17"/>
        <v>0</v>
      </c>
    </row>
    <row r="88" spans="1:17" x14ac:dyDescent="0.3">
      <c r="A88" s="6">
        <v>87</v>
      </c>
      <c r="B88" s="6" t="s">
        <v>707</v>
      </c>
      <c r="C88" s="27" t="s">
        <v>450</v>
      </c>
      <c r="D88" s="27" t="s">
        <v>451</v>
      </c>
      <c r="E88" s="28">
        <v>45508</v>
      </c>
      <c r="F88" s="28">
        <v>45600</v>
      </c>
      <c r="G88" s="29">
        <v>984000000</v>
      </c>
      <c r="H88" s="29">
        <v>453268.67</v>
      </c>
      <c r="I88" s="36">
        <f t="shared" si="11"/>
        <v>250000000</v>
      </c>
      <c r="J88" s="37">
        <f t="shared" si="12"/>
        <v>115159.72306910569</v>
      </c>
      <c r="K88" s="38">
        <f t="shared" si="13"/>
        <v>25.406504065040654</v>
      </c>
      <c r="L88" s="36">
        <f t="shared" si="9"/>
        <v>734000000</v>
      </c>
      <c r="M88" s="37">
        <f t="shared" si="14"/>
        <v>338108.94693089428</v>
      </c>
      <c r="N88" s="36">
        <f t="shared" si="10"/>
        <v>74.59349593495935</v>
      </c>
      <c r="O88" s="39">
        <f t="shared" si="15"/>
        <v>0</v>
      </c>
      <c r="P88" s="39">
        <f t="shared" si="16"/>
        <v>0</v>
      </c>
      <c r="Q88" s="39">
        <f t="shared" si="17"/>
        <v>0</v>
      </c>
    </row>
    <row r="89" spans="1:17" x14ac:dyDescent="0.3">
      <c r="A89" s="6">
        <v>88</v>
      </c>
      <c r="B89" s="6" t="s">
        <v>708</v>
      </c>
      <c r="C89" s="27" t="s">
        <v>452</v>
      </c>
      <c r="D89" s="27" t="s">
        <v>277</v>
      </c>
      <c r="E89" s="28">
        <v>45474</v>
      </c>
      <c r="F89" s="28">
        <v>45565</v>
      </c>
      <c r="G89" s="29">
        <v>307463783.13</v>
      </c>
      <c r="H89" s="29">
        <v>139905.76</v>
      </c>
      <c r="I89" s="36">
        <f t="shared" si="11"/>
        <v>250000000</v>
      </c>
      <c r="J89" s="37">
        <f t="shared" si="12"/>
        <v>113757.91855527736</v>
      </c>
      <c r="K89" s="38">
        <f t="shared" si="13"/>
        <v>81.310389618895869</v>
      </c>
      <c r="L89" s="36">
        <f t="shared" si="9"/>
        <v>57463783.129999995</v>
      </c>
      <c r="M89" s="37">
        <f t="shared" si="14"/>
        <v>26147.841444722642</v>
      </c>
      <c r="N89" s="36">
        <f t="shared" si="10"/>
        <v>18.689610381104139</v>
      </c>
      <c r="O89" s="39">
        <f t="shared" si="15"/>
        <v>0</v>
      </c>
      <c r="P89" s="39">
        <f t="shared" si="16"/>
        <v>0</v>
      </c>
      <c r="Q89" s="39">
        <f t="shared" si="17"/>
        <v>0</v>
      </c>
    </row>
    <row r="90" spans="1:17" x14ac:dyDescent="0.3">
      <c r="A90" s="6">
        <v>89</v>
      </c>
      <c r="B90" s="6" t="s">
        <v>709</v>
      </c>
      <c r="C90" s="27" t="s">
        <v>453</v>
      </c>
      <c r="D90" s="27" t="s">
        <v>454</v>
      </c>
      <c r="E90" s="28">
        <v>45565</v>
      </c>
      <c r="F90" s="28">
        <v>45929</v>
      </c>
      <c r="G90" s="29">
        <v>344200000</v>
      </c>
      <c r="H90" s="29">
        <v>1037889</v>
      </c>
      <c r="I90" s="36">
        <f t="shared" si="11"/>
        <v>250000000</v>
      </c>
      <c r="J90" s="37">
        <f t="shared" si="12"/>
        <v>753841.51656013948</v>
      </c>
      <c r="K90" s="38">
        <f t="shared" si="13"/>
        <v>72.632190586868091</v>
      </c>
      <c r="L90" s="36">
        <f t="shared" si="9"/>
        <v>94200000</v>
      </c>
      <c r="M90" s="37">
        <f t="shared" si="14"/>
        <v>284047.48343986057</v>
      </c>
      <c r="N90" s="36">
        <f t="shared" si="10"/>
        <v>27.367809413131898</v>
      </c>
      <c r="O90" s="39">
        <f t="shared" si="15"/>
        <v>0</v>
      </c>
      <c r="P90" s="39">
        <f t="shared" si="16"/>
        <v>0</v>
      </c>
      <c r="Q90" s="39">
        <f t="shared" si="17"/>
        <v>0</v>
      </c>
    </row>
    <row r="91" spans="1:17" x14ac:dyDescent="0.3">
      <c r="A91" s="6">
        <v>90</v>
      </c>
      <c r="B91" s="6" t="s">
        <v>710</v>
      </c>
      <c r="C91" s="27" t="s">
        <v>455</v>
      </c>
      <c r="D91" s="27" t="s">
        <v>456</v>
      </c>
      <c r="E91" s="28">
        <v>45519</v>
      </c>
      <c r="F91" s="28">
        <v>45884</v>
      </c>
      <c r="G91" s="29">
        <v>600000000</v>
      </c>
      <c r="H91" s="29">
        <v>1237042.97</v>
      </c>
      <c r="I91" s="36">
        <f t="shared" si="11"/>
        <v>250000000</v>
      </c>
      <c r="J91" s="37">
        <f t="shared" si="12"/>
        <v>515434.57083333336</v>
      </c>
      <c r="K91" s="38">
        <f t="shared" si="13"/>
        <v>41.666666666666671</v>
      </c>
      <c r="L91" s="36">
        <f t="shared" si="9"/>
        <v>350000000</v>
      </c>
      <c r="M91" s="37">
        <f t="shared" si="14"/>
        <v>721608.39916666667</v>
      </c>
      <c r="N91" s="36">
        <f t="shared" si="10"/>
        <v>58.333333333333336</v>
      </c>
      <c r="O91" s="39">
        <f t="shared" si="15"/>
        <v>0</v>
      </c>
      <c r="P91" s="39">
        <f t="shared" si="16"/>
        <v>0</v>
      </c>
      <c r="Q91" s="39">
        <f t="shared" si="17"/>
        <v>0</v>
      </c>
    </row>
    <row r="92" spans="1:17" x14ac:dyDescent="0.3">
      <c r="A92" s="6">
        <v>91</v>
      </c>
      <c r="B92" s="6" t="s">
        <v>711</v>
      </c>
      <c r="C92" s="27" t="s">
        <v>457</v>
      </c>
      <c r="D92" s="27" t="s">
        <v>458</v>
      </c>
      <c r="E92" s="28">
        <v>45474</v>
      </c>
      <c r="F92" s="28">
        <v>45565</v>
      </c>
      <c r="G92" s="29">
        <v>1400000000</v>
      </c>
      <c r="H92" s="29">
        <v>525615.24</v>
      </c>
      <c r="I92" s="36">
        <f t="shared" si="11"/>
        <v>250000000</v>
      </c>
      <c r="J92" s="37">
        <f t="shared" si="12"/>
        <v>93859.864285714284</v>
      </c>
      <c r="K92" s="38">
        <f t="shared" si="13"/>
        <v>17.857142857142858</v>
      </c>
      <c r="L92" s="36">
        <f t="shared" si="9"/>
        <v>1150000000</v>
      </c>
      <c r="M92" s="37">
        <f t="shared" si="14"/>
        <v>431755.37571428571</v>
      </c>
      <c r="N92" s="36">
        <f t="shared" si="10"/>
        <v>82.142857142857139</v>
      </c>
      <c r="O92" s="39">
        <f t="shared" si="15"/>
        <v>0</v>
      </c>
      <c r="P92" s="39">
        <f t="shared" si="16"/>
        <v>0</v>
      </c>
      <c r="Q92" s="39">
        <f t="shared" si="17"/>
        <v>0</v>
      </c>
    </row>
    <row r="93" spans="1:17" x14ac:dyDescent="0.3">
      <c r="A93" s="6">
        <v>92</v>
      </c>
      <c r="B93" s="6" t="s">
        <v>712</v>
      </c>
      <c r="C93" s="27" t="s">
        <v>459</v>
      </c>
      <c r="D93" s="27" t="s">
        <v>458</v>
      </c>
      <c r="E93" s="28">
        <v>45474</v>
      </c>
      <c r="F93" s="28">
        <v>45565</v>
      </c>
      <c r="G93" s="29">
        <v>480047152.94</v>
      </c>
      <c r="H93" s="29">
        <v>475897.62</v>
      </c>
      <c r="I93" s="36">
        <f t="shared" si="11"/>
        <v>250000000</v>
      </c>
      <c r="J93" s="37">
        <f t="shared" si="12"/>
        <v>247838.99721382232</v>
      </c>
      <c r="K93" s="38">
        <f t="shared" si="13"/>
        <v>52.078217414456141</v>
      </c>
      <c r="L93" s="36">
        <f t="shared" si="9"/>
        <v>230047152.94</v>
      </c>
      <c r="M93" s="37">
        <f t="shared" si="14"/>
        <v>228058.62278617767</v>
      </c>
      <c r="N93" s="36">
        <f t="shared" si="10"/>
        <v>47.921782585543852</v>
      </c>
      <c r="O93" s="39">
        <f t="shared" si="15"/>
        <v>0</v>
      </c>
      <c r="P93" s="39">
        <f t="shared" si="16"/>
        <v>0</v>
      </c>
      <c r="Q93" s="39">
        <f t="shared" si="17"/>
        <v>0</v>
      </c>
    </row>
    <row r="94" spans="1:17" x14ac:dyDescent="0.3">
      <c r="A94" s="6">
        <v>93</v>
      </c>
      <c r="B94" s="6" t="s">
        <v>713</v>
      </c>
      <c r="C94" s="27" t="s">
        <v>460</v>
      </c>
      <c r="D94" s="27" t="s">
        <v>461</v>
      </c>
      <c r="E94" s="28">
        <v>45457</v>
      </c>
      <c r="F94" s="28">
        <v>45914</v>
      </c>
      <c r="G94" s="29">
        <v>7078146408.7299995</v>
      </c>
      <c r="H94" s="29">
        <v>1288869.73</v>
      </c>
      <c r="I94" s="36">
        <f t="shared" si="11"/>
        <v>250000000</v>
      </c>
      <c r="J94" s="37">
        <f t="shared" si="12"/>
        <v>45522.854981155164</v>
      </c>
      <c r="K94" s="38">
        <f t="shared" si="13"/>
        <v>3.5319981470241499</v>
      </c>
      <c r="L94" s="36">
        <f t="shared" ref="L94:L106" si="18">IF(G94-I94&gt;5000000000,5000000000,G94-I94)</f>
        <v>5000000000</v>
      </c>
      <c r="M94" s="37">
        <f t="shared" si="14"/>
        <v>910457.09962310328</v>
      </c>
      <c r="N94" s="36">
        <f t="shared" ref="N94:N106" si="19">L94/G94*100</f>
        <v>70.639962940483002</v>
      </c>
      <c r="O94" s="39">
        <f t="shared" si="15"/>
        <v>1828146408.7299995</v>
      </c>
      <c r="P94" s="39">
        <f t="shared" si="16"/>
        <v>332889.77539574157</v>
      </c>
      <c r="Q94" s="39">
        <f t="shared" si="17"/>
        <v>25.82803891249285</v>
      </c>
    </row>
    <row r="95" spans="1:17" x14ac:dyDescent="0.3">
      <c r="A95" s="6">
        <v>94</v>
      </c>
      <c r="B95" s="6" t="s">
        <v>714</v>
      </c>
      <c r="C95" s="27" t="s">
        <v>462</v>
      </c>
      <c r="D95" s="27" t="s">
        <v>463</v>
      </c>
      <c r="E95" s="28">
        <v>45474</v>
      </c>
      <c r="F95" s="28">
        <v>45566</v>
      </c>
      <c r="G95" s="29">
        <v>763300000</v>
      </c>
      <c r="H95" s="29">
        <v>363294.34</v>
      </c>
      <c r="I95" s="36">
        <f t="shared" si="11"/>
        <v>250000000</v>
      </c>
      <c r="J95" s="37">
        <f t="shared" si="12"/>
        <v>118988.05843049916</v>
      </c>
      <c r="K95" s="38">
        <f t="shared" si="13"/>
        <v>32.752521944189702</v>
      </c>
      <c r="L95" s="36">
        <f t="shared" si="18"/>
        <v>513300000</v>
      </c>
      <c r="M95" s="37">
        <f t="shared" si="14"/>
        <v>244306.28156950089</v>
      </c>
      <c r="N95" s="36">
        <f t="shared" si="19"/>
        <v>67.247478055810291</v>
      </c>
      <c r="O95" s="39">
        <f t="shared" si="15"/>
        <v>0</v>
      </c>
      <c r="P95" s="39">
        <f t="shared" si="16"/>
        <v>0</v>
      </c>
      <c r="Q95" s="39">
        <f t="shared" si="17"/>
        <v>0</v>
      </c>
    </row>
    <row r="96" spans="1:17" x14ac:dyDescent="0.3">
      <c r="A96" s="6">
        <v>95</v>
      </c>
      <c r="B96" s="6" t="s">
        <v>715</v>
      </c>
      <c r="C96" s="27" t="s">
        <v>464</v>
      </c>
      <c r="D96" s="27" t="s">
        <v>465</v>
      </c>
      <c r="E96" s="28">
        <v>45528</v>
      </c>
      <c r="F96" s="28">
        <v>45643</v>
      </c>
      <c r="G96" s="29">
        <v>664179500</v>
      </c>
      <c r="H96" s="29">
        <v>348814.36</v>
      </c>
      <c r="I96" s="36">
        <f t="shared" si="11"/>
        <v>250000000</v>
      </c>
      <c r="J96" s="37">
        <f t="shared" si="12"/>
        <v>131295.21462195084</v>
      </c>
      <c r="K96" s="38">
        <f t="shared" si="13"/>
        <v>37.640427023116487</v>
      </c>
      <c r="L96" s="36">
        <f t="shared" si="18"/>
        <v>414179500</v>
      </c>
      <c r="M96" s="37">
        <f t="shared" si="14"/>
        <v>217519.14537804917</v>
      </c>
      <c r="N96" s="36">
        <f t="shared" si="19"/>
        <v>62.359572976883506</v>
      </c>
      <c r="O96" s="39">
        <f t="shared" si="15"/>
        <v>0</v>
      </c>
      <c r="P96" s="39">
        <f t="shared" si="16"/>
        <v>0</v>
      </c>
      <c r="Q96" s="39">
        <f t="shared" si="17"/>
        <v>0</v>
      </c>
    </row>
    <row r="97" spans="1:17" x14ac:dyDescent="0.3">
      <c r="A97" s="6">
        <v>96</v>
      </c>
      <c r="B97" s="6" t="s">
        <v>716</v>
      </c>
      <c r="C97" s="27" t="s">
        <v>466</v>
      </c>
      <c r="D97" s="27" t="s">
        <v>467</v>
      </c>
      <c r="E97" s="28">
        <v>45474</v>
      </c>
      <c r="F97" s="28">
        <v>45657</v>
      </c>
      <c r="G97" s="29">
        <v>763168999.60000002</v>
      </c>
      <c r="H97" s="29">
        <v>1124864.5</v>
      </c>
      <c r="I97" s="36">
        <f t="shared" si="11"/>
        <v>250000000</v>
      </c>
      <c r="J97" s="37">
        <f t="shared" si="12"/>
        <v>368484.73293254036</v>
      </c>
      <c r="K97" s="38">
        <f t="shared" si="13"/>
        <v>32.758144019349913</v>
      </c>
      <c r="L97" s="36">
        <f t="shared" si="18"/>
        <v>513168999.60000002</v>
      </c>
      <c r="M97" s="37">
        <f t="shared" si="14"/>
        <v>756379.76706745976</v>
      </c>
      <c r="N97" s="36">
        <f t="shared" si="19"/>
        <v>67.241855980650072</v>
      </c>
      <c r="O97" s="39">
        <f t="shared" si="15"/>
        <v>0</v>
      </c>
      <c r="P97" s="39">
        <f t="shared" si="16"/>
        <v>0</v>
      </c>
      <c r="Q97" s="39">
        <f t="shared" si="17"/>
        <v>0</v>
      </c>
    </row>
    <row r="98" spans="1:17" x14ac:dyDescent="0.3">
      <c r="A98" s="6">
        <v>97</v>
      </c>
      <c r="B98" s="6" t="s">
        <v>717</v>
      </c>
      <c r="C98" s="30" t="s">
        <v>468</v>
      </c>
      <c r="D98" s="30" t="s">
        <v>469</v>
      </c>
      <c r="E98" s="31">
        <v>45474</v>
      </c>
      <c r="F98" s="31">
        <v>45565</v>
      </c>
      <c r="G98" s="32">
        <v>2832780000</v>
      </c>
      <c r="H98" s="32">
        <v>1085853.3400000001</v>
      </c>
      <c r="I98" s="36">
        <f t="shared" si="11"/>
        <v>250000000</v>
      </c>
      <c r="J98" s="37">
        <f t="shared" si="12"/>
        <v>95829.303722844706</v>
      </c>
      <c r="K98" s="38">
        <f t="shared" si="13"/>
        <v>8.8252529317490236</v>
      </c>
      <c r="L98" s="36">
        <f t="shared" si="18"/>
        <v>2582780000</v>
      </c>
      <c r="M98" s="37">
        <f t="shared" si="14"/>
        <v>990024.03627715539</v>
      </c>
      <c r="N98" s="36">
        <f t="shared" si="19"/>
        <v>91.174747068250966</v>
      </c>
      <c r="O98" s="39">
        <f t="shared" si="15"/>
        <v>0</v>
      </c>
      <c r="P98" s="39">
        <f t="shared" si="16"/>
        <v>0</v>
      </c>
      <c r="Q98" s="39">
        <f t="shared" si="17"/>
        <v>0</v>
      </c>
    </row>
    <row r="99" spans="1:17" x14ac:dyDescent="0.3">
      <c r="A99" s="6">
        <v>98</v>
      </c>
      <c r="B99" s="6" t="s">
        <v>718</v>
      </c>
      <c r="C99" s="30" t="s">
        <v>470</v>
      </c>
      <c r="D99" s="30" t="s">
        <v>471</v>
      </c>
      <c r="E99" s="31">
        <v>45509</v>
      </c>
      <c r="F99" s="31">
        <v>45873</v>
      </c>
      <c r="G99" s="32">
        <v>398000000</v>
      </c>
      <c r="H99" s="32">
        <v>696008.15</v>
      </c>
      <c r="I99" s="36">
        <f t="shared" si="11"/>
        <v>250000000</v>
      </c>
      <c r="J99" s="37">
        <f t="shared" si="12"/>
        <v>437191.04899497487</v>
      </c>
      <c r="K99" s="38">
        <f t="shared" si="13"/>
        <v>62.814070351758801</v>
      </c>
      <c r="L99" s="36">
        <f t="shared" si="18"/>
        <v>148000000</v>
      </c>
      <c r="M99" s="37">
        <f t="shared" si="14"/>
        <v>258817.10100502512</v>
      </c>
      <c r="N99" s="36">
        <f t="shared" si="19"/>
        <v>37.185929648241206</v>
      </c>
      <c r="O99" s="39">
        <f t="shared" si="15"/>
        <v>0</v>
      </c>
      <c r="P99" s="39">
        <f t="shared" si="16"/>
        <v>0</v>
      </c>
      <c r="Q99" s="39">
        <f t="shared" si="17"/>
        <v>0</v>
      </c>
    </row>
    <row r="100" spans="1:17" x14ac:dyDescent="0.3">
      <c r="A100" s="6">
        <v>99</v>
      </c>
      <c r="B100" s="6" t="s">
        <v>719</v>
      </c>
      <c r="C100" s="30" t="s">
        <v>472</v>
      </c>
      <c r="D100" s="30" t="s">
        <v>473</v>
      </c>
      <c r="E100" s="31">
        <v>45472</v>
      </c>
      <c r="F100" s="31">
        <v>45837</v>
      </c>
      <c r="G100" s="32">
        <v>875367832.60000002</v>
      </c>
      <c r="H100" s="32">
        <v>1635153.12</v>
      </c>
      <c r="I100" s="36">
        <f t="shared" si="11"/>
        <v>250000000</v>
      </c>
      <c r="J100" s="37">
        <f t="shared" si="12"/>
        <v>466990.29228184599</v>
      </c>
      <c r="K100" s="38">
        <f t="shared" si="13"/>
        <v>28.559422758025615</v>
      </c>
      <c r="L100" s="36">
        <f t="shared" si="18"/>
        <v>625367832.60000002</v>
      </c>
      <c r="M100" s="37">
        <f t="shared" si="14"/>
        <v>1168162.8277181543</v>
      </c>
      <c r="N100" s="36">
        <f t="shared" si="19"/>
        <v>71.440577241974381</v>
      </c>
      <c r="O100" s="39">
        <f t="shared" si="15"/>
        <v>0</v>
      </c>
      <c r="P100" s="39">
        <f t="shared" si="16"/>
        <v>0</v>
      </c>
      <c r="Q100" s="39">
        <f t="shared" si="17"/>
        <v>0</v>
      </c>
    </row>
    <row r="101" spans="1:17" x14ac:dyDescent="0.3">
      <c r="A101" s="6">
        <v>100</v>
      </c>
      <c r="B101" s="6" t="s">
        <v>720</v>
      </c>
      <c r="C101" s="30" t="s">
        <v>474</v>
      </c>
      <c r="D101" s="30" t="s">
        <v>475</v>
      </c>
      <c r="E101" s="31">
        <v>45544</v>
      </c>
      <c r="F101" s="31">
        <v>45660</v>
      </c>
      <c r="G101" s="32">
        <v>5331069729.5600004</v>
      </c>
      <c r="H101" s="32">
        <v>1590571.37</v>
      </c>
      <c r="I101" s="36">
        <f t="shared" si="11"/>
        <v>250000000</v>
      </c>
      <c r="J101" s="37">
        <f t="shared" si="12"/>
        <v>74589.69075101921</v>
      </c>
      <c r="K101" s="38">
        <f t="shared" si="13"/>
        <v>4.6894903402554773</v>
      </c>
      <c r="L101" s="36">
        <v>3651782764.75</v>
      </c>
      <c r="M101" s="37">
        <f t="shared" si="14"/>
        <v>1089541.3884504177</v>
      </c>
      <c r="N101" s="36">
        <v>68.5</v>
      </c>
      <c r="O101" s="39">
        <f t="shared" si="15"/>
        <v>1429286964.8100004</v>
      </c>
      <c r="P101" s="39">
        <f t="shared" si="16"/>
        <v>426440.29079856322</v>
      </c>
      <c r="Q101" s="39">
        <f t="shared" si="17"/>
        <v>26.810509659718267</v>
      </c>
    </row>
    <row r="102" spans="1:17" x14ac:dyDescent="0.3">
      <c r="A102" s="6">
        <v>101</v>
      </c>
      <c r="B102" s="6" t="s">
        <v>721</v>
      </c>
      <c r="C102" s="30" t="s">
        <v>476</v>
      </c>
      <c r="D102" s="30" t="s">
        <v>477</v>
      </c>
      <c r="E102" s="31">
        <v>45518</v>
      </c>
      <c r="F102" s="31">
        <v>45882</v>
      </c>
      <c r="G102" s="32">
        <v>777068835</v>
      </c>
      <c r="H102" s="32">
        <v>2822485.2</v>
      </c>
      <c r="I102" s="36">
        <f t="shared" si="11"/>
        <v>250000000</v>
      </c>
      <c r="J102" s="37">
        <f t="shared" si="12"/>
        <v>908055.07597020036</v>
      </c>
      <c r="K102" s="38">
        <f t="shared" si="13"/>
        <v>32.172182017826003</v>
      </c>
      <c r="L102" s="36">
        <f t="shared" si="18"/>
        <v>527068835</v>
      </c>
      <c r="M102" s="37">
        <f t="shared" si="14"/>
        <v>1914430.1240298001</v>
      </c>
      <c r="N102" s="36">
        <f t="shared" si="19"/>
        <v>67.827817982173997</v>
      </c>
      <c r="O102" s="39">
        <f t="shared" si="15"/>
        <v>0</v>
      </c>
      <c r="P102" s="39">
        <f t="shared" si="16"/>
        <v>0</v>
      </c>
      <c r="Q102" s="39">
        <f t="shared" si="17"/>
        <v>0</v>
      </c>
    </row>
    <row r="103" spans="1:17" x14ac:dyDescent="0.3">
      <c r="A103" s="6">
        <v>102</v>
      </c>
      <c r="B103" s="6" t="s">
        <v>722</v>
      </c>
      <c r="C103" s="30" t="s">
        <v>478</v>
      </c>
      <c r="D103" s="30" t="s">
        <v>477</v>
      </c>
      <c r="E103" s="31">
        <v>45547</v>
      </c>
      <c r="F103" s="31">
        <v>45911</v>
      </c>
      <c r="G103" s="32">
        <v>730677621.16999996</v>
      </c>
      <c r="H103" s="32">
        <v>2431401.5</v>
      </c>
      <c r="I103" s="36">
        <f t="shared" si="11"/>
        <v>250000000</v>
      </c>
      <c r="J103" s="37">
        <f t="shared" si="12"/>
        <v>831899.5373454541</v>
      </c>
      <c r="K103" s="38">
        <f t="shared" si="13"/>
        <v>34.214815502312319</v>
      </c>
      <c r="L103" s="36">
        <f t="shared" si="18"/>
        <v>480677621.16999996</v>
      </c>
      <c r="M103" s="37">
        <f t="shared" si="14"/>
        <v>1599501.9626545457</v>
      </c>
      <c r="N103" s="36">
        <f t="shared" si="19"/>
        <v>65.785184497687681</v>
      </c>
      <c r="O103" s="39">
        <f t="shared" si="15"/>
        <v>0</v>
      </c>
      <c r="P103" s="39">
        <f t="shared" si="16"/>
        <v>0</v>
      </c>
      <c r="Q103" s="39">
        <f t="shared" si="17"/>
        <v>0</v>
      </c>
    </row>
    <row r="104" spans="1:17" x14ac:dyDescent="0.3">
      <c r="A104" s="6">
        <v>103</v>
      </c>
      <c r="B104" s="6" t="s">
        <v>723</v>
      </c>
      <c r="C104" s="30" t="s">
        <v>479</v>
      </c>
      <c r="D104" s="30" t="s">
        <v>480</v>
      </c>
      <c r="E104" s="31">
        <v>45524</v>
      </c>
      <c r="F104" s="31">
        <v>45889</v>
      </c>
      <c r="G104" s="32">
        <v>280056594.69</v>
      </c>
      <c r="H104" s="32">
        <v>1726868.52</v>
      </c>
      <c r="I104" s="36">
        <f t="shared" si="11"/>
        <v>250000000</v>
      </c>
      <c r="J104" s="37">
        <f t="shared" si="12"/>
        <v>1541535.3117389574</v>
      </c>
      <c r="K104" s="38">
        <f t="shared" si="13"/>
        <v>89.267671156513842</v>
      </c>
      <c r="L104" s="36">
        <f t="shared" si="18"/>
        <v>30056594.689999998</v>
      </c>
      <c r="M104" s="37">
        <f t="shared" si="14"/>
        <v>185333.20826104257</v>
      </c>
      <c r="N104" s="36">
        <f t="shared" si="19"/>
        <v>10.73232884348616</v>
      </c>
      <c r="O104" s="39">
        <f t="shared" si="15"/>
        <v>0</v>
      </c>
      <c r="P104" s="39">
        <f t="shared" si="16"/>
        <v>0</v>
      </c>
      <c r="Q104" s="39">
        <f t="shared" si="17"/>
        <v>0</v>
      </c>
    </row>
    <row r="105" spans="1:17" x14ac:dyDescent="0.3">
      <c r="A105" s="6">
        <v>104</v>
      </c>
      <c r="B105" s="6" t="s">
        <v>724</v>
      </c>
      <c r="C105" s="30" t="s">
        <v>474</v>
      </c>
      <c r="D105" s="30" t="s">
        <v>475</v>
      </c>
      <c r="E105" s="31">
        <v>45477</v>
      </c>
      <c r="F105" s="31">
        <v>45660</v>
      </c>
      <c r="G105" s="32">
        <v>694717039.23000002</v>
      </c>
      <c r="H105" s="32">
        <v>1915858.19</v>
      </c>
      <c r="I105" s="36">
        <f t="shared" si="11"/>
        <v>250000000</v>
      </c>
      <c r="J105" s="37">
        <f t="shared" si="12"/>
        <v>689438.31870147807</v>
      </c>
      <c r="K105" s="38">
        <f t="shared" si="13"/>
        <v>35.985874231196519</v>
      </c>
      <c r="L105" s="36">
        <f t="shared" si="18"/>
        <v>444717039.23000002</v>
      </c>
      <c r="M105" s="37">
        <f t="shared" si="14"/>
        <v>1226419.871298522</v>
      </c>
      <c r="N105" s="36">
        <f t="shared" si="19"/>
        <v>64.014125768803481</v>
      </c>
      <c r="O105" s="39">
        <f t="shared" si="15"/>
        <v>0</v>
      </c>
      <c r="P105" s="39">
        <f t="shared" si="16"/>
        <v>0</v>
      </c>
      <c r="Q105" s="39">
        <f t="shared" si="17"/>
        <v>0</v>
      </c>
    </row>
    <row r="106" spans="1:17" x14ac:dyDescent="0.3">
      <c r="A106" s="6">
        <v>105</v>
      </c>
      <c r="B106" s="6" t="s">
        <v>725</v>
      </c>
      <c r="C106" s="30" t="s">
        <v>481</v>
      </c>
      <c r="D106" s="30" t="s">
        <v>480</v>
      </c>
      <c r="E106" s="31">
        <v>45524</v>
      </c>
      <c r="F106" s="31">
        <v>45889</v>
      </c>
      <c r="G106" s="32">
        <v>280053894.69</v>
      </c>
      <c r="H106" s="32">
        <v>1726868.51</v>
      </c>
      <c r="I106" s="36">
        <f t="shared" si="11"/>
        <v>250000000</v>
      </c>
      <c r="J106" s="37">
        <f t="shared" si="12"/>
        <v>1541550.1647562536</v>
      </c>
      <c r="K106" s="38">
        <f t="shared" si="13"/>
        <v>89.268531786259373</v>
      </c>
      <c r="L106" s="36">
        <f t="shared" si="18"/>
        <v>30053894.689999998</v>
      </c>
      <c r="M106" s="37">
        <f t="shared" si="14"/>
        <v>185318.34524374636</v>
      </c>
      <c r="N106" s="36">
        <f t="shared" si="19"/>
        <v>10.731468213740627</v>
      </c>
      <c r="O106" s="39">
        <f t="shared" si="15"/>
        <v>0</v>
      </c>
      <c r="P106" s="39">
        <f t="shared" si="16"/>
        <v>0</v>
      </c>
      <c r="Q106" s="39">
        <f t="shared" si="17"/>
        <v>0</v>
      </c>
    </row>
    <row r="107" spans="1:17" x14ac:dyDescent="0.3">
      <c r="A107" s="6">
        <v>106</v>
      </c>
      <c r="B107" s="6" t="s">
        <v>726</v>
      </c>
      <c r="C107" s="27" t="s">
        <v>482</v>
      </c>
      <c r="D107" s="27" t="s">
        <v>483</v>
      </c>
      <c r="E107" s="28">
        <v>45454</v>
      </c>
      <c r="F107" s="28">
        <v>45636</v>
      </c>
      <c r="G107" s="29">
        <v>914894146.30999994</v>
      </c>
      <c r="H107" s="29">
        <v>2654569.3199999998</v>
      </c>
      <c r="I107" s="36">
        <f t="shared" si="11"/>
        <v>250000000</v>
      </c>
      <c r="J107" s="37">
        <f t="shared" si="12"/>
        <v>725376.0805844455</v>
      </c>
      <c r="K107" s="38">
        <f t="shared" si="13"/>
        <v>27.325565586829185</v>
      </c>
      <c r="L107" s="36">
        <v>594681195.10000002</v>
      </c>
      <c r="M107" s="37">
        <f t="shared" si="14"/>
        <v>1725470.0579956479</v>
      </c>
      <c r="N107" s="36">
        <v>65</v>
      </c>
      <c r="O107" s="39">
        <f t="shared" si="15"/>
        <v>70212951.209999919</v>
      </c>
      <c r="P107" s="39">
        <f t="shared" si="16"/>
        <v>203723.18141990656</v>
      </c>
      <c r="Q107" s="39">
        <f t="shared" si="17"/>
        <v>7.6744344133347617</v>
      </c>
    </row>
    <row r="108" spans="1:17" x14ac:dyDescent="0.35">
      <c r="M108" s="41">
        <f>SUM(M2:M107)</f>
        <v>65094334.230806045</v>
      </c>
    </row>
    <row r="109" spans="1:17" x14ac:dyDescent="0.35">
      <c r="M109" s="41"/>
    </row>
    <row r="110" spans="1:17" x14ac:dyDescent="0.35">
      <c r="M110" s="41"/>
    </row>
    <row r="111" spans="1:17" x14ac:dyDescent="0.35">
      <c r="M111" s="41"/>
    </row>
    <row r="112" spans="1:17" x14ac:dyDescent="0.35">
      <c r="M112" s="41"/>
    </row>
    <row r="114" spans="1:17" ht="18.5" x14ac:dyDescent="0.45">
      <c r="A114" s="42"/>
      <c r="B114" s="43"/>
      <c r="C114" s="43"/>
      <c r="D114" s="44"/>
      <c r="E114" s="45" t="s">
        <v>1</v>
      </c>
      <c r="F114" s="46"/>
      <c r="G114" s="45"/>
      <c r="H114" s="47"/>
      <c r="I114" s="46"/>
      <c r="J114" s="43"/>
      <c r="K114" s="43"/>
      <c r="L114" s="43"/>
      <c r="M114" s="43"/>
      <c r="N114" s="43"/>
      <c r="O114" s="48"/>
      <c r="P114" s="48"/>
      <c r="Q114" s="48"/>
    </row>
    <row r="115" spans="1:17" ht="18.5" x14ac:dyDescent="0.45">
      <c r="A115" s="42"/>
      <c r="B115" s="43"/>
      <c r="C115" s="43"/>
      <c r="D115" s="49"/>
      <c r="E115" s="45" t="s">
        <v>484</v>
      </c>
      <c r="F115" s="46"/>
      <c r="G115" s="45"/>
      <c r="H115" s="47"/>
      <c r="I115" s="46"/>
      <c r="J115" s="43"/>
      <c r="K115" s="43"/>
      <c r="L115" s="43"/>
      <c r="M115" s="43"/>
      <c r="N115" s="43"/>
      <c r="O115" s="48"/>
      <c r="P115" s="48"/>
      <c r="Q115" s="48"/>
    </row>
    <row r="116" spans="1:17" ht="18.5" x14ac:dyDescent="0.45">
      <c r="A116" s="42"/>
      <c r="B116" s="43"/>
      <c r="C116" s="43"/>
      <c r="D116" s="44"/>
      <c r="E116" s="45" t="s">
        <v>485</v>
      </c>
      <c r="F116" s="46"/>
      <c r="G116" s="45"/>
      <c r="H116" s="47"/>
      <c r="I116" s="46"/>
      <c r="J116" s="43"/>
      <c r="K116" s="43"/>
      <c r="L116" s="43"/>
      <c r="M116" s="43"/>
      <c r="N116" s="43"/>
      <c r="O116" s="48"/>
      <c r="P116" s="48"/>
      <c r="Q116" s="48"/>
    </row>
    <row r="117" spans="1:17" ht="18.5" x14ac:dyDescent="0.45">
      <c r="A117" s="42"/>
      <c r="B117" s="43" t="s">
        <v>0</v>
      </c>
      <c r="C117" s="43"/>
      <c r="D117" s="44"/>
      <c r="E117" s="50" t="s">
        <v>486</v>
      </c>
      <c r="F117" s="51"/>
      <c r="G117" s="50"/>
      <c r="H117" s="52"/>
      <c r="I117" s="46"/>
      <c r="J117" s="43"/>
      <c r="K117" s="43"/>
      <c r="L117" s="43"/>
      <c r="M117" s="43"/>
      <c r="N117" s="43"/>
      <c r="O117" s="48"/>
      <c r="P117" s="48"/>
      <c r="Q117" s="48"/>
    </row>
    <row r="118" spans="1:17" x14ac:dyDescent="0.35">
      <c r="A118" s="53"/>
      <c r="B118" s="54"/>
      <c r="C118" s="54"/>
      <c r="D118" s="55"/>
      <c r="E118" s="56"/>
      <c r="F118" s="54"/>
      <c r="G118" s="56"/>
      <c r="H118" s="57"/>
      <c r="I118" s="54"/>
      <c r="J118" s="54"/>
      <c r="K118" s="54"/>
      <c r="L118" s="56" t="s">
        <v>487</v>
      </c>
      <c r="M118" s="54"/>
      <c r="N118" s="54"/>
      <c r="O118" s="58"/>
      <c r="P118" s="58"/>
      <c r="Q118" s="58"/>
    </row>
    <row r="119" spans="1:17" x14ac:dyDescent="0.35">
      <c r="A119" s="53" t="s">
        <v>5</v>
      </c>
      <c r="B119" s="59" t="s">
        <v>6</v>
      </c>
      <c r="C119" s="59" t="s">
        <v>7</v>
      </c>
      <c r="D119" s="60" t="s">
        <v>8</v>
      </c>
      <c r="E119" s="56" t="s">
        <v>9</v>
      </c>
      <c r="F119" s="61"/>
      <c r="G119" s="62" t="s">
        <v>10</v>
      </c>
      <c r="H119" s="62" t="s">
        <v>10</v>
      </c>
      <c r="I119" s="62" t="s">
        <v>488</v>
      </c>
      <c r="J119" s="62"/>
      <c r="K119" s="57"/>
      <c r="L119" s="62" t="s">
        <v>489</v>
      </c>
      <c r="M119" s="62"/>
      <c r="N119" s="61"/>
      <c r="O119" s="63" t="s">
        <v>490</v>
      </c>
      <c r="P119" s="58"/>
      <c r="Q119" s="58"/>
    </row>
    <row r="120" spans="1:17" x14ac:dyDescent="0.35">
      <c r="A120" s="53"/>
      <c r="B120" s="62" t="s">
        <v>14</v>
      </c>
      <c r="C120" s="62" t="s">
        <v>491</v>
      </c>
      <c r="D120" s="64"/>
      <c r="E120" s="56" t="s">
        <v>492</v>
      </c>
      <c r="F120" s="61"/>
      <c r="G120" s="59" t="s">
        <v>16</v>
      </c>
      <c r="H120" s="59" t="s">
        <v>17</v>
      </c>
      <c r="I120" s="59" t="s">
        <v>16</v>
      </c>
      <c r="J120" s="59" t="s">
        <v>17</v>
      </c>
      <c r="K120" s="62" t="s">
        <v>18</v>
      </c>
      <c r="L120" s="59" t="s">
        <v>16</v>
      </c>
      <c r="M120" s="62" t="s">
        <v>17</v>
      </c>
      <c r="N120" s="62" t="s">
        <v>18</v>
      </c>
      <c r="O120" s="62" t="s">
        <v>16</v>
      </c>
      <c r="P120" s="62" t="s">
        <v>17</v>
      </c>
      <c r="Q120" s="62" t="s">
        <v>18</v>
      </c>
    </row>
    <row r="121" spans="1:17" x14ac:dyDescent="0.3">
      <c r="A121" s="6">
        <v>1</v>
      </c>
      <c r="B121" s="6" t="s">
        <v>727</v>
      </c>
      <c r="C121" s="27" t="s">
        <v>493</v>
      </c>
      <c r="D121" s="27" t="s">
        <v>494</v>
      </c>
      <c r="E121" s="28">
        <v>45525</v>
      </c>
      <c r="F121" s="28">
        <v>45556</v>
      </c>
      <c r="G121" s="29">
        <v>38030532036.239998</v>
      </c>
      <c r="H121" s="29">
        <v>1882361.75</v>
      </c>
      <c r="I121" s="36">
        <f>IF(G121&gt;50000000,50000000,G121)</f>
        <v>50000000</v>
      </c>
      <c r="J121" s="37">
        <f>H121/G121*I121</f>
        <v>2474.8033346026591</v>
      </c>
      <c r="K121" s="38">
        <f>I121/G121*100</f>
        <v>0.13147331189675199</v>
      </c>
      <c r="L121" s="36">
        <f>IF(G121-I121&gt;250000000,250000000,G121-I121)</f>
        <v>250000000</v>
      </c>
      <c r="M121" s="37">
        <f>H121/G121*L121</f>
        <v>12374.016673013295</v>
      </c>
      <c r="N121" s="36">
        <f>L121/G121*100</f>
        <v>0.65736655948375999</v>
      </c>
      <c r="O121" s="39">
        <f>G121-I121-L121</f>
        <v>37730532036.239998</v>
      </c>
      <c r="P121" s="39">
        <f>H121/G121*O121</f>
        <v>1867512.929992384</v>
      </c>
      <c r="Q121" s="39">
        <f>O121/G121*100</f>
        <v>99.211160128619497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5A7E-5A78-400F-80EC-9C47366876E1}">
  <dimension ref="A1:T38"/>
  <sheetViews>
    <sheetView workbookViewId="0">
      <selection sqref="A1:XFD1"/>
    </sheetView>
  </sheetViews>
  <sheetFormatPr defaultRowHeight="14.5" x14ac:dyDescent="0.35"/>
  <cols>
    <col min="1" max="1" width="9.1796875" style="7"/>
    <col min="2" max="2" width="19.54296875" style="7" customWidth="1"/>
    <col min="3" max="3" width="28.81640625" style="7" customWidth="1"/>
    <col min="4" max="4" width="51.81640625" style="7" customWidth="1"/>
    <col min="5" max="5" width="13.7265625" style="7" customWidth="1"/>
    <col min="6" max="6" width="17.81640625" style="7" customWidth="1"/>
    <col min="7" max="7" width="21.54296875" style="7" customWidth="1"/>
    <col min="8" max="8" width="16.453125" style="7" customWidth="1"/>
    <col min="9" max="9" width="21.453125" style="7" customWidth="1"/>
    <col min="10" max="10" width="16" style="7" customWidth="1"/>
    <col min="11" max="11" width="11.7265625" style="7" customWidth="1"/>
    <col min="12" max="12" width="21.453125" style="7" customWidth="1"/>
    <col min="13" max="13" width="18.7265625" style="7" customWidth="1"/>
    <col min="14" max="14" width="9.1796875" style="7"/>
    <col min="15" max="15" width="25.81640625" style="7" customWidth="1"/>
    <col min="16" max="16" width="20.453125" style="7" customWidth="1"/>
    <col min="17" max="257" width="9.1796875" style="7"/>
    <col min="258" max="258" width="12.54296875" style="7" customWidth="1"/>
    <col min="259" max="259" width="25" style="7" bestFit="1" customWidth="1"/>
    <col min="260" max="260" width="51.81640625" style="7" customWidth="1"/>
    <col min="261" max="261" width="13.7265625" style="7" customWidth="1"/>
    <col min="262" max="262" width="17.81640625" style="7" customWidth="1"/>
    <col min="263" max="263" width="21.54296875" style="7" customWidth="1"/>
    <col min="264" max="264" width="16.453125" style="7" customWidth="1"/>
    <col min="265" max="265" width="21.453125" style="7" customWidth="1"/>
    <col min="266" max="266" width="16" style="7" customWidth="1"/>
    <col min="267" max="267" width="11.7265625" style="7" customWidth="1"/>
    <col min="268" max="268" width="21.453125" style="7" customWidth="1"/>
    <col min="269" max="269" width="18.7265625" style="7" customWidth="1"/>
    <col min="270" max="270" width="9.1796875" style="7"/>
    <col min="271" max="271" width="25.81640625" style="7" customWidth="1"/>
    <col min="272" max="272" width="20.453125" style="7" customWidth="1"/>
    <col min="273" max="513" width="9.1796875" style="7"/>
    <col min="514" max="514" width="12.54296875" style="7" customWidth="1"/>
    <col min="515" max="515" width="25" style="7" bestFit="1" customWidth="1"/>
    <col min="516" max="516" width="51.81640625" style="7" customWidth="1"/>
    <col min="517" max="517" width="13.7265625" style="7" customWidth="1"/>
    <col min="518" max="518" width="17.81640625" style="7" customWidth="1"/>
    <col min="519" max="519" width="21.54296875" style="7" customWidth="1"/>
    <col min="520" max="520" width="16.453125" style="7" customWidth="1"/>
    <col min="521" max="521" width="21.453125" style="7" customWidth="1"/>
    <col min="522" max="522" width="16" style="7" customWidth="1"/>
    <col min="523" max="523" width="11.7265625" style="7" customWidth="1"/>
    <col min="524" max="524" width="21.453125" style="7" customWidth="1"/>
    <col min="525" max="525" width="18.7265625" style="7" customWidth="1"/>
    <col min="526" max="526" width="9.1796875" style="7"/>
    <col min="527" max="527" width="25.81640625" style="7" customWidth="1"/>
    <col min="528" max="528" width="20.453125" style="7" customWidth="1"/>
    <col min="529" max="769" width="9.1796875" style="7"/>
    <col min="770" max="770" width="12.54296875" style="7" customWidth="1"/>
    <col min="771" max="771" width="25" style="7" bestFit="1" customWidth="1"/>
    <col min="772" max="772" width="51.81640625" style="7" customWidth="1"/>
    <col min="773" max="773" width="13.7265625" style="7" customWidth="1"/>
    <col min="774" max="774" width="17.81640625" style="7" customWidth="1"/>
    <col min="775" max="775" width="21.54296875" style="7" customWidth="1"/>
    <col min="776" max="776" width="16.453125" style="7" customWidth="1"/>
    <col min="777" max="777" width="21.453125" style="7" customWidth="1"/>
    <col min="778" max="778" width="16" style="7" customWidth="1"/>
    <col min="779" max="779" width="11.7265625" style="7" customWidth="1"/>
    <col min="780" max="780" width="21.453125" style="7" customWidth="1"/>
    <col min="781" max="781" width="18.7265625" style="7" customWidth="1"/>
    <col min="782" max="782" width="9.1796875" style="7"/>
    <col min="783" max="783" width="25.81640625" style="7" customWidth="1"/>
    <col min="784" max="784" width="20.453125" style="7" customWidth="1"/>
    <col min="785" max="1025" width="9.1796875" style="7"/>
    <col min="1026" max="1026" width="12.54296875" style="7" customWidth="1"/>
    <col min="1027" max="1027" width="25" style="7" bestFit="1" customWidth="1"/>
    <col min="1028" max="1028" width="51.81640625" style="7" customWidth="1"/>
    <col min="1029" max="1029" width="13.7265625" style="7" customWidth="1"/>
    <col min="1030" max="1030" width="17.81640625" style="7" customWidth="1"/>
    <col min="1031" max="1031" width="21.54296875" style="7" customWidth="1"/>
    <col min="1032" max="1032" width="16.453125" style="7" customWidth="1"/>
    <col min="1033" max="1033" width="21.453125" style="7" customWidth="1"/>
    <col min="1034" max="1034" width="16" style="7" customWidth="1"/>
    <col min="1035" max="1035" width="11.7265625" style="7" customWidth="1"/>
    <col min="1036" max="1036" width="21.453125" style="7" customWidth="1"/>
    <col min="1037" max="1037" width="18.7265625" style="7" customWidth="1"/>
    <col min="1038" max="1038" width="9.1796875" style="7"/>
    <col min="1039" max="1039" width="25.81640625" style="7" customWidth="1"/>
    <col min="1040" max="1040" width="20.453125" style="7" customWidth="1"/>
    <col min="1041" max="1281" width="9.1796875" style="7"/>
    <col min="1282" max="1282" width="12.54296875" style="7" customWidth="1"/>
    <col min="1283" max="1283" width="25" style="7" bestFit="1" customWidth="1"/>
    <col min="1284" max="1284" width="51.81640625" style="7" customWidth="1"/>
    <col min="1285" max="1285" width="13.7265625" style="7" customWidth="1"/>
    <col min="1286" max="1286" width="17.81640625" style="7" customWidth="1"/>
    <col min="1287" max="1287" width="21.54296875" style="7" customWidth="1"/>
    <col min="1288" max="1288" width="16.453125" style="7" customWidth="1"/>
    <col min="1289" max="1289" width="21.453125" style="7" customWidth="1"/>
    <col min="1290" max="1290" width="16" style="7" customWidth="1"/>
    <col min="1291" max="1291" width="11.7265625" style="7" customWidth="1"/>
    <col min="1292" max="1292" width="21.453125" style="7" customWidth="1"/>
    <col min="1293" max="1293" width="18.7265625" style="7" customWidth="1"/>
    <col min="1294" max="1294" width="9.1796875" style="7"/>
    <col min="1295" max="1295" width="25.81640625" style="7" customWidth="1"/>
    <col min="1296" max="1296" width="20.453125" style="7" customWidth="1"/>
    <col min="1297" max="1537" width="9.1796875" style="7"/>
    <col min="1538" max="1538" width="12.54296875" style="7" customWidth="1"/>
    <col min="1539" max="1539" width="25" style="7" bestFit="1" customWidth="1"/>
    <col min="1540" max="1540" width="51.81640625" style="7" customWidth="1"/>
    <col min="1541" max="1541" width="13.7265625" style="7" customWidth="1"/>
    <col min="1542" max="1542" width="17.81640625" style="7" customWidth="1"/>
    <col min="1543" max="1543" width="21.54296875" style="7" customWidth="1"/>
    <col min="1544" max="1544" width="16.453125" style="7" customWidth="1"/>
    <col min="1545" max="1545" width="21.453125" style="7" customWidth="1"/>
    <col min="1546" max="1546" width="16" style="7" customWidth="1"/>
    <col min="1547" max="1547" width="11.7265625" style="7" customWidth="1"/>
    <col min="1548" max="1548" width="21.453125" style="7" customWidth="1"/>
    <col min="1549" max="1549" width="18.7265625" style="7" customWidth="1"/>
    <col min="1550" max="1550" width="9.1796875" style="7"/>
    <col min="1551" max="1551" width="25.81640625" style="7" customWidth="1"/>
    <col min="1552" max="1552" width="20.453125" style="7" customWidth="1"/>
    <col min="1553" max="1793" width="9.1796875" style="7"/>
    <col min="1794" max="1794" width="12.54296875" style="7" customWidth="1"/>
    <col min="1795" max="1795" width="25" style="7" bestFit="1" customWidth="1"/>
    <col min="1796" max="1796" width="51.81640625" style="7" customWidth="1"/>
    <col min="1797" max="1797" width="13.7265625" style="7" customWidth="1"/>
    <col min="1798" max="1798" width="17.81640625" style="7" customWidth="1"/>
    <col min="1799" max="1799" width="21.54296875" style="7" customWidth="1"/>
    <col min="1800" max="1800" width="16.453125" style="7" customWidth="1"/>
    <col min="1801" max="1801" width="21.453125" style="7" customWidth="1"/>
    <col min="1802" max="1802" width="16" style="7" customWidth="1"/>
    <col min="1803" max="1803" width="11.7265625" style="7" customWidth="1"/>
    <col min="1804" max="1804" width="21.453125" style="7" customWidth="1"/>
    <col min="1805" max="1805" width="18.7265625" style="7" customWidth="1"/>
    <col min="1806" max="1806" width="9.1796875" style="7"/>
    <col min="1807" max="1807" width="25.81640625" style="7" customWidth="1"/>
    <col min="1808" max="1808" width="20.453125" style="7" customWidth="1"/>
    <col min="1809" max="2049" width="9.1796875" style="7"/>
    <col min="2050" max="2050" width="12.54296875" style="7" customWidth="1"/>
    <col min="2051" max="2051" width="25" style="7" bestFit="1" customWidth="1"/>
    <col min="2052" max="2052" width="51.81640625" style="7" customWidth="1"/>
    <col min="2053" max="2053" width="13.7265625" style="7" customWidth="1"/>
    <col min="2054" max="2054" width="17.81640625" style="7" customWidth="1"/>
    <col min="2055" max="2055" width="21.54296875" style="7" customWidth="1"/>
    <col min="2056" max="2056" width="16.453125" style="7" customWidth="1"/>
    <col min="2057" max="2057" width="21.453125" style="7" customWidth="1"/>
    <col min="2058" max="2058" width="16" style="7" customWidth="1"/>
    <col min="2059" max="2059" width="11.7265625" style="7" customWidth="1"/>
    <col min="2060" max="2060" width="21.453125" style="7" customWidth="1"/>
    <col min="2061" max="2061" width="18.7265625" style="7" customWidth="1"/>
    <col min="2062" max="2062" width="9.1796875" style="7"/>
    <col min="2063" max="2063" width="25.81640625" style="7" customWidth="1"/>
    <col min="2064" max="2064" width="20.453125" style="7" customWidth="1"/>
    <col min="2065" max="2305" width="9.1796875" style="7"/>
    <col min="2306" max="2306" width="12.54296875" style="7" customWidth="1"/>
    <col min="2307" max="2307" width="25" style="7" bestFit="1" customWidth="1"/>
    <col min="2308" max="2308" width="51.81640625" style="7" customWidth="1"/>
    <col min="2309" max="2309" width="13.7265625" style="7" customWidth="1"/>
    <col min="2310" max="2310" width="17.81640625" style="7" customWidth="1"/>
    <col min="2311" max="2311" width="21.54296875" style="7" customWidth="1"/>
    <col min="2312" max="2312" width="16.453125" style="7" customWidth="1"/>
    <col min="2313" max="2313" width="21.453125" style="7" customWidth="1"/>
    <col min="2314" max="2314" width="16" style="7" customWidth="1"/>
    <col min="2315" max="2315" width="11.7265625" style="7" customWidth="1"/>
    <col min="2316" max="2316" width="21.453125" style="7" customWidth="1"/>
    <col min="2317" max="2317" width="18.7265625" style="7" customWidth="1"/>
    <col min="2318" max="2318" width="9.1796875" style="7"/>
    <col min="2319" max="2319" width="25.81640625" style="7" customWidth="1"/>
    <col min="2320" max="2320" width="20.453125" style="7" customWidth="1"/>
    <col min="2321" max="2561" width="9.1796875" style="7"/>
    <col min="2562" max="2562" width="12.54296875" style="7" customWidth="1"/>
    <col min="2563" max="2563" width="25" style="7" bestFit="1" customWidth="1"/>
    <col min="2564" max="2564" width="51.81640625" style="7" customWidth="1"/>
    <col min="2565" max="2565" width="13.7265625" style="7" customWidth="1"/>
    <col min="2566" max="2566" width="17.81640625" style="7" customWidth="1"/>
    <col min="2567" max="2567" width="21.54296875" style="7" customWidth="1"/>
    <col min="2568" max="2568" width="16.453125" style="7" customWidth="1"/>
    <col min="2569" max="2569" width="21.453125" style="7" customWidth="1"/>
    <col min="2570" max="2570" width="16" style="7" customWidth="1"/>
    <col min="2571" max="2571" width="11.7265625" style="7" customWidth="1"/>
    <col min="2572" max="2572" width="21.453125" style="7" customWidth="1"/>
    <col min="2573" max="2573" width="18.7265625" style="7" customWidth="1"/>
    <col min="2574" max="2574" width="9.1796875" style="7"/>
    <col min="2575" max="2575" width="25.81640625" style="7" customWidth="1"/>
    <col min="2576" max="2576" width="20.453125" style="7" customWidth="1"/>
    <col min="2577" max="2817" width="9.1796875" style="7"/>
    <col min="2818" max="2818" width="12.54296875" style="7" customWidth="1"/>
    <col min="2819" max="2819" width="25" style="7" bestFit="1" customWidth="1"/>
    <col min="2820" max="2820" width="51.81640625" style="7" customWidth="1"/>
    <col min="2821" max="2821" width="13.7265625" style="7" customWidth="1"/>
    <col min="2822" max="2822" width="17.81640625" style="7" customWidth="1"/>
    <col min="2823" max="2823" width="21.54296875" style="7" customWidth="1"/>
    <col min="2824" max="2824" width="16.453125" style="7" customWidth="1"/>
    <col min="2825" max="2825" width="21.453125" style="7" customWidth="1"/>
    <col min="2826" max="2826" width="16" style="7" customWidth="1"/>
    <col min="2827" max="2827" width="11.7265625" style="7" customWidth="1"/>
    <col min="2828" max="2828" width="21.453125" style="7" customWidth="1"/>
    <col min="2829" max="2829" width="18.7265625" style="7" customWidth="1"/>
    <col min="2830" max="2830" width="9.1796875" style="7"/>
    <col min="2831" max="2831" width="25.81640625" style="7" customWidth="1"/>
    <col min="2832" max="2832" width="20.453125" style="7" customWidth="1"/>
    <col min="2833" max="3073" width="9.1796875" style="7"/>
    <col min="3074" max="3074" width="12.54296875" style="7" customWidth="1"/>
    <col min="3075" max="3075" width="25" style="7" bestFit="1" customWidth="1"/>
    <col min="3076" max="3076" width="51.81640625" style="7" customWidth="1"/>
    <col min="3077" max="3077" width="13.7265625" style="7" customWidth="1"/>
    <col min="3078" max="3078" width="17.81640625" style="7" customWidth="1"/>
    <col min="3079" max="3079" width="21.54296875" style="7" customWidth="1"/>
    <col min="3080" max="3080" width="16.453125" style="7" customWidth="1"/>
    <col min="3081" max="3081" width="21.453125" style="7" customWidth="1"/>
    <col min="3082" max="3082" width="16" style="7" customWidth="1"/>
    <col min="3083" max="3083" width="11.7265625" style="7" customWidth="1"/>
    <col min="3084" max="3084" width="21.453125" style="7" customWidth="1"/>
    <col min="3085" max="3085" width="18.7265625" style="7" customWidth="1"/>
    <col min="3086" max="3086" width="9.1796875" style="7"/>
    <col min="3087" max="3087" width="25.81640625" style="7" customWidth="1"/>
    <col min="3088" max="3088" width="20.453125" style="7" customWidth="1"/>
    <col min="3089" max="3329" width="9.1796875" style="7"/>
    <col min="3330" max="3330" width="12.54296875" style="7" customWidth="1"/>
    <col min="3331" max="3331" width="25" style="7" bestFit="1" customWidth="1"/>
    <col min="3332" max="3332" width="51.81640625" style="7" customWidth="1"/>
    <col min="3333" max="3333" width="13.7265625" style="7" customWidth="1"/>
    <col min="3334" max="3334" width="17.81640625" style="7" customWidth="1"/>
    <col min="3335" max="3335" width="21.54296875" style="7" customWidth="1"/>
    <col min="3336" max="3336" width="16.453125" style="7" customWidth="1"/>
    <col min="3337" max="3337" width="21.453125" style="7" customWidth="1"/>
    <col min="3338" max="3338" width="16" style="7" customWidth="1"/>
    <col min="3339" max="3339" width="11.7265625" style="7" customWidth="1"/>
    <col min="3340" max="3340" width="21.453125" style="7" customWidth="1"/>
    <col min="3341" max="3341" width="18.7265625" style="7" customWidth="1"/>
    <col min="3342" max="3342" width="9.1796875" style="7"/>
    <col min="3343" max="3343" width="25.81640625" style="7" customWidth="1"/>
    <col min="3344" max="3344" width="20.453125" style="7" customWidth="1"/>
    <col min="3345" max="3585" width="9.1796875" style="7"/>
    <col min="3586" max="3586" width="12.54296875" style="7" customWidth="1"/>
    <col min="3587" max="3587" width="25" style="7" bestFit="1" customWidth="1"/>
    <col min="3588" max="3588" width="51.81640625" style="7" customWidth="1"/>
    <col min="3589" max="3589" width="13.7265625" style="7" customWidth="1"/>
    <col min="3590" max="3590" width="17.81640625" style="7" customWidth="1"/>
    <col min="3591" max="3591" width="21.54296875" style="7" customWidth="1"/>
    <col min="3592" max="3592" width="16.453125" style="7" customWidth="1"/>
    <col min="3593" max="3593" width="21.453125" style="7" customWidth="1"/>
    <col min="3594" max="3594" width="16" style="7" customWidth="1"/>
    <col min="3595" max="3595" width="11.7265625" style="7" customWidth="1"/>
    <col min="3596" max="3596" width="21.453125" style="7" customWidth="1"/>
    <col min="3597" max="3597" width="18.7265625" style="7" customWidth="1"/>
    <col min="3598" max="3598" width="9.1796875" style="7"/>
    <col min="3599" max="3599" width="25.81640625" style="7" customWidth="1"/>
    <col min="3600" max="3600" width="20.453125" style="7" customWidth="1"/>
    <col min="3601" max="3841" width="9.1796875" style="7"/>
    <col min="3842" max="3842" width="12.54296875" style="7" customWidth="1"/>
    <col min="3843" max="3843" width="25" style="7" bestFit="1" customWidth="1"/>
    <col min="3844" max="3844" width="51.81640625" style="7" customWidth="1"/>
    <col min="3845" max="3845" width="13.7265625" style="7" customWidth="1"/>
    <col min="3846" max="3846" width="17.81640625" style="7" customWidth="1"/>
    <col min="3847" max="3847" width="21.54296875" style="7" customWidth="1"/>
    <col min="3848" max="3848" width="16.453125" style="7" customWidth="1"/>
    <col min="3849" max="3849" width="21.453125" style="7" customWidth="1"/>
    <col min="3850" max="3850" width="16" style="7" customWidth="1"/>
    <col min="3851" max="3851" width="11.7265625" style="7" customWidth="1"/>
    <col min="3852" max="3852" width="21.453125" style="7" customWidth="1"/>
    <col min="3853" max="3853" width="18.7265625" style="7" customWidth="1"/>
    <col min="3854" max="3854" width="9.1796875" style="7"/>
    <col min="3855" max="3855" width="25.81640625" style="7" customWidth="1"/>
    <col min="3856" max="3856" width="20.453125" style="7" customWidth="1"/>
    <col min="3857" max="4097" width="9.1796875" style="7"/>
    <col min="4098" max="4098" width="12.54296875" style="7" customWidth="1"/>
    <col min="4099" max="4099" width="25" style="7" bestFit="1" customWidth="1"/>
    <col min="4100" max="4100" width="51.81640625" style="7" customWidth="1"/>
    <col min="4101" max="4101" width="13.7265625" style="7" customWidth="1"/>
    <col min="4102" max="4102" width="17.81640625" style="7" customWidth="1"/>
    <col min="4103" max="4103" width="21.54296875" style="7" customWidth="1"/>
    <col min="4104" max="4104" width="16.453125" style="7" customWidth="1"/>
    <col min="4105" max="4105" width="21.453125" style="7" customWidth="1"/>
    <col min="4106" max="4106" width="16" style="7" customWidth="1"/>
    <col min="4107" max="4107" width="11.7265625" style="7" customWidth="1"/>
    <col min="4108" max="4108" width="21.453125" style="7" customWidth="1"/>
    <col min="4109" max="4109" width="18.7265625" style="7" customWidth="1"/>
    <col min="4110" max="4110" width="9.1796875" style="7"/>
    <col min="4111" max="4111" width="25.81640625" style="7" customWidth="1"/>
    <col min="4112" max="4112" width="20.453125" style="7" customWidth="1"/>
    <col min="4113" max="4353" width="9.1796875" style="7"/>
    <col min="4354" max="4354" width="12.54296875" style="7" customWidth="1"/>
    <col min="4355" max="4355" width="25" style="7" bestFit="1" customWidth="1"/>
    <col min="4356" max="4356" width="51.81640625" style="7" customWidth="1"/>
    <col min="4357" max="4357" width="13.7265625" style="7" customWidth="1"/>
    <col min="4358" max="4358" width="17.81640625" style="7" customWidth="1"/>
    <col min="4359" max="4359" width="21.54296875" style="7" customWidth="1"/>
    <col min="4360" max="4360" width="16.453125" style="7" customWidth="1"/>
    <col min="4361" max="4361" width="21.453125" style="7" customWidth="1"/>
    <col min="4362" max="4362" width="16" style="7" customWidth="1"/>
    <col min="4363" max="4363" width="11.7265625" style="7" customWidth="1"/>
    <col min="4364" max="4364" width="21.453125" style="7" customWidth="1"/>
    <col min="4365" max="4365" width="18.7265625" style="7" customWidth="1"/>
    <col min="4366" max="4366" width="9.1796875" style="7"/>
    <col min="4367" max="4367" width="25.81640625" style="7" customWidth="1"/>
    <col min="4368" max="4368" width="20.453125" style="7" customWidth="1"/>
    <col min="4369" max="4609" width="9.1796875" style="7"/>
    <col min="4610" max="4610" width="12.54296875" style="7" customWidth="1"/>
    <col min="4611" max="4611" width="25" style="7" bestFit="1" customWidth="1"/>
    <col min="4612" max="4612" width="51.81640625" style="7" customWidth="1"/>
    <col min="4613" max="4613" width="13.7265625" style="7" customWidth="1"/>
    <col min="4614" max="4614" width="17.81640625" style="7" customWidth="1"/>
    <col min="4615" max="4615" width="21.54296875" style="7" customWidth="1"/>
    <col min="4616" max="4616" width="16.453125" style="7" customWidth="1"/>
    <col min="4617" max="4617" width="21.453125" style="7" customWidth="1"/>
    <col min="4618" max="4618" width="16" style="7" customWidth="1"/>
    <col min="4619" max="4619" width="11.7265625" style="7" customWidth="1"/>
    <col min="4620" max="4620" width="21.453125" style="7" customWidth="1"/>
    <col min="4621" max="4621" width="18.7265625" style="7" customWidth="1"/>
    <col min="4622" max="4622" width="9.1796875" style="7"/>
    <col min="4623" max="4623" width="25.81640625" style="7" customWidth="1"/>
    <col min="4624" max="4624" width="20.453125" style="7" customWidth="1"/>
    <col min="4625" max="4865" width="9.1796875" style="7"/>
    <col min="4866" max="4866" width="12.54296875" style="7" customWidth="1"/>
    <col min="4867" max="4867" width="25" style="7" bestFit="1" customWidth="1"/>
    <col min="4868" max="4868" width="51.81640625" style="7" customWidth="1"/>
    <col min="4869" max="4869" width="13.7265625" style="7" customWidth="1"/>
    <col min="4870" max="4870" width="17.81640625" style="7" customWidth="1"/>
    <col min="4871" max="4871" width="21.54296875" style="7" customWidth="1"/>
    <col min="4872" max="4872" width="16.453125" style="7" customWidth="1"/>
    <col min="4873" max="4873" width="21.453125" style="7" customWidth="1"/>
    <col min="4874" max="4874" width="16" style="7" customWidth="1"/>
    <col min="4875" max="4875" width="11.7265625" style="7" customWidth="1"/>
    <col min="4876" max="4876" width="21.453125" style="7" customWidth="1"/>
    <col min="4877" max="4877" width="18.7265625" style="7" customWidth="1"/>
    <col min="4878" max="4878" width="9.1796875" style="7"/>
    <col min="4879" max="4879" width="25.81640625" style="7" customWidth="1"/>
    <col min="4880" max="4880" width="20.453125" style="7" customWidth="1"/>
    <col min="4881" max="5121" width="9.1796875" style="7"/>
    <col min="5122" max="5122" width="12.54296875" style="7" customWidth="1"/>
    <col min="5123" max="5123" width="25" style="7" bestFit="1" customWidth="1"/>
    <col min="5124" max="5124" width="51.81640625" style="7" customWidth="1"/>
    <col min="5125" max="5125" width="13.7265625" style="7" customWidth="1"/>
    <col min="5126" max="5126" width="17.81640625" style="7" customWidth="1"/>
    <col min="5127" max="5127" width="21.54296875" style="7" customWidth="1"/>
    <col min="5128" max="5128" width="16.453125" style="7" customWidth="1"/>
    <col min="5129" max="5129" width="21.453125" style="7" customWidth="1"/>
    <col min="5130" max="5130" width="16" style="7" customWidth="1"/>
    <col min="5131" max="5131" width="11.7265625" style="7" customWidth="1"/>
    <col min="5132" max="5132" width="21.453125" style="7" customWidth="1"/>
    <col min="5133" max="5133" width="18.7265625" style="7" customWidth="1"/>
    <col min="5134" max="5134" width="9.1796875" style="7"/>
    <col min="5135" max="5135" width="25.81640625" style="7" customWidth="1"/>
    <col min="5136" max="5136" width="20.453125" style="7" customWidth="1"/>
    <col min="5137" max="5377" width="9.1796875" style="7"/>
    <col min="5378" max="5378" width="12.54296875" style="7" customWidth="1"/>
    <col min="5379" max="5379" width="25" style="7" bestFit="1" customWidth="1"/>
    <col min="5380" max="5380" width="51.81640625" style="7" customWidth="1"/>
    <col min="5381" max="5381" width="13.7265625" style="7" customWidth="1"/>
    <col min="5382" max="5382" width="17.81640625" style="7" customWidth="1"/>
    <col min="5383" max="5383" width="21.54296875" style="7" customWidth="1"/>
    <col min="5384" max="5384" width="16.453125" style="7" customWidth="1"/>
    <col min="5385" max="5385" width="21.453125" style="7" customWidth="1"/>
    <col min="5386" max="5386" width="16" style="7" customWidth="1"/>
    <col min="5387" max="5387" width="11.7265625" style="7" customWidth="1"/>
    <col min="5388" max="5388" width="21.453125" style="7" customWidth="1"/>
    <col min="5389" max="5389" width="18.7265625" style="7" customWidth="1"/>
    <col min="5390" max="5390" width="9.1796875" style="7"/>
    <col min="5391" max="5391" width="25.81640625" style="7" customWidth="1"/>
    <col min="5392" max="5392" width="20.453125" style="7" customWidth="1"/>
    <col min="5393" max="5633" width="9.1796875" style="7"/>
    <col min="5634" max="5634" width="12.54296875" style="7" customWidth="1"/>
    <col min="5635" max="5635" width="25" style="7" bestFit="1" customWidth="1"/>
    <col min="5636" max="5636" width="51.81640625" style="7" customWidth="1"/>
    <col min="5637" max="5637" width="13.7265625" style="7" customWidth="1"/>
    <col min="5638" max="5638" width="17.81640625" style="7" customWidth="1"/>
    <col min="5639" max="5639" width="21.54296875" style="7" customWidth="1"/>
    <col min="5640" max="5640" width="16.453125" style="7" customWidth="1"/>
    <col min="5641" max="5641" width="21.453125" style="7" customWidth="1"/>
    <col min="5642" max="5642" width="16" style="7" customWidth="1"/>
    <col min="5643" max="5643" width="11.7265625" style="7" customWidth="1"/>
    <col min="5644" max="5644" width="21.453125" style="7" customWidth="1"/>
    <col min="5645" max="5645" width="18.7265625" style="7" customWidth="1"/>
    <col min="5646" max="5646" width="9.1796875" style="7"/>
    <col min="5647" max="5647" width="25.81640625" style="7" customWidth="1"/>
    <col min="5648" max="5648" width="20.453125" style="7" customWidth="1"/>
    <col min="5649" max="5889" width="9.1796875" style="7"/>
    <col min="5890" max="5890" width="12.54296875" style="7" customWidth="1"/>
    <col min="5891" max="5891" width="25" style="7" bestFit="1" customWidth="1"/>
    <col min="5892" max="5892" width="51.81640625" style="7" customWidth="1"/>
    <col min="5893" max="5893" width="13.7265625" style="7" customWidth="1"/>
    <col min="5894" max="5894" width="17.81640625" style="7" customWidth="1"/>
    <col min="5895" max="5895" width="21.54296875" style="7" customWidth="1"/>
    <col min="5896" max="5896" width="16.453125" style="7" customWidth="1"/>
    <col min="5897" max="5897" width="21.453125" style="7" customWidth="1"/>
    <col min="5898" max="5898" width="16" style="7" customWidth="1"/>
    <col min="5899" max="5899" width="11.7265625" style="7" customWidth="1"/>
    <col min="5900" max="5900" width="21.453125" style="7" customWidth="1"/>
    <col min="5901" max="5901" width="18.7265625" style="7" customWidth="1"/>
    <col min="5902" max="5902" width="9.1796875" style="7"/>
    <col min="5903" max="5903" width="25.81640625" style="7" customWidth="1"/>
    <col min="5904" max="5904" width="20.453125" style="7" customWidth="1"/>
    <col min="5905" max="6145" width="9.1796875" style="7"/>
    <col min="6146" max="6146" width="12.54296875" style="7" customWidth="1"/>
    <col min="6147" max="6147" width="25" style="7" bestFit="1" customWidth="1"/>
    <col min="6148" max="6148" width="51.81640625" style="7" customWidth="1"/>
    <col min="6149" max="6149" width="13.7265625" style="7" customWidth="1"/>
    <col min="6150" max="6150" width="17.81640625" style="7" customWidth="1"/>
    <col min="6151" max="6151" width="21.54296875" style="7" customWidth="1"/>
    <col min="6152" max="6152" width="16.453125" style="7" customWidth="1"/>
    <col min="6153" max="6153" width="21.453125" style="7" customWidth="1"/>
    <col min="6154" max="6154" width="16" style="7" customWidth="1"/>
    <col min="6155" max="6155" width="11.7265625" style="7" customWidth="1"/>
    <col min="6156" max="6156" width="21.453125" style="7" customWidth="1"/>
    <col min="6157" max="6157" width="18.7265625" style="7" customWidth="1"/>
    <col min="6158" max="6158" width="9.1796875" style="7"/>
    <col min="6159" max="6159" width="25.81640625" style="7" customWidth="1"/>
    <col min="6160" max="6160" width="20.453125" style="7" customWidth="1"/>
    <col min="6161" max="6401" width="9.1796875" style="7"/>
    <col min="6402" max="6402" width="12.54296875" style="7" customWidth="1"/>
    <col min="6403" max="6403" width="25" style="7" bestFit="1" customWidth="1"/>
    <col min="6404" max="6404" width="51.81640625" style="7" customWidth="1"/>
    <col min="6405" max="6405" width="13.7265625" style="7" customWidth="1"/>
    <col min="6406" max="6406" width="17.81640625" style="7" customWidth="1"/>
    <col min="6407" max="6407" width="21.54296875" style="7" customWidth="1"/>
    <col min="6408" max="6408" width="16.453125" style="7" customWidth="1"/>
    <col min="6409" max="6409" width="21.453125" style="7" customWidth="1"/>
    <col min="6410" max="6410" width="16" style="7" customWidth="1"/>
    <col min="6411" max="6411" width="11.7265625" style="7" customWidth="1"/>
    <col min="6412" max="6412" width="21.453125" style="7" customWidth="1"/>
    <col min="6413" max="6413" width="18.7265625" style="7" customWidth="1"/>
    <col min="6414" max="6414" width="9.1796875" style="7"/>
    <col min="6415" max="6415" width="25.81640625" style="7" customWidth="1"/>
    <col min="6416" max="6416" width="20.453125" style="7" customWidth="1"/>
    <col min="6417" max="6657" width="9.1796875" style="7"/>
    <col min="6658" max="6658" width="12.54296875" style="7" customWidth="1"/>
    <col min="6659" max="6659" width="25" style="7" bestFit="1" customWidth="1"/>
    <col min="6660" max="6660" width="51.81640625" style="7" customWidth="1"/>
    <col min="6661" max="6661" width="13.7265625" style="7" customWidth="1"/>
    <col min="6662" max="6662" width="17.81640625" style="7" customWidth="1"/>
    <col min="6663" max="6663" width="21.54296875" style="7" customWidth="1"/>
    <col min="6664" max="6664" width="16.453125" style="7" customWidth="1"/>
    <col min="6665" max="6665" width="21.453125" style="7" customWidth="1"/>
    <col min="6666" max="6666" width="16" style="7" customWidth="1"/>
    <col min="6667" max="6667" width="11.7265625" style="7" customWidth="1"/>
    <col min="6668" max="6668" width="21.453125" style="7" customWidth="1"/>
    <col min="6669" max="6669" width="18.7265625" style="7" customWidth="1"/>
    <col min="6670" max="6670" width="9.1796875" style="7"/>
    <col min="6671" max="6671" width="25.81640625" style="7" customWidth="1"/>
    <col min="6672" max="6672" width="20.453125" style="7" customWidth="1"/>
    <col min="6673" max="6913" width="9.1796875" style="7"/>
    <col min="6914" max="6914" width="12.54296875" style="7" customWidth="1"/>
    <col min="6915" max="6915" width="25" style="7" bestFit="1" customWidth="1"/>
    <col min="6916" max="6916" width="51.81640625" style="7" customWidth="1"/>
    <col min="6917" max="6917" width="13.7265625" style="7" customWidth="1"/>
    <col min="6918" max="6918" width="17.81640625" style="7" customWidth="1"/>
    <col min="6919" max="6919" width="21.54296875" style="7" customWidth="1"/>
    <col min="6920" max="6920" width="16.453125" style="7" customWidth="1"/>
    <col min="6921" max="6921" width="21.453125" style="7" customWidth="1"/>
    <col min="6922" max="6922" width="16" style="7" customWidth="1"/>
    <col min="6923" max="6923" width="11.7265625" style="7" customWidth="1"/>
    <col min="6924" max="6924" width="21.453125" style="7" customWidth="1"/>
    <col min="6925" max="6925" width="18.7265625" style="7" customWidth="1"/>
    <col min="6926" max="6926" width="9.1796875" style="7"/>
    <col min="6927" max="6927" width="25.81640625" style="7" customWidth="1"/>
    <col min="6928" max="6928" width="20.453125" style="7" customWidth="1"/>
    <col min="6929" max="7169" width="9.1796875" style="7"/>
    <col min="7170" max="7170" width="12.54296875" style="7" customWidth="1"/>
    <col min="7171" max="7171" width="25" style="7" bestFit="1" customWidth="1"/>
    <col min="7172" max="7172" width="51.81640625" style="7" customWidth="1"/>
    <col min="7173" max="7173" width="13.7265625" style="7" customWidth="1"/>
    <col min="7174" max="7174" width="17.81640625" style="7" customWidth="1"/>
    <col min="7175" max="7175" width="21.54296875" style="7" customWidth="1"/>
    <col min="7176" max="7176" width="16.453125" style="7" customWidth="1"/>
    <col min="7177" max="7177" width="21.453125" style="7" customWidth="1"/>
    <col min="7178" max="7178" width="16" style="7" customWidth="1"/>
    <col min="7179" max="7179" width="11.7265625" style="7" customWidth="1"/>
    <col min="7180" max="7180" width="21.453125" style="7" customWidth="1"/>
    <col min="7181" max="7181" width="18.7265625" style="7" customWidth="1"/>
    <col min="7182" max="7182" width="9.1796875" style="7"/>
    <col min="7183" max="7183" width="25.81640625" style="7" customWidth="1"/>
    <col min="7184" max="7184" width="20.453125" style="7" customWidth="1"/>
    <col min="7185" max="7425" width="9.1796875" style="7"/>
    <col min="7426" max="7426" width="12.54296875" style="7" customWidth="1"/>
    <col min="7427" max="7427" width="25" style="7" bestFit="1" customWidth="1"/>
    <col min="7428" max="7428" width="51.81640625" style="7" customWidth="1"/>
    <col min="7429" max="7429" width="13.7265625" style="7" customWidth="1"/>
    <col min="7430" max="7430" width="17.81640625" style="7" customWidth="1"/>
    <col min="7431" max="7431" width="21.54296875" style="7" customWidth="1"/>
    <col min="7432" max="7432" width="16.453125" style="7" customWidth="1"/>
    <col min="7433" max="7433" width="21.453125" style="7" customWidth="1"/>
    <col min="7434" max="7434" width="16" style="7" customWidth="1"/>
    <col min="7435" max="7435" width="11.7265625" style="7" customWidth="1"/>
    <col min="7436" max="7436" width="21.453125" style="7" customWidth="1"/>
    <col min="7437" max="7437" width="18.7265625" style="7" customWidth="1"/>
    <col min="7438" max="7438" width="9.1796875" style="7"/>
    <col min="7439" max="7439" width="25.81640625" style="7" customWidth="1"/>
    <col min="7440" max="7440" width="20.453125" style="7" customWidth="1"/>
    <col min="7441" max="7681" width="9.1796875" style="7"/>
    <col min="7682" max="7682" width="12.54296875" style="7" customWidth="1"/>
    <col min="7683" max="7683" width="25" style="7" bestFit="1" customWidth="1"/>
    <col min="7684" max="7684" width="51.81640625" style="7" customWidth="1"/>
    <col min="7685" max="7685" width="13.7265625" style="7" customWidth="1"/>
    <col min="7686" max="7686" width="17.81640625" style="7" customWidth="1"/>
    <col min="7687" max="7687" width="21.54296875" style="7" customWidth="1"/>
    <col min="7688" max="7688" width="16.453125" style="7" customWidth="1"/>
    <col min="7689" max="7689" width="21.453125" style="7" customWidth="1"/>
    <col min="7690" max="7690" width="16" style="7" customWidth="1"/>
    <col min="7691" max="7691" width="11.7265625" style="7" customWidth="1"/>
    <col min="7692" max="7692" width="21.453125" style="7" customWidth="1"/>
    <col min="7693" max="7693" width="18.7265625" style="7" customWidth="1"/>
    <col min="7694" max="7694" width="9.1796875" style="7"/>
    <col min="7695" max="7695" width="25.81640625" style="7" customWidth="1"/>
    <col min="7696" max="7696" width="20.453125" style="7" customWidth="1"/>
    <col min="7697" max="7937" width="9.1796875" style="7"/>
    <col min="7938" max="7938" width="12.54296875" style="7" customWidth="1"/>
    <col min="7939" max="7939" width="25" style="7" bestFit="1" customWidth="1"/>
    <col min="7940" max="7940" width="51.81640625" style="7" customWidth="1"/>
    <col min="7941" max="7941" width="13.7265625" style="7" customWidth="1"/>
    <col min="7942" max="7942" width="17.81640625" style="7" customWidth="1"/>
    <col min="7943" max="7943" width="21.54296875" style="7" customWidth="1"/>
    <col min="7944" max="7944" width="16.453125" style="7" customWidth="1"/>
    <col min="7945" max="7945" width="21.453125" style="7" customWidth="1"/>
    <col min="7946" max="7946" width="16" style="7" customWidth="1"/>
    <col min="7947" max="7947" width="11.7265625" style="7" customWidth="1"/>
    <col min="7948" max="7948" width="21.453125" style="7" customWidth="1"/>
    <col min="7949" max="7949" width="18.7265625" style="7" customWidth="1"/>
    <col min="7950" max="7950" width="9.1796875" style="7"/>
    <col min="7951" max="7951" width="25.81640625" style="7" customWidth="1"/>
    <col min="7952" max="7952" width="20.453125" style="7" customWidth="1"/>
    <col min="7953" max="8193" width="9.1796875" style="7"/>
    <col min="8194" max="8194" width="12.54296875" style="7" customWidth="1"/>
    <col min="8195" max="8195" width="25" style="7" bestFit="1" customWidth="1"/>
    <col min="8196" max="8196" width="51.81640625" style="7" customWidth="1"/>
    <col min="8197" max="8197" width="13.7265625" style="7" customWidth="1"/>
    <col min="8198" max="8198" width="17.81640625" style="7" customWidth="1"/>
    <col min="8199" max="8199" width="21.54296875" style="7" customWidth="1"/>
    <col min="8200" max="8200" width="16.453125" style="7" customWidth="1"/>
    <col min="8201" max="8201" width="21.453125" style="7" customWidth="1"/>
    <col min="8202" max="8202" width="16" style="7" customWidth="1"/>
    <col min="8203" max="8203" width="11.7265625" style="7" customWidth="1"/>
    <col min="8204" max="8204" width="21.453125" style="7" customWidth="1"/>
    <col min="8205" max="8205" width="18.7265625" style="7" customWidth="1"/>
    <col min="8206" max="8206" width="9.1796875" style="7"/>
    <col min="8207" max="8207" width="25.81640625" style="7" customWidth="1"/>
    <col min="8208" max="8208" width="20.453125" style="7" customWidth="1"/>
    <col min="8209" max="8449" width="9.1796875" style="7"/>
    <col min="8450" max="8450" width="12.54296875" style="7" customWidth="1"/>
    <col min="8451" max="8451" width="25" style="7" bestFit="1" customWidth="1"/>
    <col min="8452" max="8452" width="51.81640625" style="7" customWidth="1"/>
    <col min="8453" max="8453" width="13.7265625" style="7" customWidth="1"/>
    <col min="8454" max="8454" width="17.81640625" style="7" customWidth="1"/>
    <col min="8455" max="8455" width="21.54296875" style="7" customWidth="1"/>
    <col min="8456" max="8456" width="16.453125" style="7" customWidth="1"/>
    <col min="8457" max="8457" width="21.453125" style="7" customWidth="1"/>
    <col min="8458" max="8458" width="16" style="7" customWidth="1"/>
    <col min="8459" max="8459" width="11.7265625" style="7" customWidth="1"/>
    <col min="8460" max="8460" width="21.453125" style="7" customWidth="1"/>
    <col min="8461" max="8461" width="18.7265625" style="7" customWidth="1"/>
    <col min="8462" max="8462" width="9.1796875" style="7"/>
    <col min="8463" max="8463" width="25.81640625" style="7" customWidth="1"/>
    <col min="8464" max="8464" width="20.453125" style="7" customWidth="1"/>
    <col min="8465" max="8705" width="9.1796875" style="7"/>
    <col min="8706" max="8706" width="12.54296875" style="7" customWidth="1"/>
    <col min="8707" max="8707" width="25" style="7" bestFit="1" customWidth="1"/>
    <col min="8708" max="8708" width="51.81640625" style="7" customWidth="1"/>
    <col min="8709" max="8709" width="13.7265625" style="7" customWidth="1"/>
    <col min="8710" max="8710" width="17.81640625" style="7" customWidth="1"/>
    <col min="8711" max="8711" width="21.54296875" style="7" customWidth="1"/>
    <col min="8712" max="8712" width="16.453125" style="7" customWidth="1"/>
    <col min="8713" max="8713" width="21.453125" style="7" customWidth="1"/>
    <col min="8714" max="8714" width="16" style="7" customWidth="1"/>
    <col min="8715" max="8715" width="11.7265625" style="7" customWidth="1"/>
    <col min="8716" max="8716" width="21.453125" style="7" customWidth="1"/>
    <col min="8717" max="8717" width="18.7265625" style="7" customWidth="1"/>
    <col min="8718" max="8718" width="9.1796875" style="7"/>
    <col min="8719" max="8719" width="25.81640625" style="7" customWidth="1"/>
    <col min="8720" max="8720" width="20.453125" style="7" customWidth="1"/>
    <col min="8721" max="8961" width="9.1796875" style="7"/>
    <col min="8962" max="8962" width="12.54296875" style="7" customWidth="1"/>
    <col min="8963" max="8963" width="25" style="7" bestFit="1" customWidth="1"/>
    <col min="8964" max="8964" width="51.81640625" style="7" customWidth="1"/>
    <col min="8965" max="8965" width="13.7265625" style="7" customWidth="1"/>
    <col min="8966" max="8966" width="17.81640625" style="7" customWidth="1"/>
    <col min="8967" max="8967" width="21.54296875" style="7" customWidth="1"/>
    <col min="8968" max="8968" width="16.453125" style="7" customWidth="1"/>
    <col min="8969" max="8969" width="21.453125" style="7" customWidth="1"/>
    <col min="8970" max="8970" width="16" style="7" customWidth="1"/>
    <col min="8971" max="8971" width="11.7265625" style="7" customWidth="1"/>
    <col min="8972" max="8972" width="21.453125" style="7" customWidth="1"/>
    <col min="8973" max="8973" width="18.7265625" style="7" customWidth="1"/>
    <col min="8974" max="8974" width="9.1796875" style="7"/>
    <col min="8975" max="8975" width="25.81640625" style="7" customWidth="1"/>
    <col min="8976" max="8976" width="20.453125" style="7" customWidth="1"/>
    <col min="8977" max="9217" width="9.1796875" style="7"/>
    <col min="9218" max="9218" width="12.54296875" style="7" customWidth="1"/>
    <col min="9219" max="9219" width="25" style="7" bestFit="1" customWidth="1"/>
    <col min="9220" max="9220" width="51.81640625" style="7" customWidth="1"/>
    <col min="9221" max="9221" width="13.7265625" style="7" customWidth="1"/>
    <col min="9222" max="9222" width="17.81640625" style="7" customWidth="1"/>
    <col min="9223" max="9223" width="21.54296875" style="7" customWidth="1"/>
    <col min="9224" max="9224" width="16.453125" style="7" customWidth="1"/>
    <col min="9225" max="9225" width="21.453125" style="7" customWidth="1"/>
    <col min="9226" max="9226" width="16" style="7" customWidth="1"/>
    <col min="9227" max="9227" width="11.7265625" style="7" customWidth="1"/>
    <col min="9228" max="9228" width="21.453125" style="7" customWidth="1"/>
    <col min="9229" max="9229" width="18.7265625" style="7" customWidth="1"/>
    <col min="9230" max="9230" width="9.1796875" style="7"/>
    <col min="9231" max="9231" width="25.81640625" style="7" customWidth="1"/>
    <col min="9232" max="9232" width="20.453125" style="7" customWidth="1"/>
    <col min="9233" max="9473" width="9.1796875" style="7"/>
    <col min="9474" max="9474" width="12.54296875" style="7" customWidth="1"/>
    <col min="9475" max="9475" width="25" style="7" bestFit="1" customWidth="1"/>
    <col min="9476" max="9476" width="51.81640625" style="7" customWidth="1"/>
    <col min="9477" max="9477" width="13.7265625" style="7" customWidth="1"/>
    <col min="9478" max="9478" width="17.81640625" style="7" customWidth="1"/>
    <col min="9479" max="9479" width="21.54296875" style="7" customWidth="1"/>
    <col min="9480" max="9480" width="16.453125" style="7" customWidth="1"/>
    <col min="9481" max="9481" width="21.453125" style="7" customWidth="1"/>
    <col min="9482" max="9482" width="16" style="7" customWidth="1"/>
    <col min="9483" max="9483" width="11.7265625" style="7" customWidth="1"/>
    <col min="9484" max="9484" width="21.453125" style="7" customWidth="1"/>
    <col min="9485" max="9485" width="18.7265625" style="7" customWidth="1"/>
    <col min="9486" max="9486" width="9.1796875" style="7"/>
    <col min="9487" max="9487" width="25.81640625" style="7" customWidth="1"/>
    <col min="9488" max="9488" width="20.453125" style="7" customWidth="1"/>
    <col min="9489" max="9729" width="9.1796875" style="7"/>
    <col min="9730" max="9730" width="12.54296875" style="7" customWidth="1"/>
    <col min="9731" max="9731" width="25" style="7" bestFit="1" customWidth="1"/>
    <col min="9732" max="9732" width="51.81640625" style="7" customWidth="1"/>
    <col min="9733" max="9733" width="13.7265625" style="7" customWidth="1"/>
    <col min="9734" max="9734" width="17.81640625" style="7" customWidth="1"/>
    <col min="9735" max="9735" width="21.54296875" style="7" customWidth="1"/>
    <col min="9736" max="9736" width="16.453125" style="7" customWidth="1"/>
    <col min="9737" max="9737" width="21.453125" style="7" customWidth="1"/>
    <col min="9738" max="9738" width="16" style="7" customWidth="1"/>
    <col min="9739" max="9739" width="11.7265625" style="7" customWidth="1"/>
    <col min="9740" max="9740" width="21.453125" style="7" customWidth="1"/>
    <col min="9741" max="9741" width="18.7265625" style="7" customWidth="1"/>
    <col min="9742" max="9742" width="9.1796875" style="7"/>
    <col min="9743" max="9743" width="25.81640625" style="7" customWidth="1"/>
    <col min="9744" max="9744" width="20.453125" style="7" customWidth="1"/>
    <col min="9745" max="9985" width="9.1796875" style="7"/>
    <col min="9986" max="9986" width="12.54296875" style="7" customWidth="1"/>
    <col min="9987" max="9987" width="25" style="7" bestFit="1" customWidth="1"/>
    <col min="9988" max="9988" width="51.81640625" style="7" customWidth="1"/>
    <col min="9989" max="9989" width="13.7265625" style="7" customWidth="1"/>
    <col min="9990" max="9990" width="17.81640625" style="7" customWidth="1"/>
    <col min="9991" max="9991" width="21.54296875" style="7" customWidth="1"/>
    <col min="9992" max="9992" width="16.453125" style="7" customWidth="1"/>
    <col min="9993" max="9993" width="21.453125" style="7" customWidth="1"/>
    <col min="9994" max="9994" width="16" style="7" customWidth="1"/>
    <col min="9995" max="9995" width="11.7265625" style="7" customWidth="1"/>
    <col min="9996" max="9996" width="21.453125" style="7" customWidth="1"/>
    <col min="9997" max="9997" width="18.7265625" style="7" customWidth="1"/>
    <col min="9998" max="9998" width="9.1796875" style="7"/>
    <col min="9999" max="9999" width="25.81640625" style="7" customWidth="1"/>
    <col min="10000" max="10000" width="20.453125" style="7" customWidth="1"/>
    <col min="10001" max="10241" width="9.1796875" style="7"/>
    <col min="10242" max="10242" width="12.54296875" style="7" customWidth="1"/>
    <col min="10243" max="10243" width="25" style="7" bestFit="1" customWidth="1"/>
    <col min="10244" max="10244" width="51.81640625" style="7" customWidth="1"/>
    <col min="10245" max="10245" width="13.7265625" style="7" customWidth="1"/>
    <col min="10246" max="10246" width="17.81640625" style="7" customWidth="1"/>
    <col min="10247" max="10247" width="21.54296875" style="7" customWidth="1"/>
    <col min="10248" max="10248" width="16.453125" style="7" customWidth="1"/>
    <col min="10249" max="10249" width="21.453125" style="7" customWidth="1"/>
    <col min="10250" max="10250" width="16" style="7" customWidth="1"/>
    <col min="10251" max="10251" width="11.7265625" style="7" customWidth="1"/>
    <col min="10252" max="10252" width="21.453125" style="7" customWidth="1"/>
    <col min="10253" max="10253" width="18.7265625" style="7" customWidth="1"/>
    <col min="10254" max="10254" width="9.1796875" style="7"/>
    <col min="10255" max="10255" width="25.81640625" style="7" customWidth="1"/>
    <col min="10256" max="10256" width="20.453125" style="7" customWidth="1"/>
    <col min="10257" max="10497" width="9.1796875" style="7"/>
    <col min="10498" max="10498" width="12.54296875" style="7" customWidth="1"/>
    <col min="10499" max="10499" width="25" style="7" bestFit="1" customWidth="1"/>
    <col min="10500" max="10500" width="51.81640625" style="7" customWidth="1"/>
    <col min="10501" max="10501" width="13.7265625" style="7" customWidth="1"/>
    <col min="10502" max="10502" width="17.81640625" style="7" customWidth="1"/>
    <col min="10503" max="10503" width="21.54296875" style="7" customWidth="1"/>
    <col min="10504" max="10504" width="16.453125" style="7" customWidth="1"/>
    <col min="10505" max="10505" width="21.453125" style="7" customWidth="1"/>
    <col min="10506" max="10506" width="16" style="7" customWidth="1"/>
    <col min="10507" max="10507" width="11.7265625" style="7" customWidth="1"/>
    <col min="10508" max="10508" width="21.453125" style="7" customWidth="1"/>
    <col min="10509" max="10509" width="18.7265625" style="7" customWidth="1"/>
    <col min="10510" max="10510" width="9.1796875" style="7"/>
    <col min="10511" max="10511" width="25.81640625" style="7" customWidth="1"/>
    <col min="10512" max="10512" width="20.453125" style="7" customWidth="1"/>
    <col min="10513" max="10753" width="9.1796875" style="7"/>
    <col min="10754" max="10754" width="12.54296875" style="7" customWidth="1"/>
    <col min="10755" max="10755" width="25" style="7" bestFit="1" customWidth="1"/>
    <col min="10756" max="10756" width="51.81640625" style="7" customWidth="1"/>
    <col min="10757" max="10757" width="13.7265625" style="7" customWidth="1"/>
    <col min="10758" max="10758" width="17.81640625" style="7" customWidth="1"/>
    <col min="10759" max="10759" width="21.54296875" style="7" customWidth="1"/>
    <col min="10760" max="10760" width="16.453125" style="7" customWidth="1"/>
    <col min="10761" max="10761" width="21.453125" style="7" customWidth="1"/>
    <col min="10762" max="10762" width="16" style="7" customWidth="1"/>
    <col min="10763" max="10763" width="11.7265625" style="7" customWidth="1"/>
    <col min="10764" max="10764" width="21.453125" style="7" customWidth="1"/>
    <col min="10765" max="10765" width="18.7265625" style="7" customWidth="1"/>
    <col min="10766" max="10766" width="9.1796875" style="7"/>
    <col min="10767" max="10767" width="25.81640625" style="7" customWidth="1"/>
    <col min="10768" max="10768" width="20.453125" style="7" customWidth="1"/>
    <col min="10769" max="11009" width="9.1796875" style="7"/>
    <col min="11010" max="11010" width="12.54296875" style="7" customWidth="1"/>
    <col min="11011" max="11011" width="25" style="7" bestFit="1" customWidth="1"/>
    <col min="11012" max="11012" width="51.81640625" style="7" customWidth="1"/>
    <col min="11013" max="11013" width="13.7265625" style="7" customWidth="1"/>
    <col min="11014" max="11014" width="17.81640625" style="7" customWidth="1"/>
    <col min="11015" max="11015" width="21.54296875" style="7" customWidth="1"/>
    <col min="11016" max="11016" width="16.453125" style="7" customWidth="1"/>
    <col min="11017" max="11017" width="21.453125" style="7" customWidth="1"/>
    <col min="11018" max="11018" width="16" style="7" customWidth="1"/>
    <col min="11019" max="11019" width="11.7265625" style="7" customWidth="1"/>
    <col min="11020" max="11020" width="21.453125" style="7" customWidth="1"/>
    <col min="11021" max="11021" width="18.7265625" style="7" customWidth="1"/>
    <col min="11022" max="11022" width="9.1796875" style="7"/>
    <col min="11023" max="11023" width="25.81640625" style="7" customWidth="1"/>
    <col min="11024" max="11024" width="20.453125" style="7" customWidth="1"/>
    <col min="11025" max="11265" width="9.1796875" style="7"/>
    <col min="11266" max="11266" width="12.54296875" style="7" customWidth="1"/>
    <col min="11267" max="11267" width="25" style="7" bestFit="1" customWidth="1"/>
    <col min="11268" max="11268" width="51.81640625" style="7" customWidth="1"/>
    <col min="11269" max="11269" width="13.7265625" style="7" customWidth="1"/>
    <col min="11270" max="11270" width="17.81640625" style="7" customWidth="1"/>
    <col min="11271" max="11271" width="21.54296875" style="7" customWidth="1"/>
    <col min="11272" max="11272" width="16.453125" style="7" customWidth="1"/>
    <col min="11273" max="11273" width="21.453125" style="7" customWidth="1"/>
    <col min="11274" max="11274" width="16" style="7" customWidth="1"/>
    <col min="11275" max="11275" width="11.7265625" style="7" customWidth="1"/>
    <col min="11276" max="11276" width="21.453125" style="7" customWidth="1"/>
    <col min="11277" max="11277" width="18.7265625" style="7" customWidth="1"/>
    <col min="11278" max="11278" width="9.1796875" style="7"/>
    <col min="11279" max="11279" width="25.81640625" style="7" customWidth="1"/>
    <col min="11280" max="11280" width="20.453125" style="7" customWidth="1"/>
    <col min="11281" max="11521" width="9.1796875" style="7"/>
    <col min="11522" max="11522" width="12.54296875" style="7" customWidth="1"/>
    <col min="11523" max="11523" width="25" style="7" bestFit="1" customWidth="1"/>
    <col min="11524" max="11524" width="51.81640625" style="7" customWidth="1"/>
    <col min="11525" max="11525" width="13.7265625" style="7" customWidth="1"/>
    <col min="11526" max="11526" width="17.81640625" style="7" customWidth="1"/>
    <col min="11527" max="11527" width="21.54296875" style="7" customWidth="1"/>
    <col min="11528" max="11528" width="16.453125" style="7" customWidth="1"/>
    <col min="11529" max="11529" width="21.453125" style="7" customWidth="1"/>
    <col min="11530" max="11530" width="16" style="7" customWidth="1"/>
    <col min="11531" max="11531" width="11.7265625" style="7" customWidth="1"/>
    <col min="11532" max="11532" width="21.453125" style="7" customWidth="1"/>
    <col min="11533" max="11533" width="18.7265625" style="7" customWidth="1"/>
    <col min="11534" max="11534" width="9.1796875" style="7"/>
    <col min="11535" max="11535" width="25.81640625" style="7" customWidth="1"/>
    <col min="11536" max="11536" width="20.453125" style="7" customWidth="1"/>
    <col min="11537" max="11777" width="9.1796875" style="7"/>
    <col min="11778" max="11778" width="12.54296875" style="7" customWidth="1"/>
    <col min="11779" max="11779" width="25" style="7" bestFit="1" customWidth="1"/>
    <col min="11780" max="11780" width="51.81640625" style="7" customWidth="1"/>
    <col min="11781" max="11781" width="13.7265625" style="7" customWidth="1"/>
    <col min="11782" max="11782" width="17.81640625" style="7" customWidth="1"/>
    <col min="11783" max="11783" width="21.54296875" style="7" customWidth="1"/>
    <col min="11784" max="11784" width="16.453125" style="7" customWidth="1"/>
    <col min="11785" max="11785" width="21.453125" style="7" customWidth="1"/>
    <col min="11786" max="11786" width="16" style="7" customWidth="1"/>
    <col min="11787" max="11787" width="11.7265625" style="7" customWidth="1"/>
    <col min="11788" max="11788" width="21.453125" style="7" customWidth="1"/>
    <col min="11789" max="11789" width="18.7265625" style="7" customWidth="1"/>
    <col min="11790" max="11790" width="9.1796875" style="7"/>
    <col min="11791" max="11791" width="25.81640625" style="7" customWidth="1"/>
    <col min="11792" max="11792" width="20.453125" style="7" customWidth="1"/>
    <col min="11793" max="12033" width="9.1796875" style="7"/>
    <col min="12034" max="12034" width="12.54296875" style="7" customWidth="1"/>
    <col min="12035" max="12035" width="25" style="7" bestFit="1" customWidth="1"/>
    <col min="12036" max="12036" width="51.81640625" style="7" customWidth="1"/>
    <col min="12037" max="12037" width="13.7265625" style="7" customWidth="1"/>
    <col min="12038" max="12038" width="17.81640625" style="7" customWidth="1"/>
    <col min="12039" max="12039" width="21.54296875" style="7" customWidth="1"/>
    <col min="12040" max="12040" width="16.453125" style="7" customWidth="1"/>
    <col min="12041" max="12041" width="21.453125" style="7" customWidth="1"/>
    <col min="12042" max="12042" width="16" style="7" customWidth="1"/>
    <col min="12043" max="12043" width="11.7265625" style="7" customWidth="1"/>
    <col min="12044" max="12044" width="21.453125" style="7" customWidth="1"/>
    <col min="12045" max="12045" width="18.7265625" style="7" customWidth="1"/>
    <col min="12046" max="12046" width="9.1796875" style="7"/>
    <col min="12047" max="12047" width="25.81640625" style="7" customWidth="1"/>
    <col min="12048" max="12048" width="20.453125" style="7" customWidth="1"/>
    <col min="12049" max="12289" width="9.1796875" style="7"/>
    <col min="12290" max="12290" width="12.54296875" style="7" customWidth="1"/>
    <col min="12291" max="12291" width="25" style="7" bestFit="1" customWidth="1"/>
    <col min="12292" max="12292" width="51.81640625" style="7" customWidth="1"/>
    <col min="12293" max="12293" width="13.7265625" style="7" customWidth="1"/>
    <col min="12294" max="12294" width="17.81640625" style="7" customWidth="1"/>
    <col min="12295" max="12295" width="21.54296875" style="7" customWidth="1"/>
    <col min="12296" max="12296" width="16.453125" style="7" customWidth="1"/>
    <col min="12297" max="12297" width="21.453125" style="7" customWidth="1"/>
    <col min="12298" max="12298" width="16" style="7" customWidth="1"/>
    <col min="12299" max="12299" width="11.7265625" style="7" customWidth="1"/>
    <col min="12300" max="12300" width="21.453125" style="7" customWidth="1"/>
    <col min="12301" max="12301" width="18.7265625" style="7" customWidth="1"/>
    <col min="12302" max="12302" width="9.1796875" style="7"/>
    <col min="12303" max="12303" width="25.81640625" style="7" customWidth="1"/>
    <col min="12304" max="12304" width="20.453125" style="7" customWidth="1"/>
    <col min="12305" max="12545" width="9.1796875" style="7"/>
    <col min="12546" max="12546" width="12.54296875" style="7" customWidth="1"/>
    <col min="12547" max="12547" width="25" style="7" bestFit="1" customWidth="1"/>
    <col min="12548" max="12548" width="51.81640625" style="7" customWidth="1"/>
    <col min="12549" max="12549" width="13.7265625" style="7" customWidth="1"/>
    <col min="12550" max="12550" width="17.81640625" style="7" customWidth="1"/>
    <col min="12551" max="12551" width="21.54296875" style="7" customWidth="1"/>
    <col min="12552" max="12552" width="16.453125" style="7" customWidth="1"/>
    <col min="12553" max="12553" width="21.453125" style="7" customWidth="1"/>
    <col min="12554" max="12554" width="16" style="7" customWidth="1"/>
    <col min="12555" max="12555" width="11.7265625" style="7" customWidth="1"/>
    <col min="12556" max="12556" width="21.453125" style="7" customWidth="1"/>
    <col min="12557" max="12557" width="18.7265625" style="7" customWidth="1"/>
    <col min="12558" max="12558" width="9.1796875" style="7"/>
    <col min="12559" max="12559" width="25.81640625" style="7" customWidth="1"/>
    <col min="12560" max="12560" width="20.453125" style="7" customWidth="1"/>
    <col min="12561" max="12801" width="9.1796875" style="7"/>
    <col min="12802" max="12802" width="12.54296875" style="7" customWidth="1"/>
    <col min="12803" max="12803" width="25" style="7" bestFit="1" customWidth="1"/>
    <col min="12804" max="12804" width="51.81640625" style="7" customWidth="1"/>
    <col min="12805" max="12805" width="13.7265625" style="7" customWidth="1"/>
    <col min="12806" max="12806" width="17.81640625" style="7" customWidth="1"/>
    <col min="12807" max="12807" width="21.54296875" style="7" customWidth="1"/>
    <col min="12808" max="12808" width="16.453125" style="7" customWidth="1"/>
    <col min="12809" max="12809" width="21.453125" style="7" customWidth="1"/>
    <col min="12810" max="12810" width="16" style="7" customWidth="1"/>
    <col min="12811" max="12811" width="11.7265625" style="7" customWidth="1"/>
    <col min="12812" max="12812" width="21.453125" style="7" customWidth="1"/>
    <col min="12813" max="12813" width="18.7265625" style="7" customWidth="1"/>
    <col min="12814" max="12814" width="9.1796875" style="7"/>
    <col min="12815" max="12815" width="25.81640625" style="7" customWidth="1"/>
    <col min="12816" max="12816" width="20.453125" style="7" customWidth="1"/>
    <col min="12817" max="13057" width="9.1796875" style="7"/>
    <col min="13058" max="13058" width="12.54296875" style="7" customWidth="1"/>
    <col min="13059" max="13059" width="25" style="7" bestFit="1" customWidth="1"/>
    <col min="13060" max="13060" width="51.81640625" style="7" customWidth="1"/>
    <col min="13061" max="13061" width="13.7265625" style="7" customWidth="1"/>
    <col min="13062" max="13062" width="17.81640625" style="7" customWidth="1"/>
    <col min="13063" max="13063" width="21.54296875" style="7" customWidth="1"/>
    <col min="13064" max="13064" width="16.453125" style="7" customWidth="1"/>
    <col min="13065" max="13065" width="21.453125" style="7" customWidth="1"/>
    <col min="13066" max="13066" width="16" style="7" customWidth="1"/>
    <col min="13067" max="13067" width="11.7265625" style="7" customWidth="1"/>
    <col min="13068" max="13068" width="21.453125" style="7" customWidth="1"/>
    <col min="13069" max="13069" width="18.7265625" style="7" customWidth="1"/>
    <col min="13070" max="13070" width="9.1796875" style="7"/>
    <col min="13071" max="13071" width="25.81640625" style="7" customWidth="1"/>
    <col min="13072" max="13072" width="20.453125" style="7" customWidth="1"/>
    <col min="13073" max="13313" width="9.1796875" style="7"/>
    <col min="13314" max="13314" width="12.54296875" style="7" customWidth="1"/>
    <col min="13315" max="13315" width="25" style="7" bestFit="1" customWidth="1"/>
    <col min="13316" max="13316" width="51.81640625" style="7" customWidth="1"/>
    <col min="13317" max="13317" width="13.7265625" style="7" customWidth="1"/>
    <col min="13318" max="13318" width="17.81640625" style="7" customWidth="1"/>
    <col min="13319" max="13319" width="21.54296875" style="7" customWidth="1"/>
    <col min="13320" max="13320" width="16.453125" style="7" customWidth="1"/>
    <col min="13321" max="13321" width="21.453125" style="7" customWidth="1"/>
    <col min="13322" max="13322" width="16" style="7" customWidth="1"/>
    <col min="13323" max="13323" width="11.7265625" style="7" customWidth="1"/>
    <col min="13324" max="13324" width="21.453125" style="7" customWidth="1"/>
    <col min="13325" max="13325" width="18.7265625" style="7" customWidth="1"/>
    <col min="13326" max="13326" width="9.1796875" style="7"/>
    <col min="13327" max="13327" width="25.81640625" style="7" customWidth="1"/>
    <col min="13328" max="13328" width="20.453125" style="7" customWidth="1"/>
    <col min="13329" max="13569" width="9.1796875" style="7"/>
    <col min="13570" max="13570" width="12.54296875" style="7" customWidth="1"/>
    <col min="13571" max="13571" width="25" style="7" bestFit="1" customWidth="1"/>
    <col min="13572" max="13572" width="51.81640625" style="7" customWidth="1"/>
    <col min="13573" max="13573" width="13.7265625" style="7" customWidth="1"/>
    <col min="13574" max="13574" width="17.81640625" style="7" customWidth="1"/>
    <col min="13575" max="13575" width="21.54296875" style="7" customWidth="1"/>
    <col min="13576" max="13576" width="16.453125" style="7" customWidth="1"/>
    <col min="13577" max="13577" width="21.453125" style="7" customWidth="1"/>
    <col min="13578" max="13578" width="16" style="7" customWidth="1"/>
    <col min="13579" max="13579" width="11.7265625" style="7" customWidth="1"/>
    <col min="13580" max="13580" width="21.453125" style="7" customWidth="1"/>
    <col min="13581" max="13581" width="18.7265625" style="7" customWidth="1"/>
    <col min="13582" max="13582" width="9.1796875" style="7"/>
    <col min="13583" max="13583" width="25.81640625" style="7" customWidth="1"/>
    <col min="13584" max="13584" width="20.453125" style="7" customWidth="1"/>
    <col min="13585" max="13825" width="9.1796875" style="7"/>
    <col min="13826" max="13826" width="12.54296875" style="7" customWidth="1"/>
    <col min="13827" max="13827" width="25" style="7" bestFit="1" customWidth="1"/>
    <col min="13828" max="13828" width="51.81640625" style="7" customWidth="1"/>
    <col min="13829" max="13829" width="13.7265625" style="7" customWidth="1"/>
    <col min="13830" max="13830" width="17.81640625" style="7" customWidth="1"/>
    <col min="13831" max="13831" width="21.54296875" style="7" customWidth="1"/>
    <col min="13832" max="13832" width="16.453125" style="7" customWidth="1"/>
    <col min="13833" max="13833" width="21.453125" style="7" customWidth="1"/>
    <col min="13834" max="13834" width="16" style="7" customWidth="1"/>
    <col min="13835" max="13835" width="11.7265625" style="7" customWidth="1"/>
    <col min="13836" max="13836" width="21.453125" style="7" customWidth="1"/>
    <col min="13837" max="13837" width="18.7265625" style="7" customWidth="1"/>
    <col min="13838" max="13838" width="9.1796875" style="7"/>
    <col min="13839" max="13839" width="25.81640625" style="7" customWidth="1"/>
    <col min="13840" max="13840" width="20.453125" style="7" customWidth="1"/>
    <col min="13841" max="14081" width="9.1796875" style="7"/>
    <col min="14082" max="14082" width="12.54296875" style="7" customWidth="1"/>
    <col min="14083" max="14083" width="25" style="7" bestFit="1" customWidth="1"/>
    <col min="14084" max="14084" width="51.81640625" style="7" customWidth="1"/>
    <col min="14085" max="14085" width="13.7265625" style="7" customWidth="1"/>
    <col min="14086" max="14086" width="17.81640625" style="7" customWidth="1"/>
    <col min="14087" max="14087" width="21.54296875" style="7" customWidth="1"/>
    <col min="14088" max="14088" width="16.453125" style="7" customWidth="1"/>
    <col min="14089" max="14089" width="21.453125" style="7" customWidth="1"/>
    <col min="14090" max="14090" width="16" style="7" customWidth="1"/>
    <col min="14091" max="14091" width="11.7265625" style="7" customWidth="1"/>
    <col min="14092" max="14092" width="21.453125" style="7" customWidth="1"/>
    <col min="14093" max="14093" width="18.7265625" style="7" customWidth="1"/>
    <col min="14094" max="14094" width="9.1796875" style="7"/>
    <col min="14095" max="14095" width="25.81640625" style="7" customWidth="1"/>
    <col min="14096" max="14096" width="20.453125" style="7" customWidth="1"/>
    <col min="14097" max="14337" width="9.1796875" style="7"/>
    <col min="14338" max="14338" width="12.54296875" style="7" customWidth="1"/>
    <col min="14339" max="14339" width="25" style="7" bestFit="1" customWidth="1"/>
    <col min="14340" max="14340" width="51.81640625" style="7" customWidth="1"/>
    <col min="14341" max="14341" width="13.7265625" style="7" customWidth="1"/>
    <col min="14342" max="14342" width="17.81640625" style="7" customWidth="1"/>
    <col min="14343" max="14343" width="21.54296875" style="7" customWidth="1"/>
    <col min="14344" max="14344" width="16.453125" style="7" customWidth="1"/>
    <col min="14345" max="14345" width="21.453125" style="7" customWidth="1"/>
    <col min="14346" max="14346" width="16" style="7" customWidth="1"/>
    <col min="14347" max="14347" width="11.7265625" style="7" customWidth="1"/>
    <col min="14348" max="14348" width="21.453125" style="7" customWidth="1"/>
    <col min="14349" max="14349" width="18.7265625" style="7" customWidth="1"/>
    <col min="14350" max="14350" width="9.1796875" style="7"/>
    <col min="14351" max="14351" width="25.81640625" style="7" customWidth="1"/>
    <col min="14352" max="14352" width="20.453125" style="7" customWidth="1"/>
    <col min="14353" max="14593" width="9.1796875" style="7"/>
    <col min="14594" max="14594" width="12.54296875" style="7" customWidth="1"/>
    <col min="14595" max="14595" width="25" style="7" bestFit="1" customWidth="1"/>
    <col min="14596" max="14596" width="51.81640625" style="7" customWidth="1"/>
    <col min="14597" max="14597" width="13.7265625" style="7" customWidth="1"/>
    <col min="14598" max="14598" width="17.81640625" style="7" customWidth="1"/>
    <col min="14599" max="14599" width="21.54296875" style="7" customWidth="1"/>
    <col min="14600" max="14600" width="16.453125" style="7" customWidth="1"/>
    <col min="14601" max="14601" width="21.453125" style="7" customWidth="1"/>
    <col min="14602" max="14602" width="16" style="7" customWidth="1"/>
    <col min="14603" max="14603" width="11.7265625" style="7" customWidth="1"/>
    <col min="14604" max="14604" width="21.453125" style="7" customWidth="1"/>
    <col min="14605" max="14605" width="18.7265625" style="7" customWidth="1"/>
    <col min="14606" max="14606" width="9.1796875" style="7"/>
    <col min="14607" max="14607" width="25.81640625" style="7" customWidth="1"/>
    <col min="14608" max="14608" width="20.453125" style="7" customWidth="1"/>
    <col min="14609" max="14849" width="9.1796875" style="7"/>
    <col min="14850" max="14850" width="12.54296875" style="7" customWidth="1"/>
    <col min="14851" max="14851" width="25" style="7" bestFit="1" customWidth="1"/>
    <col min="14852" max="14852" width="51.81640625" style="7" customWidth="1"/>
    <col min="14853" max="14853" width="13.7265625" style="7" customWidth="1"/>
    <col min="14854" max="14854" width="17.81640625" style="7" customWidth="1"/>
    <col min="14855" max="14855" width="21.54296875" style="7" customWidth="1"/>
    <col min="14856" max="14856" width="16.453125" style="7" customWidth="1"/>
    <col min="14857" max="14857" width="21.453125" style="7" customWidth="1"/>
    <col min="14858" max="14858" width="16" style="7" customWidth="1"/>
    <col min="14859" max="14859" width="11.7265625" style="7" customWidth="1"/>
    <col min="14860" max="14860" width="21.453125" style="7" customWidth="1"/>
    <col min="14861" max="14861" width="18.7265625" style="7" customWidth="1"/>
    <col min="14862" max="14862" width="9.1796875" style="7"/>
    <col min="14863" max="14863" width="25.81640625" style="7" customWidth="1"/>
    <col min="14864" max="14864" width="20.453125" style="7" customWidth="1"/>
    <col min="14865" max="15105" width="9.1796875" style="7"/>
    <col min="15106" max="15106" width="12.54296875" style="7" customWidth="1"/>
    <col min="15107" max="15107" width="25" style="7" bestFit="1" customWidth="1"/>
    <col min="15108" max="15108" width="51.81640625" style="7" customWidth="1"/>
    <col min="15109" max="15109" width="13.7265625" style="7" customWidth="1"/>
    <col min="15110" max="15110" width="17.81640625" style="7" customWidth="1"/>
    <col min="15111" max="15111" width="21.54296875" style="7" customWidth="1"/>
    <col min="15112" max="15112" width="16.453125" style="7" customWidth="1"/>
    <col min="15113" max="15113" width="21.453125" style="7" customWidth="1"/>
    <col min="15114" max="15114" width="16" style="7" customWidth="1"/>
    <col min="15115" max="15115" width="11.7265625" style="7" customWidth="1"/>
    <col min="15116" max="15116" width="21.453125" style="7" customWidth="1"/>
    <col min="15117" max="15117" width="18.7265625" style="7" customWidth="1"/>
    <col min="15118" max="15118" width="9.1796875" style="7"/>
    <col min="15119" max="15119" width="25.81640625" style="7" customWidth="1"/>
    <col min="15120" max="15120" width="20.453125" style="7" customWidth="1"/>
    <col min="15121" max="15361" width="9.1796875" style="7"/>
    <col min="15362" max="15362" width="12.54296875" style="7" customWidth="1"/>
    <col min="15363" max="15363" width="25" style="7" bestFit="1" customWidth="1"/>
    <col min="15364" max="15364" width="51.81640625" style="7" customWidth="1"/>
    <col min="15365" max="15365" width="13.7265625" style="7" customWidth="1"/>
    <col min="15366" max="15366" width="17.81640625" style="7" customWidth="1"/>
    <col min="15367" max="15367" width="21.54296875" style="7" customWidth="1"/>
    <col min="15368" max="15368" width="16.453125" style="7" customWidth="1"/>
    <col min="15369" max="15369" width="21.453125" style="7" customWidth="1"/>
    <col min="15370" max="15370" width="16" style="7" customWidth="1"/>
    <col min="15371" max="15371" width="11.7265625" style="7" customWidth="1"/>
    <col min="15372" max="15372" width="21.453125" style="7" customWidth="1"/>
    <col min="15373" max="15373" width="18.7265625" style="7" customWidth="1"/>
    <col min="15374" max="15374" width="9.1796875" style="7"/>
    <col min="15375" max="15375" width="25.81640625" style="7" customWidth="1"/>
    <col min="15376" max="15376" width="20.453125" style="7" customWidth="1"/>
    <col min="15377" max="15617" width="9.1796875" style="7"/>
    <col min="15618" max="15618" width="12.54296875" style="7" customWidth="1"/>
    <col min="15619" max="15619" width="25" style="7" bestFit="1" customWidth="1"/>
    <col min="15620" max="15620" width="51.81640625" style="7" customWidth="1"/>
    <col min="15621" max="15621" width="13.7265625" style="7" customWidth="1"/>
    <col min="15622" max="15622" width="17.81640625" style="7" customWidth="1"/>
    <col min="15623" max="15623" width="21.54296875" style="7" customWidth="1"/>
    <col min="15624" max="15624" width="16.453125" style="7" customWidth="1"/>
    <col min="15625" max="15625" width="21.453125" style="7" customWidth="1"/>
    <col min="15626" max="15626" width="16" style="7" customWidth="1"/>
    <col min="15627" max="15627" width="11.7265625" style="7" customWidth="1"/>
    <col min="15628" max="15628" width="21.453125" style="7" customWidth="1"/>
    <col min="15629" max="15629" width="18.7265625" style="7" customWidth="1"/>
    <col min="15630" max="15630" width="9.1796875" style="7"/>
    <col min="15631" max="15631" width="25.81640625" style="7" customWidth="1"/>
    <col min="15632" max="15632" width="20.453125" style="7" customWidth="1"/>
    <col min="15633" max="15873" width="9.1796875" style="7"/>
    <col min="15874" max="15874" width="12.54296875" style="7" customWidth="1"/>
    <col min="15875" max="15875" width="25" style="7" bestFit="1" customWidth="1"/>
    <col min="15876" max="15876" width="51.81640625" style="7" customWidth="1"/>
    <col min="15877" max="15877" width="13.7265625" style="7" customWidth="1"/>
    <col min="15878" max="15878" width="17.81640625" style="7" customWidth="1"/>
    <col min="15879" max="15879" width="21.54296875" style="7" customWidth="1"/>
    <col min="15880" max="15880" width="16.453125" style="7" customWidth="1"/>
    <col min="15881" max="15881" width="21.453125" style="7" customWidth="1"/>
    <col min="15882" max="15882" width="16" style="7" customWidth="1"/>
    <col min="15883" max="15883" width="11.7265625" style="7" customWidth="1"/>
    <col min="15884" max="15884" width="21.453125" style="7" customWidth="1"/>
    <col min="15885" max="15885" width="18.7265625" style="7" customWidth="1"/>
    <col min="15886" max="15886" width="9.1796875" style="7"/>
    <col min="15887" max="15887" width="25.81640625" style="7" customWidth="1"/>
    <col min="15888" max="15888" width="20.453125" style="7" customWidth="1"/>
    <col min="15889" max="16129" width="9.1796875" style="7"/>
    <col min="16130" max="16130" width="12.54296875" style="7" customWidth="1"/>
    <col min="16131" max="16131" width="25" style="7" bestFit="1" customWidth="1"/>
    <col min="16132" max="16132" width="51.81640625" style="7" customWidth="1"/>
    <col min="16133" max="16133" width="13.7265625" style="7" customWidth="1"/>
    <col min="16134" max="16134" width="17.81640625" style="7" customWidth="1"/>
    <col min="16135" max="16135" width="21.54296875" style="7" customWidth="1"/>
    <col min="16136" max="16136" width="16.453125" style="7" customWidth="1"/>
    <col min="16137" max="16137" width="21.453125" style="7" customWidth="1"/>
    <col min="16138" max="16138" width="16" style="7" customWidth="1"/>
    <col min="16139" max="16139" width="11.7265625" style="7" customWidth="1"/>
    <col min="16140" max="16140" width="21.453125" style="7" customWidth="1"/>
    <col min="16141" max="16141" width="18.7265625" style="7" customWidth="1"/>
    <col min="16142" max="16142" width="9.1796875" style="7"/>
    <col min="16143" max="16143" width="25.81640625" style="7" customWidth="1"/>
    <col min="16144" max="16144" width="20.453125" style="7" customWidth="1"/>
    <col min="16145" max="16384" width="9.1796875" style="7"/>
  </cols>
  <sheetData>
    <row r="1" spans="1:20" x14ac:dyDescent="0.3">
      <c r="A1" s="1" t="s">
        <v>5</v>
      </c>
      <c r="B1" s="5" t="s">
        <v>6</v>
      </c>
      <c r="C1" s="5" t="s">
        <v>7</v>
      </c>
      <c r="D1" s="13" t="s">
        <v>8</v>
      </c>
      <c r="E1" s="3" t="s">
        <v>1086</v>
      </c>
      <c r="F1" s="14" t="s">
        <v>1087</v>
      </c>
      <c r="G1" s="15" t="s">
        <v>1088</v>
      </c>
      <c r="H1" s="15" t="s">
        <v>1089</v>
      </c>
      <c r="I1" s="15" t="s">
        <v>1090</v>
      </c>
      <c r="J1" s="15" t="s">
        <v>1091</v>
      </c>
      <c r="K1" s="4" t="s">
        <v>1092</v>
      </c>
      <c r="L1" s="3" t="s">
        <v>1093</v>
      </c>
      <c r="M1" s="15" t="s">
        <v>1094</v>
      </c>
      <c r="N1" s="14" t="s">
        <v>1095</v>
      </c>
      <c r="O1" s="4" t="s">
        <v>1096</v>
      </c>
      <c r="P1" s="3" t="s">
        <v>1097</v>
      </c>
      <c r="Q1" s="3" t="s">
        <v>1098</v>
      </c>
      <c r="R1" s="168"/>
      <c r="S1" s="6"/>
      <c r="T1" s="6"/>
    </row>
    <row r="2" spans="1:20" x14ac:dyDescent="0.3">
      <c r="A2" s="1"/>
      <c r="B2" s="15" t="s">
        <v>14</v>
      </c>
      <c r="C2" s="15" t="s">
        <v>14</v>
      </c>
      <c r="D2" s="17"/>
      <c r="E2" s="3" t="s">
        <v>15</v>
      </c>
      <c r="F2" s="14"/>
      <c r="G2" s="5" t="s">
        <v>16</v>
      </c>
      <c r="H2" s="5" t="s">
        <v>17</v>
      </c>
      <c r="I2" s="5" t="s">
        <v>16</v>
      </c>
      <c r="J2" s="5" t="s">
        <v>17</v>
      </c>
      <c r="K2" s="15" t="s">
        <v>18</v>
      </c>
      <c r="L2" s="5" t="s">
        <v>16</v>
      </c>
      <c r="M2" s="15" t="s">
        <v>17</v>
      </c>
      <c r="N2" s="15" t="s">
        <v>18</v>
      </c>
      <c r="O2" s="15" t="s">
        <v>16</v>
      </c>
      <c r="P2" s="15" t="s">
        <v>17</v>
      </c>
      <c r="Q2" s="18" t="s">
        <v>18</v>
      </c>
    </row>
    <row r="3" spans="1:20" x14ac:dyDescent="0.3">
      <c r="A3" s="6">
        <v>1</v>
      </c>
      <c r="B3" s="6" t="s">
        <v>586</v>
      </c>
      <c r="C3" s="6" t="s">
        <v>495</v>
      </c>
      <c r="D3" s="6" t="s">
        <v>496</v>
      </c>
      <c r="E3" s="19">
        <v>45503</v>
      </c>
      <c r="F3" s="19">
        <v>45638</v>
      </c>
      <c r="G3" s="20">
        <v>810725850</v>
      </c>
      <c r="H3" s="20">
        <v>344558.49</v>
      </c>
      <c r="I3" s="65">
        <f t="shared" ref="I3:I37" si="0">IF(G3&gt;100000000,100000000,G3)</f>
        <v>100000000</v>
      </c>
      <c r="J3" s="65">
        <f t="shared" ref="J3:J33" si="1">I3/G3*H3</f>
        <v>42500.000462548473</v>
      </c>
      <c r="K3" s="65">
        <f t="shared" ref="K3:K36" si="2">I3/G3*100</f>
        <v>12.334625817099578</v>
      </c>
      <c r="L3" s="65">
        <f t="shared" ref="L3:L9" si="3">IF(G3-I3&gt;1500000000,1500000000,G3-I3)</f>
        <v>710725850</v>
      </c>
      <c r="M3" s="65">
        <f>H3-J3</f>
        <v>302058.48953745153</v>
      </c>
      <c r="N3" s="65">
        <f>100-K3</f>
        <v>87.665374182900422</v>
      </c>
      <c r="O3" s="39">
        <f t="shared" ref="O3:O37" si="4">G3-I3-L3</f>
        <v>0</v>
      </c>
      <c r="P3" s="39">
        <f t="shared" ref="P3:P33" si="5">H3/G3*O3</f>
        <v>0</v>
      </c>
      <c r="Q3" s="39">
        <f t="shared" ref="Q3:Q37" si="6">O3/G3*100</f>
        <v>0</v>
      </c>
    </row>
    <row r="4" spans="1:20" x14ac:dyDescent="0.3">
      <c r="A4" s="6">
        <v>2</v>
      </c>
      <c r="B4" s="6" t="s">
        <v>587</v>
      </c>
      <c r="C4" s="6" t="s">
        <v>497</v>
      </c>
      <c r="D4" s="6" t="s">
        <v>498</v>
      </c>
      <c r="E4" s="19">
        <v>45491</v>
      </c>
      <c r="F4" s="19">
        <v>45582</v>
      </c>
      <c r="G4" s="20">
        <v>535338591.97000003</v>
      </c>
      <c r="H4" s="20">
        <v>160601.57999999999</v>
      </c>
      <c r="I4" s="65">
        <f t="shared" si="0"/>
        <v>100000000</v>
      </c>
      <c r="J4" s="65">
        <f t="shared" si="1"/>
        <v>30000.000449995576</v>
      </c>
      <c r="K4" s="65">
        <f t="shared" si="2"/>
        <v>18.679766693450699</v>
      </c>
      <c r="L4" s="65">
        <f t="shared" si="3"/>
        <v>435338591.97000003</v>
      </c>
      <c r="M4" s="65">
        <f>H4-J4</f>
        <v>130601.57955000442</v>
      </c>
      <c r="N4" s="65">
        <f>100-K4</f>
        <v>81.320233306549298</v>
      </c>
      <c r="O4" s="39">
        <f t="shared" si="4"/>
        <v>0</v>
      </c>
      <c r="P4" s="39">
        <f t="shared" si="5"/>
        <v>0</v>
      </c>
      <c r="Q4" s="39">
        <f t="shared" si="6"/>
        <v>0</v>
      </c>
    </row>
    <row r="5" spans="1:20" x14ac:dyDescent="0.3">
      <c r="A5" s="6">
        <v>3</v>
      </c>
      <c r="B5" s="6" t="s">
        <v>588</v>
      </c>
      <c r="C5" s="6" t="s">
        <v>499</v>
      </c>
      <c r="D5" s="6" t="s">
        <v>259</v>
      </c>
      <c r="E5" s="19">
        <v>45474</v>
      </c>
      <c r="F5" s="19">
        <v>45565</v>
      </c>
      <c r="G5" s="20">
        <v>2264515000</v>
      </c>
      <c r="H5" s="20">
        <v>2264515</v>
      </c>
      <c r="I5" s="65">
        <f t="shared" si="0"/>
        <v>100000000</v>
      </c>
      <c r="J5" s="65">
        <f t="shared" si="1"/>
        <v>100000</v>
      </c>
      <c r="K5" s="65">
        <f t="shared" si="2"/>
        <v>4.4159566176421885</v>
      </c>
      <c r="L5" s="65">
        <f t="shared" si="3"/>
        <v>1500000000</v>
      </c>
      <c r="M5" s="65">
        <v>1500014.74</v>
      </c>
      <c r="N5" s="65">
        <v>66.239999999999995</v>
      </c>
      <c r="O5" s="39">
        <f t="shared" si="4"/>
        <v>664515000</v>
      </c>
      <c r="P5" s="39">
        <f t="shared" si="5"/>
        <v>664515</v>
      </c>
      <c r="Q5" s="39">
        <f t="shared" si="6"/>
        <v>29.344694117724991</v>
      </c>
    </row>
    <row r="6" spans="1:20" x14ac:dyDescent="0.3">
      <c r="A6" s="6">
        <v>4</v>
      </c>
      <c r="B6" s="6" t="s">
        <v>589</v>
      </c>
      <c r="C6" s="6" t="s">
        <v>500</v>
      </c>
      <c r="D6" s="6" t="s">
        <v>501</v>
      </c>
      <c r="E6" s="19">
        <v>45443</v>
      </c>
      <c r="F6" s="19">
        <v>45640</v>
      </c>
      <c r="G6" s="20">
        <v>145061277.84</v>
      </c>
      <c r="H6" s="20">
        <v>38466</v>
      </c>
      <c r="I6" s="65">
        <f t="shared" si="0"/>
        <v>100000000</v>
      </c>
      <c r="J6" s="65">
        <f t="shared" si="1"/>
        <v>26517.069594842054</v>
      </c>
      <c r="K6" s="65">
        <f t="shared" si="2"/>
        <v>68.936384326007527</v>
      </c>
      <c r="L6" s="65">
        <f t="shared" si="3"/>
        <v>45061277.840000004</v>
      </c>
      <c r="M6" s="65">
        <f t="shared" ref="M6:M9" si="7">H6-J6</f>
        <v>11948.930405157946</v>
      </c>
      <c r="N6" s="65">
        <f t="shared" ref="N6:N9" si="8">100-K6</f>
        <v>31.063615673992473</v>
      </c>
      <c r="O6" s="39">
        <f t="shared" si="4"/>
        <v>0</v>
      </c>
      <c r="P6" s="39">
        <f t="shared" si="5"/>
        <v>0</v>
      </c>
      <c r="Q6" s="39">
        <f t="shared" si="6"/>
        <v>0</v>
      </c>
    </row>
    <row r="7" spans="1:20" x14ac:dyDescent="0.3">
      <c r="A7" s="6">
        <v>5</v>
      </c>
      <c r="B7" s="6" t="s">
        <v>590</v>
      </c>
      <c r="C7" s="6" t="s">
        <v>502</v>
      </c>
      <c r="D7" s="6" t="s">
        <v>503</v>
      </c>
      <c r="E7" s="19">
        <v>45488</v>
      </c>
      <c r="F7" s="19">
        <v>45852</v>
      </c>
      <c r="G7" s="20">
        <v>111630320</v>
      </c>
      <c r="H7" s="20">
        <v>111630.32</v>
      </c>
      <c r="I7" s="65">
        <f t="shared" si="0"/>
        <v>100000000</v>
      </c>
      <c r="J7" s="65">
        <f t="shared" si="1"/>
        <v>100000</v>
      </c>
      <c r="K7" s="65">
        <f t="shared" si="2"/>
        <v>89.581396882137398</v>
      </c>
      <c r="L7" s="65">
        <f t="shared" si="3"/>
        <v>11630320</v>
      </c>
      <c r="M7" s="65">
        <f t="shared" si="7"/>
        <v>11630.320000000007</v>
      </c>
      <c r="N7" s="65">
        <f t="shared" si="8"/>
        <v>10.418603117862602</v>
      </c>
      <c r="O7" s="39">
        <f t="shared" si="4"/>
        <v>0</v>
      </c>
      <c r="P7" s="39">
        <f t="shared" si="5"/>
        <v>0</v>
      </c>
      <c r="Q7" s="39">
        <f t="shared" si="6"/>
        <v>0</v>
      </c>
    </row>
    <row r="8" spans="1:20" x14ac:dyDescent="0.3">
      <c r="A8" s="6">
        <v>6</v>
      </c>
      <c r="B8" s="6" t="s">
        <v>591</v>
      </c>
      <c r="C8" s="6" t="s">
        <v>500</v>
      </c>
      <c r="D8" s="6" t="s">
        <v>501</v>
      </c>
      <c r="E8" s="19">
        <v>45533</v>
      </c>
      <c r="F8" s="19">
        <v>45898</v>
      </c>
      <c r="G8" s="20">
        <v>138190910</v>
      </c>
      <c r="H8" s="20">
        <v>138190.91</v>
      </c>
      <c r="I8" s="65">
        <f t="shared" si="0"/>
        <v>100000000</v>
      </c>
      <c r="J8" s="65">
        <f t="shared" si="1"/>
        <v>100000</v>
      </c>
      <c r="K8" s="65">
        <f t="shared" si="2"/>
        <v>72.363659809462149</v>
      </c>
      <c r="L8" s="65">
        <f t="shared" si="3"/>
        <v>38190910</v>
      </c>
      <c r="M8" s="65">
        <f t="shared" si="7"/>
        <v>38190.910000000003</v>
      </c>
      <c r="N8" s="65">
        <f t="shared" si="8"/>
        <v>27.636340190537851</v>
      </c>
      <c r="O8" s="39">
        <f t="shared" si="4"/>
        <v>0</v>
      </c>
      <c r="P8" s="39">
        <f t="shared" si="5"/>
        <v>0</v>
      </c>
      <c r="Q8" s="39">
        <f t="shared" si="6"/>
        <v>0</v>
      </c>
    </row>
    <row r="9" spans="1:20" x14ac:dyDescent="0.3">
      <c r="A9" s="6">
        <v>7</v>
      </c>
      <c r="B9" s="6" t="s">
        <v>592</v>
      </c>
      <c r="C9" s="6" t="s">
        <v>502</v>
      </c>
      <c r="D9" s="6" t="s">
        <v>503</v>
      </c>
      <c r="E9" s="19">
        <v>45554</v>
      </c>
      <c r="F9" s="19">
        <v>45919</v>
      </c>
      <c r="G9" s="20">
        <v>921452018.5</v>
      </c>
      <c r="H9" s="20">
        <v>921452.02</v>
      </c>
      <c r="I9" s="65">
        <f t="shared" si="0"/>
        <v>100000000</v>
      </c>
      <c r="J9" s="65">
        <f t="shared" si="1"/>
        <v>100000.00016278656</v>
      </c>
      <c r="K9" s="65">
        <f t="shared" si="2"/>
        <v>10.852437022470966</v>
      </c>
      <c r="L9" s="65">
        <f t="shared" si="3"/>
        <v>821452018.5</v>
      </c>
      <c r="M9" s="65">
        <f t="shared" si="7"/>
        <v>821452.01983721345</v>
      </c>
      <c r="N9" s="65">
        <f t="shared" si="8"/>
        <v>89.147562977529034</v>
      </c>
      <c r="O9" s="39">
        <f t="shared" si="4"/>
        <v>0</v>
      </c>
      <c r="P9" s="39">
        <f t="shared" si="5"/>
        <v>0</v>
      </c>
      <c r="Q9" s="39">
        <f t="shared" si="6"/>
        <v>0</v>
      </c>
    </row>
    <row r="10" spans="1:20" x14ac:dyDescent="0.3">
      <c r="A10" s="6">
        <v>8</v>
      </c>
      <c r="B10" s="6" t="s">
        <v>593</v>
      </c>
      <c r="C10" s="6" t="s">
        <v>504</v>
      </c>
      <c r="D10" s="6" t="s">
        <v>505</v>
      </c>
      <c r="E10" s="19">
        <v>45547</v>
      </c>
      <c r="F10" s="19">
        <v>45637</v>
      </c>
      <c r="G10" s="20">
        <v>1234328348</v>
      </c>
      <c r="H10" s="20">
        <v>3456119.37</v>
      </c>
      <c r="I10" s="65">
        <f t="shared" si="0"/>
        <v>100000000</v>
      </c>
      <c r="J10" s="65">
        <f t="shared" si="1"/>
        <v>279999.99964353087</v>
      </c>
      <c r="K10" s="65">
        <f t="shared" si="2"/>
        <v>8.1015720138026026</v>
      </c>
      <c r="L10" s="65">
        <v>617164174</v>
      </c>
      <c r="M10" s="65">
        <v>1728059.69</v>
      </c>
      <c r="N10" s="65">
        <v>50</v>
      </c>
      <c r="O10" s="39">
        <f t="shared" si="4"/>
        <v>517164174</v>
      </c>
      <c r="P10" s="39">
        <f t="shared" si="5"/>
        <v>1448059.6853564694</v>
      </c>
      <c r="Q10" s="39">
        <f t="shared" si="6"/>
        <v>41.898427986197397</v>
      </c>
    </row>
    <row r="11" spans="1:20" x14ac:dyDescent="0.3">
      <c r="A11" s="6">
        <v>9</v>
      </c>
      <c r="B11" s="6" t="s">
        <v>594</v>
      </c>
      <c r="C11" s="6" t="s">
        <v>506</v>
      </c>
      <c r="D11" s="6" t="s">
        <v>507</v>
      </c>
      <c r="E11" s="19">
        <v>45539</v>
      </c>
      <c r="F11" s="19">
        <v>45657</v>
      </c>
      <c r="G11" s="20">
        <v>135980768</v>
      </c>
      <c r="H11" s="20">
        <v>258363.46</v>
      </c>
      <c r="I11" s="65">
        <f t="shared" si="0"/>
        <v>100000000</v>
      </c>
      <c r="J11" s="65">
        <f t="shared" si="1"/>
        <v>190000.00058831848</v>
      </c>
      <c r="K11" s="65">
        <f t="shared" si="2"/>
        <v>73.539811159178043</v>
      </c>
      <c r="L11" s="65">
        <f t="shared" ref="L11:L33" si="9">IF(G11-I11&gt;1500000000,1500000000,G11-I11)</f>
        <v>35980768</v>
      </c>
      <c r="M11" s="65">
        <f>H11-J11</f>
        <v>68363.459411681513</v>
      </c>
      <c r="N11" s="65">
        <f>100-K11</f>
        <v>26.460188840821957</v>
      </c>
      <c r="O11" s="39">
        <f t="shared" si="4"/>
        <v>0</v>
      </c>
      <c r="P11" s="39">
        <f t="shared" si="5"/>
        <v>0</v>
      </c>
      <c r="Q11" s="39">
        <f t="shared" si="6"/>
        <v>0</v>
      </c>
    </row>
    <row r="12" spans="1:20" x14ac:dyDescent="0.3">
      <c r="A12" s="6">
        <v>10</v>
      </c>
      <c r="B12" s="6" t="s">
        <v>595</v>
      </c>
      <c r="C12" s="6" t="s">
        <v>508</v>
      </c>
      <c r="D12" s="6" t="s">
        <v>509</v>
      </c>
      <c r="E12" s="19">
        <v>45483</v>
      </c>
      <c r="F12" s="19">
        <v>45575</v>
      </c>
      <c r="G12" s="20">
        <v>5108934600</v>
      </c>
      <c r="H12" s="20">
        <v>6130721.5199999996</v>
      </c>
      <c r="I12" s="65">
        <f t="shared" si="0"/>
        <v>100000000</v>
      </c>
      <c r="J12" s="65">
        <f t="shared" si="1"/>
        <v>119999.99999999999</v>
      </c>
      <c r="K12" s="65">
        <f t="shared" si="2"/>
        <v>1.9573552575912794</v>
      </c>
      <c r="L12" s="65">
        <f t="shared" si="9"/>
        <v>1500000000</v>
      </c>
      <c r="M12" s="65">
        <v>1799979.84</v>
      </c>
      <c r="N12" s="65">
        <v>29.36</v>
      </c>
      <c r="O12" s="39">
        <f t="shared" si="4"/>
        <v>3508934600</v>
      </c>
      <c r="P12" s="39">
        <f t="shared" si="5"/>
        <v>4210721.5199999996</v>
      </c>
      <c r="Q12" s="39">
        <f t="shared" si="6"/>
        <v>68.682315878539541</v>
      </c>
    </row>
    <row r="13" spans="1:20" x14ac:dyDescent="0.3">
      <c r="A13" s="6">
        <v>11</v>
      </c>
      <c r="B13" s="6" t="s">
        <v>596</v>
      </c>
      <c r="C13" s="6" t="s">
        <v>510</v>
      </c>
      <c r="D13" s="6" t="s">
        <v>511</v>
      </c>
      <c r="E13" s="19">
        <v>45426</v>
      </c>
      <c r="F13" s="19">
        <v>45518</v>
      </c>
      <c r="G13" s="20">
        <v>1308657504</v>
      </c>
      <c r="H13" s="20">
        <v>300000</v>
      </c>
      <c r="I13" s="65">
        <f t="shared" si="0"/>
        <v>100000000</v>
      </c>
      <c r="J13" s="65">
        <f t="shared" si="1"/>
        <v>22924.256276606349</v>
      </c>
      <c r="K13" s="65">
        <f t="shared" si="2"/>
        <v>7.6414187588687827</v>
      </c>
      <c r="L13" s="65">
        <f t="shared" si="9"/>
        <v>1208657504</v>
      </c>
      <c r="M13" s="65">
        <f>H13-J13</f>
        <v>277075.74372339365</v>
      </c>
      <c r="N13" s="65">
        <f>100-K13</f>
        <v>92.358581241131219</v>
      </c>
      <c r="O13" s="39">
        <f t="shared" si="4"/>
        <v>0</v>
      </c>
      <c r="P13" s="39">
        <f t="shared" si="5"/>
        <v>0</v>
      </c>
      <c r="Q13" s="39">
        <f t="shared" si="6"/>
        <v>0</v>
      </c>
    </row>
    <row r="14" spans="1:20" x14ac:dyDescent="0.3">
      <c r="A14" s="6">
        <v>12</v>
      </c>
      <c r="B14" s="6" t="s">
        <v>597</v>
      </c>
      <c r="C14" s="6" t="s">
        <v>497</v>
      </c>
      <c r="D14" s="6" t="s">
        <v>498</v>
      </c>
      <c r="E14" s="19">
        <v>45491</v>
      </c>
      <c r="F14" s="19">
        <v>45582</v>
      </c>
      <c r="G14" s="20">
        <v>535338591.97000003</v>
      </c>
      <c r="H14" s="20">
        <v>160601.57999999999</v>
      </c>
      <c r="I14" s="65">
        <f t="shared" si="0"/>
        <v>100000000</v>
      </c>
      <c r="J14" s="65">
        <f t="shared" si="1"/>
        <v>30000.000449995576</v>
      </c>
      <c r="K14" s="65">
        <f t="shared" si="2"/>
        <v>18.679766693450699</v>
      </c>
      <c r="L14" s="65">
        <f t="shared" si="9"/>
        <v>435338591.97000003</v>
      </c>
      <c r="M14" s="65">
        <f>H14-J14</f>
        <v>130601.57955000442</v>
      </c>
      <c r="N14" s="65">
        <f>100-K14</f>
        <v>81.320233306549298</v>
      </c>
      <c r="O14" s="39">
        <f t="shared" si="4"/>
        <v>0</v>
      </c>
      <c r="P14" s="39">
        <f t="shared" si="5"/>
        <v>0</v>
      </c>
      <c r="Q14" s="39">
        <f t="shared" si="6"/>
        <v>0</v>
      </c>
    </row>
    <row r="15" spans="1:20" x14ac:dyDescent="0.3">
      <c r="A15" s="6">
        <v>13</v>
      </c>
      <c r="B15" s="6" t="s">
        <v>598</v>
      </c>
      <c r="C15" s="6" t="s">
        <v>512</v>
      </c>
      <c r="D15" s="6" t="s">
        <v>513</v>
      </c>
      <c r="E15" s="19">
        <v>45495</v>
      </c>
      <c r="F15" s="19">
        <v>45586</v>
      </c>
      <c r="G15" s="20">
        <v>166532850</v>
      </c>
      <c r="H15" s="20">
        <v>166532.85</v>
      </c>
      <c r="I15" s="65">
        <f t="shared" si="0"/>
        <v>100000000</v>
      </c>
      <c r="J15" s="65">
        <f t="shared" si="1"/>
        <v>100000.00000000001</v>
      </c>
      <c r="K15" s="65">
        <f t="shared" si="2"/>
        <v>60.048212709984853</v>
      </c>
      <c r="L15" s="65">
        <f t="shared" si="9"/>
        <v>66532850</v>
      </c>
      <c r="M15" s="65">
        <f>H15-J15</f>
        <v>66532.849999999991</v>
      </c>
      <c r="N15" s="65">
        <f>100-K15</f>
        <v>39.951787290015147</v>
      </c>
      <c r="O15" s="39">
        <f t="shared" si="4"/>
        <v>0</v>
      </c>
      <c r="P15" s="39">
        <f t="shared" si="5"/>
        <v>0</v>
      </c>
      <c r="Q15" s="39">
        <f t="shared" si="6"/>
        <v>0</v>
      </c>
    </row>
    <row r="16" spans="1:20" x14ac:dyDescent="0.3">
      <c r="A16" s="6">
        <v>14</v>
      </c>
      <c r="B16" s="6" t="s">
        <v>599</v>
      </c>
      <c r="C16" s="6" t="s">
        <v>508</v>
      </c>
      <c r="D16" s="6" t="s">
        <v>509</v>
      </c>
      <c r="E16" s="19">
        <v>45541</v>
      </c>
      <c r="F16" s="19">
        <v>45631</v>
      </c>
      <c r="G16" s="20">
        <v>1699500000</v>
      </c>
      <c r="H16" s="20">
        <v>2039400</v>
      </c>
      <c r="I16" s="65">
        <f t="shared" si="0"/>
        <v>100000000</v>
      </c>
      <c r="J16" s="65">
        <f t="shared" si="1"/>
        <v>120000</v>
      </c>
      <c r="K16" s="65">
        <f t="shared" si="2"/>
        <v>5.8840835539864669</v>
      </c>
      <c r="L16" s="65">
        <f t="shared" si="9"/>
        <v>1500000000</v>
      </c>
      <c r="M16" s="65">
        <v>1799974.44</v>
      </c>
      <c r="N16" s="65">
        <v>88.26</v>
      </c>
      <c r="O16" s="39">
        <f t="shared" si="4"/>
        <v>99500000</v>
      </c>
      <c r="P16" s="39">
        <f t="shared" si="5"/>
        <v>119399.99999999999</v>
      </c>
      <c r="Q16" s="39">
        <f t="shared" si="6"/>
        <v>5.8546631362165344</v>
      </c>
    </row>
    <row r="17" spans="1:18" x14ac:dyDescent="0.3">
      <c r="A17" s="6">
        <v>15</v>
      </c>
      <c r="B17" s="6" t="s">
        <v>600</v>
      </c>
      <c r="C17" s="6" t="s">
        <v>514</v>
      </c>
      <c r="D17" s="6" t="s">
        <v>515</v>
      </c>
      <c r="E17" s="19">
        <v>45488</v>
      </c>
      <c r="F17" s="19">
        <v>45578</v>
      </c>
      <c r="G17" s="20">
        <v>259317223.38</v>
      </c>
      <c r="H17" s="20">
        <v>388975.83</v>
      </c>
      <c r="I17" s="65">
        <f t="shared" si="0"/>
        <v>100000000</v>
      </c>
      <c r="J17" s="65">
        <f t="shared" si="1"/>
        <v>149999.9980448657</v>
      </c>
      <c r="K17" s="65">
        <f t="shared" si="2"/>
        <v>38.562806857399259</v>
      </c>
      <c r="L17" s="65">
        <f t="shared" si="9"/>
        <v>159317223.38</v>
      </c>
      <c r="M17" s="65">
        <f t="shared" ref="M17:M33" si="10">H17-J17</f>
        <v>238975.83195513432</v>
      </c>
      <c r="N17" s="65">
        <f t="shared" ref="N17:N33" si="11">100-K17</f>
        <v>61.437193142600741</v>
      </c>
      <c r="O17" s="39">
        <f t="shared" si="4"/>
        <v>0</v>
      </c>
      <c r="P17" s="39">
        <f t="shared" si="5"/>
        <v>0</v>
      </c>
      <c r="Q17" s="39">
        <f t="shared" si="6"/>
        <v>0</v>
      </c>
    </row>
    <row r="18" spans="1:18" x14ac:dyDescent="0.3">
      <c r="A18" s="6">
        <v>16</v>
      </c>
      <c r="B18" s="6" t="s">
        <v>601</v>
      </c>
      <c r="C18" s="6" t="s">
        <v>516</v>
      </c>
      <c r="D18" s="6" t="s">
        <v>517</v>
      </c>
      <c r="E18" s="19">
        <v>45484</v>
      </c>
      <c r="F18" s="19">
        <v>45657</v>
      </c>
      <c r="G18" s="20">
        <v>238425033.94</v>
      </c>
      <c r="H18" s="20">
        <v>119212.52</v>
      </c>
      <c r="I18" s="65">
        <f t="shared" si="0"/>
        <v>100000000</v>
      </c>
      <c r="J18" s="65">
        <f t="shared" si="1"/>
        <v>50000.001270839704</v>
      </c>
      <c r="K18" s="65">
        <f t="shared" si="2"/>
        <v>41.941904483555675</v>
      </c>
      <c r="L18" s="65">
        <f t="shared" si="9"/>
        <v>138425033.94</v>
      </c>
      <c r="M18" s="65">
        <f t="shared" si="10"/>
        <v>69212.518729160307</v>
      </c>
      <c r="N18" s="65">
        <f t="shared" si="11"/>
        <v>58.058095516444325</v>
      </c>
      <c r="O18" s="39">
        <f t="shared" si="4"/>
        <v>0</v>
      </c>
      <c r="P18" s="39">
        <f t="shared" si="5"/>
        <v>0</v>
      </c>
      <c r="Q18" s="39">
        <f t="shared" si="6"/>
        <v>0</v>
      </c>
    </row>
    <row r="19" spans="1:18" x14ac:dyDescent="0.3">
      <c r="A19" s="6">
        <v>17</v>
      </c>
      <c r="B19" s="6" t="s">
        <v>602</v>
      </c>
      <c r="C19" s="6" t="s">
        <v>516</v>
      </c>
      <c r="D19" s="6" t="s">
        <v>517</v>
      </c>
      <c r="E19" s="19">
        <v>45555</v>
      </c>
      <c r="F19" s="19">
        <v>45645</v>
      </c>
      <c r="G19" s="20">
        <v>228243365.88999999</v>
      </c>
      <c r="H19" s="20">
        <v>114121.68</v>
      </c>
      <c r="I19" s="65">
        <f t="shared" si="0"/>
        <v>100000000</v>
      </c>
      <c r="J19" s="65">
        <f t="shared" si="1"/>
        <v>49999.998709710584</v>
      </c>
      <c r="K19" s="65">
        <f t="shared" si="2"/>
        <v>43.812883502688173</v>
      </c>
      <c r="L19" s="65">
        <f t="shared" si="9"/>
        <v>128243365.88999999</v>
      </c>
      <c r="M19" s="65">
        <f t="shared" si="10"/>
        <v>64121.681290289409</v>
      </c>
      <c r="N19" s="65">
        <f t="shared" si="11"/>
        <v>56.187116497311827</v>
      </c>
      <c r="O19" s="39">
        <f t="shared" si="4"/>
        <v>0</v>
      </c>
      <c r="P19" s="39">
        <f t="shared" si="5"/>
        <v>0</v>
      </c>
      <c r="Q19" s="39">
        <f t="shared" si="6"/>
        <v>0</v>
      </c>
    </row>
    <row r="20" spans="1:18" x14ac:dyDescent="0.3">
      <c r="A20" s="6">
        <v>18</v>
      </c>
      <c r="B20" s="6" t="s">
        <v>603</v>
      </c>
      <c r="C20" s="6" t="s">
        <v>518</v>
      </c>
      <c r="D20" s="6" t="s">
        <v>519</v>
      </c>
      <c r="E20" s="19">
        <v>45474</v>
      </c>
      <c r="F20" s="19">
        <v>45565</v>
      </c>
      <c r="G20" s="20">
        <v>750111923</v>
      </c>
      <c r="H20" s="20">
        <v>637595.13</v>
      </c>
      <c r="I20" s="65">
        <f t="shared" si="0"/>
        <v>100000000</v>
      </c>
      <c r="J20" s="65">
        <f t="shared" si="1"/>
        <v>84999.999393423859</v>
      </c>
      <c r="K20" s="65">
        <f t="shared" si="2"/>
        <v>13.331343887997365</v>
      </c>
      <c r="L20" s="65">
        <f t="shared" si="9"/>
        <v>650111923</v>
      </c>
      <c r="M20" s="65">
        <f t="shared" si="10"/>
        <v>552595.1306065761</v>
      </c>
      <c r="N20" s="65">
        <f t="shared" si="11"/>
        <v>86.668656112002637</v>
      </c>
      <c r="O20" s="39">
        <f t="shared" si="4"/>
        <v>0</v>
      </c>
      <c r="P20" s="39">
        <f t="shared" si="5"/>
        <v>0</v>
      </c>
      <c r="Q20" s="39">
        <f t="shared" si="6"/>
        <v>0</v>
      </c>
    </row>
    <row r="21" spans="1:18" x14ac:dyDescent="0.3">
      <c r="A21" s="6">
        <v>19</v>
      </c>
      <c r="B21" s="6" t="s">
        <v>604</v>
      </c>
      <c r="C21" s="6" t="s">
        <v>520</v>
      </c>
      <c r="D21" s="6" t="s">
        <v>521</v>
      </c>
      <c r="E21" s="19">
        <v>45474</v>
      </c>
      <c r="F21" s="19">
        <v>45565</v>
      </c>
      <c r="G21" s="20">
        <v>993458811.46000004</v>
      </c>
      <c r="H21" s="20">
        <v>844439.99</v>
      </c>
      <c r="I21" s="65">
        <f t="shared" si="0"/>
        <v>100000000</v>
      </c>
      <c r="J21" s="65">
        <f t="shared" si="1"/>
        <v>85000.000026070527</v>
      </c>
      <c r="K21" s="65">
        <f t="shared" si="2"/>
        <v>10.065842574091089</v>
      </c>
      <c r="L21" s="65">
        <f t="shared" si="9"/>
        <v>893458811.46000004</v>
      </c>
      <c r="M21" s="65">
        <f t="shared" si="10"/>
        <v>759439.98997392948</v>
      </c>
      <c r="N21" s="65">
        <f t="shared" si="11"/>
        <v>89.934157425908907</v>
      </c>
      <c r="O21" s="39">
        <f t="shared" si="4"/>
        <v>0</v>
      </c>
      <c r="P21" s="39">
        <f t="shared" si="5"/>
        <v>0</v>
      </c>
      <c r="Q21" s="39">
        <f t="shared" si="6"/>
        <v>0</v>
      </c>
    </row>
    <row r="22" spans="1:18" x14ac:dyDescent="0.3">
      <c r="A22" s="6">
        <v>20</v>
      </c>
      <c r="B22" s="6" t="s">
        <v>605</v>
      </c>
      <c r="C22" s="6" t="s">
        <v>522</v>
      </c>
      <c r="D22" s="6" t="s">
        <v>438</v>
      </c>
      <c r="E22" s="19">
        <v>45474</v>
      </c>
      <c r="F22" s="19">
        <v>45565</v>
      </c>
      <c r="G22" s="20">
        <v>1461334273.95</v>
      </c>
      <c r="H22" s="20">
        <v>1242134.1299999999</v>
      </c>
      <c r="I22" s="65">
        <f t="shared" si="0"/>
        <v>100000000</v>
      </c>
      <c r="J22" s="65">
        <f t="shared" si="1"/>
        <v>84999.999804459512</v>
      </c>
      <c r="K22" s="65">
        <f t="shared" si="2"/>
        <v>6.8430612887562736</v>
      </c>
      <c r="L22" s="65">
        <f t="shared" si="9"/>
        <v>1361334273.95</v>
      </c>
      <c r="M22" s="65">
        <f t="shared" si="10"/>
        <v>1157134.1301955404</v>
      </c>
      <c r="N22" s="65">
        <f t="shared" si="11"/>
        <v>93.156938711243725</v>
      </c>
      <c r="O22" s="39">
        <f t="shared" si="4"/>
        <v>0</v>
      </c>
      <c r="P22" s="39">
        <f t="shared" si="5"/>
        <v>0</v>
      </c>
      <c r="Q22" s="39">
        <f t="shared" si="6"/>
        <v>0</v>
      </c>
    </row>
    <row r="23" spans="1:18" x14ac:dyDescent="0.3">
      <c r="A23" s="6">
        <v>21</v>
      </c>
      <c r="B23" s="6" t="s">
        <v>606</v>
      </c>
      <c r="C23" s="6" t="s">
        <v>523</v>
      </c>
      <c r="D23" s="6" t="s">
        <v>524</v>
      </c>
      <c r="E23" s="19">
        <v>45484</v>
      </c>
      <c r="F23" s="19">
        <v>45636</v>
      </c>
      <c r="G23" s="20">
        <v>217044392.40000001</v>
      </c>
      <c r="H23" s="20">
        <v>217044.39</v>
      </c>
      <c r="I23" s="65">
        <f t="shared" si="0"/>
        <v>100000000</v>
      </c>
      <c r="J23" s="65">
        <f t="shared" si="1"/>
        <v>99999.998894235425</v>
      </c>
      <c r="K23" s="65">
        <f t="shared" si="2"/>
        <v>46.073523897224625</v>
      </c>
      <c r="L23" s="65">
        <f t="shared" si="9"/>
        <v>117044392.40000001</v>
      </c>
      <c r="M23" s="65">
        <f t="shared" si="10"/>
        <v>117044.39110576459</v>
      </c>
      <c r="N23" s="65">
        <f t="shared" si="11"/>
        <v>53.926476102775375</v>
      </c>
      <c r="O23" s="39">
        <f t="shared" si="4"/>
        <v>0</v>
      </c>
      <c r="P23" s="39">
        <f t="shared" si="5"/>
        <v>0</v>
      </c>
      <c r="Q23" s="39">
        <f t="shared" si="6"/>
        <v>0</v>
      </c>
    </row>
    <row r="24" spans="1:18" x14ac:dyDescent="0.3">
      <c r="A24" s="6">
        <v>22</v>
      </c>
      <c r="B24" s="6" t="s">
        <v>607</v>
      </c>
      <c r="C24" s="6" t="s">
        <v>525</v>
      </c>
      <c r="D24" s="6" t="s">
        <v>526</v>
      </c>
      <c r="E24" s="19">
        <v>45489</v>
      </c>
      <c r="F24" s="19">
        <v>45580</v>
      </c>
      <c r="G24" s="20">
        <v>272002500</v>
      </c>
      <c r="H24" s="20">
        <v>272002.5</v>
      </c>
      <c r="I24" s="65">
        <f t="shared" si="0"/>
        <v>100000000</v>
      </c>
      <c r="J24" s="65">
        <f t="shared" si="1"/>
        <v>100000</v>
      </c>
      <c r="K24" s="65">
        <f t="shared" si="2"/>
        <v>36.764367974559057</v>
      </c>
      <c r="L24" s="65">
        <f t="shared" si="9"/>
        <v>172002500</v>
      </c>
      <c r="M24" s="65">
        <f t="shared" si="10"/>
        <v>172002.5</v>
      </c>
      <c r="N24" s="65">
        <f t="shared" si="11"/>
        <v>63.235632025440943</v>
      </c>
      <c r="O24" s="39">
        <f t="shared" si="4"/>
        <v>0</v>
      </c>
      <c r="P24" s="39">
        <f t="shared" si="5"/>
        <v>0</v>
      </c>
      <c r="Q24" s="39">
        <f t="shared" si="6"/>
        <v>0</v>
      </c>
    </row>
    <row r="25" spans="1:18" x14ac:dyDescent="0.3">
      <c r="A25" s="6">
        <v>23</v>
      </c>
      <c r="B25" s="6" t="s">
        <v>608</v>
      </c>
      <c r="C25" s="6" t="s">
        <v>527</v>
      </c>
      <c r="D25" s="6" t="s">
        <v>528</v>
      </c>
      <c r="E25" s="19">
        <v>45503</v>
      </c>
      <c r="F25" s="19">
        <v>45594</v>
      </c>
      <c r="G25" s="20">
        <v>307951997.61000001</v>
      </c>
      <c r="H25" s="20">
        <v>538915.99</v>
      </c>
      <c r="I25" s="65">
        <f t="shared" si="0"/>
        <v>100000000</v>
      </c>
      <c r="J25" s="65">
        <f t="shared" si="1"/>
        <v>174999.99811090686</v>
      </c>
      <c r="K25" s="65">
        <f t="shared" si="2"/>
        <v>32.472593383415266</v>
      </c>
      <c r="L25" s="65">
        <f t="shared" si="9"/>
        <v>207951997.61000001</v>
      </c>
      <c r="M25" s="65">
        <f t="shared" si="10"/>
        <v>363915.99188909313</v>
      </c>
      <c r="N25" s="65">
        <f t="shared" si="11"/>
        <v>67.527406616584727</v>
      </c>
      <c r="O25" s="39">
        <f t="shared" si="4"/>
        <v>0</v>
      </c>
      <c r="P25" s="39">
        <f t="shared" si="5"/>
        <v>0</v>
      </c>
      <c r="Q25" s="39">
        <f t="shared" si="6"/>
        <v>0</v>
      </c>
    </row>
    <row r="26" spans="1:18" x14ac:dyDescent="0.3">
      <c r="A26" s="6">
        <v>24</v>
      </c>
      <c r="B26" s="6" t="s">
        <v>609</v>
      </c>
      <c r="C26" s="6" t="s">
        <v>529</v>
      </c>
      <c r="D26" s="6" t="s">
        <v>530</v>
      </c>
      <c r="E26" s="19">
        <v>45493</v>
      </c>
      <c r="F26" s="19">
        <v>45627</v>
      </c>
      <c r="G26" s="20">
        <v>399302793.5</v>
      </c>
      <c r="H26" s="20">
        <v>399302.79</v>
      </c>
      <c r="I26" s="65">
        <f t="shared" si="0"/>
        <v>100000000</v>
      </c>
      <c r="J26" s="65">
        <f t="shared" si="1"/>
        <v>99999.999123472197</v>
      </c>
      <c r="K26" s="65">
        <f t="shared" si="2"/>
        <v>25.043651491509038</v>
      </c>
      <c r="L26" s="65">
        <f t="shared" si="9"/>
        <v>299302793.5</v>
      </c>
      <c r="M26" s="65">
        <f t="shared" si="10"/>
        <v>299302.79087652778</v>
      </c>
      <c r="N26" s="65">
        <f t="shared" si="11"/>
        <v>74.956348508490962</v>
      </c>
      <c r="O26" s="39">
        <f t="shared" si="4"/>
        <v>0</v>
      </c>
      <c r="P26" s="39">
        <f t="shared" si="5"/>
        <v>0</v>
      </c>
      <c r="Q26" s="39">
        <f t="shared" si="6"/>
        <v>0</v>
      </c>
    </row>
    <row r="27" spans="1:18" x14ac:dyDescent="0.3">
      <c r="A27" s="6">
        <v>25</v>
      </c>
      <c r="B27" s="6" t="s">
        <v>610</v>
      </c>
      <c r="C27" s="30" t="s">
        <v>531</v>
      </c>
      <c r="D27" s="30" t="s">
        <v>532</v>
      </c>
      <c r="E27" s="31">
        <v>45489</v>
      </c>
      <c r="F27" s="31">
        <v>45853</v>
      </c>
      <c r="G27" s="32">
        <v>254419777.12</v>
      </c>
      <c r="H27" s="32">
        <v>116385.17</v>
      </c>
      <c r="I27" s="65">
        <f t="shared" si="0"/>
        <v>100000000</v>
      </c>
      <c r="J27" s="65">
        <f t="shared" si="1"/>
        <v>45745.33132505088</v>
      </c>
      <c r="K27" s="65">
        <f t="shared" si="2"/>
        <v>39.305120510672346</v>
      </c>
      <c r="L27" s="65">
        <f t="shared" si="9"/>
        <v>154419777.12</v>
      </c>
      <c r="M27" s="65">
        <f t="shared" si="10"/>
        <v>70639.838674949118</v>
      </c>
      <c r="N27" s="65">
        <f t="shared" si="11"/>
        <v>60.694879489327654</v>
      </c>
      <c r="O27" s="39">
        <f t="shared" si="4"/>
        <v>0</v>
      </c>
      <c r="P27" s="39">
        <f t="shared" si="5"/>
        <v>0</v>
      </c>
      <c r="Q27" s="39">
        <f t="shared" si="6"/>
        <v>0</v>
      </c>
    </row>
    <row r="28" spans="1:18" x14ac:dyDescent="0.3">
      <c r="A28" s="6">
        <v>26</v>
      </c>
      <c r="B28" s="6" t="s">
        <v>611</v>
      </c>
      <c r="C28" s="30" t="s">
        <v>533</v>
      </c>
      <c r="D28" s="30" t="s">
        <v>534</v>
      </c>
      <c r="E28" s="31">
        <v>45546</v>
      </c>
      <c r="F28" s="31">
        <v>45910</v>
      </c>
      <c r="G28" s="32">
        <v>116151923.25</v>
      </c>
      <c r="H28" s="32">
        <v>232303.85</v>
      </c>
      <c r="I28" s="65">
        <f t="shared" si="0"/>
        <v>100000000</v>
      </c>
      <c r="J28" s="65">
        <f t="shared" si="1"/>
        <v>200000.00301329492</v>
      </c>
      <c r="K28" s="65">
        <f t="shared" si="2"/>
        <v>86.094140503179318</v>
      </c>
      <c r="L28" s="65">
        <f t="shared" si="9"/>
        <v>16151923.25</v>
      </c>
      <c r="M28" s="65">
        <f t="shared" si="10"/>
        <v>32303.846986705088</v>
      </c>
      <c r="N28" s="65">
        <f t="shared" si="11"/>
        <v>13.905859496820682</v>
      </c>
      <c r="O28" s="39">
        <f t="shared" si="4"/>
        <v>0</v>
      </c>
      <c r="P28" s="39">
        <f t="shared" si="5"/>
        <v>0</v>
      </c>
      <c r="Q28" s="39">
        <f t="shared" si="6"/>
        <v>0</v>
      </c>
    </row>
    <row r="29" spans="1:18" x14ac:dyDescent="0.3">
      <c r="A29" s="6">
        <v>27</v>
      </c>
      <c r="B29" s="6" t="s">
        <v>612</v>
      </c>
      <c r="C29" s="27" t="s">
        <v>535</v>
      </c>
      <c r="D29" s="27" t="s">
        <v>536</v>
      </c>
      <c r="E29" s="28">
        <v>45531</v>
      </c>
      <c r="F29" s="28">
        <v>45714</v>
      </c>
      <c r="G29" s="29">
        <v>292399045.25</v>
      </c>
      <c r="H29" s="29">
        <v>336258.91</v>
      </c>
      <c r="I29" s="65">
        <f t="shared" si="0"/>
        <v>100000000</v>
      </c>
      <c r="J29" s="65">
        <f t="shared" si="1"/>
        <v>115000.00272316209</v>
      </c>
      <c r="K29" s="65">
        <f t="shared" si="2"/>
        <v>34.199838072145688</v>
      </c>
      <c r="L29" s="65">
        <f t="shared" si="9"/>
        <v>192399045.25</v>
      </c>
      <c r="M29" s="65">
        <f t="shared" si="10"/>
        <v>221258.90727683788</v>
      </c>
      <c r="N29" s="65">
        <f t="shared" si="11"/>
        <v>65.800161927854305</v>
      </c>
      <c r="O29" s="39">
        <f t="shared" si="4"/>
        <v>0</v>
      </c>
      <c r="P29" s="39">
        <f t="shared" si="5"/>
        <v>0</v>
      </c>
      <c r="Q29" s="39">
        <f t="shared" si="6"/>
        <v>0</v>
      </c>
    </row>
    <row r="30" spans="1:18" s="66" customFormat="1" x14ac:dyDescent="0.3">
      <c r="A30" s="6">
        <v>28</v>
      </c>
      <c r="B30" s="6" t="s">
        <v>613</v>
      </c>
      <c r="C30" s="30" t="s">
        <v>537</v>
      </c>
      <c r="D30" s="30" t="s">
        <v>538</v>
      </c>
      <c r="E30" s="31">
        <v>45467</v>
      </c>
      <c r="F30" s="31">
        <v>45831</v>
      </c>
      <c r="G30" s="32">
        <v>150750762.03</v>
      </c>
      <c r="H30" s="32">
        <v>251251.27</v>
      </c>
      <c r="I30" s="65">
        <f t="shared" si="0"/>
        <v>100000000</v>
      </c>
      <c r="J30" s="65">
        <f t="shared" si="1"/>
        <v>166666.66663349932</v>
      </c>
      <c r="K30" s="65">
        <f t="shared" si="2"/>
        <v>66.334656391388322</v>
      </c>
      <c r="L30" s="65">
        <f t="shared" si="9"/>
        <v>50750762.030000001</v>
      </c>
      <c r="M30" s="65">
        <f t="shared" si="10"/>
        <v>84584.603366500669</v>
      </c>
      <c r="N30" s="65">
        <f t="shared" si="11"/>
        <v>33.665343608611678</v>
      </c>
      <c r="O30" s="39">
        <f t="shared" si="4"/>
        <v>0</v>
      </c>
      <c r="P30" s="39">
        <f t="shared" si="5"/>
        <v>0</v>
      </c>
      <c r="Q30" s="39">
        <f t="shared" si="6"/>
        <v>0</v>
      </c>
    </row>
    <row r="31" spans="1:18" s="66" customFormat="1" x14ac:dyDescent="0.3">
      <c r="A31" s="6">
        <v>29</v>
      </c>
      <c r="B31" s="6" t="s">
        <v>614</v>
      </c>
      <c r="C31" s="30" t="s">
        <v>539</v>
      </c>
      <c r="D31" s="30" t="s">
        <v>538</v>
      </c>
      <c r="E31" s="31">
        <v>45497</v>
      </c>
      <c r="F31" s="31">
        <v>45861</v>
      </c>
      <c r="G31" s="32">
        <v>167625114.86000001</v>
      </c>
      <c r="H31" s="32">
        <v>167625.10999999999</v>
      </c>
      <c r="I31" s="65">
        <f t="shared" si="0"/>
        <v>100000000</v>
      </c>
      <c r="J31" s="65">
        <f t="shared" si="1"/>
        <v>99999.997100673107</v>
      </c>
      <c r="K31" s="65">
        <f t="shared" si="2"/>
        <v>59.656931530528524</v>
      </c>
      <c r="L31" s="65">
        <f t="shared" si="9"/>
        <v>67625114.860000014</v>
      </c>
      <c r="M31" s="65">
        <f t="shared" si="10"/>
        <v>67625.112899326879</v>
      </c>
      <c r="N31" s="65">
        <f t="shared" si="11"/>
        <v>40.343068469471476</v>
      </c>
      <c r="O31" s="39">
        <f t="shared" si="4"/>
        <v>0</v>
      </c>
      <c r="P31" s="39">
        <f t="shared" si="5"/>
        <v>0</v>
      </c>
      <c r="Q31" s="39">
        <f t="shared" si="6"/>
        <v>0</v>
      </c>
    </row>
    <row r="32" spans="1:18" s="66" customFormat="1" x14ac:dyDescent="0.3">
      <c r="A32" s="6">
        <v>30</v>
      </c>
      <c r="B32" s="6" t="s">
        <v>615</v>
      </c>
      <c r="C32" s="30" t="s">
        <v>540</v>
      </c>
      <c r="D32" s="30" t="s">
        <v>541</v>
      </c>
      <c r="E32" s="31">
        <v>45477</v>
      </c>
      <c r="F32" s="31">
        <v>45660</v>
      </c>
      <c r="G32" s="32">
        <v>262796955.19999999</v>
      </c>
      <c r="H32" s="32">
        <v>808606.02</v>
      </c>
      <c r="I32" s="65">
        <f t="shared" si="0"/>
        <v>100000000</v>
      </c>
      <c r="J32" s="65">
        <f t="shared" si="1"/>
        <v>307692.30921439535</v>
      </c>
      <c r="K32" s="65">
        <f t="shared" si="2"/>
        <v>38.052191253089532</v>
      </c>
      <c r="L32" s="65">
        <f t="shared" si="9"/>
        <v>162796955.19999999</v>
      </c>
      <c r="M32" s="65">
        <f t="shared" si="10"/>
        <v>500913.71078560466</v>
      </c>
      <c r="N32" s="65">
        <f t="shared" si="11"/>
        <v>61.947808746910468</v>
      </c>
      <c r="O32" s="39">
        <f t="shared" si="4"/>
        <v>0</v>
      </c>
      <c r="P32" s="39">
        <f t="shared" si="5"/>
        <v>0</v>
      </c>
      <c r="Q32" s="39">
        <f t="shared" si="6"/>
        <v>0</v>
      </c>
      <c r="R32" s="66" t="s">
        <v>542</v>
      </c>
    </row>
    <row r="33" spans="1:18" s="66" customFormat="1" x14ac:dyDescent="0.3">
      <c r="A33" s="6">
        <v>31</v>
      </c>
      <c r="B33" s="6" t="s">
        <v>616</v>
      </c>
      <c r="C33" s="30" t="s">
        <v>543</v>
      </c>
      <c r="D33" s="30" t="s">
        <v>544</v>
      </c>
      <c r="E33" s="31">
        <v>45490</v>
      </c>
      <c r="F33" s="31">
        <v>45643</v>
      </c>
      <c r="G33" s="32">
        <v>204058366.05000001</v>
      </c>
      <c r="H33" s="32">
        <v>31326</v>
      </c>
      <c r="I33" s="65">
        <f t="shared" si="0"/>
        <v>100000000</v>
      </c>
      <c r="J33" s="65">
        <f t="shared" si="1"/>
        <v>15351.490167437807</v>
      </c>
      <c r="K33" s="65">
        <f t="shared" si="2"/>
        <v>49.005586948342611</v>
      </c>
      <c r="L33" s="65">
        <f t="shared" si="9"/>
        <v>104058366.05000001</v>
      </c>
      <c r="M33" s="65">
        <f t="shared" si="10"/>
        <v>15974.509832562193</v>
      </c>
      <c r="N33" s="65">
        <f t="shared" si="11"/>
        <v>50.994413051657389</v>
      </c>
      <c r="O33" s="39">
        <f t="shared" si="4"/>
        <v>0</v>
      </c>
      <c r="P33" s="39">
        <f t="shared" si="5"/>
        <v>0</v>
      </c>
      <c r="Q33" s="39">
        <f t="shared" si="6"/>
        <v>0</v>
      </c>
      <c r="R33" s="66" t="s">
        <v>542</v>
      </c>
    </row>
    <row r="34" spans="1:18" s="66" customFormat="1" x14ac:dyDescent="0.3">
      <c r="A34" s="6">
        <v>32</v>
      </c>
      <c r="B34" s="6" t="s">
        <v>617</v>
      </c>
      <c r="C34" s="30" t="s">
        <v>545</v>
      </c>
      <c r="D34" s="30" t="s">
        <v>546</v>
      </c>
      <c r="E34" s="31">
        <v>45511</v>
      </c>
      <c r="F34" s="31">
        <v>45664</v>
      </c>
      <c r="G34" s="32">
        <v>2244696300</v>
      </c>
      <c r="H34" s="32">
        <v>2244696</v>
      </c>
      <c r="I34" s="65">
        <f t="shared" si="0"/>
        <v>100000000</v>
      </c>
      <c r="J34" s="65">
        <v>99888.97</v>
      </c>
      <c r="K34" s="65">
        <f t="shared" si="2"/>
        <v>4.454945642312504</v>
      </c>
      <c r="L34" s="65">
        <v>1010113335</v>
      </c>
      <c r="M34" s="65">
        <v>1010113.2</v>
      </c>
      <c r="N34" s="65">
        <v>45</v>
      </c>
      <c r="O34" s="39">
        <f t="shared" si="4"/>
        <v>1134582965</v>
      </c>
      <c r="P34" s="39">
        <v>1134693.83</v>
      </c>
      <c r="Q34" s="39">
        <f t="shared" si="6"/>
        <v>50.545054357687491</v>
      </c>
      <c r="R34" s="66" t="s">
        <v>542</v>
      </c>
    </row>
    <row r="35" spans="1:18" s="66" customFormat="1" x14ac:dyDescent="0.3">
      <c r="A35" s="6">
        <v>33</v>
      </c>
      <c r="B35" s="6" t="s">
        <v>618</v>
      </c>
      <c r="C35" s="30" t="s">
        <v>547</v>
      </c>
      <c r="D35" s="30" t="s">
        <v>548</v>
      </c>
      <c r="E35" s="31">
        <v>45545</v>
      </c>
      <c r="F35" s="31">
        <v>45725</v>
      </c>
      <c r="G35" s="32">
        <v>351502974.20999998</v>
      </c>
      <c r="H35" s="32">
        <v>175751.55</v>
      </c>
      <c r="I35" s="65">
        <f t="shared" si="0"/>
        <v>100000000</v>
      </c>
      <c r="J35" s="65">
        <f>I35/G35*H35</f>
        <v>50000.017893162971</v>
      </c>
      <c r="K35" s="65">
        <f t="shared" si="2"/>
        <v>28.449261410874026</v>
      </c>
      <c r="L35" s="65">
        <f>IF(G35-I35&gt;1500000000,1500000000,G35-I35)</f>
        <v>251502974.20999998</v>
      </c>
      <c r="M35" s="65">
        <f>H35-J35</f>
        <v>125751.53210683702</v>
      </c>
      <c r="N35" s="65">
        <f>100-K35</f>
        <v>71.55073858912597</v>
      </c>
      <c r="O35" s="39">
        <f t="shared" si="4"/>
        <v>0</v>
      </c>
      <c r="P35" s="39">
        <f>H35/G35*O35</f>
        <v>0</v>
      </c>
      <c r="Q35" s="39">
        <f t="shared" si="6"/>
        <v>0</v>
      </c>
      <c r="R35" s="66" t="s">
        <v>542</v>
      </c>
    </row>
    <row r="36" spans="1:18" x14ac:dyDescent="0.3">
      <c r="A36" s="6">
        <v>34</v>
      </c>
      <c r="B36" s="6" t="s">
        <v>619</v>
      </c>
      <c r="C36" s="27" t="s">
        <v>549</v>
      </c>
      <c r="D36" s="27" t="s">
        <v>550</v>
      </c>
      <c r="E36" s="28">
        <v>45558</v>
      </c>
      <c r="F36" s="28">
        <v>45738</v>
      </c>
      <c r="G36" s="29">
        <v>120234510.86</v>
      </c>
      <c r="H36" s="29">
        <v>60117.26</v>
      </c>
      <c r="I36" s="65">
        <f t="shared" si="0"/>
        <v>100000000</v>
      </c>
      <c r="J36" s="65">
        <f>I36/G36*H36</f>
        <v>50000.00380090539</v>
      </c>
      <c r="K36" s="65">
        <f t="shared" si="2"/>
        <v>83.170796208784949</v>
      </c>
      <c r="L36" s="65">
        <f>IF(G36-I36&gt;1500000000,1500000000,G36-I36)</f>
        <v>20234510.859999999</v>
      </c>
      <c r="M36" s="65">
        <f>H36-J36</f>
        <v>10117.256199094612</v>
      </c>
      <c r="N36" s="65">
        <f>100-K36</f>
        <v>16.829203791215051</v>
      </c>
      <c r="O36" s="39">
        <f t="shared" si="4"/>
        <v>0</v>
      </c>
      <c r="P36" s="39">
        <f>H36/G36*O36</f>
        <v>0</v>
      </c>
      <c r="Q36" s="39">
        <f t="shared" si="6"/>
        <v>0</v>
      </c>
      <c r="R36" s="67" t="s">
        <v>542</v>
      </c>
    </row>
    <row r="37" spans="1:18" x14ac:dyDescent="0.3">
      <c r="A37" s="6">
        <v>35</v>
      </c>
      <c r="B37" s="6" t="s">
        <v>620</v>
      </c>
      <c r="C37" s="30" t="s">
        <v>551</v>
      </c>
      <c r="D37" s="30" t="s">
        <v>534</v>
      </c>
      <c r="E37" s="31">
        <v>45512</v>
      </c>
      <c r="F37" s="31">
        <v>45695</v>
      </c>
      <c r="G37" s="32">
        <v>701250000</v>
      </c>
      <c r="H37" s="32">
        <v>2454375</v>
      </c>
      <c r="I37" s="65">
        <f t="shared" si="0"/>
        <v>100000000</v>
      </c>
      <c r="J37" s="65">
        <f>I37/G37*H37</f>
        <v>350000</v>
      </c>
      <c r="K37" s="65">
        <v>14.26</v>
      </c>
      <c r="L37" s="65">
        <v>350625000</v>
      </c>
      <c r="M37" s="65">
        <v>1227187.5</v>
      </c>
      <c r="N37" s="65">
        <v>50</v>
      </c>
      <c r="O37" s="39">
        <f t="shared" si="4"/>
        <v>250625000</v>
      </c>
      <c r="P37" s="39">
        <f>H37/G37*O37</f>
        <v>877187.5</v>
      </c>
      <c r="Q37" s="39">
        <f t="shared" si="6"/>
        <v>35.739750445632801</v>
      </c>
      <c r="R37" s="66"/>
    </row>
    <row r="38" spans="1:18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8">
        <f>SUM(M3:M37)</f>
        <v>15846699.566765344</v>
      </c>
      <c r="N38" s="6"/>
      <c r="O38" s="6"/>
      <c r="P38" s="6"/>
      <c r="Q38" s="6"/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6377-786C-4CC9-AC83-0DD1E64CA9DD}">
  <dimension ref="A1:T17"/>
  <sheetViews>
    <sheetView workbookViewId="0">
      <selection sqref="A1:XFD1"/>
    </sheetView>
  </sheetViews>
  <sheetFormatPr defaultRowHeight="14.5" x14ac:dyDescent="0.35"/>
  <cols>
    <col min="1" max="1" width="9.1796875" style="7"/>
    <col min="2" max="2" width="18.26953125" style="7" customWidth="1"/>
    <col min="3" max="3" width="33.26953125" style="7" customWidth="1"/>
    <col min="4" max="4" width="40" style="7" customWidth="1"/>
    <col min="5" max="5" width="19.54296875" style="7" customWidth="1"/>
    <col min="6" max="6" width="15.54296875" style="7" customWidth="1"/>
    <col min="7" max="7" width="16" style="7" bestFit="1" customWidth="1"/>
    <col min="8" max="8" width="12.81640625" style="7" bestFit="1" customWidth="1"/>
    <col min="9" max="9" width="22.1796875" style="7" customWidth="1"/>
    <col min="10" max="10" width="19.1796875" style="7" customWidth="1"/>
    <col min="11" max="11" width="9.1796875" style="7"/>
    <col min="12" max="12" width="19.7265625" style="7" customWidth="1"/>
    <col min="13" max="13" width="19.54296875" style="7" customWidth="1"/>
    <col min="14" max="14" width="9.1796875" style="7"/>
    <col min="15" max="15" width="28.7265625" style="7" customWidth="1"/>
    <col min="16" max="16" width="18.81640625" style="7" customWidth="1"/>
    <col min="17" max="257" width="9.1796875" style="7"/>
    <col min="258" max="258" width="12.453125" style="7" customWidth="1"/>
    <col min="259" max="259" width="33.26953125" style="7" customWidth="1"/>
    <col min="260" max="260" width="40" style="7" customWidth="1"/>
    <col min="261" max="261" width="19.54296875" style="7" customWidth="1"/>
    <col min="262" max="262" width="15.54296875" style="7" customWidth="1"/>
    <col min="263" max="263" width="16" style="7" bestFit="1" customWidth="1"/>
    <col min="264" max="264" width="12.81640625" style="7" bestFit="1" customWidth="1"/>
    <col min="265" max="265" width="22.1796875" style="7" customWidth="1"/>
    <col min="266" max="266" width="19.1796875" style="7" customWidth="1"/>
    <col min="267" max="267" width="9.1796875" style="7"/>
    <col min="268" max="268" width="19.7265625" style="7" customWidth="1"/>
    <col min="269" max="269" width="19.54296875" style="7" customWidth="1"/>
    <col min="270" max="270" width="9.1796875" style="7"/>
    <col min="271" max="271" width="28.7265625" style="7" customWidth="1"/>
    <col min="272" max="272" width="18.81640625" style="7" customWidth="1"/>
    <col min="273" max="513" width="9.1796875" style="7"/>
    <col min="514" max="514" width="12.453125" style="7" customWidth="1"/>
    <col min="515" max="515" width="33.26953125" style="7" customWidth="1"/>
    <col min="516" max="516" width="40" style="7" customWidth="1"/>
    <col min="517" max="517" width="19.54296875" style="7" customWidth="1"/>
    <col min="518" max="518" width="15.54296875" style="7" customWidth="1"/>
    <col min="519" max="519" width="16" style="7" bestFit="1" customWidth="1"/>
    <col min="520" max="520" width="12.81640625" style="7" bestFit="1" customWidth="1"/>
    <col min="521" max="521" width="22.1796875" style="7" customWidth="1"/>
    <col min="522" max="522" width="19.1796875" style="7" customWidth="1"/>
    <col min="523" max="523" width="9.1796875" style="7"/>
    <col min="524" max="524" width="19.7265625" style="7" customWidth="1"/>
    <col min="525" max="525" width="19.54296875" style="7" customWidth="1"/>
    <col min="526" max="526" width="9.1796875" style="7"/>
    <col min="527" max="527" width="28.7265625" style="7" customWidth="1"/>
    <col min="528" max="528" width="18.81640625" style="7" customWidth="1"/>
    <col min="529" max="769" width="9.1796875" style="7"/>
    <col min="770" max="770" width="12.453125" style="7" customWidth="1"/>
    <col min="771" max="771" width="33.26953125" style="7" customWidth="1"/>
    <col min="772" max="772" width="40" style="7" customWidth="1"/>
    <col min="773" max="773" width="19.54296875" style="7" customWidth="1"/>
    <col min="774" max="774" width="15.54296875" style="7" customWidth="1"/>
    <col min="775" max="775" width="16" style="7" bestFit="1" customWidth="1"/>
    <col min="776" max="776" width="12.81640625" style="7" bestFit="1" customWidth="1"/>
    <col min="777" max="777" width="22.1796875" style="7" customWidth="1"/>
    <col min="778" max="778" width="19.1796875" style="7" customWidth="1"/>
    <col min="779" max="779" width="9.1796875" style="7"/>
    <col min="780" max="780" width="19.7265625" style="7" customWidth="1"/>
    <col min="781" max="781" width="19.54296875" style="7" customWidth="1"/>
    <col min="782" max="782" width="9.1796875" style="7"/>
    <col min="783" max="783" width="28.7265625" style="7" customWidth="1"/>
    <col min="784" max="784" width="18.81640625" style="7" customWidth="1"/>
    <col min="785" max="1025" width="9.1796875" style="7"/>
    <col min="1026" max="1026" width="12.453125" style="7" customWidth="1"/>
    <col min="1027" max="1027" width="33.26953125" style="7" customWidth="1"/>
    <col min="1028" max="1028" width="40" style="7" customWidth="1"/>
    <col min="1029" max="1029" width="19.54296875" style="7" customWidth="1"/>
    <col min="1030" max="1030" width="15.54296875" style="7" customWidth="1"/>
    <col min="1031" max="1031" width="16" style="7" bestFit="1" customWidth="1"/>
    <col min="1032" max="1032" width="12.81640625" style="7" bestFit="1" customWidth="1"/>
    <col min="1033" max="1033" width="22.1796875" style="7" customWidth="1"/>
    <col min="1034" max="1034" width="19.1796875" style="7" customWidth="1"/>
    <col min="1035" max="1035" width="9.1796875" style="7"/>
    <col min="1036" max="1036" width="19.7265625" style="7" customWidth="1"/>
    <col min="1037" max="1037" width="19.54296875" style="7" customWidth="1"/>
    <col min="1038" max="1038" width="9.1796875" style="7"/>
    <col min="1039" max="1039" width="28.7265625" style="7" customWidth="1"/>
    <col min="1040" max="1040" width="18.81640625" style="7" customWidth="1"/>
    <col min="1041" max="1281" width="9.1796875" style="7"/>
    <col min="1282" max="1282" width="12.453125" style="7" customWidth="1"/>
    <col min="1283" max="1283" width="33.26953125" style="7" customWidth="1"/>
    <col min="1284" max="1284" width="40" style="7" customWidth="1"/>
    <col min="1285" max="1285" width="19.54296875" style="7" customWidth="1"/>
    <col min="1286" max="1286" width="15.54296875" style="7" customWidth="1"/>
    <col min="1287" max="1287" width="16" style="7" bestFit="1" customWidth="1"/>
    <col min="1288" max="1288" width="12.81640625" style="7" bestFit="1" customWidth="1"/>
    <col min="1289" max="1289" width="22.1796875" style="7" customWidth="1"/>
    <col min="1290" max="1290" width="19.1796875" style="7" customWidth="1"/>
    <col min="1291" max="1291" width="9.1796875" style="7"/>
    <col min="1292" max="1292" width="19.7265625" style="7" customWidth="1"/>
    <col min="1293" max="1293" width="19.54296875" style="7" customWidth="1"/>
    <col min="1294" max="1294" width="9.1796875" style="7"/>
    <col min="1295" max="1295" width="28.7265625" style="7" customWidth="1"/>
    <col min="1296" max="1296" width="18.81640625" style="7" customWidth="1"/>
    <col min="1297" max="1537" width="9.1796875" style="7"/>
    <col min="1538" max="1538" width="12.453125" style="7" customWidth="1"/>
    <col min="1539" max="1539" width="33.26953125" style="7" customWidth="1"/>
    <col min="1540" max="1540" width="40" style="7" customWidth="1"/>
    <col min="1541" max="1541" width="19.54296875" style="7" customWidth="1"/>
    <col min="1542" max="1542" width="15.54296875" style="7" customWidth="1"/>
    <col min="1543" max="1543" width="16" style="7" bestFit="1" customWidth="1"/>
    <col min="1544" max="1544" width="12.81640625" style="7" bestFit="1" customWidth="1"/>
    <col min="1545" max="1545" width="22.1796875" style="7" customWidth="1"/>
    <col min="1546" max="1546" width="19.1796875" style="7" customWidth="1"/>
    <col min="1547" max="1547" width="9.1796875" style="7"/>
    <col min="1548" max="1548" width="19.7265625" style="7" customWidth="1"/>
    <col min="1549" max="1549" width="19.54296875" style="7" customWidth="1"/>
    <col min="1550" max="1550" width="9.1796875" style="7"/>
    <col min="1551" max="1551" width="28.7265625" style="7" customWidth="1"/>
    <col min="1552" max="1552" width="18.81640625" style="7" customWidth="1"/>
    <col min="1553" max="1793" width="9.1796875" style="7"/>
    <col min="1794" max="1794" width="12.453125" style="7" customWidth="1"/>
    <col min="1795" max="1795" width="33.26953125" style="7" customWidth="1"/>
    <col min="1796" max="1796" width="40" style="7" customWidth="1"/>
    <col min="1797" max="1797" width="19.54296875" style="7" customWidth="1"/>
    <col min="1798" max="1798" width="15.54296875" style="7" customWidth="1"/>
    <col min="1799" max="1799" width="16" style="7" bestFit="1" customWidth="1"/>
    <col min="1800" max="1800" width="12.81640625" style="7" bestFit="1" customWidth="1"/>
    <col min="1801" max="1801" width="22.1796875" style="7" customWidth="1"/>
    <col min="1802" max="1802" width="19.1796875" style="7" customWidth="1"/>
    <col min="1803" max="1803" width="9.1796875" style="7"/>
    <col min="1804" max="1804" width="19.7265625" style="7" customWidth="1"/>
    <col min="1805" max="1805" width="19.54296875" style="7" customWidth="1"/>
    <col min="1806" max="1806" width="9.1796875" style="7"/>
    <col min="1807" max="1807" width="28.7265625" style="7" customWidth="1"/>
    <col min="1808" max="1808" width="18.81640625" style="7" customWidth="1"/>
    <col min="1809" max="2049" width="9.1796875" style="7"/>
    <col min="2050" max="2050" width="12.453125" style="7" customWidth="1"/>
    <col min="2051" max="2051" width="33.26953125" style="7" customWidth="1"/>
    <col min="2052" max="2052" width="40" style="7" customWidth="1"/>
    <col min="2053" max="2053" width="19.54296875" style="7" customWidth="1"/>
    <col min="2054" max="2054" width="15.54296875" style="7" customWidth="1"/>
    <col min="2055" max="2055" width="16" style="7" bestFit="1" customWidth="1"/>
    <col min="2056" max="2056" width="12.81640625" style="7" bestFit="1" customWidth="1"/>
    <col min="2057" max="2057" width="22.1796875" style="7" customWidth="1"/>
    <col min="2058" max="2058" width="19.1796875" style="7" customWidth="1"/>
    <col min="2059" max="2059" width="9.1796875" style="7"/>
    <col min="2060" max="2060" width="19.7265625" style="7" customWidth="1"/>
    <col min="2061" max="2061" width="19.54296875" style="7" customWidth="1"/>
    <col min="2062" max="2062" width="9.1796875" style="7"/>
    <col min="2063" max="2063" width="28.7265625" style="7" customWidth="1"/>
    <col min="2064" max="2064" width="18.81640625" style="7" customWidth="1"/>
    <col min="2065" max="2305" width="9.1796875" style="7"/>
    <col min="2306" max="2306" width="12.453125" style="7" customWidth="1"/>
    <col min="2307" max="2307" width="33.26953125" style="7" customWidth="1"/>
    <col min="2308" max="2308" width="40" style="7" customWidth="1"/>
    <col min="2309" max="2309" width="19.54296875" style="7" customWidth="1"/>
    <col min="2310" max="2310" width="15.54296875" style="7" customWidth="1"/>
    <col min="2311" max="2311" width="16" style="7" bestFit="1" customWidth="1"/>
    <col min="2312" max="2312" width="12.81640625" style="7" bestFit="1" customWidth="1"/>
    <col min="2313" max="2313" width="22.1796875" style="7" customWidth="1"/>
    <col min="2314" max="2314" width="19.1796875" style="7" customWidth="1"/>
    <col min="2315" max="2315" width="9.1796875" style="7"/>
    <col min="2316" max="2316" width="19.7265625" style="7" customWidth="1"/>
    <col min="2317" max="2317" width="19.54296875" style="7" customWidth="1"/>
    <col min="2318" max="2318" width="9.1796875" style="7"/>
    <col min="2319" max="2319" width="28.7265625" style="7" customWidth="1"/>
    <col min="2320" max="2320" width="18.81640625" style="7" customWidth="1"/>
    <col min="2321" max="2561" width="9.1796875" style="7"/>
    <col min="2562" max="2562" width="12.453125" style="7" customWidth="1"/>
    <col min="2563" max="2563" width="33.26953125" style="7" customWidth="1"/>
    <col min="2564" max="2564" width="40" style="7" customWidth="1"/>
    <col min="2565" max="2565" width="19.54296875" style="7" customWidth="1"/>
    <col min="2566" max="2566" width="15.54296875" style="7" customWidth="1"/>
    <col min="2567" max="2567" width="16" style="7" bestFit="1" customWidth="1"/>
    <col min="2568" max="2568" width="12.81640625" style="7" bestFit="1" customWidth="1"/>
    <col min="2569" max="2569" width="22.1796875" style="7" customWidth="1"/>
    <col min="2570" max="2570" width="19.1796875" style="7" customWidth="1"/>
    <col min="2571" max="2571" width="9.1796875" style="7"/>
    <col min="2572" max="2572" width="19.7265625" style="7" customWidth="1"/>
    <col min="2573" max="2573" width="19.54296875" style="7" customWidth="1"/>
    <col min="2574" max="2574" width="9.1796875" style="7"/>
    <col min="2575" max="2575" width="28.7265625" style="7" customWidth="1"/>
    <col min="2576" max="2576" width="18.81640625" style="7" customWidth="1"/>
    <col min="2577" max="2817" width="9.1796875" style="7"/>
    <col min="2818" max="2818" width="12.453125" style="7" customWidth="1"/>
    <col min="2819" max="2819" width="33.26953125" style="7" customWidth="1"/>
    <col min="2820" max="2820" width="40" style="7" customWidth="1"/>
    <col min="2821" max="2821" width="19.54296875" style="7" customWidth="1"/>
    <col min="2822" max="2822" width="15.54296875" style="7" customWidth="1"/>
    <col min="2823" max="2823" width="16" style="7" bestFit="1" customWidth="1"/>
    <col min="2824" max="2824" width="12.81640625" style="7" bestFit="1" customWidth="1"/>
    <col min="2825" max="2825" width="22.1796875" style="7" customWidth="1"/>
    <col min="2826" max="2826" width="19.1796875" style="7" customWidth="1"/>
    <col min="2827" max="2827" width="9.1796875" style="7"/>
    <col min="2828" max="2828" width="19.7265625" style="7" customWidth="1"/>
    <col min="2829" max="2829" width="19.54296875" style="7" customWidth="1"/>
    <col min="2830" max="2830" width="9.1796875" style="7"/>
    <col min="2831" max="2831" width="28.7265625" style="7" customWidth="1"/>
    <col min="2832" max="2832" width="18.81640625" style="7" customWidth="1"/>
    <col min="2833" max="3073" width="9.1796875" style="7"/>
    <col min="3074" max="3074" width="12.453125" style="7" customWidth="1"/>
    <col min="3075" max="3075" width="33.26953125" style="7" customWidth="1"/>
    <col min="3076" max="3076" width="40" style="7" customWidth="1"/>
    <col min="3077" max="3077" width="19.54296875" style="7" customWidth="1"/>
    <col min="3078" max="3078" width="15.54296875" style="7" customWidth="1"/>
    <col min="3079" max="3079" width="16" style="7" bestFit="1" customWidth="1"/>
    <col min="3080" max="3080" width="12.81640625" style="7" bestFit="1" customWidth="1"/>
    <col min="3081" max="3081" width="22.1796875" style="7" customWidth="1"/>
    <col min="3082" max="3082" width="19.1796875" style="7" customWidth="1"/>
    <col min="3083" max="3083" width="9.1796875" style="7"/>
    <col min="3084" max="3084" width="19.7265625" style="7" customWidth="1"/>
    <col min="3085" max="3085" width="19.54296875" style="7" customWidth="1"/>
    <col min="3086" max="3086" width="9.1796875" style="7"/>
    <col min="3087" max="3087" width="28.7265625" style="7" customWidth="1"/>
    <col min="3088" max="3088" width="18.81640625" style="7" customWidth="1"/>
    <col min="3089" max="3329" width="9.1796875" style="7"/>
    <col min="3330" max="3330" width="12.453125" style="7" customWidth="1"/>
    <col min="3331" max="3331" width="33.26953125" style="7" customWidth="1"/>
    <col min="3332" max="3332" width="40" style="7" customWidth="1"/>
    <col min="3333" max="3333" width="19.54296875" style="7" customWidth="1"/>
    <col min="3334" max="3334" width="15.54296875" style="7" customWidth="1"/>
    <col min="3335" max="3335" width="16" style="7" bestFit="1" customWidth="1"/>
    <col min="3336" max="3336" width="12.81640625" style="7" bestFit="1" customWidth="1"/>
    <col min="3337" max="3337" width="22.1796875" style="7" customWidth="1"/>
    <col min="3338" max="3338" width="19.1796875" style="7" customWidth="1"/>
    <col min="3339" max="3339" width="9.1796875" style="7"/>
    <col min="3340" max="3340" width="19.7265625" style="7" customWidth="1"/>
    <col min="3341" max="3341" width="19.54296875" style="7" customWidth="1"/>
    <col min="3342" max="3342" width="9.1796875" style="7"/>
    <col min="3343" max="3343" width="28.7265625" style="7" customWidth="1"/>
    <col min="3344" max="3344" width="18.81640625" style="7" customWidth="1"/>
    <col min="3345" max="3585" width="9.1796875" style="7"/>
    <col min="3586" max="3586" width="12.453125" style="7" customWidth="1"/>
    <col min="3587" max="3587" width="33.26953125" style="7" customWidth="1"/>
    <col min="3588" max="3588" width="40" style="7" customWidth="1"/>
    <col min="3589" max="3589" width="19.54296875" style="7" customWidth="1"/>
    <col min="3590" max="3590" width="15.54296875" style="7" customWidth="1"/>
    <col min="3591" max="3591" width="16" style="7" bestFit="1" customWidth="1"/>
    <col min="3592" max="3592" width="12.81640625" style="7" bestFit="1" customWidth="1"/>
    <col min="3593" max="3593" width="22.1796875" style="7" customWidth="1"/>
    <col min="3594" max="3594" width="19.1796875" style="7" customWidth="1"/>
    <col min="3595" max="3595" width="9.1796875" style="7"/>
    <col min="3596" max="3596" width="19.7265625" style="7" customWidth="1"/>
    <col min="3597" max="3597" width="19.54296875" style="7" customWidth="1"/>
    <col min="3598" max="3598" width="9.1796875" style="7"/>
    <col min="3599" max="3599" width="28.7265625" style="7" customWidth="1"/>
    <col min="3600" max="3600" width="18.81640625" style="7" customWidth="1"/>
    <col min="3601" max="3841" width="9.1796875" style="7"/>
    <col min="3842" max="3842" width="12.453125" style="7" customWidth="1"/>
    <col min="3843" max="3843" width="33.26953125" style="7" customWidth="1"/>
    <col min="3844" max="3844" width="40" style="7" customWidth="1"/>
    <col min="3845" max="3845" width="19.54296875" style="7" customWidth="1"/>
    <col min="3846" max="3846" width="15.54296875" style="7" customWidth="1"/>
    <col min="3847" max="3847" width="16" style="7" bestFit="1" customWidth="1"/>
    <col min="3848" max="3848" width="12.81640625" style="7" bestFit="1" customWidth="1"/>
    <col min="3849" max="3849" width="22.1796875" style="7" customWidth="1"/>
    <col min="3850" max="3850" width="19.1796875" style="7" customWidth="1"/>
    <col min="3851" max="3851" width="9.1796875" style="7"/>
    <col min="3852" max="3852" width="19.7265625" style="7" customWidth="1"/>
    <col min="3853" max="3853" width="19.54296875" style="7" customWidth="1"/>
    <col min="3854" max="3854" width="9.1796875" style="7"/>
    <col min="3855" max="3855" width="28.7265625" style="7" customWidth="1"/>
    <col min="3856" max="3856" width="18.81640625" style="7" customWidth="1"/>
    <col min="3857" max="4097" width="9.1796875" style="7"/>
    <col min="4098" max="4098" width="12.453125" style="7" customWidth="1"/>
    <col min="4099" max="4099" width="33.26953125" style="7" customWidth="1"/>
    <col min="4100" max="4100" width="40" style="7" customWidth="1"/>
    <col min="4101" max="4101" width="19.54296875" style="7" customWidth="1"/>
    <col min="4102" max="4102" width="15.54296875" style="7" customWidth="1"/>
    <col min="4103" max="4103" width="16" style="7" bestFit="1" customWidth="1"/>
    <col min="4104" max="4104" width="12.81640625" style="7" bestFit="1" customWidth="1"/>
    <col min="4105" max="4105" width="22.1796875" style="7" customWidth="1"/>
    <col min="4106" max="4106" width="19.1796875" style="7" customWidth="1"/>
    <col min="4107" max="4107" width="9.1796875" style="7"/>
    <col min="4108" max="4108" width="19.7265625" style="7" customWidth="1"/>
    <col min="4109" max="4109" width="19.54296875" style="7" customWidth="1"/>
    <col min="4110" max="4110" width="9.1796875" style="7"/>
    <col min="4111" max="4111" width="28.7265625" style="7" customWidth="1"/>
    <col min="4112" max="4112" width="18.81640625" style="7" customWidth="1"/>
    <col min="4113" max="4353" width="9.1796875" style="7"/>
    <col min="4354" max="4354" width="12.453125" style="7" customWidth="1"/>
    <col min="4355" max="4355" width="33.26953125" style="7" customWidth="1"/>
    <col min="4356" max="4356" width="40" style="7" customWidth="1"/>
    <col min="4357" max="4357" width="19.54296875" style="7" customWidth="1"/>
    <col min="4358" max="4358" width="15.54296875" style="7" customWidth="1"/>
    <col min="4359" max="4359" width="16" style="7" bestFit="1" customWidth="1"/>
    <col min="4360" max="4360" width="12.81640625" style="7" bestFit="1" customWidth="1"/>
    <col min="4361" max="4361" width="22.1796875" style="7" customWidth="1"/>
    <col min="4362" max="4362" width="19.1796875" style="7" customWidth="1"/>
    <col min="4363" max="4363" width="9.1796875" style="7"/>
    <col min="4364" max="4364" width="19.7265625" style="7" customWidth="1"/>
    <col min="4365" max="4365" width="19.54296875" style="7" customWidth="1"/>
    <col min="4366" max="4366" width="9.1796875" style="7"/>
    <col min="4367" max="4367" width="28.7265625" style="7" customWidth="1"/>
    <col min="4368" max="4368" width="18.81640625" style="7" customWidth="1"/>
    <col min="4369" max="4609" width="9.1796875" style="7"/>
    <col min="4610" max="4610" width="12.453125" style="7" customWidth="1"/>
    <col min="4611" max="4611" width="33.26953125" style="7" customWidth="1"/>
    <col min="4612" max="4612" width="40" style="7" customWidth="1"/>
    <col min="4613" max="4613" width="19.54296875" style="7" customWidth="1"/>
    <col min="4614" max="4614" width="15.54296875" style="7" customWidth="1"/>
    <col min="4615" max="4615" width="16" style="7" bestFit="1" customWidth="1"/>
    <col min="4616" max="4616" width="12.81640625" style="7" bestFit="1" customWidth="1"/>
    <col min="4617" max="4617" width="22.1796875" style="7" customWidth="1"/>
    <col min="4618" max="4618" width="19.1796875" style="7" customWidth="1"/>
    <col min="4619" max="4619" width="9.1796875" style="7"/>
    <col min="4620" max="4620" width="19.7265625" style="7" customWidth="1"/>
    <col min="4621" max="4621" width="19.54296875" style="7" customWidth="1"/>
    <col min="4622" max="4622" width="9.1796875" style="7"/>
    <col min="4623" max="4623" width="28.7265625" style="7" customWidth="1"/>
    <col min="4624" max="4624" width="18.81640625" style="7" customWidth="1"/>
    <col min="4625" max="4865" width="9.1796875" style="7"/>
    <col min="4866" max="4866" width="12.453125" style="7" customWidth="1"/>
    <col min="4867" max="4867" width="33.26953125" style="7" customWidth="1"/>
    <col min="4868" max="4868" width="40" style="7" customWidth="1"/>
    <col min="4869" max="4869" width="19.54296875" style="7" customWidth="1"/>
    <col min="4870" max="4870" width="15.54296875" style="7" customWidth="1"/>
    <col min="4871" max="4871" width="16" style="7" bestFit="1" customWidth="1"/>
    <col min="4872" max="4872" width="12.81640625" style="7" bestFit="1" customWidth="1"/>
    <col min="4873" max="4873" width="22.1796875" style="7" customWidth="1"/>
    <col min="4874" max="4874" width="19.1796875" style="7" customWidth="1"/>
    <col min="4875" max="4875" width="9.1796875" style="7"/>
    <col min="4876" max="4876" width="19.7265625" style="7" customWidth="1"/>
    <col min="4877" max="4877" width="19.54296875" style="7" customWidth="1"/>
    <col min="4878" max="4878" width="9.1796875" style="7"/>
    <col min="4879" max="4879" width="28.7265625" style="7" customWidth="1"/>
    <col min="4880" max="4880" width="18.81640625" style="7" customWidth="1"/>
    <col min="4881" max="5121" width="9.1796875" style="7"/>
    <col min="5122" max="5122" width="12.453125" style="7" customWidth="1"/>
    <col min="5123" max="5123" width="33.26953125" style="7" customWidth="1"/>
    <col min="5124" max="5124" width="40" style="7" customWidth="1"/>
    <col min="5125" max="5125" width="19.54296875" style="7" customWidth="1"/>
    <col min="5126" max="5126" width="15.54296875" style="7" customWidth="1"/>
    <col min="5127" max="5127" width="16" style="7" bestFit="1" customWidth="1"/>
    <col min="5128" max="5128" width="12.81640625" style="7" bestFit="1" customWidth="1"/>
    <col min="5129" max="5129" width="22.1796875" style="7" customWidth="1"/>
    <col min="5130" max="5130" width="19.1796875" style="7" customWidth="1"/>
    <col min="5131" max="5131" width="9.1796875" style="7"/>
    <col min="5132" max="5132" width="19.7265625" style="7" customWidth="1"/>
    <col min="5133" max="5133" width="19.54296875" style="7" customWidth="1"/>
    <col min="5134" max="5134" width="9.1796875" style="7"/>
    <col min="5135" max="5135" width="28.7265625" style="7" customWidth="1"/>
    <col min="5136" max="5136" width="18.81640625" style="7" customWidth="1"/>
    <col min="5137" max="5377" width="9.1796875" style="7"/>
    <col min="5378" max="5378" width="12.453125" style="7" customWidth="1"/>
    <col min="5379" max="5379" width="33.26953125" style="7" customWidth="1"/>
    <col min="5380" max="5380" width="40" style="7" customWidth="1"/>
    <col min="5381" max="5381" width="19.54296875" style="7" customWidth="1"/>
    <col min="5382" max="5382" width="15.54296875" style="7" customWidth="1"/>
    <col min="5383" max="5383" width="16" style="7" bestFit="1" customWidth="1"/>
    <col min="5384" max="5384" width="12.81640625" style="7" bestFit="1" customWidth="1"/>
    <col min="5385" max="5385" width="22.1796875" style="7" customWidth="1"/>
    <col min="5386" max="5386" width="19.1796875" style="7" customWidth="1"/>
    <col min="5387" max="5387" width="9.1796875" style="7"/>
    <col min="5388" max="5388" width="19.7265625" style="7" customWidth="1"/>
    <col min="5389" max="5389" width="19.54296875" style="7" customWidth="1"/>
    <col min="5390" max="5390" width="9.1796875" style="7"/>
    <col min="5391" max="5391" width="28.7265625" style="7" customWidth="1"/>
    <col min="5392" max="5392" width="18.81640625" style="7" customWidth="1"/>
    <col min="5393" max="5633" width="9.1796875" style="7"/>
    <col min="5634" max="5634" width="12.453125" style="7" customWidth="1"/>
    <col min="5635" max="5635" width="33.26953125" style="7" customWidth="1"/>
    <col min="5636" max="5636" width="40" style="7" customWidth="1"/>
    <col min="5637" max="5637" width="19.54296875" style="7" customWidth="1"/>
    <col min="5638" max="5638" width="15.54296875" style="7" customWidth="1"/>
    <col min="5639" max="5639" width="16" style="7" bestFit="1" customWidth="1"/>
    <col min="5640" max="5640" width="12.81640625" style="7" bestFit="1" customWidth="1"/>
    <col min="5641" max="5641" width="22.1796875" style="7" customWidth="1"/>
    <col min="5642" max="5642" width="19.1796875" style="7" customWidth="1"/>
    <col min="5643" max="5643" width="9.1796875" style="7"/>
    <col min="5644" max="5644" width="19.7265625" style="7" customWidth="1"/>
    <col min="5645" max="5645" width="19.54296875" style="7" customWidth="1"/>
    <col min="5646" max="5646" width="9.1796875" style="7"/>
    <col min="5647" max="5647" width="28.7265625" style="7" customWidth="1"/>
    <col min="5648" max="5648" width="18.81640625" style="7" customWidth="1"/>
    <col min="5649" max="5889" width="9.1796875" style="7"/>
    <col min="5890" max="5890" width="12.453125" style="7" customWidth="1"/>
    <col min="5891" max="5891" width="33.26953125" style="7" customWidth="1"/>
    <col min="5892" max="5892" width="40" style="7" customWidth="1"/>
    <col min="5893" max="5893" width="19.54296875" style="7" customWidth="1"/>
    <col min="5894" max="5894" width="15.54296875" style="7" customWidth="1"/>
    <col min="5895" max="5895" width="16" style="7" bestFit="1" customWidth="1"/>
    <col min="5896" max="5896" width="12.81640625" style="7" bestFit="1" customWidth="1"/>
    <col min="5897" max="5897" width="22.1796875" style="7" customWidth="1"/>
    <col min="5898" max="5898" width="19.1796875" style="7" customWidth="1"/>
    <col min="5899" max="5899" width="9.1796875" style="7"/>
    <col min="5900" max="5900" width="19.7265625" style="7" customWidth="1"/>
    <col min="5901" max="5901" width="19.54296875" style="7" customWidth="1"/>
    <col min="5902" max="5902" width="9.1796875" style="7"/>
    <col min="5903" max="5903" width="28.7265625" style="7" customWidth="1"/>
    <col min="5904" max="5904" width="18.81640625" style="7" customWidth="1"/>
    <col min="5905" max="6145" width="9.1796875" style="7"/>
    <col min="6146" max="6146" width="12.453125" style="7" customWidth="1"/>
    <col min="6147" max="6147" width="33.26953125" style="7" customWidth="1"/>
    <col min="6148" max="6148" width="40" style="7" customWidth="1"/>
    <col min="6149" max="6149" width="19.54296875" style="7" customWidth="1"/>
    <col min="6150" max="6150" width="15.54296875" style="7" customWidth="1"/>
    <col min="6151" max="6151" width="16" style="7" bestFit="1" customWidth="1"/>
    <col min="6152" max="6152" width="12.81640625" style="7" bestFit="1" customWidth="1"/>
    <col min="6153" max="6153" width="22.1796875" style="7" customWidth="1"/>
    <col min="6154" max="6154" width="19.1796875" style="7" customWidth="1"/>
    <col min="6155" max="6155" width="9.1796875" style="7"/>
    <col min="6156" max="6156" width="19.7265625" style="7" customWidth="1"/>
    <col min="6157" max="6157" width="19.54296875" style="7" customWidth="1"/>
    <col min="6158" max="6158" width="9.1796875" style="7"/>
    <col min="6159" max="6159" width="28.7265625" style="7" customWidth="1"/>
    <col min="6160" max="6160" width="18.81640625" style="7" customWidth="1"/>
    <col min="6161" max="6401" width="9.1796875" style="7"/>
    <col min="6402" max="6402" width="12.453125" style="7" customWidth="1"/>
    <col min="6403" max="6403" width="33.26953125" style="7" customWidth="1"/>
    <col min="6404" max="6404" width="40" style="7" customWidth="1"/>
    <col min="6405" max="6405" width="19.54296875" style="7" customWidth="1"/>
    <col min="6406" max="6406" width="15.54296875" style="7" customWidth="1"/>
    <col min="6407" max="6407" width="16" style="7" bestFit="1" customWidth="1"/>
    <col min="6408" max="6408" width="12.81640625" style="7" bestFit="1" customWidth="1"/>
    <col min="6409" max="6409" width="22.1796875" style="7" customWidth="1"/>
    <col min="6410" max="6410" width="19.1796875" style="7" customWidth="1"/>
    <col min="6411" max="6411" width="9.1796875" style="7"/>
    <col min="6412" max="6412" width="19.7265625" style="7" customWidth="1"/>
    <col min="6413" max="6413" width="19.54296875" style="7" customWidth="1"/>
    <col min="6414" max="6414" width="9.1796875" style="7"/>
    <col min="6415" max="6415" width="28.7265625" style="7" customWidth="1"/>
    <col min="6416" max="6416" width="18.81640625" style="7" customWidth="1"/>
    <col min="6417" max="6657" width="9.1796875" style="7"/>
    <col min="6658" max="6658" width="12.453125" style="7" customWidth="1"/>
    <col min="6659" max="6659" width="33.26953125" style="7" customWidth="1"/>
    <col min="6660" max="6660" width="40" style="7" customWidth="1"/>
    <col min="6661" max="6661" width="19.54296875" style="7" customWidth="1"/>
    <col min="6662" max="6662" width="15.54296875" style="7" customWidth="1"/>
    <col min="6663" max="6663" width="16" style="7" bestFit="1" customWidth="1"/>
    <col min="6664" max="6664" width="12.81640625" style="7" bestFit="1" customWidth="1"/>
    <col min="6665" max="6665" width="22.1796875" style="7" customWidth="1"/>
    <col min="6666" max="6666" width="19.1796875" style="7" customWidth="1"/>
    <col min="6667" max="6667" width="9.1796875" style="7"/>
    <col min="6668" max="6668" width="19.7265625" style="7" customWidth="1"/>
    <col min="6669" max="6669" width="19.54296875" style="7" customWidth="1"/>
    <col min="6670" max="6670" width="9.1796875" style="7"/>
    <col min="6671" max="6671" width="28.7265625" style="7" customWidth="1"/>
    <col min="6672" max="6672" width="18.81640625" style="7" customWidth="1"/>
    <col min="6673" max="6913" width="9.1796875" style="7"/>
    <col min="6914" max="6914" width="12.453125" style="7" customWidth="1"/>
    <col min="6915" max="6915" width="33.26953125" style="7" customWidth="1"/>
    <col min="6916" max="6916" width="40" style="7" customWidth="1"/>
    <col min="6917" max="6917" width="19.54296875" style="7" customWidth="1"/>
    <col min="6918" max="6918" width="15.54296875" style="7" customWidth="1"/>
    <col min="6919" max="6919" width="16" style="7" bestFit="1" customWidth="1"/>
    <col min="6920" max="6920" width="12.81640625" style="7" bestFit="1" customWidth="1"/>
    <col min="6921" max="6921" width="22.1796875" style="7" customWidth="1"/>
    <col min="6922" max="6922" width="19.1796875" style="7" customWidth="1"/>
    <col min="6923" max="6923" width="9.1796875" style="7"/>
    <col min="6924" max="6924" width="19.7265625" style="7" customWidth="1"/>
    <col min="6925" max="6925" width="19.54296875" style="7" customWidth="1"/>
    <col min="6926" max="6926" width="9.1796875" style="7"/>
    <col min="6927" max="6927" width="28.7265625" style="7" customWidth="1"/>
    <col min="6928" max="6928" width="18.81640625" style="7" customWidth="1"/>
    <col min="6929" max="7169" width="9.1796875" style="7"/>
    <col min="7170" max="7170" width="12.453125" style="7" customWidth="1"/>
    <col min="7171" max="7171" width="33.26953125" style="7" customWidth="1"/>
    <col min="7172" max="7172" width="40" style="7" customWidth="1"/>
    <col min="7173" max="7173" width="19.54296875" style="7" customWidth="1"/>
    <col min="7174" max="7174" width="15.54296875" style="7" customWidth="1"/>
    <col min="7175" max="7175" width="16" style="7" bestFit="1" customWidth="1"/>
    <col min="7176" max="7176" width="12.81640625" style="7" bestFit="1" customWidth="1"/>
    <col min="7177" max="7177" width="22.1796875" style="7" customWidth="1"/>
    <col min="7178" max="7178" width="19.1796875" style="7" customWidth="1"/>
    <col min="7179" max="7179" width="9.1796875" style="7"/>
    <col min="7180" max="7180" width="19.7265625" style="7" customWidth="1"/>
    <col min="7181" max="7181" width="19.54296875" style="7" customWidth="1"/>
    <col min="7182" max="7182" width="9.1796875" style="7"/>
    <col min="7183" max="7183" width="28.7265625" style="7" customWidth="1"/>
    <col min="7184" max="7184" width="18.81640625" style="7" customWidth="1"/>
    <col min="7185" max="7425" width="9.1796875" style="7"/>
    <col min="7426" max="7426" width="12.453125" style="7" customWidth="1"/>
    <col min="7427" max="7427" width="33.26953125" style="7" customWidth="1"/>
    <col min="7428" max="7428" width="40" style="7" customWidth="1"/>
    <col min="7429" max="7429" width="19.54296875" style="7" customWidth="1"/>
    <col min="7430" max="7430" width="15.54296875" style="7" customWidth="1"/>
    <col min="7431" max="7431" width="16" style="7" bestFit="1" customWidth="1"/>
    <col min="7432" max="7432" width="12.81640625" style="7" bestFit="1" customWidth="1"/>
    <col min="7433" max="7433" width="22.1796875" style="7" customWidth="1"/>
    <col min="7434" max="7434" width="19.1796875" style="7" customWidth="1"/>
    <col min="7435" max="7435" width="9.1796875" style="7"/>
    <col min="7436" max="7436" width="19.7265625" style="7" customWidth="1"/>
    <col min="7437" max="7437" width="19.54296875" style="7" customWidth="1"/>
    <col min="7438" max="7438" width="9.1796875" style="7"/>
    <col min="7439" max="7439" width="28.7265625" style="7" customWidth="1"/>
    <col min="7440" max="7440" width="18.81640625" style="7" customWidth="1"/>
    <col min="7441" max="7681" width="9.1796875" style="7"/>
    <col min="7682" max="7682" width="12.453125" style="7" customWidth="1"/>
    <col min="7683" max="7683" width="33.26953125" style="7" customWidth="1"/>
    <col min="7684" max="7684" width="40" style="7" customWidth="1"/>
    <col min="7685" max="7685" width="19.54296875" style="7" customWidth="1"/>
    <col min="7686" max="7686" width="15.54296875" style="7" customWidth="1"/>
    <col min="7687" max="7687" width="16" style="7" bestFit="1" customWidth="1"/>
    <col min="7688" max="7688" width="12.81640625" style="7" bestFit="1" customWidth="1"/>
    <col min="7689" max="7689" width="22.1796875" style="7" customWidth="1"/>
    <col min="7690" max="7690" width="19.1796875" style="7" customWidth="1"/>
    <col min="7691" max="7691" width="9.1796875" style="7"/>
    <col min="7692" max="7692" width="19.7265625" style="7" customWidth="1"/>
    <col min="7693" max="7693" width="19.54296875" style="7" customWidth="1"/>
    <col min="7694" max="7694" width="9.1796875" style="7"/>
    <col min="7695" max="7695" width="28.7265625" style="7" customWidth="1"/>
    <col min="7696" max="7696" width="18.81640625" style="7" customWidth="1"/>
    <col min="7697" max="7937" width="9.1796875" style="7"/>
    <col min="7938" max="7938" width="12.453125" style="7" customWidth="1"/>
    <col min="7939" max="7939" width="33.26953125" style="7" customWidth="1"/>
    <col min="7940" max="7940" width="40" style="7" customWidth="1"/>
    <col min="7941" max="7941" width="19.54296875" style="7" customWidth="1"/>
    <col min="7942" max="7942" width="15.54296875" style="7" customWidth="1"/>
    <col min="7943" max="7943" width="16" style="7" bestFit="1" customWidth="1"/>
    <col min="7944" max="7944" width="12.81640625" style="7" bestFit="1" customWidth="1"/>
    <col min="7945" max="7945" width="22.1796875" style="7" customWidth="1"/>
    <col min="7946" max="7946" width="19.1796875" style="7" customWidth="1"/>
    <col min="7947" max="7947" width="9.1796875" style="7"/>
    <col min="7948" max="7948" width="19.7265625" style="7" customWidth="1"/>
    <col min="7949" max="7949" width="19.54296875" style="7" customWidth="1"/>
    <col min="7950" max="7950" width="9.1796875" style="7"/>
    <col min="7951" max="7951" width="28.7265625" style="7" customWidth="1"/>
    <col min="7952" max="7952" width="18.81640625" style="7" customWidth="1"/>
    <col min="7953" max="8193" width="9.1796875" style="7"/>
    <col min="8194" max="8194" width="12.453125" style="7" customWidth="1"/>
    <col min="8195" max="8195" width="33.26953125" style="7" customWidth="1"/>
    <col min="8196" max="8196" width="40" style="7" customWidth="1"/>
    <col min="8197" max="8197" width="19.54296875" style="7" customWidth="1"/>
    <col min="8198" max="8198" width="15.54296875" style="7" customWidth="1"/>
    <col min="8199" max="8199" width="16" style="7" bestFit="1" customWidth="1"/>
    <col min="8200" max="8200" width="12.81640625" style="7" bestFit="1" customWidth="1"/>
    <col min="8201" max="8201" width="22.1796875" style="7" customWidth="1"/>
    <col min="8202" max="8202" width="19.1796875" style="7" customWidth="1"/>
    <col min="8203" max="8203" width="9.1796875" style="7"/>
    <col min="8204" max="8204" width="19.7265625" style="7" customWidth="1"/>
    <col min="8205" max="8205" width="19.54296875" style="7" customWidth="1"/>
    <col min="8206" max="8206" width="9.1796875" style="7"/>
    <col min="8207" max="8207" width="28.7265625" style="7" customWidth="1"/>
    <col min="8208" max="8208" width="18.81640625" style="7" customWidth="1"/>
    <col min="8209" max="8449" width="9.1796875" style="7"/>
    <col min="8450" max="8450" width="12.453125" style="7" customWidth="1"/>
    <col min="8451" max="8451" width="33.26953125" style="7" customWidth="1"/>
    <col min="8452" max="8452" width="40" style="7" customWidth="1"/>
    <col min="8453" max="8453" width="19.54296875" style="7" customWidth="1"/>
    <col min="8454" max="8454" width="15.54296875" style="7" customWidth="1"/>
    <col min="8455" max="8455" width="16" style="7" bestFit="1" customWidth="1"/>
    <col min="8456" max="8456" width="12.81640625" style="7" bestFit="1" customWidth="1"/>
    <col min="8457" max="8457" width="22.1796875" style="7" customWidth="1"/>
    <col min="8458" max="8458" width="19.1796875" style="7" customWidth="1"/>
    <col min="8459" max="8459" width="9.1796875" style="7"/>
    <col min="8460" max="8460" width="19.7265625" style="7" customWidth="1"/>
    <col min="8461" max="8461" width="19.54296875" style="7" customWidth="1"/>
    <col min="8462" max="8462" width="9.1796875" style="7"/>
    <col min="8463" max="8463" width="28.7265625" style="7" customWidth="1"/>
    <col min="8464" max="8464" width="18.81640625" style="7" customWidth="1"/>
    <col min="8465" max="8705" width="9.1796875" style="7"/>
    <col min="8706" max="8706" width="12.453125" style="7" customWidth="1"/>
    <col min="8707" max="8707" width="33.26953125" style="7" customWidth="1"/>
    <col min="8708" max="8708" width="40" style="7" customWidth="1"/>
    <col min="8709" max="8709" width="19.54296875" style="7" customWidth="1"/>
    <col min="8710" max="8710" width="15.54296875" style="7" customWidth="1"/>
    <col min="8711" max="8711" width="16" style="7" bestFit="1" customWidth="1"/>
    <col min="8712" max="8712" width="12.81640625" style="7" bestFit="1" customWidth="1"/>
    <col min="8713" max="8713" width="22.1796875" style="7" customWidth="1"/>
    <col min="8714" max="8714" width="19.1796875" style="7" customWidth="1"/>
    <col min="8715" max="8715" width="9.1796875" style="7"/>
    <col min="8716" max="8716" width="19.7265625" style="7" customWidth="1"/>
    <col min="8717" max="8717" width="19.54296875" style="7" customWidth="1"/>
    <col min="8718" max="8718" width="9.1796875" style="7"/>
    <col min="8719" max="8719" width="28.7265625" style="7" customWidth="1"/>
    <col min="8720" max="8720" width="18.81640625" style="7" customWidth="1"/>
    <col min="8721" max="8961" width="9.1796875" style="7"/>
    <col min="8962" max="8962" width="12.453125" style="7" customWidth="1"/>
    <col min="8963" max="8963" width="33.26953125" style="7" customWidth="1"/>
    <col min="8964" max="8964" width="40" style="7" customWidth="1"/>
    <col min="8965" max="8965" width="19.54296875" style="7" customWidth="1"/>
    <col min="8966" max="8966" width="15.54296875" style="7" customWidth="1"/>
    <col min="8967" max="8967" width="16" style="7" bestFit="1" customWidth="1"/>
    <col min="8968" max="8968" width="12.81640625" style="7" bestFit="1" customWidth="1"/>
    <col min="8969" max="8969" width="22.1796875" style="7" customWidth="1"/>
    <col min="8970" max="8970" width="19.1796875" style="7" customWidth="1"/>
    <col min="8971" max="8971" width="9.1796875" style="7"/>
    <col min="8972" max="8972" width="19.7265625" style="7" customWidth="1"/>
    <col min="8973" max="8973" width="19.54296875" style="7" customWidth="1"/>
    <col min="8974" max="8974" width="9.1796875" style="7"/>
    <col min="8975" max="8975" width="28.7265625" style="7" customWidth="1"/>
    <col min="8976" max="8976" width="18.81640625" style="7" customWidth="1"/>
    <col min="8977" max="9217" width="9.1796875" style="7"/>
    <col min="9218" max="9218" width="12.453125" style="7" customWidth="1"/>
    <col min="9219" max="9219" width="33.26953125" style="7" customWidth="1"/>
    <col min="9220" max="9220" width="40" style="7" customWidth="1"/>
    <col min="9221" max="9221" width="19.54296875" style="7" customWidth="1"/>
    <col min="9222" max="9222" width="15.54296875" style="7" customWidth="1"/>
    <col min="9223" max="9223" width="16" style="7" bestFit="1" customWidth="1"/>
    <col min="9224" max="9224" width="12.81640625" style="7" bestFit="1" customWidth="1"/>
    <col min="9225" max="9225" width="22.1796875" style="7" customWidth="1"/>
    <col min="9226" max="9226" width="19.1796875" style="7" customWidth="1"/>
    <col min="9227" max="9227" width="9.1796875" style="7"/>
    <col min="9228" max="9228" width="19.7265625" style="7" customWidth="1"/>
    <col min="9229" max="9229" width="19.54296875" style="7" customWidth="1"/>
    <col min="9230" max="9230" width="9.1796875" style="7"/>
    <col min="9231" max="9231" width="28.7265625" style="7" customWidth="1"/>
    <col min="9232" max="9232" width="18.81640625" style="7" customWidth="1"/>
    <col min="9233" max="9473" width="9.1796875" style="7"/>
    <col min="9474" max="9474" width="12.453125" style="7" customWidth="1"/>
    <col min="9475" max="9475" width="33.26953125" style="7" customWidth="1"/>
    <col min="9476" max="9476" width="40" style="7" customWidth="1"/>
    <col min="9477" max="9477" width="19.54296875" style="7" customWidth="1"/>
    <col min="9478" max="9478" width="15.54296875" style="7" customWidth="1"/>
    <col min="9479" max="9479" width="16" style="7" bestFit="1" customWidth="1"/>
    <col min="9480" max="9480" width="12.81640625" style="7" bestFit="1" customWidth="1"/>
    <col min="9481" max="9481" width="22.1796875" style="7" customWidth="1"/>
    <col min="9482" max="9482" width="19.1796875" style="7" customWidth="1"/>
    <col min="9483" max="9483" width="9.1796875" style="7"/>
    <col min="9484" max="9484" width="19.7265625" style="7" customWidth="1"/>
    <col min="9485" max="9485" width="19.54296875" style="7" customWidth="1"/>
    <col min="9486" max="9486" width="9.1796875" style="7"/>
    <col min="9487" max="9487" width="28.7265625" style="7" customWidth="1"/>
    <col min="9488" max="9488" width="18.81640625" style="7" customWidth="1"/>
    <col min="9489" max="9729" width="9.1796875" style="7"/>
    <col min="9730" max="9730" width="12.453125" style="7" customWidth="1"/>
    <col min="9731" max="9731" width="33.26953125" style="7" customWidth="1"/>
    <col min="9732" max="9732" width="40" style="7" customWidth="1"/>
    <col min="9733" max="9733" width="19.54296875" style="7" customWidth="1"/>
    <col min="9734" max="9734" width="15.54296875" style="7" customWidth="1"/>
    <col min="9735" max="9735" width="16" style="7" bestFit="1" customWidth="1"/>
    <col min="9736" max="9736" width="12.81640625" style="7" bestFit="1" customWidth="1"/>
    <col min="9737" max="9737" width="22.1796875" style="7" customWidth="1"/>
    <col min="9738" max="9738" width="19.1796875" style="7" customWidth="1"/>
    <col min="9739" max="9739" width="9.1796875" style="7"/>
    <col min="9740" max="9740" width="19.7265625" style="7" customWidth="1"/>
    <col min="9741" max="9741" width="19.54296875" style="7" customWidth="1"/>
    <col min="9742" max="9742" width="9.1796875" style="7"/>
    <col min="9743" max="9743" width="28.7265625" style="7" customWidth="1"/>
    <col min="9744" max="9744" width="18.81640625" style="7" customWidth="1"/>
    <col min="9745" max="9985" width="9.1796875" style="7"/>
    <col min="9986" max="9986" width="12.453125" style="7" customWidth="1"/>
    <col min="9987" max="9987" width="33.26953125" style="7" customWidth="1"/>
    <col min="9988" max="9988" width="40" style="7" customWidth="1"/>
    <col min="9989" max="9989" width="19.54296875" style="7" customWidth="1"/>
    <col min="9990" max="9990" width="15.54296875" style="7" customWidth="1"/>
    <col min="9991" max="9991" width="16" style="7" bestFit="1" customWidth="1"/>
    <col min="9992" max="9992" width="12.81640625" style="7" bestFit="1" customWidth="1"/>
    <col min="9993" max="9993" width="22.1796875" style="7" customWidth="1"/>
    <col min="9994" max="9994" width="19.1796875" style="7" customWidth="1"/>
    <col min="9995" max="9995" width="9.1796875" style="7"/>
    <col min="9996" max="9996" width="19.7265625" style="7" customWidth="1"/>
    <col min="9997" max="9997" width="19.54296875" style="7" customWidth="1"/>
    <col min="9998" max="9998" width="9.1796875" style="7"/>
    <col min="9999" max="9999" width="28.7265625" style="7" customWidth="1"/>
    <col min="10000" max="10000" width="18.81640625" style="7" customWidth="1"/>
    <col min="10001" max="10241" width="9.1796875" style="7"/>
    <col min="10242" max="10242" width="12.453125" style="7" customWidth="1"/>
    <col min="10243" max="10243" width="33.26953125" style="7" customWidth="1"/>
    <col min="10244" max="10244" width="40" style="7" customWidth="1"/>
    <col min="10245" max="10245" width="19.54296875" style="7" customWidth="1"/>
    <col min="10246" max="10246" width="15.54296875" style="7" customWidth="1"/>
    <col min="10247" max="10247" width="16" style="7" bestFit="1" customWidth="1"/>
    <col min="10248" max="10248" width="12.81640625" style="7" bestFit="1" customWidth="1"/>
    <col min="10249" max="10249" width="22.1796875" style="7" customWidth="1"/>
    <col min="10250" max="10250" width="19.1796875" style="7" customWidth="1"/>
    <col min="10251" max="10251" width="9.1796875" style="7"/>
    <col min="10252" max="10252" width="19.7265625" style="7" customWidth="1"/>
    <col min="10253" max="10253" width="19.54296875" style="7" customWidth="1"/>
    <col min="10254" max="10254" width="9.1796875" style="7"/>
    <col min="10255" max="10255" width="28.7265625" style="7" customWidth="1"/>
    <col min="10256" max="10256" width="18.81640625" style="7" customWidth="1"/>
    <col min="10257" max="10497" width="9.1796875" style="7"/>
    <col min="10498" max="10498" width="12.453125" style="7" customWidth="1"/>
    <col min="10499" max="10499" width="33.26953125" style="7" customWidth="1"/>
    <col min="10500" max="10500" width="40" style="7" customWidth="1"/>
    <col min="10501" max="10501" width="19.54296875" style="7" customWidth="1"/>
    <col min="10502" max="10502" width="15.54296875" style="7" customWidth="1"/>
    <col min="10503" max="10503" width="16" style="7" bestFit="1" customWidth="1"/>
    <col min="10504" max="10504" width="12.81640625" style="7" bestFit="1" customWidth="1"/>
    <col min="10505" max="10505" width="22.1796875" style="7" customWidth="1"/>
    <col min="10506" max="10506" width="19.1796875" style="7" customWidth="1"/>
    <col min="10507" max="10507" width="9.1796875" style="7"/>
    <col min="10508" max="10508" width="19.7265625" style="7" customWidth="1"/>
    <col min="10509" max="10509" width="19.54296875" style="7" customWidth="1"/>
    <col min="10510" max="10510" width="9.1796875" style="7"/>
    <col min="10511" max="10511" width="28.7265625" style="7" customWidth="1"/>
    <col min="10512" max="10512" width="18.81640625" style="7" customWidth="1"/>
    <col min="10513" max="10753" width="9.1796875" style="7"/>
    <col min="10754" max="10754" width="12.453125" style="7" customWidth="1"/>
    <col min="10755" max="10755" width="33.26953125" style="7" customWidth="1"/>
    <col min="10756" max="10756" width="40" style="7" customWidth="1"/>
    <col min="10757" max="10757" width="19.54296875" style="7" customWidth="1"/>
    <col min="10758" max="10758" width="15.54296875" style="7" customWidth="1"/>
    <col min="10759" max="10759" width="16" style="7" bestFit="1" customWidth="1"/>
    <col min="10760" max="10760" width="12.81640625" style="7" bestFit="1" customWidth="1"/>
    <col min="10761" max="10761" width="22.1796875" style="7" customWidth="1"/>
    <col min="10762" max="10762" width="19.1796875" style="7" customWidth="1"/>
    <col min="10763" max="10763" width="9.1796875" style="7"/>
    <col min="10764" max="10764" width="19.7265625" style="7" customWidth="1"/>
    <col min="10765" max="10765" width="19.54296875" style="7" customWidth="1"/>
    <col min="10766" max="10766" width="9.1796875" style="7"/>
    <col min="10767" max="10767" width="28.7265625" style="7" customWidth="1"/>
    <col min="10768" max="10768" width="18.81640625" style="7" customWidth="1"/>
    <col min="10769" max="11009" width="9.1796875" style="7"/>
    <col min="11010" max="11010" width="12.453125" style="7" customWidth="1"/>
    <col min="11011" max="11011" width="33.26953125" style="7" customWidth="1"/>
    <col min="11012" max="11012" width="40" style="7" customWidth="1"/>
    <col min="11013" max="11013" width="19.54296875" style="7" customWidth="1"/>
    <col min="11014" max="11014" width="15.54296875" style="7" customWidth="1"/>
    <col min="11015" max="11015" width="16" style="7" bestFit="1" customWidth="1"/>
    <col min="11016" max="11016" width="12.81640625" style="7" bestFit="1" customWidth="1"/>
    <col min="11017" max="11017" width="22.1796875" style="7" customWidth="1"/>
    <col min="11018" max="11018" width="19.1796875" style="7" customWidth="1"/>
    <col min="11019" max="11019" width="9.1796875" style="7"/>
    <col min="11020" max="11020" width="19.7265625" style="7" customWidth="1"/>
    <col min="11021" max="11021" width="19.54296875" style="7" customWidth="1"/>
    <col min="11022" max="11022" width="9.1796875" style="7"/>
    <col min="11023" max="11023" width="28.7265625" style="7" customWidth="1"/>
    <col min="11024" max="11024" width="18.81640625" style="7" customWidth="1"/>
    <col min="11025" max="11265" width="9.1796875" style="7"/>
    <col min="11266" max="11266" width="12.453125" style="7" customWidth="1"/>
    <col min="11267" max="11267" width="33.26953125" style="7" customWidth="1"/>
    <col min="11268" max="11268" width="40" style="7" customWidth="1"/>
    <col min="11269" max="11269" width="19.54296875" style="7" customWidth="1"/>
    <col min="11270" max="11270" width="15.54296875" style="7" customWidth="1"/>
    <col min="11271" max="11271" width="16" style="7" bestFit="1" customWidth="1"/>
    <col min="11272" max="11272" width="12.81640625" style="7" bestFit="1" customWidth="1"/>
    <col min="11273" max="11273" width="22.1796875" style="7" customWidth="1"/>
    <col min="11274" max="11274" width="19.1796875" style="7" customWidth="1"/>
    <col min="11275" max="11275" width="9.1796875" style="7"/>
    <col min="11276" max="11276" width="19.7265625" style="7" customWidth="1"/>
    <col min="11277" max="11277" width="19.54296875" style="7" customWidth="1"/>
    <col min="11278" max="11278" width="9.1796875" style="7"/>
    <col min="11279" max="11279" width="28.7265625" style="7" customWidth="1"/>
    <col min="11280" max="11280" width="18.81640625" style="7" customWidth="1"/>
    <col min="11281" max="11521" width="9.1796875" style="7"/>
    <col min="11522" max="11522" width="12.453125" style="7" customWidth="1"/>
    <col min="11523" max="11523" width="33.26953125" style="7" customWidth="1"/>
    <col min="11524" max="11524" width="40" style="7" customWidth="1"/>
    <col min="11525" max="11525" width="19.54296875" style="7" customWidth="1"/>
    <col min="11526" max="11526" width="15.54296875" style="7" customWidth="1"/>
    <col min="11527" max="11527" width="16" style="7" bestFit="1" customWidth="1"/>
    <col min="11528" max="11528" width="12.81640625" style="7" bestFit="1" customWidth="1"/>
    <col min="11529" max="11529" width="22.1796875" style="7" customWidth="1"/>
    <col min="11530" max="11530" width="19.1796875" style="7" customWidth="1"/>
    <col min="11531" max="11531" width="9.1796875" style="7"/>
    <col min="11532" max="11532" width="19.7265625" style="7" customWidth="1"/>
    <col min="11533" max="11533" width="19.54296875" style="7" customWidth="1"/>
    <col min="11534" max="11534" width="9.1796875" style="7"/>
    <col min="11535" max="11535" width="28.7265625" style="7" customWidth="1"/>
    <col min="11536" max="11536" width="18.81640625" style="7" customWidth="1"/>
    <col min="11537" max="11777" width="9.1796875" style="7"/>
    <col min="11778" max="11778" width="12.453125" style="7" customWidth="1"/>
    <col min="11779" max="11779" width="33.26953125" style="7" customWidth="1"/>
    <col min="11780" max="11780" width="40" style="7" customWidth="1"/>
    <col min="11781" max="11781" width="19.54296875" style="7" customWidth="1"/>
    <col min="11782" max="11782" width="15.54296875" style="7" customWidth="1"/>
    <col min="11783" max="11783" width="16" style="7" bestFit="1" customWidth="1"/>
    <col min="11784" max="11784" width="12.81640625" style="7" bestFit="1" customWidth="1"/>
    <col min="11785" max="11785" width="22.1796875" style="7" customWidth="1"/>
    <col min="11786" max="11786" width="19.1796875" style="7" customWidth="1"/>
    <col min="11787" max="11787" width="9.1796875" style="7"/>
    <col min="11788" max="11788" width="19.7265625" style="7" customWidth="1"/>
    <col min="11789" max="11789" width="19.54296875" style="7" customWidth="1"/>
    <col min="11790" max="11790" width="9.1796875" style="7"/>
    <col min="11791" max="11791" width="28.7265625" style="7" customWidth="1"/>
    <col min="11792" max="11792" width="18.81640625" style="7" customWidth="1"/>
    <col min="11793" max="12033" width="9.1796875" style="7"/>
    <col min="12034" max="12034" width="12.453125" style="7" customWidth="1"/>
    <col min="12035" max="12035" width="33.26953125" style="7" customWidth="1"/>
    <col min="12036" max="12036" width="40" style="7" customWidth="1"/>
    <col min="12037" max="12037" width="19.54296875" style="7" customWidth="1"/>
    <col min="12038" max="12038" width="15.54296875" style="7" customWidth="1"/>
    <col min="12039" max="12039" width="16" style="7" bestFit="1" customWidth="1"/>
    <col min="12040" max="12040" width="12.81640625" style="7" bestFit="1" customWidth="1"/>
    <col min="12041" max="12041" width="22.1796875" style="7" customWidth="1"/>
    <col min="12042" max="12042" width="19.1796875" style="7" customWidth="1"/>
    <col min="12043" max="12043" width="9.1796875" style="7"/>
    <col min="12044" max="12044" width="19.7265625" style="7" customWidth="1"/>
    <col min="12045" max="12045" width="19.54296875" style="7" customWidth="1"/>
    <col min="12046" max="12046" width="9.1796875" style="7"/>
    <col min="12047" max="12047" width="28.7265625" style="7" customWidth="1"/>
    <col min="12048" max="12048" width="18.81640625" style="7" customWidth="1"/>
    <col min="12049" max="12289" width="9.1796875" style="7"/>
    <col min="12290" max="12290" width="12.453125" style="7" customWidth="1"/>
    <col min="12291" max="12291" width="33.26953125" style="7" customWidth="1"/>
    <col min="12292" max="12292" width="40" style="7" customWidth="1"/>
    <col min="12293" max="12293" width="19.54296875" style="7" customWidth="1"/>
    <col min="12294" max="12294" width="15.54296875" style="7" customWidth="1"/>
    <col min="12295" max="12295" width="16" style="7" bestFit="1" customWidth="1"/>
    <col min="12296" max="12296" width="12.81640625" style="7" bestFit="1" customWidth="1"/>
    <col min="12297" max="12297" width="22.1796875" style="7" customWidth="1"/>
    <col min="12298" max="12298" width="19.1796875" style="7" customWidth="1"/>
    <col min="12299" max="12299" width="9.1796875" style="7"/>
    <col min="12300" max="12300" width="19.7265625" style="7" customWidth="1"/>
    <col min="12301" max="12301" width="19.54296875" style="7" customWidth="1"/>
    <col min="12302" max="12302" width="9.1796875" style="7"/>
    <col min="12303" max="12303" width="28.7265625" style="7" customWidth="1"/>
    <col min="12304" max="12304" width="18.81640625" style="7" customWidth="1"/>
    <col min="12305" max="12545" width="9.1796875" style="7"/>
    <col min="12546" max="12546" width="12.453125" style="7" customWidth="1"/>
    <col min="12547" max="12547" width="33.26953125" style="7" customWidth="1"/>
    <col min="12548" max="12548" width="40" style="7" customWidth="1"/>
    <col min="12549" max="12549" width="19.54296875" style="7" customWidth="1"/>
    <col min="12550" max="12550" width="15.54296875" style="7" customWidth="1"/>
    <col min="12551" max="12551" width="16" style="7" bestFit="1" customWidth="1"/>
    <col min="12552" max="12552" width="12.81640625" style="7" bestFit="1" customWidth="1"/>
    <col min="12553" max="12553" width="22.1796875" style="7" customWidth="1"/>
    <col min="12554" max="12554" width="19.1796875" style="7" customWidth="1"/>
    <col min="12555" max="12555" width="9.1796875" style="7"/>
    <col min="12556" max="12556" width="19.7265625" style="7" customWidth="1"/>
    <col min="12557" max="12557" width="19.54296875" style="7" customWidth="1"/>
    <col min="12558" max="12558" width="9.1796875" style="7"/>
    <col min="12559" max="12559" width="28.7265625" style="7" customWidth="1"/>
    <col min="12560" max="12560" width="18.81640625" style="7" customWidth="1"/>
    <col min="12561" max="12801" width="9.1796875" style="7"/>
    <col min="12802" max="12802" width="12.453125" style="7" customWidth="1"/>
    <col min="12803" max="12803" width="33.26953125" style="7" customWidth="1"/>
    <col min="12804" max="12804" width="40" style="7" customWidth="1"/>
    <col min="12805" max="12805" width="19.54296875" style="7" customWidth="1"/>
    <col min="12806" max="12806" width="15.54296875" style="7" customWidth="1"/>
    <col min="12807" max="12807" width="16" style="7" bestFit="1" customWidth="1"/>
    <col min="12808" max="12808" width="12.81640625" style="7" bestFit="1" customWidth="1"/>
    <col min="12809" max="12809" width="22.1796875" style="7" customWidth="1"/>
    <col min="12810" max="12810" width="19.1796875" style="7" customWidth="1"/>
    <col min="12811" max="12811" width="9.1796875" style="7"/>
    <col min="12812" max="12812" width="19.7265625" style="7" customWidth="1"/>
    <col min="12813" max="12813" width="19.54296875" style="7" customWidth="1"/>
    <col min="12814" max="12814" width="9.1796875" style="7"/>
    <col min="12815" max="12815" width="28.7265625" style="7" customWidth="1"/>
    <col min="12816" max="12816" width="18.81640625" style="7" customWidth="1"/>
    <col min="12817" max="13057" width="9.1796875" style="7"/>
    <col min="13058" max="13058" width="12.453125" style="7" customWidth="1"/>
    <col min="13059" max="13059" width="33.26953125" style="7" customWidth="1"/>
    <col min="13060" max="13060" width="40" style="7" customWidth="1"/>
    <col min="13061" max="13061" width="19.54296875" style="7" customWidth="1"/>
    <col min="13062" max="13062" width="15.54296875" style="7" customWidth="1"/>
    <col min="13063" max="13063" width="16" style="7" bestFit="1" customWidth="1"/>
    <col min="13064" max="13064" width="12.81640625" style="7" bestFit="1" customWidth="1"/>
    <col min="13065" max="13065" width="22.1796875" style="7" customWidth="1"/>
    <col min="13066" max="13066" width="19.1796875" style="7" customWidth="1"/>
    <col min="13067" max="13067" width="9.1796875" style="7"/>
    <col min="13068" max="13068" width="19.7265625" style="7" customWidth="1"/>
    <col min="13069" max="13069" width="19.54296875" style="7" customWidth="1"/>
    <col min="13070" max="13070" width="9.1796875" style="7"/>
    <col min="13071" max="13071" width="28.7265625" style="7" customWidth="1"/>
    <col min="13072" max="13072" width="18.81640625" style="7" customWidth="1"/>
    <col min="13073" max="13313" width="9.1796875" style="7"/>
    <col min="13314" max="13314" width="12.453125" style="7" customWidth="1"/>
    <col min="13315" max="13315" width="33.26953125" style="7" customWidth="1"/>
    <col min="13316" max="13316" width="40" style="7" customWidth="1"/>
    <col min="13317" max="13317" width="19.54296875" style="7" customWidth="1"/>
    <col min="13318" max="13318" width="15.54296875" style="7" customWidth="1"/>
    <col min="13319" max="13319" width="16" style="7" bestFit="1" customWidth="1"/>
    <col min="13320" max="13320" width="12.81640625" style="7" bestFit="1" customWidth="1"/>
    <col min="13321" max="13321" width="22.1796875" style="7" customWidth="1"/>
    <col min="13322" max="13322" width="19.1796875" style="7" customWidth="1"/>
    <col min="13323" max="13323" width="9.1796875" style="7"/>
    <col min="13324" max="13324" width="19.7265625" style="7" customWidth="1"/>
    <col min="13325" max="13325" width="19.54296875" style="7" customWidth="1"/>
    <col min="13326" max="13326" width="9.1796875" style="7"/>
    <col min="13327" max="13327" width="28.7265625" style="7" customWidth="1"/>
    <col min="13328" max="13328" width="18.81640625" style="7" customWidth="1"/>
    <col min="13329" max="13569" width="9.1796875" style="7"/>
    <col min="13570" max="13570" width="12.453125" style="7" customWidth="1"/>
    <col min="13571" max="13571" width="33.26953125" style="7" customWidth="1"/>
    <col min="13572" max="13572" width="40" style="7" customWidth="1"/>
    <col min="13573" max="13573" width="19.54296875" style="7" customWidth="1"/>
    <col min="13574" max="13574" width="15.54296875" style="7" customWidth="1"/>
    <col min="13575" max="13575" width="16" style="7" bestFit="1" customWidth="1"/>
    <col min="13576" max="13576" width="12.81640625" style="7" bestFit="1" customWidth="1"/>
    <col min="13577" max="13577" width="22.1796875" style="7" customWidth="1"/>
    <col min="13578" max="13578" width="19.1796875" style="7" customWidth="1"/>
    <col min="13579" max="13579" width="9.1796875" style="7"/>
    <col min="13580" max="13580" width="19.7265625" style="7" customWidth="1"/>
    <col min="13581" max="13581" width="19.54296875" style="7" customWidth="1"/>
    <col min="13582" max="13582" width="9.1796875" style="7"/>
    <col min="13583" max="13583" width="28.7265625" style="7" customWidth="1"/>
    <col min="13584" max="13584" width="18.81640625" style="7" customWidth="1"/>
    <col min="13585" max="13825" width="9.1796875" style="7"/>
    <col min="13826" max="13826" width="12.453125" style="7" customWidth="1"/>
    <col min="13827" max="13827" width="33.26953125" style="7" customWidth="1"/>
    <col min="13828" max="13828" width="40" style="7" customWidth="1"/>
    <col min="13829" max="13829" width="19.54296875" style="7" customWidth="1"/>
    <col min="13830" max="13830" width="15.54296875" style="7" customWidth="1"/>
    <col min="13831" max="13831" width="16" style="7" bestFit="1" customWidth="1"/>
    <col min="13832" max="13832" width="12.81640625" style="7" bestFit="1" customWidth="1"/>
    <col min="13833" max="13833" width="22.1796875" style="7" customWidth="1"/>
    <col min="13834" max="13834" width="19.1796875" style="7" customWidth="1"/>
    <col min="13835" max="13835" width="9.1796875" style="7"/>
    <col min="13836" max="13836" width="19.7265625" style="7" customWidth="1"/>
    <col min="13837" max="13837" width="19.54296875" style="7" customWidth="1"/>
    <col min="13838" max="13838" width="9.1796875" style="7"/>
    <col min="13839" max="13839" width="28.7265625" style="7" customWidth="1"/>
    <col min="13840" max="13840" width="18.81640625" style="7" customWidth="1"/>
    <col min="13841" max="14081" width="9.1796875" style="7"/>
    <col min="14082" max="14082" width="12.453125" style="7" customWidth="1"/>
    <col min="14083" max="14083" width="33.26953125" style="7" customWidth="1"/>
    <col min="14084" max="14084" width="40" style="7" customWidth="1"/>
    <col min="14085" max="14085" width="19.54296875" style="7" customWidth="1"/>
    <col min="14086" max="14086" width="15.54296875" style="7" customWidth="1"/>
    <col min="14087" max="14087" width="16" style="7" bestFit="1" customWidth="1"/>
    <col min="14088" max="14088" width="12.81640625" style="7" bestFit="1" customWidth="1"/>
    <col min="14089" max="14089" width="22.1796875" style="7" customWidth="1"/>
    <col min="14090" max="14090" width="19.1796875" style="7" customWidth="1"/>
    <col min="14091" max="14091" width="9.1796875" style="7"/>
    <col min="14092" max="14092" width="19.7265625" style="7" customWidth="1"/>
    <col min="14093" max="14093" width="19.54296875" style="7" customWidth="1"/>
    <col min="14094" max="14094" width="9.1796875" style="7"/>
    <col min="14095" max="14095" width="28.7265625" style="7" customWidth="1"/>
    <col min="14096" max="14096" width="18.81640625" style="7" customWidth="1"/>
    <col min="14097" max="14337" width="9.1796875" style="7"/>
    <col min="14338" max="14338" width="12.453125" style="7" customWidth="1"/>
    <col min="14339" max="14339" width="33.26953125" style="7" customWidth="1"/>
    <col min="14340" max="14340" width="40" style="7" customWidth="1"/>
    <col min="14341" max="14341" width="19.54296875" style="7" customWidth="1"/>
    <col min="14342" max="14342" width="15.54296875" style="7" customWidth="1"/>
    <col min="14343" max="14343" width="16" style="7" bestFit="1" customWidth="1"/>
    <col min="14344" max="14344" width="12.81640625" style="7" bestFit="1" customWidth="1"/>
    <col min="14345" max="14345" width="22.1796875" style="7" customWidth="1"/>
    <col min="14346" max="14346" width="19.1796875" style="7" customWidth="1"/>
    <col min="14347" max="14347" width="9.1796875" style="7"/>
    <col min="14348" max="14348" width="19.7265625" style="7" customWidth="1"/>
    <col min="14349" max="14349" width="19.54296875" style="7" customWidth="1"/>
    <col min="14350" max="14350" width="9.1796875" style="7"/>
    <col min="14351" max="14351" width="28.7265625" style="7" customWidth="1"/>
    <col min="14352" max="14352" width="18.81640625" style="7" customWidth="1"/>
    <col min="14353" max="14593" width="9.1796875" style="7"/>
    <col min="14594" max="14594" width="12.453125" style="7" customWidth="1"/>
    <col min="14595" max="14595" width="33.26953125" style="7" customWidth="1"/>
    <col min="14596" max="14596" width="40" style="7" customWidth="1"/>
    <col min="14597" max="14597" width="19.54296875" style="7" customWidth="1"/>
    <col min="14598" max="14598" width="15.54296875" style="7" customWidth="1"/>
    <col min="14599" max="14599" width="16" style="7" bestFit="1" customWidth="1"/>
    <col min="14600" max="14600" width="12.81640625" style="7" bestFit="1" customWidth="1"/>
    <col min="14601" max="14601" width="22.1796875" style="7" customWidth="1"/>
    <col min="14602" max="14602" width="19.1796875" style="7" customWidth="1"/>
    <col min="14603" max="14603" width="9.1796875" style="7"/>
    <col min="14604" max="14604" width="19.7265625" style="7" customWidth="1"/>
    <col min="14605" max="14605" width="19.54296875" style="7" customWidth="1"/>
    <col min="14606" max="14606" width="9.1796875" style="7"/>
    <col min="14607" max="14607" width="28.7265625" style="7" customWidth="1"/>
    <col min="14608" max="14608" width="18.81640625" style="7" customWidth="1"/>
    <col min="14609" max="14849" width="9.1796875" style="7"/>
    <col min="14850" max="14850" width="12.453125" style="7" customWidth="1"/>
    <col min="14851" max="14851" width="33.26953125" style="7" customWidth="1"/>
    <col min="14852" max="14852" width="40" style="7" customWidth="1"/>
    <col min="14853" max="14853" width="19.54296875" style="7" customWidth="1"/>
    <col min="14854" max="14854" width="15.54296875" style="7" customWidth="1"/>
    <col min="14855" max="14855" width="16" style="7" bestFit="1" customWidth="1"/>
    <col min="14856" max="14856" width="12.81640625" style="7" bestFit="1" customWidth="1"/>
    <col min="14857" max="14857" width="22.1796875" style="7" customWidth="1"/>
    <col min="14858" max="14858" width="19.1796875" style="7" customWidth="1"/>
    <col min="14859" max="14859" width="9.1796875" style="7"/>
    <col min="14860" max="14860" width="19.7265625" style="7" customWidth="1"/>
    <col min="14861" max="14861" width="19.54296875" style="7" customWidth="1"/>
    <col min="14862" max="14862" width="9.1796875" style="7"/>
    <col min="14863" max="14863" width="28.7265625" style="7" customWidth="1"/>
    <col min="14864" max="14864" width="18.81640625" style="7" customWidth="1"/>
    <col min="14865" max="15105" width="9.1796875" style="7"/>
    <col min="15106" max="15106" width="12.453125" style="7" customWidth="1"/>
    <col min="15107" max="15107" width="33.26953125" style="7" customWidth="1"/>
    <col min="15108" max="15108" width="40" style="7" customWidth="1"/>
    <col min="15109" max="15109" width="19.54296875" style="7" customWidth="1"/>
    <col min="15110" max="15110" width="15.54296875" style="7" customWidth="1"/>
    <col min="15111" max="15111" width="16" style="7" bestFit="1" customWidth="1"/>
    <col min="15112" max="15112" width="12.81640625" style="7" bestFit="1" customWidth="1"/>
    <col min="15113" max="15113" width="22.1796875" style="7" customWidth="1"/>
    <col min="15114" max="15114" width="19.1796875" style="7" customWidth="1"/>
    <col min="15115" max="15115" width="9.1796875" style="7"/>
    <col min="15116" max="15116" width="19.7265625" style="7" customWidth="1"/>
    <col min="15117" max="15117" width="19.54296875" style="7" customWidth="1"/>
    <col min="15118" max="15118" width="9.1796875" style="7"/>
    <col min="15119" max="15119" width="28.7265625" style="7" customWidth="1"/>
    <col min="15120" max="15120" width="18.81640625" style="7" customWidth="1"/>
    <col min="15121" max="15361" width="9.1796875" style="7"/>
    <col min="15362" max="15362" width="12.453125" style="7" customWidth="1"/>
    <col min="15363" max="15363" width="33.26953125" style="7" customWidth="1"/>
    <col min="15364" max="15364" width="40" style="7" customWidth="1"/>
    <col min="15365" max="15365" width="19.54296875" style="7" customWidth="1"/>
    <col min="15366" max="15366" width="15.54296875" style="7" customWidth="1"/>
    <col min="15367" max="15367" width="16" style="7" bestFit="1" customWidth="1"/>
    <col min="15368" max="15368" width="12.81640625" style="7" bestFit="1" customWidth="1"/>
    <col min="15369" max="15369" width="22.1796875" style="7" customWidth="1"/>
    <col min="15370" max="15370" width="19.1796875" style="7" customWidth="1"/>
    <col min="15371" max="15371" width="9.1796875" style="7"/>
    <col min="15372" max="15372" width="19.7265625" style="7" customWidth="1"/>
    <col min="15373" max="15373" width="19.54296875" style="7" customWidth="1"/>
    <col min="15374" max="15374" width="9.1796875" style="7"/>
    <col min="15375" max="15375" width="28.7265625" style="7" customWidth="1"/>
    <col min="15376" max="15376" width="18.81640625" style="7" customWidth="1"/>
    <col min="15377" max="15617" width="9.1796875" style="7"/>
    <col min="15618" max="15618" width="12.453125" style="7" customWidth="1"/>
    <col min="15619" max="15619" width="33.26953125" style="7" customWidth="1"/>
    <col min="15620" max="15620" width="40" style="7" customWidth="1"/>
    <col min="15621" max="15621" width="19.54296875" style="7" customWidth="1"/>
    <col min="15622" max="15622" width="15.54296875" style="7" customWidth="1"/>
    <col min="15623" max="15623" width="16" style="7" bestFit="1" customWidth="1"/>
    <col min="15624" max="15624" width="12.81640625" style="7" bestFit="1" customWidth="1"/>
    <col min="15625" max="15625" width="22.1796875" style="7" customWidth="1"/>
    <col min="15626" max="15626" width="19.1796875" style="7" customWidth="1"/>
    <col min="15627" max="15627" width="9.1796875" style="7"/>
    <col min="15628" max="15628" width="19.7265625" style="7" customWidth="1"/>
    <col min="15629" max="15629" width="19.54296875" style="7" customWidth="1"/>
    <col min="15630" max="15630" width="9.1796875" style="7"/>
    <col min="15631" max="15631" width="28.7265625" style="7" customWidth="1"/>
    <col min="15632" max="15632" width="18.81640625" style="7" customWidth="1"/>
    <col min="15633" max="15873" width="9.1796875" style="7"/>
    <col min="15874" max="15874" width="12.453125" style="7" customWidth="1"/>
    <col min="15875" max="15875" width="33.26953125" style="7" customWidth="1"/>
    <col min="15876" max="15876" width="40" style="7" customWidth="1"/>
    <col min="15877" max="15877" width="19.54296875" style="7" customWidth="1"/>
    <col min="15878" max="15878" width="15.54296875" style="7" customWidth="1"/>
    <col min="15879" max="15879" width="16" style="7" bestFit="1" customWidth="1"/>
    <col min="15880" max="15880" width="12.81640625" style="7" bestFit="1" customWidth="1"/>
    <col min="15881" max="15881" width="22.1796875" style="7" customWidth="1"/>
    <col min="15882" max="15882" width="19.1796875" style="7" customWidth="1"/>
    <col min="15883" max="15883" width="9.1796875" style="7"/>
    <col min="15884" max="15884" width="19.7265625" style="7" customWidth="1"/>
    <col min="15885" max="15885" width="19.54296875" style="7" customWidth="1"/>
    <col min="15886" max="15886" width="9.1796875" style="7"/>
    <col min="15887" max="15887" width="28.7265625" style="7" customWidth="1"/>
    <col min="15888" max="15888" width="18.81640625" style="7" customWidth="1"/>
    <col min="15889" max="16129" width="9.1796875" style="7"/>
    <col min="16130" max="16130" width="12.453125" style="7" customWidth="1"/>
    <col min="16131" max="16131" width="33.26953125" style="7" customWidth="1"/>
    <col min="16132" max="16132" width="40" style="7" customWidth="1"/>
    <col min="16133" max="16133" width="19.54296875" style="7" customWidth="1"/>
    <col min="16134" max="16134" width="15.54296875" style="7" customWidth="1"/>
    <col min="16135" max="16135" width="16" style="7" bestFit="1" customWidth="1"/>
    <col min="16136" max="16136" width="12.81640625" style="7" bestFit="1" customWidth="1"/>
    <col min="16137" max="16137" width="22.1796875" style="7" customWidth="1"/>
    <col min="16138" max="16138" width="19.1796875" style="7" customWidth="1"/>
    <col min="16139" max="16139" width="9.1796875" style="7"/>
    <col min="16140" max="16140" width="19.7265625" style="7" customWidth="1"/>
    <col min="16141" max="16141" width="19.54296875" style="7" customWidth="1"/>
    <col min="16142" max="16142" width="9.1796875" style="7"/>
    <col min="16143" max="16143" width="28.7265625" style="7" customWidth="1"/>
    <col min="16144" max="16144" width="18.81640625" style="7" customWidth="1"/>
    <col min="16145" max="16384" width="9.1796875" style="7"/>
  </cols>
  <sheetData>
    <row r="1" spans="1:20" x14ac:dyDescent="0.3">
      <c r="A1" s="1" t="s">
        <v>5</v>
      </c>
      <c r="B1" s="5" t="s">
        <v>6</v>
      </c>
      <c r="C1" s="5" t="s">
        <v>7</v>
      </c>
      <c r="D1" s="13" t="s">
        <v>8</v>
      </c>
      <c r="E1" s="3" t="s">
        <v>1086</v>
      </c>
      <c r="F1" s="14" t="s">
        <v>1087</v>
      </c>
      <c r="G1" s="15" t="s">
        <v>1088</v>
      </c>
      <c r="H1" s="15" t="s">
        <v>1089</v>
      </c>
      <c r="I1" s="15" t="s">
        <v>1090</v>
      </c>
      <c r="J1" s="15" t="s">
        <v>1091</v>
      </c>
      <c r="K1" s="4" t="s">
        <v>1092</v>
      </c>
      <c r="L1" s="3" t="s">
        <v>1093</v>
      </c>
      <c r="M1" s="15" t="s">
        <v>1094</v>
      </c>
      <c r="N1" s="14" t="s">
        <v>1095</v>
      </c>
      <c r="O1" s="4" t="s">
        <v>1096</v>
      </c>
      <c r="P1" s="3" t="s">
        <v>1097</v>
      </c>
      <c r="Q1" s="3" t="s">
        <v>1098</v>
      </c>
      <c r="R1" s="168"/>
      <c r="S1" s="6"/>
      <c r="T1" s="6"/>
    </row>
    <row r="2" spans="1:20" x14ac:dyDescent="0.3">
      <c r="A2" s="1"/>
      <c r="B2" s="15" t="s">
        <v>14</v>
      </c>
      <c r="C2" s="15" t="s">
        <v>14</v>
      </c>
      <c r="D2" s="17"/>
      <c r="E2" s="3" t="s">
        <v>15</v>
      </c>
      <c r="F2" s="14"/>
      <c r="G2" s="5" t="s">
        <v>16</v>
      </c>
      <c r="H2" s="5" t="s">
        <v>17</v>
      </c>
      <c r="I2" s="5" t="s">
        <v>16</v>
      </c>
      <c r="J2" s="5" t="s">
        <v>17</v>
      </c>
      <c r="K2" s="15" t="s">
        <v>18</v>
      </c>
      <c r="L2" s="5" t="s">
        <v>16</v>
      </c>
      <c r="M2" s="15" t="s">
        <v>17</v>
      </c>
      <c r="N2" s="15" t="s">
        <v>18</v>
      </c>
      <c r="O2" s="15" t="s">
        <v>16</v>
      </c>
      <c r="P2" s="15" t="s">
        <v>17</v>
      </c>
      <c r="Q2" s="18" t="s">
        <v>18</v>
      </c>
    </row>
    <row r="3" spans="1:20" x14ac:dyDescent="0.35">
      <c r="A3" s="6">
        <v>1</v>
      </c>
      <c r="B3" s="6" t="s">
        <v>572</v>
      </c>
      <c r="C3" s="6" t="s">
        <v>552</v>
      </c>
      <c r="D3" s="6" t="s">
        <v>259</v>
      </c>
      <c r="E3" s="19">
        <v>45526</v>
      </c>
      <c r="F3" s="19">
        <v>45565</v>
      </c>
      <c r="G3" s="20">
        <v>448838576.25</v>
      </c>
      <c r="H3" s="20">
        <v>470493.35</v>
      </c>
      <c r="I3" s="65">
        <f>IF(G3&gt;60000000,60000000,G3)</f>
        <v>60000000</v>
      </c>
      <c r="J3" s="65">
        <f t="shared" ref="J3:J16" si="0">I3/G3*H3</f>
        <v>62894.774410558472</v>
      </c>
      <c r="K3" s="65">
        <f t="shared" ref="K3:K16" si="1">I3/G3*100</f>
        <v>13.367834935511516</v>
      </c>
      <c r="L3" s="65">
        <f t="shared" ref="L3:L15" si="2">IF(G3-I3&gt;1500000000,1500000000,G3-I3)</f>
        <v>388838576.25</v>
      </c>
      <c r="M3" s="65">
        <f t="shared" ref="M3:M16" si="3">L3/G3*H3</f>
        <v>407598.57558944152</v>
      </c>
      <c r="N3" s="65">
        <f t="shared" ref="N3:N15" si="4">L3/G3*100</f>
        <v>86.63216506448849</v>
      </c>
      <c r="O3" s="69">
        <f t="shared" ref="O3:O16" si="5">G3-I3-L3</f>
        <v>0</v>
      </c>
      <c r="P3" s="69">
        <f t="shared" ref="P3:P16" si="6">H3/G3*O3</f>
        <v>0</v>
      </c>
      <c r="Q3" s="69">
        <f t="shared" ref="Q3:Q16" si="7">O3/G3*100</f>
        <v>0</v>
      </c>
    </row>
    <row r="4" spans="1:20" x14ac:dyDescent="0.35">
      <c r="A4" s="6">
        <v>2</v>
      </c>
      <c r="B4" s="6" t="s">
        <v>573</v>
      </c>
      <c r="C4" s="6" t="s">
        <v>552</v>
      </c>
      <c r="D4" s="6" t="s">
        <v>259</v>
      </c>
      <c r="E4" s="19">
        <v>45566</v>
      </c>
      <c r="F4" s="19">
        <v>45657</v>
      </c>
      <c r="G4" s="20">
        <v>4353411640</v>
      </c>
      <c r="H4" s="20">
        <v>4353411.6399999997</v>
      </c>
      <c r="I4" s="65">
        <f t="shared" ref="I4:I16" si="8">IF(G4&gt;60000000,60000000,G4)</f>
        <v>60000000</v>
      </c>
      <c r="J4" s="65">
        <f t="shared" si="0"/>
        <v>59999.999999999993</v>
      </c>
      <c r="K4" s="65">
        <f t="shared" si="1"/>
        <v>1.3782294200876442</v>
      </c>
      <c r="L4" s="65">
        <f t="shared" si="2"/>
        <v>1500000000</v>
      </c>
      <c r="M4" s="65">
        <f t="shared" si="3"/>
        <v>1499999.9999999998</v>
      </c>
      <c r="N4" s="65">
        <f t="shared" si="4"/>
        <v>34.455735502191104</v>
      </c>
      <c r="O4" s="69">
        <f t="shared" si="5"/>
        <v>2793411640</v>
      </c>
      <c r="P4" s="69">
        <f t="shared" si="6"/>
        <v>2793411.64</v>
      </c>
      <c r="Q4" s="69">
        <f t="shared" si="7"/>
        <v>64.166035077721247</v>
      </c>
    </row>
    <row r="5" spans="1:20" x14ac:dyDescent="0.35">
      <c r="A5" s="6">
        <v>3</v>
      </c>
      <c r="B5" s="6" t="s">
        <v>574</v>
      </c>
      <c r="C5" s="6" t="s">
        <v>553</v>
      </c>
      <c r="D5" s="6" t="s">
        <v>259</v>
      </c>
      <c r="E5" s="19">
        <v>45566</v>
      </c>
      <c r="F5" s="19">
        <v>45656</v>
      </c>
      <c r="G5" s="20">
        <v>675000000</v>
      </c>
      <c r="H5" s="20">
        <v>675000</v>
      </c>
      <c r="I5" s="65">
        <f t="shared" si="8"/>
        <v>60000000</v>
      </c>
      <c r="J5" s="65">
        <f t="shared" si="0"/>
        <v>60000</v>
      </c>
      <c r="K5" s="65">
        <f t="shared" si="1"/>
        <v>8.8888888888888893</v>
      </c>
      <c r="L5" s="65">
        <f t="shared" si="2"/>
        <v>615000000</v>
      </c>
      <c r="M5" s="65">
        <f t="shared" si="3"/>
        <v>615000</v>
      </c>
      <c r="N5" s="65">
        <f t="shared" si="4"/>
        <v>91.111111111111114</v>
      </c>
      <c r="O5" s="69">
        <f t="shared" si="5"/>
        <v>0</v>
      </c>
      <c r="P5" s="69">
        <f t="shared" si="6"/>
        <v>0</v>
      </c>
      <c r="Q5" s="69">
        <f t="shared" si="7"/>
        <v>0</v>
      </c>
    </row>
    <row r="6" spans="1:20" x14ac:dyDescent="0.35">
      <c r="A6" s="6">
        <v>4</v>
      </c>
      <c r="B6" s="6" t="s">
        <v>575</v>
      </c>
      <c r="C6" s="6" t="s">
        <v>554</v>
      </c>
      <c r="D6" s="6" t="s">
        <v>555</v>
      </c>
      <c r="E6" s="19">
        <v>45491</v>
      </c>
      <c r="F6" s="19">
        <v>45855</v>
      </c>
      <c r="G6" s="20">
        <v>637788000</v>
      </c>
      <c r="H6" s="20">
        <v>5421198</v>
      </c>
      <c r="I6" s="65">
        <f t="shared" si="8"/>
        <v>60000000</v>
      </c>
      <c r="J6" s="65">
        <f t="shared" si="0"/>
        <v>509999.99999999994</v>
      </c>
      <c r="K6" s="65">
        <f t="shared" si="1"/>
        <v>9.4075147227605402</v>
      </c>
      <c r="L6" s="65">
        <f t="shared" si="2"/>
        <v>577788000</v>
      </c>
      <c r="M6" s="65">
        <f t="shared" si="3"/>
        <v>4911198</v>
      </c>
      <c r="N6" s="65">
        <f t="shared" si="4"/>
        <v>90.592485277239447</v>
      </c>
      <c r="O6" s="69">
        <f t="shared" si="5"/>
        <v>0</v>
      </c>
      <c r="P6" s="69">
        <f t="shared" si="6"/>
        <v>0</v>
      </c>
      <c r="Q6" s="69">
        <f t="shared" si="7"/>
        <v>0</v>
      </c>
    </row>
    <row r="7" spans="1:20" x14ac:dyDescent="0.35">
      <c r="A7" s="6">
        <v>5</v>
      </c>
      <c r="B7" s="6" t="s">
        <v>576</v>
      </c>
      <c r="C7" s="6" t="s">
        <v>552</v>
      </c>
      <c r="D7" s="6" t="s">
        <v>259</v>
      </c>
      <c r="E7" s="19">
        <v>45474</v>
      </c>
      <c r="F7" s="19">
        <v>45565</v>
      </c>
      <c r="G7" s="20">
        <v>942190929.38</v>
      </c>
      <c r="H7" s="20">
        <v>2253569.2000000002</v>
      </c>
      <c r="I7" s="65">
        <f t="shared" si="8"/>
        <v>60000000</v>
      </c>
      <c r="J7" s="65">
        <f t="shared" si="0"/>
        <v>143510.35207797686</v>
      </c>
      <c r="K7" s="65">
        <f t="shared" si="1"/>
        <v>6.3681360251984644</v>
      </c>
      <c r="L7" s="65">
        <f t="shared" si="2"/>
        <v>882190929.38</v>
      </c>
      <c r="M7" s="65">
        <f t="shared" si="3"/>
        <v>2110058.8479220234</v>
      </c>
      <c r="N7" s="65">
        <f t="shared" si="4"/>
        <v>93.631863974801533</v>
      </c>
      <c r="O7" s="69">
        <f t="shared" si="5"/>
        <v>0</v>
      </c>
      <c r="P7" s="69">
        <f t="shared" si="6"/>
        <v>0</v>
      </c>
      <c r="Q7" s="69">
        <f t="shared" si="7"/>
        <v>0</v>
      </c>
    </row>
    <row r="8" spans="1:20" x14ac:dyDescent="0.35">
      <c r="A8" s="6">
        <v>6</v>
      </c>
      <c r="B8" s="6" t="s">
        <v>577</v>
      </c>
      <c r="C8" s="6" t="s">
        <v>556</v>
      </c>
      <c r="D8" s="6" t="s">
        <v>259</v>
      </c>
      <c r="E8" s="19">
        <v>45474</v>
      </c>
      <c r="F8" s="19">
        <v>45565</v>
      </c>
      <c r="G8" s="20">
        <v>7500000000</v>
      </c>
      <c r="H8" s="20">
        <v>675000</v>
      </c>
      <c r="I8" s="65">
        <f t="shared" si="8"/>
        <v>60000000</v>
      </c>
      <c r="J8" s="65">
        <f t="shared" si="0"/>
        <v>5400</v>
      </c>
      <c r="K8" s="65">
        <f t="shared" si="1"/>
        <v>0.8</v>
      </c>
      <c r="L8" s="65">
        <f t="shared" si="2"/>
        <v>1500000000</v>
      </c>
      <c r="M8" s="65">
        <f t="shared" si="3"/>
        <v>135000</v>
      </c>
      <c r="N8" s="65">
        <f t="shared" si="4"/>
        <v>20</v>
      </c>
      <c r="O8" s="69">
        <f t="shared" si="5"/>
        <v>5940000000</v>
      </c>
      <c r="P8" s="69">
        <f t="shared" si="6"/>
        <v>534600</v>
      </c>
      <c r="Q8" s="69">
        <f t="shared" si="7"/>
        <v>79.2</v>
      </c>
    </row>
    <row r="9" spans="1:20" x14ac:dyDescent="0.35">
      <c r="A9" s="6">
        <v>7</v>
      </c>
      <c r="B9" s="6" t="s">
        <v>578</v>
      </c>
      <c r="C9" s="30" t="s">
        <v>557</v>
      </c>
      <c r="D9" s="30" t="s">
        <v>558</v>
      </c>
      <c r="E9" s="31">
        <v>45496</v>
      </c>
      <c r="F9" s="31">
        <v>45587</v>
      </c>
      <c r="G9" s="32">
        <v>223963305.88999999</v>
      </c>
      <c r="H9" s="32">
        <v>517915.15</v>
      </c>
      <c r="I9" s="65">
        <f t="shared" si="8"/>
        <v>60000000</v>
      </c>
      <c r="J9" s="65">
        <f t="shared" si="0"/>
        <v>138750.00137416486</v>
      </c>
      <c r="K9" s="65">
        <f t="shared" si="1"/>
        <v>26.790102852593684</v>
      </c>
      <c r="L9" s="65">
        <f t="shared" si="2"/>
        <v>163963305.88999999</v>
      </c>
      <c r="M9" s="65">
        <f t="shared" si="3"/>
        <v>379165.14862583519</v>
      </c>
      <c r="N9" s="65">
        <f t="shared" si="4"/>
        <v>73.209897147406323</v>
      </c>
      <c r="O9" s="69">
        <f t="shared" si="5"/>
        <v>0</v>
      </c>
      <c r="P9" s="69">
        <f t="shared" si="6"/>
        <v>0</v>
      </c>
      <c r="Q9" s="69">
        <f t="shared" si="7"/>
        <v>0</v>
      </c>
    </row>
    <row r="10" spans="1:20" x14ac:dyDescent="0.35">
      <c r="A10" s="6">
        <v>8</v>
      </c>
      <c r="B10" s="6" t="s">
        <v>579</v>
      </c>
      <c r="C10" s="30" t="s">
        <v>559</v>
      </c>
      <c r="D10" s="30" t="s">
        <v>558</v>
      </c>
      <c r="E10" s="31">
        <v>45484</v>
      </c>
      <c r="F10" s="31">
        <v>45575</v>
      </c>
      <c r="G10" s="32">
        <v>163773167.18000001</v>
      </c>
      <c r="H10" s="32">
        <v>168322.42</v>
      </c>
      <c r="I10" s="65">
        <f t="shared" si="8"/>
        <v>60000000</v>
      </c>
      <c r="J10" s="65">
        <f t="shared" si="0"/>
        <v>61666.665998466044</v>
      </c>
      <c r="K10" s="65">
        <f t="shared" si="1"/>
        <v>36.636038145403347</v>
      </c>
      <c r="L10" s="65">
        <f t="shared" si="2"/>
        <v>103773167.18000001</v>
      </c>
      <c r="M10" s="65">
        <f t="shared" si="3"/>
        <v>106655.75400153398</v>
      </c>
      <c r="N10" s="65">
        <f t="shared" si="4"/>
        <v>63.363961854596653</v>
      </c>
      <c r="O10" s="69">
        <f t="shared" si="5"/>
        <v>0</v>
      </c>
      <c r="P10" s="69">
        <f t="shared" si="6"/>
        <v>0</v>
      </c>
      <c r="Q10" s="69">
        <f t="shared" si="7"/>
        <v>0</v>
      </c>
      <c r="R10" s="7" t="s">
        <v>542</v>
      </c>
    </row>
    <row r="11" spans="1:20" x14ac:dyDescent="0.35">
      <c r="A11" s="6">
        <v>9</v>
      </c>
      <c r="B11" s="6" t="s">
        <v>580</v>
      </c>
      <c r="C11" s="30" t="s">
        <v>560</v>
      </c>
      <c r="D11" s="30" t="s">
        <v>561</v>
      </c>
      <c r="E11" s="31">
        <v>45525</v>
      </c>
      <c r="F11" s="31">
        <v>45616</v>
      </c>
      <c r="G11" s="32">
        <v>223963305.74000001</v>
      </c>
      <c r="H11" s="32">
        <v>335944.96000000002</v>
      </c>
      <c r="I11" s="65">
        <f t="shared" si="8"/>
        <v>60000000</v>
      </c>
      <c r="J11" s="65">
        <f t="shared" si="0"/>
        <v>90000.000372382434</v>
      </c>
      <c r="K11" s="65">
        <f t="shared" si="1"/>
        <v>26.790102870536419</v>
      </c>
      <c r="L11" s="65">
        <f t="shared" si="2"/>
        <v>163963305.74000001</v>
      </c>
      <c r="M11" s="65">
        <f t="shared" si="3"/>
        <v>245944.95962761762</v>
      </c>
      <c r="N11" s="65">
        <f t="shared" si="4"/>
        <v>73.209897129463585</v>
      </c>
      <c r="O11" s="69">
        <f t="shared" si="5"/>
        <v>0</v>
      </c>
      <c r="P11" s="69">
        <f t="shared" si="6"/>
        <v>0</v>
      </c>
      <c r="Q11" s="69">
        <f t="shared" si="7"/>
        <v>0</v>
      </c>
    </row>
    <row r="12" spans="1:20" x14ac:dyDescent="0.35">
      <c r="A12" s="6">
        <v>10</v>
      </c>
      <c r="B12" s="6" t="s">
        <v>581</v>
      </c>
      <c r="C12" s="30" t="s">
        <v>562</v>
      </c>
      <c r="D12" s="30" t="s">
        <v>563</v>
      </c>
      <c r="E12" s="31">
        <v>45523</v>
      </c>
      <c r="F12" s="31">
        <v>45614</v>
      </c>
      <c r="G12" s="32">
        <v>400000000</v>
      </c>
      <c r="H12" s="32">
        <v>850000</v>
      </c>
      <c r="I12" s="65">
        <f t="shared" si="8"/>
        <v>60000000</v>
      </c>
      <c r="J12" s="65">
        <f t="shared" si="0"/>
        <v>127500</v>
      </c>
      <c r="K12" s="65">
        <f t="shared" si="1"/>
        <v>15</v>
      </c>
      <c r="L12" s="65">
        <v>260000000</v>
      </c>
      <c r="M12" s="65">
        <f t="shared" si="3"/>
        <v>552500</v>
      </c>
      <c r="N12" s="65">
        <v>65</v>
      </c>
      <c r="O12" s="69">
        <f t="shared" si="5"/>
        <v>80000000</v>
      </c>
      <c r="P12" s="69">
        <f t="shared" si="6"/>
        <v>170000</v>
      </c>
      <c r="Q12" s="69">
        <f t="shared" si="7"/>
        <v>20</v>
      </c>
      <c r="R12" s="7" t="s">
        <v>542</v>
      </c>
    </row>
    <row r="13" spans="1:20" x14ac:dyDescent="0.35">
      <c r="A13" s="6">
        <v>11</v>
      </c>
      <c r="B13" s="6" t="s">
        <v>582</v>
      </c>
      <c r="C13" s="30" t="s">
        <v>564</v>
      </c>
      <c r="D13" s="30" t="s">
        <v>565</v>
      </c>
      <c r="E13" s="31">
        <v>45519</v>
      </c>
      <c r="F13" s="31">
        <v>45640</v>
      </c>
      <c r="G13" s="32">
        <v>312000000</v>
      </c>
      <c r="H13" s="32">
        <v>234000</v>
      </c>
      <c r="I13" s="65">
        <f t="shared" si="8"/>
        <v>60000000</v>
      </c>
      <c r="J13" s="65">
        <f t="shared" si="0"/>
        <v>45000</v>
      </c>
      <c r="K13" s="65">
        <f t="shared" si="1"/>
        <v>19.230769230769234</v>
      </c>
      <c r="L13" s="65">
        <f t="shared" si="2"/>
        <v>252000000</v>
      </c>
      <c r="M13" s="65">
        <f t="shared" si="3"/>
        <v>189000</v>
      </c>
      <c r="N13" s="65">
        <f t="shared" si="4"/>
        <v>80.769230769230774</v>
      </c>
      <c r="O13" s="69">
        <f t="shared" si="5"/>
        <v>0</v>
      </c>
      <c r="P13" s="69">
        <f t="shared" si="6"/>
        <v>0</v>
      </c>
      <c r="Q13" s="69">
        <f t="shared" si="7"/>
        <v>0</v>
      </c>
      <c r="R13" s="7" t="s">
        <v>542</v>
      </c>
    </row>
    <row r="14" spans="1:20" x14ac:dyDescent="0.35">
      <c r="A14" s="6">
        <v>12</v>
      </c>
      <c r="B14" s="6" t="s">
        <v>583</v>
      </c>
      <c r="C14" s="30" t="s">
        <v>566</v>
      </c>
      <c r="D14" s="30" t="s">
        <v>567</v>
      </c>
      <c r="E14" s="31">
        <v>45560</v>
      </c>
      <c r="F14" s="31">
        <v>45650</v>
      </c>
      <c r="G14" s="32">
        <v>400000000</v>
      </c>
      <c r="H14" s="32">
        <v>850000</v>
      </c>
      <c r="I14" s="65">
        <f t="shared" si="8"/>
        <v>60000000</v>
      </c>
      <c r="J14" s="65">
        <f t="shared" si="0"/>
        <v>127500</v>
      </c>
      <c r="K14" s="65">
        <f t="shared" si="1"/>
        <v>15</v>
      </c>
      <c r="L14" s="65">
        <v>260000000</v>
      </c>
      <c r="M14" s="65">
        <f t="shared" si="3"/>
        <v>552500</v>
      </c>
      <c r="N14" s="65">
        <v>65</v>
      </c>
      <c r="O14" s="69">
        <f t="shared" si="5"/>
        <v>80000000</v>
      </c>
      <c r="P14" s="69">
        <f t="shared" si="6"/>
        <v>170000</v>
      </c>
      <c r="Q14" s="69">
        <f t="shared" si="7"/>
        <v>20</v>
      </c>
    </row>
    <row r="15" spans="1:20" x14ac:dyDescent="0.35">
      <c r="A15" s="6">
        <v>13</v>
      </c>
      <c r="B15" s="6" t="s">
        <v>584</v>
      </c>
      <c r="C15" s="30" t="s">
        <v>568</v>
      </c>
      <c r="D15" s="30" t="s">
        <v>569</v>
      </c>
      <c r="E15" s="31">
        <v>45546</v>
      </c>
      <c r="F15" s="31">
        <v>45591</v>
      </c>
      <c r="G15" s="32">
        <v>210000000</v>
      </c>
      <c r="H15" s="32">
        <v>323750</v>
      </c>
      <c r="I15" s="65">
        <f t="shared" si="8"/>
        <v>60000000</v>
      </c>
      <c r="J15" s="65">
        <f t="shared" si="0"/>
        <v>92500</v>
      </c>
      <c r="K15" s="65">
        <f t="shared" si="1"/>
        <v>28.571428571428569</v>
      </c>
      <c r="L15" s="65">
        <f t="shared" si="2"/>
        <v>150000000</v>
      </c>
      <c r="M15" s="65">
        <f t="shared" si="3"/>
        <v>231250</v>
      </c>
      <c r="N15" s="65">
        <f t="shared" si="4"/>
        <v>71.428571428571431</v>
      </c>
      <c r="O15" s="69">
        <f t="shared" si="5"/>
        <v>0</v>
      </c>
      <c r="P15" s="69">
        <f t="shared" si="6"/>
        <v>0</v>
      </c>
      <c r="Q15" s="69">
        <f t="shared" si="7"/>
        <v>0</v>
      </c>
    </row>
    <row r="16" spans="1:20" x14ac:dyDescent="0.35">
      <c r="A16" s="6">
        <v>14</v>
      </c>
      <c r="B16" s="6" t="s">
        <v>585</v>
      </c>
      <c r="C16" s="27" t="s">
        <v>570</v>
      </c>
      <c r="D16" s="27" t="s">
        <v>571</v>
      </c>
      <c r="E16" s="28">
        <v>45499</v>
      </c>
      <c r="F16" s="28">
        <v>45590</v>
      </c>
      <c r="G16" s="29">
        <v>375149879.39999998</v>
      </c>
      <c r="H16" s="29">
        <v>334923.63</v>
      </c>
      <c r="I16" s="65">
        <f t="shared" si="8"/>
        <v>60000000</v>
      </c>
      <c r="J16" s="65">
        <f t="shared" si="0"/>
        <v>53566.371478353729</v>
      </c>
      <c r="K16" s="65">
        <f t="shared" si="1"/>
        <v>15.993607700464052</v>
      </c>
      <c r="L16" s="65">
        <v>206332433.66999999</v>
      </c>
      <c r="M16" s="65">
        <f t="shared" si="3"/>
        <v>184207.99650000001</v>
      </c>
      <c r="N16" s="65">
        <v>55</v>
      </c>
      <c r="O16" s="69">
        <f t="shared" si="5"/>
        <v>108817445.72999999</v>
      </c>
      <c r="P16" s="69">
        <f t="shared" si="6"/>
        <v>97149.262021646267</v>
      </c>
      <c r="Q16" s="69">
        <f t="shared" si="7"/>
        <v>29.00639229953595</v>
      </c>
    </row>
    <row r="17" spans="1:17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0">
        <f>SUM(M3:M16)</f>
        <v>12120079.282266451</v>
      </c>
      <c r="N17" s="6"/>
      <c r="O17" s="6"/>
      <c r="P17" s="6"/>
      <c r="Q17" s="6"/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7A2B-930B-45C4-B738-79AF601C4AC4}">
  <dimension ref="B6:F171"/>
  <sheetViews>
    <sheetView topLeftCell="A51" workbookViewId="0">
      <selection activeCell="C14" sqref="C14"/>
    </sheetView>
  </sheetViews>
  <sheetFormatPr defaultRowHeight="14.5" x14ac:dyDescent="0.35"/>
  <cols>
    <col min="2" max="2" width="93.1796875" customWidth="1"/>
    <col min="3" max="3" width="38" customWidth="1"/>
  </cols>
  <sheetData>
    <row r="6" spans="2:6" ht="44.25" customHeight="1" x14ac:dyDescent="0.4">
      <c r="B6" s="71" t="s">
        <v>1</v>
      </c>
      <c r="C6" s="71"/>
    </row>
    <row r="7" spans="2:6" ht="48" customHeight="1" x14ac:dyDescent="0.4">
      <c r="B7" s="71" t="s">
        <v>884</v>
      </c>
      <c r="C7" s="71"/>
    </row>
    <row r="8" spans="2:6" ht="44.25" customHeight="1" x14ac:dyDescent="0.4">
      <c r="B8" s="71" t="s">
        <v>885</v>
      </c>
      <c r="C8" s="71"/>
      <c r="E8" t="s">
        <v>0</v>
      </c>
    </row>
    <row r="9" spans="2:6" ht="20" x14ac:dyDescent="0.4">
      <c r="B9" s="71"/>
      <c r="C9" s="71"/>
    </row>
    <row r="10" spans="2:6" ht="51" customHeight="1" x14ac:dyDescent="0.4">
      <c r="B10" s="72" t="s">
        <v>886</v>
      </c>
      <c r="C10" s="73" t="s">
        <v>887</v>
      </c>
    </row>
    <row r="11" spans="2:6" ht="45" customHeight="1" x14ac:dyDescent="0.4">
      <c r="B11" s="72" t="s">
        <v>888</v>
      </c>
      <c r="C11" s="74">
        <v>65094334.229999997</v>
      </c>
    </row>
    <row r="12" spans="2:6" ht="52.5" customHeight="1" x14ac:dyDescent="0.4">
      <c r="B12" s="72" t="s">
        <v>889</v>
      </c>
      <c r="C12" s="74">
        <f>27.5%*C11</f>
        <v>17900941.913249999</v>
      </c>
    </row>
    <row r="13" spans="2:6" ht="50.25" customHeight="1" x14ac:dyDescent="0.4">
      <c r="B13" s="72" t="s">
        <v>890</v>
      </c>
      <c r="C13" s="74">
        <v>13087911.51</v>
      </c>
    </row>
    <row r="14" spans="2:6" ht="51" customHeight="1" x14ac:dyDescent="0.4">
      <c r="B14" s="72" t="s">
        <v>891</v>
      </c>
      <c r="C14" s="74">
        <f>C11-C12-C13</f>
        <v>34105480.80675</v>
      </c>
      <c r="F14" t="s">
        <v>0</v>
      </c>
    </row>
    <row r="15" spans="2:6" ht="21" x14ac:dyDescent="0.5">
      <c r="B15" s="75"/>
      <c r="C15" s="75"/>
    </row>
    <row r="16" spans="2:6" ht="21" x14ac:dyDescent="0.5">
      <c r="B16" s="75"/>
      <c r="C16" s="75"/>
    </row>
    <row r="17" spans="2:5" ht="21" x14ac:dyDescent="0.5">
      <c r="B17" s="75"/>
      <c r="C17" s="75"/>
    </row>
    <row r="18" spans="2:5" ht="32.25" customHeight="1" x14ac:dyDescent="0.4">
      <c r="B18" s="71" t="s">
        <v>1</v>
      </c>
      <c r="C18" s="71"/>
    </row>
    <row r="19" spans="2:5" ht="35.25" customHeight="1" x14ac:dyDescent="0.4">
      <c r="B19" s="71" t="s">
        <v>884</v>
      </c>
      <c r="C19" s="71"/>
    </row>
    <row r="20" spans="2:5" ht="38.25" customHeight="1" x14ac:dyDescent="0.4">
      <c r="B20" s="71" t="s">
        <v>885</v>
      </c>
      <c r="C20" s="71"/>
    </row>
    <row r="21" spans="2:5" ht="27" customHeight="1" x14ac:dyDescent="0.4">
      <c r="B21" s="71"/>
      <c r="C21" s="71"/>
    </row>
    <row r="22" spans="2:5" ht="37.5" customHeight="1" x14ac:dyDescent="0.4">
      <c r="B22" s="72" t="s">
        <v>892</v>
      </c>
      <c r="C22" s="73" t="s">
        <v>887</v>
      </c>
    </row>
    <row r="23" spans="2:5" ht="40.5" customHeight="1" x14ac:dyDescent="0.4">
      <c r="B23" s="72" t="s">
        <v>888</v>
      </c>
      <c r="C23" s="74">
        <v>12374.02</v>
      </c>
    </row>
    <row r="24" spans="2:5" ht="40.5" customHeight="1" x14ac:dyDescent="0.4">
      <c r="B24" s="72" t="s">
        <v>893</v>
      </c>
      <c r="C24" s="74">
        <f>C23*0.25</f>
        <v>3093.5050000000001</v>
      </c>
    </row>
    <row r="25" spans="2:5" ht="42.75" customHeight="1" x14ac:dyDescent="0.4">
      <c r="B25" s="72" t="s">
        <v>890</v>
      </c>
      <c r="C25" s="74" t="s">
        <v>894</v>
      </c>
    </row>
    <row r="26" spans="2:5" ht="42" customHeight="1" x14ac:dyDescent="0.4">
      <c r="B26" s="72" t="s">
        <v>891</v>
      </c>
      <c r="C26" s="74">
        <f>C23-C24</f>
        <v>9280.5149999999994</v>
      </c>
    </row>
    <row r="29" spans="2:5" ht="50.25" customHeight="1" x14ac:dyDescent="0.4">
      <c r="B29" s="71" t="s">
        <v>1</v>
      </c>
      <c r="C29" s="71"/>
    </row>
    <row r="30" spans="2:5" ht="48" customHeight="1" x14ac:dyDescent="0.4">
      <c r="B30" s="71" t="s">
        <v>884</v>
      </c>
      <c r="C30" s="71"/>
    </row>
    <row r="31" spans="2:5" ht="48.75" customHeight="1" x14ac:dyDescent="0.4">
      <c r="B31" s="71" t="s">
        <v>895</v>
      </c>
      <c r="C31" s="71"/>
      <c r="E31" t="s">
        <v>0</v>
      </c>
    </row>
    <row r="32" spans="2:5" ht="12" customHeight="1" x14ac:dyDescent="0.4">
      <c r="B32" s="71"/>
      <c r="C32" s="71"/>
    </row>
    <row r="33" spans="2:3" ht="46.5" customHeight="1" x14ac:dyDescent="0.4">
      <c r="B33" s="72" t="s">
        <v>896</v>
      </c>
      <c r="C33" s="73" t="s">
        <v>887</v>
      </c>
    </row>
    <row r="34" spans="2:3" ht="45" customHeight="1" x14ac:dyDescent="0.4">
      <c r="B34" s="72" t="s">
        <v>888</v>
      </c>
      <c r="C34" s="74">
        <v>24541000.760000002</v>
      </c>
    </row>
    <row r="35" spans="2:3" ht="46.5" customHeight="1" x14ac:dyDescent="0.4">
      <c r="B35" s="72" t="s">
        <v>897</v>
      </c>
      <c r="C35" s="74">
        <f>C34*30/100</f>
        <v>7362300.2280000011</v>
      </c>
    </row>
    <row r="36" spans="2:3" ht="48" customHeight="1" x14ac:dyDescent="0.4">
      <c r="B36" s="72" t="s">
        <v>890</v>
      </c>
      <c r="C36" s="74">
        <v>1136770.69</v>
      </c>
    </row>
    <row r="37" spans="2:3" ht="45" customHeight="1" x14ac:dyDescent="0.4">
      <c r="B37" s="72" t="s">
        <v>891</v>
      </c>
      <c r="C37" s="74">
        <f>C34-C35-C36</f>
        <v>16041929.842000002</v>
      </c>
    </row>
    <row r="38" spans="2:3" ht="21" x14ac:dyDescent="0.5">
      <c r="B38" s="75"/>
      <c r="C38" s="76"/>
    </row>
    <row r="39" spans="2:3" ht="21" x14ac:dyDescent="0.5">
      <c r="B39" s="75"/>
      <c r="C39" s="76"/>
    </row>
    <row r="40" spans="2:3" ht="39.75" customHeight="1" x14ac:dyDescent="0.4">
      <c r="B40" s="71" t="s">
        <v>1</v>
      </c>
      <c r="C40" s="71"/>
    </row>
    <row r="41" spans="2:3" ht="43.5" customHeight="1" x14ac:dyDescent="0.4">
      <c r="B41" s="71" t="s">
        <v>884</v>
      </c>
      <c r="C41" s="71"/>
    </row>
    <row r="42" spans="2:3" ht="39.75" customHeight="1" x14ac:dyDescent="0.4">
      <c r="B42" s="71" t="s">
        <v>898</v>
      </c>
      <c r="C42" s="71"/>
    </row>
    <row r="43" spans="2:3" ht="20" x14ac:dyDescent="0.4">
      <c r="B43" s="71"/>
      <c r="C43" s="71"/>
    </row>
    <row r="44" spans="2:3" ht="39.75" customHeight="1" x14ac:dyDescent="0.4">
      <c r="B44" s="72" t="s">
        <v>896</v>
      </c>
      <c r="C44" s="73" t="s">
        <v>887</v>
      </c>
    </row>
    <row r="45" spans="2:3" ht="34.5" customHeight="1" x14ac:dyDescent="0.4">
      <c r="B45" s="72" t="s">
        <v>888</v>
      </c>
      <c r="C45" s="74">
        <v>0</v>
      </c>
    </row>
    <row r="46" spans="2:3" ht="37.5" customHeight="1" x14ac:dyDescent="0.4">
      <c r="B46" s="72" t="s">
        <v>897</v>
      </c>
      <c r="C46" s="74">
        <f>C45*30/100</f>
        <v>0</v>
      </c>
    </row>
    <row r="47" spans="2:3" ht="34.5" customHeight="1" x14ac:dyDescent="0.4">
      <c r="B47" s="72" t="s">
        <v>890</v>
      </c>
      <c r="C47" s="74">
        <v>2946669</v>
      </c>
    </row>
    <row r="48" spans="2:3" ht="44.25" customHeight="1" x14ac:dyDescent="0.4">
      <c r="B48" s="72" t="s">
        <v>891</v>
      </c>
      <c r="C48" s="74">
        <f>C45-C46-C47</f>
        <v>-2946669</v>
      </c>
    </row>
    <row r="49" spans="2:3" ht="21" x14ac:dyDescent="0.5">
      <c r="B49" s="75"/>
      <c r="C49" s="76"/>
    </row>
    <row r="50" spans="2:3" ht="21" x14ac:dyDescent="0.5">
      <c r="B50" s="75"/>
      <c r="C50" s="76"/>
    </row>
    <row r="51" spans="2:3" ht="35.25" customHeight="1" x14ac:dyDescent="0.4">
      <c r="B51" s="71" t="s">
        <v>1</v>
      </c>
      <c r="C51" s="71"/>
    </row>
    <row r="52" spans="2:3" ht="27.75" customHeight="1" x14ac:dyDescent="0.4">
      <c r="B52" s="71" t="s">
        <v>884</v>
      </c>
      <c r="C52" s="71"/>
    </row>
    <row r="53" spans="2:3" ht="32.25" customHeight="1" x14ac:dyDescent="0.4">
      <c r="B53" s="71" t="s">
        <v>899</v>
      </c>
      <c r="C53" s="71"/>
    </row>
    <row r="54" spans="2:3" ht="20" x14ac:dyDescent="0.4">
      <c r="B54" s="71"/>
      <c r="C54" s="71"/>
    </row>
    <row r="55" spans="2:3" ht="32.25" customHeight="1" x14ac:dyDescent="0.4">
      <c r="B55" s="72" t="s">
        <v>896</v>
      </c>
      <c r="C55" s="73" t="s">
        <v>887</v>
      </c>
    </row>
    <row r="56" spans="2:3" ht="29.25" customHeight="1" x14ac:dyDescent="0.4">
      <c r="B56" s="72" t="s">
        <v>888</v>
      </c>
      <c r="C56" s="74">
        <v>0</v>
      </c>
    </row>
    <row r="57" spans="2:3" ht="31.5" customHeight="1" x14ac:dyDescent="0.4">
      <c r="B57" s="72" t="s">
        <v>897</v>
      </c>
      <c r="C57" s="74">
        <f>C56*30/100</f>
        <v>0</v>
      </c>
    </row>
    <row r="58" spans="2:3" ht="36" customHeight="1" x14ac:dyDescent="0.4">
      <c r="B58" s="72" t="s">
        <v>890</v>
      </c>
      <c r="C58" s="74">
        <v>67165.279999999999</v>
      </c>
    </row>
    <row r="59" spans="2:3" ht="33.75" customHeight="1" x14ac:dyDescent="0.4">
      <c r="B59" s="72" t="s">
        <v>891</v>
      </c>
      <c r="C59" s="74">
        <f>C56-C57-C58</f>
        <v>-67165.279999999999</v>
      </c>
    </row>
    <row r="60" spans="2:3" ht="21" x14ac:dyDescent="0.5">
      <c r="B60" s="75"/>
      <c r="C60" s="76"/>
    </row>
    <row r="61" spans="2:3" ht="21" x14ac:dyDescent="0.5">
      <c r="B61" s="75"/>
      <c r="C61" s="76"/>
    </row>
    <row r="62" spans="2:3" ht="34.5" customHeight="1" x14ac:dyDescent="0.4">
      <c r="B62" s="71" t="s">
        <v>1</v>
      </c>
      <c r="C62" s="71"/>
    </row>
    <row r="63" spans="2:3" ht="38.25" customHeight="1" x14ac:dyDescent="0.4">
      <c r="B63" s="71" t="s">
        <v>884</v>
      </c>
      <c r="C63" s="71"/>
    </row>
    <row r="64" spans="2:3" ht="36.75" customHeight="1" x14ac:dyDescent="0.4">
      <c r="B64" s="71" t="s">
        <v>900</v>
      </c>
      <c r="C64" s="71"/>
    </row>
    <row r="65" spans="2:3" ht="20" x14ac:dyDescent="0.4">
      <c r="B65" s="71"/>
      <c r="C65" s="71"/>
    </row>
    <row r="66" spans="2:3" ht="32.25" customHeight="1" x14ac:dyDescent="0.4">
      <c r="B66" s="72" t="s">
        <v>896</v>
      </c>
      <c r="C66" s="73" t="s">
        <v>887</v>
      </c>
    </row>
    <row r="67" spans="2:3" ht="27.75" customHeight="1" x14ac:dyDescent="0.4">
      <c r="B67" s="72" t="s">
        <v>888</v>
      </c>
      <c r="C67" s="74">
        <v>0</v>
      </c>
    </row>
    <row r="68" spans="2:3" ht="27" customHeight="1" x14ac:dyDescent="0.4">
      <c r="B68" s="72" t="s">
        <v>897</v>
      </c>
      <c r="C68" s="74">
        <f>C67*30/100</f>
        <v>0</v>
      </c>
    </row>
    <row r="69" spans="2:3" ht="27" customHeight="1" x14ac:dyDescent="0.4">
      <c r="B69" s="72" t="s">
        <v>890</v>
      </c>
      <c r="C69" s="74">
        <v>445937.62</v>
      </c>
    </row>
    <row r="70" spans="2:3" ht="32.25" customHeight="1" x14ac:dyDescent="0.4">
      <c r="B70" s="72" t="s">
        <v>891</v>
      </c>
      <c r="C70" s="74">
        <f>C67-C68-C69</f>
        <v>-445937.62</v>
      </c>
    </row>
    <row r="71" spans="2:3" ht="21" x14ac:dyDescent="0.5">
      <c r="B71" s="75"/>
      <c r="C71" s="76"/>
    </row>
    <row r="72" spans="2:3" ht="21" x14ac:dyDescent="0.5">
      <c r="B72" s="75"/>
      <c r="C72" s="76"/>
    </row>
    <row r="73" spans="2:3" ht="36" customHeight="1" x14ac:dyDescent="0.4">
      <c r="B73" s="71" t="s">
        <v>1</v>
      </c>
      <c r="C73" s="71"/>
    </row>
    <row r="74" spans="2:3" ht="29.25" customHeight="1" x14ac:dyDescent="0.4">
      <c r="B74" s="71" t="s">
        <v>884</v>
      </c>
      <c r="C74" s="71"/>
    </row>
    <row r="75" spans="2:3" ht="33.75" customHeight="1" x14ac:dyDescent="0.4">
      <c r="B75" s="71" t="s">
        <v>901</v>
      </c>
      <c r="C75" s="71" t="s">
        <v>0</v>
      </c>
    </row>
    <row r="76" spans="2:3" ht="12" customHeight="1" x14ac:dyDescent="0.4">
      <c r="B76" s="71"/>
      <c r="C76" s="71"/>
    </row>
    <row r="77" spans="2:3" ht="36" customHeight="1" x14ac:dyDescent="0.4">
      <c r="B77" s="72" t="s">
        <v>902</v>
      </c>
      <c r="C77" s="73"/>
    </row>
    <row r="78" spans="2:3" ht="33.75" customHeight="1" x14ac:dyDescent="0.4">
      <c r="B78" s="72" t="s">
        <v>888</v>
      </c>
      <c r="C78" s="74">
        <v>15846699.57</v>
      </c>
    </row>
    <row r="79" spans="2:3" ht="39.75" customHeight="1" x14ac:dyDescent="0.4">
      <c r="B79" s="72" t="s">
        <v>897</v>
      </c>
      <c r="C79" s="74">
        <f>C78*30%</f>
        <v>4754009.8710000003</v>
      </c>
    </row>
    <row r="80" spans="2:3" ht="41.25" customHeight="1" x14ac:dyDescent="0.4">
      <c r="B80" s="72" t="s">
        <v>890</v>
      </c>
      <c r="C80" s="74">
        <v>0</v>
      </c>
    </row>
    <row r="81" spans="2:3" ht="48" customHeight="1" x14ac:dyDescent="0.4">
      <c r="B81" s="72" t="s">
        <v>891</v>
      </c>
      <c r="C81" s="74">
        <f>C78-C79-C80</f>
        <v>11092689.699000001</v>
      </c>
    </row>
    <row r="82" spans="2:3" ht="48.75" customHeight="1" x14ac:dyDescent="0.5">
      <c r="B82" s="75"/>
      <c r="C82" s="75"/>
    </row>
    <row r="83" spans="2:3" ht="21" x14ac:dyDescent="0.5">
      <c r="B83" s="75"/>
      <c r="C83" s="75"/>
    </row>
    <row r="84" spans="2:3" ht="35.25" customHeight="1" x14ac:dyDescent="0.4">
      <c r="B84" s="71" t="s">
        <v>1</v>
      </c>
      <c r="C84" s="71"/>
    </row>
    <row r="85" spans="2:3" ht="34.5" customHeight="1" x14ac:dyDescent="0.4">
      <c r="B85" s="71" t="s">
        <v>884</v>
      </c>
      <c r="C85" s="71" t="s">
        <v>0</v>
      </c>
    </row>
    <row r="86" spans="2:3" ht="36.75" customHeight="1" x14ac:dyDescent="0.4">
      <c r="B86" s="71" t="s">
        <v>903</v>
      </c>
      <c r="C86" s="71" t="s">
        <v>0</v>
      </c>
    </row>
    <row r="87" spans="2:3" ht="20" x14ac:dyDescent="0.4">
      <c r="B87" s="71"/>
      <c r="C87" s="71"/>
    </row>
    <row r="88" spans="2:3" ht="45.75" customHeight="1" x14ac:dyDescent="0.4">
      <c r="B88" s="72" t="s">
        <v>904</v>
      </c>
      <c r="C88" s="73" t="s">
        <v>887</v>
      </c>
    </row>
    <row r="89" spans="2:3" ht="40.5" customHeight="1" x14ac:dyDescent="0.4">
      <c r="B89" s="72" t="s">
        <v>888</v>
      </c>
      <c r="C89" s="74">
        <v>12120079.279999999</v>
      </c>
    </row>
    <row r="90" spans="2:3" ht="39.75" customHeight="1" x14ac:dyDescent="0.4">
      <c r="B90" s="72" t="s">
        <v>905</v>
      </c>
      <c r="C90" s="74">
        <f>C89*22.5%</f>
        <v>2727017.838</v>
      </c>
    </row>
    <row r="91" spans="2:3" ht="33.75" customHeight="1" x14ac:dyDescent="0.4">
      <c r="B91" s="72" t="s">
        <v>890</v>
      </c>
      <c r="C91" s="74">
        <v>0</v>
      </c>
    </row>
    <row r="92" spans="2:3" ht="49.5" customHeight="1" x14ac:dyDescent="0.4">
      <c r="B92" s="72" t="s">
        <v>891</v>
      </c>
      <c r="C92" s="74">
        <f>C89-C90-C91</f>
        <v>9393061.4419999998</v>
      </c>
    </row>
    <row r="93" spans="2:3" ht="21" x14ac:dyDescent="0.5">
      <c r="B93" s="75"/>
      <c r="C93" s="75"/>
    </row>
    <row r="94" spans="2:3" ht="21" x14ac:dyDescent="0.5">
      <c r="B94" s="75"/>
      <c r="C94" s="75"/>
    </row>
    <row r="95" spans="2:3" ht="21" x14ac:dyDescent="0.5">
      <c r="B95" s="75"/>
      <c r="C95" s="75"/>
    </row>
    <row r="96" spans="2:3" ht="48" customHeight="1" x14ac:dyDescent="0.4">
      <c r="B96" s="71" t="s">
        <v>1</v>
      </c>
      <c r="C96" s="71"/>
    </row>
    <row r="97" spans="2:3" ht="45.75" customHeight="1" x14ac:dyDescent="0.4">
      <c r="B97" s="71" t="s">
        <v>884</v>
      </c>
      <c r="C97" s="71"/>
    </row>
    <row r="98" spans="2:3" ht="43.5" customHeight="1" x14ac:dyDescent="0.4">
      <c r="B98" s="71" t="s">
        <v>906</v>
      </c>
      <c r="C98" s="71"/>
    </row>
    <row r="99" spans="2:3" ht="15" customHeight="1" x14ac:dyDescent="0.4">
      <c r="B99" s="71"/>
      <c r="C99" s="71"/>
    </row>
    <row r="100" spans="2:3" ht="50.25" customHeight="1" x14ac:dyDescent="0.4">
      <c r="B100" s="72" t="s">
        <v>907</v>
      </c>
      <c r="C100" s="73" t="s">
        <v>887</v>
      </c>
    </row>
    <row r="101" spans="2:3" ht="38.25" customHeight="1" x14ac:dyDescent="0.4">
      <c r="B101" s="72" t="s">
        <v>888</v>
      </c>
      <c r="C101" s="74">
        <v>69838755.319999993</v>
      </c>
    </row>
    <row r="102" spans="2:3" ht="39.75" customHeight="1" x14ac:dyDescent="0.4">
      <c r="B102" s="72" t="s">
        <v>897</v>
      </c>
      <c r="C102" s="74">
        <f>C101*30%</f>
        <v>20951626.595999997</v>
      </c>
    </row>
    <row r="103" spans="2:3" ht="37.5" customHeight="1" x14ac:dyDescent="0.4">
      <c r="B103" s="72" t="s">
        <v>890</v>
      </c>
      <c r="C103" s="74">
        <v>0</v>
      </c>
    </row>
    <row r="104" spans="2:3" ht="41.25" customHeight="1" x14ac:dyDescent="0.4">
      <c r="B104" s="72" t="s">
        <v>891</v>
      </c>
      <c r="C104" s="74">
        <f>C101-C102-0</f>
        <v>48887128.723999992</v>
      </c>
    </row>
    <row r="105" spans="2:3" ht="41.25" customHeight="1" x14ac:dyDescent="0.4">
      <c r="B105" s="71"/>
      <c r="C105" s="77"/>
    </row>
    <row r="106" spans="2:3" ht="41.25" customHeight="1" x14ac:dyDescent="0.4">
      <c r="B106" s="71"/>
      <c r="C106" s="77"/>
    </row>
    <row r="107" spans="2:3" ht="21" x14ac:dyDescent="0.5">
      <c r="B107" s="75"/>
      <c r="C107" s="75"/>
    </row>
    <row r="108" spans="2:3" ht="51.75" customHeight="1" x14ac:dyDescent="0.35">
      <c r="B108" s="78"/>
      <c r="C108" s="78"/>
    </row>
    <row r="109" spans="2:3" ht="40.5" customHeight="1" x14ac:dyDescent="0.35">
      <c r="B109" s="78"/>
      <c r="C109" s="78"/>
    </row>
    <row r="110" spans="2:3" ht="46.5" customHeight="1" x14ac:dyDescent="0.4">
      <c r="B110" s="71"/>
      <c r="C110" s="78"/>
    </row>
    <row r="111" spans="2:3" ht="18.75" customHeight="1" x14ac:dyDescent="0.35">
      <c r="B111" s="78"/>
      <c r="C111" s="78"/>
    </row>
    <row r="112" spans="2:3" ht="40.5" customHeight="1" x14ac:dyDescent="0.35">
      <c r="B112" s="78"/>
      <c r="C112" s="84"/>
    </row>
    <row r="113" spans="2:3" ht="44.25" customHeight="1" x14ac:dyDescent="0.4">
      <c r="B113" s="78"/>
      <c r="C113" s="77"/>
    </row>
    <row r="114" spans="2:3" ht="44.25" customHeight="1" x14ac:dyDescent="0.4">
      <c r="B114" s="78"/>
      <c r="C114" s="77"/>
    </row>
    <row r="115" spans="2:3" ht="44.25" customHeight="1" x14ac:dyDescent="0.4">
      <c r="B115" s="78"/>
      <c r="C115" s="77"/>
    </row>
    <row r="116" spans="2:3" ht="44.25" customHeight="1" x14ac:dyDescent="0.4">
      <c r="B116" s="78"/>
      <c r="C116" s="77"/>
    </row>
    <row r="117" spans="2:3" ht="42" customHeight="1" x14ac:dyDescent="0.4">
      <c r="B117" s="78"/>
      <c r="C117" s="77"/>
    </row>
    <row r="118" spans="2:3" ht="42" customHeight="1" x14ac:dyDescent="0.4">
      <c r="B118" s="78"/>
      <c r="C118" s="77"/>
    </row>
    <row r="119" spans="2:3" ht="42" customHeight="1" x14ac:dyDescent="0.4">
      <c r="B119" s="78"/>
      <c r="C119" s="77"/>
    </row>
    <row r="120" spans="2:3" ht="42" customHeight="1" x14ac:dyDescent="0.4">
      <c r="B120" s="78"/>
      <c r="C120" s="77"/>
    </row>
    <row r="121" spans="2:3" ht="42" customHeight="1" x14ac:dyDescent="0.4">
      <c r="B121" s="78"/>
      <c r="C121" s="77"/>
    </row>
    <row r="122" spans="2:3" ht="47.25" customHeight="1" x14ac:dyDescent="0.4">
      <c r="B122" s="78"/>
      <c r="C122" s="86"/>
    </row>
    <row r="123" spans="2:3" ht="28.5" customHeight="1" x14ac:dyDescent="0.35"/>
    <row r="124" spans="2:3" ht="45" x14ac:dyDescent="0.9">
      <c r="B124" s="82"/>
    </row>
    <row r="126" spans="2:3" ht="31.5" customHeight="1" x14ac:dyDescent="0.35"/>
    <row r="127" spans="2:3" ht="38.25" customHeight="1" x14ac:dyDescent="0.35"/>
    <row r="128" spans="2:3" ht="31.5" customHeight="1" x14ac:dyDescent="0.35"/>
    <row r="129" spans="2:3" ht="34.5" customHeight="1" x14ac:dyDescent="0.35"/>
    <row r="130" spans="2:3" ht="34.5" customHeight="1" x14ac:dyDescent="0.35"/>
    <row r="131" spans="2:3" ht="32.25" customHeight="1" x14ac:dyDescent="0.35"/>
    <row r="132" spans="2:3" ht="33.75" customHeight="1" x14ac:dyDescent="0.35"/>
    <row r="133" spans="2:3" ht="32.25" customHeight="1" x14ac:dyDescent="0.35"/>
    <row r="144" spans="2:3" ht="20" x14ac:dyDescent="0.4">
      <c r="B144" s="71"/>
      <c r="C144" s="71"/>
    </row>
    <row r="145" spans="2:3" ht="20" x14ac:dyDescent="0.4">
      <c r="B145" s="71"/>
      <c r="C145" s="71"/>
    </row>
    <row r="146" spans="2:3" ht="20" x14ac:dyDescent="0.4">
      <c r="B146" s="71"/>
      <c r="C146" s="71"/>
    </row>
    <row r="147" spans="2:3" ht="20" x14ac:dyDescent="0.4">
      <c r="B147" s="71"/>
      <c r="C147" s="71"/>
    </row>
    <row r="148" spans="2:3" ht="20" x14ac:dyDescent="0.4">
      <c r="B148" s="71"/>
      <c r="C148" s="83"/>
    </row>
    <row r="149" spans="2:3" ht="20" x14ac:dyDescent="0.4">
      <c r="B149" s="71"/>
      <c r="C149" s="77"/>
    </row>
    <row r="150" spans="2:3" ht="20" x14ac:dyDescent="0.4">
      <c r="B150" s="71"/>
      <c r="C150" s="77"/>
    </row>
    <row r="151" spans="2:3" ht="20" x14ac:dyDescent="0.4">
      <c r="B151" s="71"/>
      <c r="C151" s="77"/>
    </row>
    <row r="152" spans="2:3" ht="20" x14ac:dyDescent="0.4">
      <c r="B152" s="71"/>
      <c r="C152" s="77"/>
    </row>
    <row r="160" spans="2:3" ht="17.5" x14ac:dyDescent="0.35">
      <c r="B160" s="78"/>
      <c r="C160" s="78"/>
    </row>
    <row r="161" spans="2:3" ht="17.5" x14ac:dyDescent="0.35">
      <c r="B161" s="78"/>
      <c r="C161" s="78"/>
    </row>
    <row r="162" spans="2:3" ht="20" x14ac:dyDescent="0.4">
      <c r="B162" s="71"/>
      <c r="C162" s="78"/>
    </row>
    <row r="163" spans="2:3" ht="17.5" x14ac:dyDescent="0.35">
      <c r="B163" s="78"/>
      <c r="C163" s="78"/>
    </row>
    <row r="164" spans="2:3" ht="17.5" x14ac:dyDescent="0.35">
      <c r="B164" s="78"/>
      <c r="C164" s="84"/>
    </row>
    <row r="165" spans="2:3" ht="20" x14ac:dyDescent="0.4">
      <c r="B165" s="78"/>
      <c r="C165" s="77"/>
    </row>
    <row r="166" spans="2:3" ht="20" x14ac:dyDescent="0.4">
      <c r="B166" s="78"/>
      <c r="C166" s="77"/>
    </row>
    <row r="167" spans="2:3" ht="20" x14ac:dyDescent="0.4">
      <c r="B167" s="78"/>
      <c r="C167" s="77"/>
    </row>
    <row r="168" spans="2:3" ht="20" x14ac:dyDescent="0.4">
      <c r="B168" s="78"/>
      <c r="C168" s="77"/>
    </row>
    <row r="169" spans="2:3" ht="20" x14ac:dyDescent="0.4">
      <c r="B169" s="78"/>
      <c r="C169" s="77"/>
    </row>
    <row r="170" spans="2:3" ht="20" x14ac:dyDescent="0.4">
      <c r="B170" s="78"/>
      <c r="C170" s="77"/>
    </row>
    <row r="171" spans="2:3" ht="17.5" x14ac:dyDescent="0.35">
      <c r="B171" s="78"/>
      <c r="C171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9210-DAF7-4B8E-AB0D-D6E0293E0F27}">
  <dimension ref="B5:C21"/>
  <sheetViews>
    <sheetView topLeftCell="A7" workbookViewId="0">
      <selection activeCell="C19" sqref="C19"/>
    </sheetView>
  </sheetViews>
  <sheetFormatPr defaultRowHeight="14.5" x14ac:dyDescent="0.35"/>
  <cols>
    <col min="2" max="2" width="93.1796875" customWidth="1"/>
    <col min="3" max="3" width="38" customWidth="1"/>
  </cols>
  <sheetData>
    <row r="5" spans="2:3" ht="45.75" customHeight="1" x14ac:dyDescent="0.35">
      <c r="B5" s="78" t="s">
        <v>1</v>
      </c>
      <c r="C5" s="78"/>
    </row>
    <row r="6" spans="2:3" ht="32.25" customHeight="1" x14ac:dyDescent="0.35">
      <c r="B6" s="78" t="s">
        <v>908</v>
      </c>
      <c r="C6" s="78"/>
    </row>
    <row r="7" spans="2:3" ht="35.25" customHeight="1" x14ac:dyDescent="0.4">
      <c r="B7" s="71" t="s">
        <v>885</v>
      </c>
      <c r="C7" s="78"/>
    </row>
    <row r="8" spans="2:3" ht="17.5" x14ac:dyDescent="0.35">
      <c r="B8" s="78"/>
      <c r="C8" s="78"/>
    </row>
    <row r="9" spans="2:3" ht="33" customHeight="1" x14ac:dyDescent="0.35">
      <c r="B9" s="79" t="s">
        <v>909</v>
      </c>
      <c r="C9" s="80" t="s">
        <v>887</v>
      </c>
    </row>
    <row r="10" spans="2:3" ht="35.25" customHeight="1" x14ac:dyDescent="0.4">
      <c r="B10" s="79" t="s">
        <v>910</v>
      </c>
      <c r="C10" s="74">
        <v>34105480.810000002</v>
      </c>
    </row>
    <row r="11" spans="2:3" ht="36" customHeight="1" x14ac:dyDescent="0.4">
      <c r="B11" s="79" t="s">
        <v>485</v>
      </c>
      <c r="C11" s="74">
        <v>9280.52</v>
      </c>
    </row>
    <row r="12" spans="2:3" ht="38.25" customHeight="1" x14ac:dyDescent="0.4">
      <c r="B12" s="79" t="s">
        <v>911</v>
      </c>
      <c r="C12" s="74">
        <v>16041929.84</v>
      </c>
    </row>
    <row r="13" spans="2:3" ht="36.75" customHeight="1" x14ac:dyDescent="0.4">
      <c r="B13" s="79" t="s">
        <v>912</v>
      </c>
      <c r="C13" s="74">
        <v>-2946669</v>
      </c>
    </row>
    <row r="14" spans="2:3" ht="38.25" customHeight="1" x14ac:dyDescent="0.4">
      <c r="B14" s="79" t="s">
        <v>913</v>
      </c>
      <c r="C14" s="74">
        <v>-67165.279999999999</v>
      </c>
    </row>
    <row r="15" spans="2:3" ht="42" customHeight="1" x14ac:dyDescent="0.4">
      <c r="B15" s="79" t="s">
        <v>914</v>
      </c>
      <c r="C15" s="74">
        <v>-445937.62</v>
      </c>
    </row>
    <row r="16" spans="2:3" ht="39.75" customHeight="1" x14ac:dyDescent="0.4">
      <c r="B16" s="79" t="s">
        <v>915</v>
      </c>
      <c r="C16" s="74">
        <v>11092689.699999999</v>
      </c>
    </row>
    <row r="17" spans="2:3" ht="40.5" customHeight="1" x14ac:dyDescent="0.4">
      <c r="B17" s="79" t="s">
        <v>916</v>
      </c>
      <c r="C17" s="74">
        <v>9393061.4399999995</v>
      </c>
    </row>
    <row r="18" spans="2:3" ht="38.25" customHeight="1" x14ac:dyDescent="0.4">
      <c r="B18" s="79" t="s">
        <v>917</v>
      </c>
      <c r="C18" s="74">
        <v>48887128.719999999</v>
      </c>
    </row>
    <row r="19" spans="2:3" ht="40.5" customHeight="1" x14ac:dyDescent="0.4">
      <c r="B19" s="79" t="s">
        <v>918</v>
      </c>
      <c r="C19" s="81">
        <f>SUM(C10:C18)</f>
        <v>116069799.13</v>
      </c>
    </row>
    <row r="21" spans="2:3" ht="45" x14ac:dyDescent="0.9">
      <c r="B21" s="82" t="s">
        <v>919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920D-43CA-47D9-AC73-958101C7946F}">
  <sheetPr>
    <pageSetUpPr fitToPage="1"/>
  </sheetPr>
  <dimension ref="A2:G644"/>
  <sheetViews>
    <sheetView topLeftCell="A599" workbookViewId="0">
      <selection activeCell="D643" sqref="D643"/>
    </sheetView>
  </sheetViews>
  <sheetFormatPr defaultRowHeight="14.5" x14ac:dyDescent="0.35"/>
  <cols>
    <col min="1" max="1" width="51" customWidth="1"/>
    <col min="2" max="2" width="21.81640625" customWidth="1"/>
    <col min="3" max="3" width="19" customWidth="1"/>
    <col min="4" max="4" width="36.26953125" customWidth="1"/>
    <col min="5" max="5" width="24" customWidth="1"/>
    <col min="6" max="6" width="39.81640625" customWidth="1"/>
    <col min="7" max="7" width="19.7265625" customWidth="1"/>
    <col min="9" max="9" width="10.1796875" customWidth="1"/>
  </cols>
  <sheetData>
    <row r="2" spans="1:5" ht="30" customHeight="1" x14ac:dyDescent="0.45">
      <c r="A2" s="87"/>
      <c r="B2" s="87" t="s">
        <v>920</v>
      </c>
      <c r="C2" s="87"/>
      <c r="D2" s="87"/>
      <c r="E2" s="88"/>
    </row>
    <row r="3" spans="1:5" ht="23.25" customHeight="1" x14ac:dyDescent="0.45">
      <c r="A3" s="87"/>
      <c r="B3" s="87" t="s">
        <v>1061</v>
      </c>
      <c r="C3" s="87"/>
      <c r="D3" s="87"/>
      <c r="E3" s="88"/>
    </row>
    <row r="4" spans="1:5" ht="30" customHeight="1" x14ac:dyDescent="0.45">
      <c r="A4" s="89" t="s">
        <v>921</v>
      </c>
      <c r="B4" s="90" t="s">
        <v>922</v>
      </c>
      <c r="C4" s="91" t="s">
        <v>923</v>
      </c>
      <c r="D4" s="91" t="s">
        <v>924</v>
      </c>
      <c r="E4" s="91" t="s">
        <v>925</v>
      </c>
    </row>
    <row r="5" spans="1:5" ht="22.5" customHeight="1" x14ac:dyDescent="0.35">
      <c r="A5" s="89" t="s">
        <v>921</v>
      </c>
      <c r="B5" s="92" t="s">
        <v>926</v>
      </c>
      <c r="C5" s="92" t="s">
        <v>926</v>
      </c>
      <c r="D5" s="92" t="s">
        <v>926</v>
      </c>
      <c r="E5" s="92" t="s">
        <v>926</v>
      </c>
    </row>
    <row r="6" spans="1:5" ht="30" customHeight="1" x14ac:dyDescent="0.35">
      <c r="A6" s="89" t="s">
        <v>910</v>
      </c>
      <c r="B6" s="93">
        <v>34105480.810000002</v>
      </c>
      <c r="C6" s="94">
        <f>B6*65%</f>
        <v>22168562.526500002</v>
      </c>
      <c r="D6" s="94">
        <f>B6*25%</f>
        <v>8526370.2025000006</v>
      </c>
      <c r="E6" s="94">
        <f>B6*10%</f>
        <v>3410548.0810000002</v>
      </c>
    </row>
    <row r="7" spans="1:5" ht="30" customHeight="1" x14ac:dyDescent="0.35">
      <c r="A7" s="89" t="s">
        <v>485</v>
      </c>
      <c r="B7" s="94">
        <v>9280.52</v>
      </c>
      <c r="C7" s="94">
        <f t="shared" ref="C7:C10" si="0">B7*65%</f>
        <v>6032.3380000000006</v>
      </c>
      <c r="D7" s="94">
        <f t="shared" ref="D7:D12" si="1">B7*25%</f>
        <v>2320.13</v>
      </c>
      <c r="E7" s="94">
        <f t="shared" ref="E7:E12" si="2">B7*10%</f>
        <v>928.05200000000013</v>
      </c>
    </row>
    <row r="8" spans="1:5" ht="30" customHeight="1" x14ac:dyDescent="0.35">
      <c r="A8" s="89" t="s">
        <v>1067</v>
      </c>
      <c r="B8" s="94">
        <v>16041929.84</v>
      </c>
      <c r="C8" s="94">
        <f t="shared" si="0"/>
        <v>10427254.396</v>
      </c>
      <c r="D8" s="94">
        <f t="shared" si="1"/>
        <v>4010482.46</v>
      </c>
      <c r="E8" s="94">
        <f t="shared" si="2"/>
        <v>1604192.9840000002</v>
      </c>
    </row>
    <row r="9" spans="1:5" ht="30" customHeight="1" x14ac:dyDescent="0.35">
      <c r="A9" s="89" t="s">
        <v>1066</v>
      </c>
      <c r="B9" s="94">
        <v>-2946669</v>
      </c>
      <c r="C9" s="94">
        <f t="shared" si="0"/>
        <v>-1915334.85</v>
      </c>
      <c r="D9" s="94">
        <f t="shared" si="1"/>
        <v>-736667.25</v>
      </c>
      <c r="E9" s="94">
        <f t="shared" si="2"/>
        <v>-294666.90000000002</v>
      </c>
    </row>
    <row r="10" spans="1:5" ht="30" customHeight="1" x14ac:dyDescent="0.35">
      <c r="A10" s="89" t="s">
        <v>1065</v>
      </c>
      <c r="B10" s="94">
        <v>-67165.279999999999</v>
      </c>
      <c r="C10" s="94">
        <f t="shared" si="0"/>
        <v>-43657.432000000001</v>
      </c>
      <c r="D10" s="94">
        <f t="shared" si="1"/>
        <v>-16791.32</v>
      </c>
      <c r="E10" s="94">
        <f t="shared" si="2"/>
        <v>-6716.5280000000002</v>
      </c>
    </row>
    <row r="11" spans="1:5" ht="26.25" customHeight="1" x14ac:dyDescent="0.35">
      <c r="A11" s="89" t="s">
        <v>1063</v>
      </c>
      <c r="B11" s="94">
        <v>-445937.62</v>
      </c>
      <c r="C11" s="94">
        <f>B11*65%</f>
        <v>-289859.45299999998</v>
      </c>
      <c r="D11" s="94">
        <f t="shared" si="1"/>
        <v>-111484.405</v>
      </c>
      <c r="E11" s="94">
        <f t="shared" si="2"/>
        <v>-44593.762000000002</v>
      </c>
    </row>
    <row r="12" spans="1:5" ht="26.25" customHeight="1" x14ac:dyDescent="0.35">
      <c r="A12" s="89" t="s">
        <v>1062</v>
      </c>
      <c r="B12" s="94">
        <v>11092689.699999999</v>
      </c>
      <c r="C12" s="94">
        <f>B12*65%</f>
        <v>7210248.3049999997</v>
      </c>
      <c r="D12" s="94">
        <f t="shared" si="1"/>
        <v>2773172.4249999998</v>
      </c>
      <c r="E12" s="94">
        <f t="shared" si="2"/>
        <v>1109268.97</v>
      </c>
    </row>
    <row r="13" spans="1:5" ht="26.25" customHeight="1" x14ac:dyDescent="0.35">
      <c r="A13" s="89" t="s">
        <v>916</v>
      </c>
      <c r="B13" s="94">
        <v>9393061.4399999995</v>
      </c>
      <c r="C13" s="94">
        <f>B13*65%</f>
        <v>6105489.9359999998</v>
      </c>
      <c r="D13" s="94">
        <f>B13*25%</f>
        <v>2348265.36</v>
      </c>
      <c r="E13" s="94">
        <f>B13*10%</f>
        <v>939306.14399999997</v>
      </c>
    </row>
    <row r="14" spans="1:5" ht="26.25" customHeight="1" x14ac:dyDescent="0.35">
      <c r="A14" s="89" t="s">
        <v>1064</v>
      </c>
      <c r="B14" s="94">
        <v>48887128.719999999</v>
      </c>
      <c r="C14" s="94">
        <f>B14*65%</f>
        <v>31776633.668000001</v>
      </c>
      <c r="D14" s="94">
        <f>B14*25%</f>
        <v>12221782.18</v>
      </c>
      <c r="E14" s="94">
        <f>B14*10%</f>
        <v>4888712.8720000004</v>
      </c>
    </row>
    <row r="15" spans="1:5" ht="25.5" customHeight="1" x14ac:dyDescent="0.35">
      <c r="A15" s="89" t="s">
        <v>918</v>
      </c>
      <c r="B15" s="95">
        <f>SUM(B6:B14)</f>
        <v>116069799.13</v>
      </c>
      <c r="C15" s="95">
        <f>SUM(C6:C14)</f>
        <v>75445369.434499994</v>
      </c>
      <c r="D15" s="95">
        <f>SUM(D6:D14)</f>
        <v>29017449.782499999</v>
      </c>
      <c r="E15" s="95">
        <f>SUM(E6:E14)</f>
        <v>11606979.913000001</v>
      </c>
    </row>
    <row r="16" spans="1:5" ht="3.75" customHeight="1" x14ac:dyDescent="0.35"/>
    <row r="17" spans="1:5" ht="2.25" customHeight="1" x14ac:dyDescent="0.35"/>
    <row r="18" spans="1:5" ht="29.25" customHeight="1" x14ac:dyDescent="0.45">
      <c r="A18" s="96" t="s">
        <v>927</v>
      </c>
      <c r="B18" s="90" t="s">
        <v>922</v>
      </c>
      <c r="C18" s="97" t="s">
        <v>923</v>
      </c>
      <c r="D18" s="91" t="s">
        <v>924</v>
      </c>
      <c r="E18" s="91" t="s">
        <v>925</v>
      </c>
    </row>
    <row r="19" spans="1:5" ht="30.75" customHeight="1" x14ac:dyDescent="0.35">
      <c r="A19" s="89" t="s">
        <v>928</v>
      </c>
      <c r="B19" s="93">
        <v>2452429.31</v>
      </c>
      <c r="C19" s="98">
        <f>B19*0.65</f>
        <v>1594079.0515000001</v>
      </c>
      <c r="D19" s="94">
        <f>B19*0.25</f>
        <v>613107.32750000001</v>
      </c>
      <c r="E19" s="99">
        <f>B19*0.1</f>
        <v>245242.93100000001</v>
      </c>
    </row>
    <row r="20" spans="1:5" ht="30.75" customHeight="1" x14ac:dyDescent="0.35">
      <c r="A20" s="89" t="s">
        <v>929</v>
      </c>
      <c r="B20" s="93">
        <v>-2350062.5099999998</v>
      </c>
      <c r="C20" s="98">
        <f>B20*0.65</f>
        <v>-1527540.6314999999</v>
      </c>
      <c r="D20" s="94">
        <f>B20*0.25</f>
        <v>-587515.62749999994</v>
      </c>
      <c r="E20" s="99">
        <f>B20*0.1</f>
        <v>-235006.25099999999</v>
      </c>
    </row>
    <row r="21" spans="1:5" ht="30.75" customHeight="1" x14ac:dyDescent="0.35">
      <c r="A21" s="89" t="s">
        <v>930</v>
      </c>
      <c r="B21" s="93">
        <v>7354583.6699999999</v>
      </c>
      <c r="C21" s="98">
        <f>B21*0.65</f>
        <v>4780479.3854999999</v>
      </c>
      <c r="D21" s="94">
        <f>B21*0.25</f>
        <v>1838645.9175</v>
      </c>
      <c r="E21" s="99">
        <f>B21*0.1</f>
        <v>735458.36700000009</v>
      </c>
    </row>
    <row r="22" spans="1:5" ht="30.75" customHeight="1" x14ac:dyDescent="0.35">
      <c r="A22" s="89" t="s">
        <v>931</v>
      </c>
      <c r="B22" s="93">
        <v>-7178833.6699999999</v>
      </c>
      <c r="C22" s="98">
        <f>B22*0.65</f>
        <v>-4666241.8854999999</v>
      </c>
      <c r="D22" s="94">
        <f>B22*0.25</f>
        <v>-1794708.4175</v>
      </c>
      <c r="E22" s="99">
        <f>B22*0.1</f>
        <v>-717883.36700000009</v>
      </c>
    </row>
    <row r="23" spans="1:5" ht="30.75" customHeight="1" x14ac:dyDescent="0.35">
      <c r="A23" s="89" t="s">
        <v>932</v>
      </c>
      <c r="B23" s="93">
        <v>-8692289.3200000003</v>
      </c>
      <c r="C23" s="98">
        <f>B23*0.65</f>
        <v>-5649988.0580000002</v>
      </c>
      <c r="D23" s="94">
        <f>B23*0.25</f>
        <v>-2173072.33</v>
      </c>
      <c r="E23" s="99">
        <f>B23*0.1</f>
        <v>-869228.93200000003</v>
      </c>
    </row>
    <row r="24" spans="1:5" ht="22.5" customHeight="1" x14ac:dyDescent="0.35">
      <c r="A24" s="89" t="s">
        <v>933</v>
      </c>
      <c r="B24" s="100">
        <f>SUM(B19:B23)</f>
        <v>-8414172.5199999996</v>
      </c>
      <c r="C24" s="100">
        <f>SUM(C19:C23)</f>
        <v>-5469212.1380000003</v>
      </c>
      <c r="D24" s="100">
        <f>SUM(D19:D23)</f>
        <v>-2103543.13</v>
      </c>
      <c r="E24" s="100">
        <f>SUM(E19:E23)</f>
        <v>-841417.25199999998</v>
      </c>
    </row>
    <row r="25" spans="1:5" ht="18.75" customHeight="1" x14ac:dyDescent="0.35">
      <c r="A25" s="96" t="s">
        <v>934</v>
      </c>
      <c r="C25" s="101"/>
      <c r="E25" s="102"/>
    </row>
    <row r="26" spans="1:5" ht="24.75" customHeight="1" x14ac:dyDescent="0.35">
      <c r="A26" s="89" t="s">
        <v>910</v>
      </c>
      <c r="B26" s="93">
        <v>4284907.68</v>
      </c>
      <c r="C26" s="94">
        <f t="shared" ref="C26:C31" si="3">B26*0.65</f>
        <v>2785189.9920000001</v>
      </c>
      <c r="D26" s="94">
        <f t="shared" ref="D26:D31" si="4">B26*0.25</f>
        <v>1071226.92</v>
      </c>
      <c r="E26" s="99">
        <f t="shared" ref="E26:E31" si="5">B26*0.1</f>
        <v>428490.76799999998</v>
      </c>
    </row>
    <row r="27" spans="1:5" ht="25.5" customHeight="1" x14ac:dyDescent="0.35">
      <c r="A27" s="89" t="s">
        <v>935</v>
      </c>
      <c r="B27" s="93">
        <v>-1472763.79</v>
      </c>
      <c r="C27" s="94">
        <f t="shared" si="3"/>
        <v>-957296.46350000007</v>
      </c>
      <c r="D27" s="94">
        <f t="shared" si="4"/>
        <v>-368190.94750000001</v>
      </c>
      <c r="E27" s="99">
        <f t="shared" si="5"/>
        <v>-147276.37900000002</v>
      </c>
    </row>
    <row r="28" spans="1:5" ht="25.5" customHeight="1" x14ac:dyDescent="0.35">
      <c r="A28" s="89" t="s">
        <v>936</v>
      </c>
      <c r="B28" s="93">
        <v>-756774.46</v>
      </c>
      <c r="C28" s="94">
        <f t="shared" si="3"/>
        <v>-491903.39899999998</v>
      </c>
      <c r="D28" s="94">
        <f t="shared" si="4"/>
        <v>-189193.61499999999</v>
      </c>
      <c r="E28" s="99">
        <f t="shared" si="5"/>
        <v>-75677.445999999996</v>
      </c>
    </row>
    <row r="29" spans="1:5" ht="25.5" customHeight="1" x14ac:dyDescent="0.35">
      <c r="A29" s="89" t="s">
        <v>937</v>
      </c>
      <c r="B29" s="93">
        <v>1621659.55</v>
      </c>
      <c r="C29" s="94">
        <f t="shared" si="3"/>
        <v>1054078.7075</v>
      </c>
      <c r="D29" s="94">
        <f t="shared" si="4"/>
        <v>405414.88750000001</v>
      </c>
      <c r="E29" s="99">
        <f t="shared" si="5"/>
        <v>162165.95500000002</v>
      </c>
    </row>
    <row r="30" spans="1:5" ht="25.5" customHeight="1" x14ac:dyDescent="0.35">
      <c r="A30" s="89" t="s">
        <v>938</v>
      </c>
      <c r="B30" s="93">
        <v>2408649.2599999998</v>
      </c>
      <c r="C30" s="94">
        <f t="shared" si="3"/>
        <v>1565622.0189999999</v>
      </c>
      <c r="D30" s="94">
        <f t="shared" si="4"/>
        <v>602162.31499999994</v>
      </c>
      <c r="E30" s="99">
        <f t="shared" si="5"/>
        <v>240864.92599999998</v>
      </c>
    </row>
    <row r="31" spans="1:5" ht="25.5" customHeight="1" x14ac:dyDescent="0.35">
      <c r="A31" s="89" t="s">
        <v>939</v>
      </c>
      <c r="B31" s="93">
        <v>741122.85</v>
      </c>
      <c r="C31" s="94">
        <f t="shared" si="3"/>
        <v>481729.85249999998</v>
      </c>
      <c r="D31" s="94">
        <f t="shared" si="4"/>
        <v>185280.71249999999</v>
      </c>
      <c r="E31" s="99">
        <f t="shared" si="5"/>
        <v>74112.285000000003</v>
      </c>
    </row>
    <row r="32" spans="1:5" ht="18" customHeight="1" x14ac:dyDescent="0.35">
      <c r="A32" s="89" t="s">
        <v>933</v>
      </c>
      <c r="B32" s="100">
        <f>SUM(B26:B31)</f>
        <v>6826801.0899999989</v>
      </c>
      <c r="C32" s="100">
        <f>SUM(C26:C31)</f>
        <v>4437420.7084999997</v>
      </c>
      <c r="D32" s="100">
        <f>SUM(D26:D31)</f>
        <v>1706700.2724999997</v>
      </c>
      <c r="E32" s="100">
        <f>SUM(E26:E31)</f>
        <v>682680.10900000005</v>
      </c>
    </row>
    <row r="33" spans="1:5" ht="16.5" customHeight="1" x14ac:dyDescent="0.35">
      <c r="A33" s="96" t="s">
        <v>940</v>
      </c>
      <c r="B33" s="167"/>
      <c r="C33" s="167"/>
      <c r="D33" s="167"/>
      <c r="E33" s="167"/>
    </row>
    <row r="34" spans="1:5" ht="15" customHeight="1" x14ac:dyDescent="0.35">
      <c r="A34" s="89" t="s">
        <v>941</v>
      </c>
      <c r="B34" s="100">
        <v>0</v>
      </c>
      <c r="C34" s="103">
        <f>B34*0.65</f>
        <v>0</v>
      </c>
      <c r="D34" s="103">
        <f>B34*0.25</f>
        <v>0</v>
      </c>
      <c r="E34" s="104">
        <f>B34*0.1</f>
        <v>0</v>
      </c>
    </row>
    <row r="35" spans="1:5" s="107" customFormat="1" ht="18" customHeight="1" x14ac:dyDescent="0.4">
      <c r="A35" s="105" t="s">
        <v>942</v>
      </c>
      <c r="B35" s="106">
        <f>B24+B32+B34</f>
        <v>-1587371.4300000006</v>
      </c>
      <c r="C35" s="106">
        <f>C24+C32+C34</f>
        <v>-1031791.4295000006</v>
      </c>
      <c r="D35" s="106">
        <f>D24+D32+D34</f>
        <v>-396842.85750000016</v>
      </c>
      <c r="E35" s="106">
        <f>E24+E32+E34</f>
        <v>-158737.14299999992</v>
      </c>
    </row>
    <row r="36" spans="1:5" s="87" customFormat="1" ht="18" customHeight="1" x14ac:dyDescent="0.45">
      <c r="A36" s="90" t="s">
        <v>943</v>
      </c>
      <c r="B36" s="108">
        <f>B15+B35</f>
        <v>114482427.69999999</v>
      </c>
      <c r="C36" s="108">
        <f>C15+C35</f>
        <v>74413578.004999995</v>
      </c>
      <c r="D36" s="108">
        <f>D15+D35</f>
        <v>28620606.924999997</v>
      </c>
      <c r="E36" s="108">
        <f>E15+E35</f>
        <v>11448242.770000001</v>
      </c>
    </row>
    <row r="41" spans="1:5" ht="21" x14ac:dyDescent="0.5">
      <c r="D41" s="109"/>
    </row>
    <row r="45" spans="1:5" ht="23.5" x14ac:dyDescent="0.55000000000000004">
      <c r="A45" s="110" t="s">
        <v>944</v>
      </c>
      <c r="B45" s="111"/>
      <c r="C45" s="111"/>
      <c r="D45" s="111"/>
      <c r="E45" s="111"/>
    </row>
    <row r="46" spans="1:5" x14ac:dyDescent="0.35">
      <c r="A46" s="111"/>
      <c r="B46" s="111"/>
      <c r="C46" s="111"/>
      <c r="D46" s="111"/>
      <c r="E46" s="111"/>
    </row>
    <row r="47" spans="1:5" ht="15.5" x14ac:dyDescent="0.35">
      <c r="A47" s="112" t="s">
        <v>945</v>
      </c>
      <c r="B47" s="113" t="s">
        <v>946</v>
      </c>
      <c r="C47" s="114"/>
      <c r="D47" s="112" t="s">
        <v>947</v>
      </c>
      <c r="E47" s="113" t="s">
        <v>948</v>
      </c>
    </row>
    <row r="48" spans="1:5" ht="15.5" x14ac:dyDescent="0.35">
      <c r="A48" s="114" t="s">
        <v>949</v>
      </c>
      <c r="B48" s="115">
        <v>-1525549.13</v>
      </c>
      <c r="C48" s="114"/>
      <c r="D48" s="114" t="s">
        <v>950</v>
      </c>
      <c r="E48" s="116">
        <v>-448071.49</v>
      </c>
    </row>
    <row r="49" spans="1:5" ht="15.5" x14ac:dyDescent="0.35">
      <c r="A49" s="114" t="s">
        <v>951</v>
      </c>
      <c r="B49" s="116">
        <v>-1517692.7</v>
      </c>
      <c r="C49" s="114"/>
      <c r="D49" s="114" t="s">
        <v>949</v>
      </c>
      <c r="E49" s="115">
        <v>-234699.87</v>
      </c>
    </row>
    <row r="50" spans="1:5" ht="15.5" x14ac:dyDescent="0.35">
      <c r="A50" s="114" t="s">
        <v>952</v>
      </c>
      <c r="B50" s="116">
        <v>6325233.0999999996</v>
      </c>
      <c r="C50" s="114"/>
      <c r="D50" s="114" t="s">
        <v>951</v>
      </c>
      <c r="E50" s="116">
        <v>-294855.34000000003</v>
      </c>
    </row>
    <row r="51" spans="1:5" ht="15.5" x14ac:dyDescent="0.35">
      <c r="A51" s="114" t="s">
        <v>953</v>
      </c>
      <c r="B51" s="116">
        <v>29005236.84</v>
      </c>
      <c r="C51" s="114"/>
      <c r="D51" s="114" t="s">
        <v>952</v>
      </c>
      <c r="E51" s="116">
        <v>973112.79</v>
      </c>
    </row>
    <row r="52" spans="1:5" ht="15.5" x14ac:dyDescent="0.35">
      <c r="A52" s="114" t="s">
        <v>954</v>
      </c>
      <c r="B52" s="116">
        <v>28908199.57</v>
      </c>
      <c r="C52" s="114"/>
      <c r="D52" s="114" t="s">
        <v>953</v>
      </c>
      <c r="E52" s="116">
        <v>4462344.13</v>
      </c>
    </row>
    <row r="53" spans="1:5" ht="15.5" x14ac:dyDescent="0.35">
      <c r="A53" s="114" t="s">
        <v>955</v>
      </c>
      <c r="B53" s="116">
        <v>-47137641.560000002</v>
      </c>
      <c r="C53" s="114"/>
      <c r="D53" s="114" t="s">
        <v>954</v>
      </c>
      <c r="E53" s="116">
        <v>4447415.32</v>
      </c>
    </row>
    <row r="54" spans="1:5" ht="15.5" x14ac:dyDescent="0.35">
      <c r="A54" s="112" t="s">
        <v>918</v>
      </c>
      <c r="B54" s="117">
        <f>SUM(B48:B53)</f>
        <v>14057786.119999997</v>
      </c>
      <c r="C54" s="114"/>
      <c r="D54" s="112" t="s">
        <v>918</v>
      </c>
      <c r="E54" s="117">
        <f>SUM(E48:E53)</f>
        <v>8905245.5399999991</v>
      </c>
    </row>
    <row r="55" spans="1:5" ht="15.5" x14ac:dyDescent="0.35">
      <c r="A55" s="114"/>
      <c r="B55" s="114"/>
      <c r="C55" s="114"/>
      <c r="D55" s="114"/>
      <c r="E55" s="116"/>
    </row>
    <row r="56" spans="1:5" ht="15.5" x14ac:dyDescent="0.35">
      <c r="A56" s="112" t="s">
        <v>956</v>
      </c>
      <c r="B56" s="114"/>
      <c r="C56" s="114"/>
      <c r="D56" s="112"/>
      <c r="E56" s="111"/>
    </row>
    <row r="57" spans="1:5" ht="15.5" x14ac:dyDescent="0.35">
      <c r="A57" s="112" t="s">
        <v>957</v>
      </c>
      <c r="B57" s="113" t="s">
        <v>946</v>
      </c>
      <c r="C57" s="114"/>
      <c r="D57" s="111"/>
    </row>
    <row r="58" spans="1:5" ht="15.5" x14ac:dyDescent="0.35">
      <c r="A58" s="114" t="s">
        <v>950</v>
      </c>
      <c r="B58" s="115">
        <v>-1120178.73</v>
      </c>
      <c r="C58" s="114"/>
    </row>
    <row r="59" spans="1:5" ht="15.5" x14ac:dyDescent="0.35">
      <c r="A59" s="114" t="s">
        <v>949</v>
      </c>
      <c r="B59" s="115">
        <v>-586749.66</v>
      </c>
      <c r="C59" s="114"/>
      <c r="D59" s="112" t="s">
        <v>958</v>
      </c>
      <c r="E59" s="113" t="s">
        <v>948</v>
      </c>
    </row>
    <row r="60" spans="1:5" ht="15.5" x14ac:dyDescent="0.35">
      <c r="A60" s="114" t="s">
        <v>951</v>
      </c>
      <c r="B60" s="116">
        <v>-648501.23</v>
      </c>
      <c r="C60" s="114"/>
      <c r="D60" s="114" t="s">
        <v>959</v>
      </c>
      <c r="E60" s="116">
        <v>-75043.41</v>
      </c>
    </row>
    <row r="61" spans="1:5" ht="15.5" x14ac:dyDescent="0.35">
      <c r="A61" s="114" t="s">
        <v>952</v>
      </c>
      <c r="B61" s="116">
        <v>2432781.96</v>
      </c>
      <c r="C61" s="114"/>
      <c r="D61" s="114" t="s">
        <v>960</v>
      </c>
      <c r="E61" s="116">
        <v>-107279.39</v>
      </c>
    </row>
    <row r="62" spans="1:5" ht="15.5" x14ac:dyDescent="0.35">
      <c r="A62" s="114" t="s">
        <v>953</v>
      </c>
      <c r="B62" s="116">
        <v>11155860.32</v>
      </c>
      <c r="C62" s="114"/>
      <c r="D62" s="114" t="s">
        <v>961</v>
      </c>
      <c r="E62" s="116">
        <v>-29217.13</v>
      </c>
    </row>
    <row r="63" spans="1:5" ht="15.5" x14ac:dyDescent="0.35">
      <c r="A63" s="114" t="s">
        <v>954</v>
      </c>
      <c r="B63" s="116">
        <v>11118538.300000001</v>
      </c>
      <c r="C63" s="114"/>
      <c r="D63" s="114" t="s">
        <v>962</v>
      </c>
      <c r="E63" s="116">
        <v>-44318.55</v>
      </c>
    </row>
    <row r="64" spans="1:5" ht="15.5" x14ac:dyDescent="0.35">
      <c r="A64" s="112" t="s">
        <v>963</v>
      </c>
      <c r="B64" s="118">
        <f>SUM(B58:B63)</f>
        <v>22351750.960000001</v>
      </c>
      <c r="C64" s="114"/>
      <c r="D64" s="112" t="s">
        <v>918</v>
      </c>
      <c r="E64" s="118">
        <f>SUM(E60:E63)</f>
        <v>-255858.47999999998</v>
      </c>
    </row>
    <row r="65" spans="1:5" ht="15.5" x14ac:dyDescent="0.35">
      <c r="A65" s="112" t="s">
        <v>964</v>
      </c>
      <c r="B65" s="113" t="s">
        <v>946</v>
      </c>
    </row>
    <row r="66" spans="1:5" ht="15.5" x14ac:dyDescent="0.35">
      <c r="A66" s="112" t="s">
        <v>963</v>
      </c>
      <c r="B66" s="118">
        <v>0</v>
      </c>
    </row>
    <row r="67" spans="1:5" ht="15.5" x14ac:dyDescent="0.35">
      <c r="A67" s="112" t="s">
        <v>942</v>
      </c>
      <c r="B67" s="119">
        <f>B64+B66</f>
        <v>22351750.960000001</v>
      </c>
      <c r="D67" s="112" t="s">
        <v>965</v>
      </c>
      <c r="E67" s="113" t="s">
        <v>966</v>
      </c>
    </row>
    <row r="68" spans="1:5" ht="15.5" x14ac:dyDescent="0.35">
      <c r="A68" s="114"/>
      <c r="B68" s="114"/>
      <c r="D68" s="114" t="s">
        <v>962</v>
      </c>
      <c r="E68" s="116">
        <v>-354548.43</v>
      </c>
    </row>
    <row r="69" spans="1:5" ht="15.5" x14ac:dyDescent="0.35">
      <c r="A69" s="114"/>
      <c r="B69" s="114"/>
      <c r="D69" s="112" t="s">
        <v>918</v>
      </c>
      <c r="E69" s="117">
        <f>SUM(E68)</f>
        <v>-354548.43</v>
      </c>
    </row>
    <row r="70" spans="1:5" ht="15.5" x14ac:dyDescent="0.35">
      <c r="A70" s="112" t="s">
        <v>967</v>
      </c>
      <c r="B70" s="113" t="s">
        <v>968</v>
      </c>
    </row>
    <row r="71" spans="1:5" ht="15.5" x14ac:dyDescent="0.35">
      <c r="A71" s="114" t="s">
        <v>962</v>
      </c>
      <c r="B71" s="116">
        <f>-88637.11</f>
        <v>-88637.11</v>
      </c>
    </row>
    <row r="72" spans="1:5" ht="15.5" x14ac:dyDescent="0.35">
      <c r="A72" s="112" t="s">
        <v>918</v>
      </c>
      <c r="B72" s="118">
        <f>SUM(B71)</f>
        <v>-88637.11</v>
      </c>
    </row>
    <row r="73" spans="1:5" ht="15.5" x14ac:dyDescent="0.35">
      <c r="A73" s="114"/>
      <c r="B73" s="114"/>
    </row>
    <row r="74" spans="1:5" ht="15.5" x14ac:dyDescent="0.35">
      <c r="A74" s="114"/>
      <c r="B74" s="114"/>
    </row>
    <row r="75" spans="1:5" ht="23.5" x14ac:dyDescent="0.55000000000000004">
      <c r="A75" s="110" t="s">
        <v>942</v>
      </c>
      <c r="B75" s="120">
        <f>B54+E54+B67+E64+E69+B72</f>
        <v>44615738.600000001</v>
      </c>
    </row>
    <row r="76" spans="1:5" ht="15.5" x14ac:dyDescent="0.35">
      <c r="A76" s="114"/>
      <c r="B76" s="114"/>
    </row>
    <row r="77" spans="1:5" x14ac:dyDescent="0.35">
      <c r="A77" s="111"/>
      <c r="B77" s="111"/>
    </row>
    <row r="79" spans="1:5" ht="15.5" x14ac:dyDescent="0.35">
      <c r="A79" s="112" t="s">
        <v>956</v>
      </c>
      <c r="B79" s="114"/>
    </row>
    <row r="80" spans="1:5" ht="15.5" x14ac:dyDescent="0.35">
      <c r="A80" s="112" t="s">
        <v>964</v>
      </c>
      <c r="B80" s="113" t="s">
        <v>946</v>
      </c>
    </row>
    <row r="81" spans="1:5" ht="15.5" x14ac:dyDescent="0.35">
      <c r="A81" s="114" t="s">
        <v>950</v>
      </c>
      <c r="B81" s="116">
        <v>3675698.11</v>
      </c>
    </row>
    <row r="82" spans="1:5" ht="15.5" x14ac:dyDescent="0.35">
      <c r="A82" s="114" t="s">
        <v>949</v>
      </c>
      <c r="B82" s="116">
        <v>-3364775.86</v>
      </c>
    </row>
    <row r="83" spans="1:5" ht="15.5" x14ac:dyDescent="0.35">
      <c r="A83" s="114" t="s">
        <v>969</v>
      </c>
      <c r="B83" s="116">
        <v>10056488.890000001</v>
      </c>
    </row>
    <row r="84" spans="1:5" ht="15.5" x14ac:dyDescent="0.35">
      <c r="A84" s="114" t="s">
        <v>951</v>
      </c>
      <c r="B84" s="116">
        <v>-4063212.83</v>
      </c>
    </row>
    <row r="85" spans="1:5" ht="15.5" x14ac:dyDescent="0.35">
      <c r="A85" s="112" t="s">
        <v>970</v>
      </c>
      <c r="B85" s="118">
        <f>SUM(B81:B84)</f>
        <v>6304198.3100000005</v>
      </c>
    </row>
    <row r="86" spans="1:5" ht="15.5" x14ac:dyDescent="0.35">
      <c r="A86" s="112"/>
      <c r="B86" s="119"/>
    </row>
    <row r="90" spans="1:5" ht="23.5" x14ac:dyDescent="0.55000000000000004">
      <c r="A90" s="110" t="s">
        <v>944</v>
      </c>
      <c r="B90" s="111"/>
      <c r="C90" s="111"/>
      <c r="D90" s="111"/>
      <c r="E90" s="111"/>
    </row>
    <row r="91" spans="1:5" x14ac:dyDescent="0.35">
      <c r="A91" s="111"/>
      <c r="B91" s="111"/>
      <c r="C91" s="111"/>
      <c r="D91" s="111"/>
      <c r="E91" s="111"/>
    </row>
    <row r="92" spans="1:5" ht="15.5" x14ac:dyDescent="0.35">
      <c r="A92" s="112" t="s">
        <v>945</v>
      </c>
      <c r="B92" s="113" t="s">
        <v>946</v>
      </c>
      <c r="C92" s="114"/>
      <c r="D92" s="112" t="s">
        <v>947</v>
      </c>
      <c r="E92" s="113" t="s">
        <v>948</v>
      </c>
    </row>
    <row r="93" spans="1:5" ht="15.5" x14ac:dyDescent="0.35">
      <c r="A93" s="114" t="s">
        <v>971</v>
      </c>
      <c r="B93" s="115">
        <v>12585170.67</v>
      </c>
      <c r="C93" s="114"/>
      <c r="D93" s="114" t="s">
        <v>971</v>
      </c>
      <c r="E93" s="115">
        <v>1936180.1</v>
      </c>
    </row>
    <row r="94" spans="1:5" ht="15.5" x14ac:dyDescent="0.35">
      <c r="A94" s="114" t="s">
        <v>972</v>
      </c>
      <c r="B94" s="116">
        <v>31921610.859999999</v>
      </c>
      <c r="C94" s="114"/>
      <c r="D94" s="114"/>
      <c r="E94" s="116"/>
    </row>
    <row r="95" spans="1:5" ht="15.5" x14ac:dyDescent="0.35">
      <c r="A95" s="114"/>
      <c r="B95" s="116"/>
      <c r="C95" s="114"/>
      <c r="D95" s="114"/>
      <c r="E95" s="116"/>
    </row>
    <row r="96" spans="1:5" ht="15.5" x14ac:dyDescent="0.35">
      <c r="A96" s="112" t="s">
        <v>918</v>
      </c>
      <c r="B96" s="117">
        <f>SUM(B93:B95)</f>
        <v>44506781.530000001</v>
      </c>
      <c r="C96" s="114"/>
      <c r="D96" s="112" t="s">
        <v>918</v>
      </c>
      <c r="E96" s="117">
        <f>SUM(E93:E95)</f>
        <v>1936180.1</v>
      </c>
    </row>
    <row r="97" spans="1:5" ht="15.5" x14ac:dyDescent="0.35">
      <c r="A97" s="114"/>
      <c r="B97" s="114"/>
      <c r="C97" s="114"/>
      <c r="D97" s="114"/>
      <c r="E97" s="116"/>
    </row>
    <row r="98" spans="1:5" ht="15.5" x14ac:dyDescent="0.35">
      <c r="A98" s="112" t="s">
        <v>956</v>
      </c>
      <c r="B98" s="114"/>
      <c r="C98" s="114"/>
      <c r="D98" s="112"/>
      <c r="E98" s="111"/>
    </row>
    <row r="99" spans="1:5" ht="15.5" x14ac:dyDescent="0.35">
      <c r="A99" s="112" t="s">
        <v>957</v>
      </c>
      <c r="B99" s="113" t="s">
        <v>946</v>
      </c>
      <c r="C99" s="114"/>
      <c r="D99" s="111"/>
    </row>
    <row r="100" spans="1:5" ht="15.5" x14ac:dyDescent="0.35">
      <c r="A100" s="114" t="s">
        <v>971</v>
      </c>
      <c r="B100" s="115">
        <v>4840450.26</v>
      </c>
      <c r="C100" s="114"/>
    </row>
    <row r="101" spans="1:5" ht="15.5" x14ac:dyDescent="0.35">
      <c r="A101" s="114"/>
      <c r="B101" s="115"/>
      <c r="C101" s="114"/>
      <c r="D101" s="112" t="s">
        <v>958</v>
      </c>
      <c r="E101" s="113" t="s">
        <v>948</v>
      </c>
    </row>
    <row r="102" spans="1:5" ht="15.5" x14ac:dyDescent="0.35">
      <c r="A102" s="114"/>
      <c r="B102" s="116"/>
      <c r="C102" s="114"/>
      <c r="D102" s="114" t="s">
        <v>959</v>
      </c>
      <c r="E102" s="116">
        <v>-75043.41</v>
      </c>
    </row>
    <row r="103" spans="1:5" ht="15.5" x14ac:dyDescent="0.35">
      <c r="A103" s="112" t="s">
        <v>963</v>
      </c>
      <c r="B103" s="118">
        <f>SUM(B100:B102)</f>
        <v>4840450.26</v>
      </c>
      <c r="C103" s="114"/>
      <c r="D103" s="114" t="s">
        <v>960</v>
      </c>
      <c r="E103" s="116">
        <v>-107279.39</v>
      </c>
    </row>
    <row r="104" spans="1:5" ht="15.5" x14ac:dyDescent="0.35">
      <c r="A104" s="112" t="s">
        <v>964</v>
      </c>
      <c r="B104" s="113" t="s">
        <v>946</v>
      </c>
      <c r="C104" s="114"/>
      <c r="D104" s="114" t="s">
        <v>961</v>
      </c>
      <c r="E104" s="116">
        <v>-29217.13</v>
      </c>
    </row>
    <row r="105" spans="1:5" ht="15.5" x14ac:dyDescent="0.35">
      <c r="A105" s="114" t="s">
        <v>973</v>
      </c>
      <c r="B105" s="115">
        <v>5342662.43</v>
      </c>
      <c r="C105" s="114"/>
      <c r="D105" s="114" t="s">
        <v>962</v>
      </c>
      <c r="E105" s="116">
        <v>-44318.55</v>
      </c>
    </row>
    <row r="106" spans="1:5" ht="15.5" x14ac:dyDescent="0.35">
      <c r="A106" s="114" t="s">
        <v>974</v>
      </c>
      <c r="B106" s="121">
        <v>2042285.57</v>
      </c>
      <c r="C106" s="114"/>
      <c r="D106" s="112" t="s">
        <v>918</v>
      </c>
      <c r="E106" s="118">
        <f>SUM(E102:E105)</f>
        <v>-255858.47999999998</v>
      </c>
    </row>
    <row r="107" spans="1:5" ht="15.5" x14ac:dyDescent="0.35">
      <c r="A107" s="112"/>
      <c r="B107" s="113"/>
    </row>
    <row r="108" spans="1:5" ht="15.5" x14ac:dyDescent="0.35">
      <c r="A108" s="112" t="s">
        <v>963</v>
      </c>
      <c r="B108" s="118">
        <f>SUM(B105:B107)</f>
        <v>7384948</v>
      </c>
    </row>
    <row r="109" spans="1:5" ht="15.5" x14ac:dyDescent="0.35">
      <c r="A109" s="112" t="s">
        <v>942</v>
      </c>
      <c r="B109" s="119">
        <f>B103+B108</f>
        <v>12225398.26</v>
      </c>
      <c r="D109" s="112" t="s">
        <v>965</v>
      </c>
      <c r="E109" s="113" t="s">
        <v>966</v>
      </c>
    </row>
    <row r="110" spans="1:5" ht="15.5" x14ac:dyDescent="0.35">
      <c r="A110" s="114"/>
      <c r="B110" s="114"/>
      <c r="D110" s="114" t="s">
        <v>962</v>
      </c>
      <c r="E110" s="116">
        <v>-354548.43</v>
      </c>
    </row>
    <row r="111" spans="1:5" ht="15.5" x14ac:dyDescent="0.35">
      <c r="A111" s="114"/>
      <c r="B111" s="114"/>
      <c r="D111" s="112" t="s">
        <v>918</v>
      </c>
      <c r="E111" s="117">
        <f>SUM(E110)</f>
        <v>-354548.43</v>
      </c>
    </row>
    <row r="112" spans="1:5" ht="15.5" x14ac:dyDescent="0.35">
      <c r="A112" s="112" t="s">
        <v>967</v>
      </c>
      <c r="B112" s="113" t="s">
        <v>968</v>
      </c>
    </row>
    <row r="113" spans="1:5" ht="15.5" x14ac:dyDescent="0.35">
      <c r="A113" s="114" t="s">
        <v>962</v>
      </c>
      <c r="B113" s="116">
        <f>-88637.11</f>
        <v>-88637.11</v>
      </c>
    </row>
    <row r="114" spans="1:5" ht="15.5" x14ac:dyDescent="0.35">
      <c r="A114" s="112" t="s">
        <v>918</v>
      </c>
      <c r="B114" s="118">
        <f>SUM(B113)</f>
        <v>-88637.11</v>
      </c>
    </row>
    <row r="115" spans="1:5" ht="15.5" x14ac:dyDescent="0.35">
      <c r="A115" s="114"/>
      <c r="B115" s="114"/>
    </row>
    <row r="116" spans="1:5" ht="15.5" x14ac:dyDescent="0.35">
      <c r="A116" s="114"/>
      <c r="B116" s="114"/>
    </row>
    <row r="117" spans="1:5" ht="23.5" x14ac:dyDescent="0.55000000000000004">
      <c r="A117" s="110" t="s">
        <v>942</v>
      </c>
      <c r="B117" s="120">
        <f>B96+E96+B109+E106+E111+B114</f>
        <v>57969315.870000005</v>
      </c>
    </row>
    <row r="118" spans="1:5" ht="15.5" x14ac:dyDescent="0.35">
      <c r="A118" s="114"/>
      <c r="B118" s="114"/>
    </row>
    <row r="121" spans="1:5" ht="23.5" x14ac:dyDescent="0.55000000000000004">
      <c r="A121" s="110" t="s">
        <v>944</v>
      </c>
      <c r="B121" s="111"/>
      <c r="C121" s="111"/>
      <c r="D121" s="111"/>
      <c r="E121" s="111"/>
    </row>
    <row r="122" spans="1:5" x14ac:dyDescent="0.35">
      <c r="A122" s="111"/>
      <c r="B122" s="111"/>
      <c r="C122" s="111"/>
      <c r="D122" s="111"/>
      <c r="E122" s="111"/>
    </row>
    <row r="123" spans="1:5" ht="15.5" x14ac:dyDescent="0.35">
      <c r="A123" s="112" t="s">
        <v>945</v>
      </c>
      <c r="B123" s="113" t="s">
        <v>946</v>
      </c>
      <c r="C123" s="114"/>
      <c r="D123" s="112" t="s">
        <v>947</v>
      </c>
      <c r="E123" s="113" t="s">
        <v>948</v>
      </c>
    </row>
    <row r="124" spans="1:5" ht="15.5" x14ac:dyDescent="0.35">
      <c r="A124" s="114" t="s">
        <v>975</v>
      </c>
      <c r="B124" s="122">
        <v>-5888223.8799999999</v>
      </c>
      <c r="C124" s="114"/>
      <c r="D124" s="114" t="s">
        <v>975</v>
      </c>
      <c r="E124" s="122">
        <v>-905880.6</v>
      </c>
    </row>
    <row r="125" spans="1:5" ht="15.5" x14ac:dyDescent="0.35">
      <c r="A125" s="114" t="s">
        <v>976</v>
      </c>
      <c r="B125" s="116">
        <v>1827893.53</v>
      </c>
      <c r="C125" s="114"/>
      <c r="D125" s="114" t="s">
        <v>976</v>
      </c>
      <c r="E125" s="116">
        <v>281214.39</v>
      </c>
    </row>
    <row r="126" spans="1:5" ht="15.5" x14ac:dyDescent="0.35">
      <c r="A126" s="114" t="s">
        <v>977</v>
      </c>
      <c r="B126" s="116">
        <v>230053.71</v>
      </c>
      <c r="C126" s="114"/>
      <c r="D126" s="114" t="s">
        <v>977</v>
      </c>
      <c r="E126" s="116">
        <v>35392.879999999997</v>
      </c>
    </row>
    <row r="127" spans="1:5" ht="15.5" x14ac:dyDescent="0.35">
      <c r="A127" s="114" t="s">
        <v>978</v>
      </c>
      <c r="B127" s="115">
        <v>6928209.3399999999</v>
      </c>
      <c r="C127" s="114"/>
      <c r="D127" s="114" t="s">
        <v>978</v>
      </c>
      <c r="E127" s="115">
        <v>1065878.06</v>
      </c>
    </row>
    <row r="128" spans="1:5" ht="15.5" x14ac:dyDescent="0.35">
      <c r="A128" s="114" t="s">
        <v>979</v>
      </c>
      <c r="B128" s="115">
        <v>5075940.1900000004</v>
      </c>
      <c r="C128" s="114"/>
      <c r="D128" s="114" t="s">
        <v>979</v>
      </c>
      <c r="E128" s="115">
        <v>780913.88</v>
      </c>
    </row>
    <row r="129" spans="1:5" ht="15.5" x14ac:dyDescent="0.35">
      <c r="A129" s="114" t="s">
        <v>980</v>
      </c>
      <c r="B129" s="115">
        <v>1937178.26</v>
      </c>
      <c r="C129" s="114"/>
      <c r="D129" s="112" t="s">
        <v>918</v>
      </c>
      <c r="E129" s="117">
        <f>SUM(E124:E128)</f>
        <v>1257518.6100000001</v>
      </c>
    </row>
    <row r="130" spans="1:5" ht="15.5" x14ac:dyDescent="0.35">
      <c r="A130" s="112" t="s">
        <v>970</v>
      </c>
      <c r="B130" s="117">
        <f>SUM(B124:B129)</f>
        <v>10111051.15</v>
      </c>
      <c r="C130" s="114"/>
      <c r="D130" s="112"/>
      <c r="E130" s="123"/>
    </row>
    <row r="131" spans="1:5" ht="15.5" x14ac:dyDescent="0.35">
      <c r="A131" s="112"/>
      <c r="B131" s="123"/>
      <c r="C131" s="114"/>
      <c r="D131" s="112"/>
      <c r="E131" s="123"/>
    </row>
    <row r="132" spans="1:5" ht="15.5" x14ac:dyDescent="0.35">
      <c r="A132" s="112"/>
      <c r="B132" s="123"/>
      <c r="C132" s="114"/>
    </row>
    <row r="133" spans="1:5" ht="15.5" x14ac:dyDescent="0.35">
      <c r="A133" s="114"/>
      <c r="B133" s="114"/>
      <c r="C133" s="114"/>
      <c r="D133" s="112" t="s">
        <v>958</v>
      </c>
      <c r="E133" s="113" t="s">
        <v>948</v>
      </c>
    </row>
    <row r="134" spans="1:5" ht="15.5" x14ac:dyDescent="0.35">
      <c r="A134" s="112" t="s">
        <v>956</v>
      </c>
      <c r="B134" s="114"/>
      <c r="C134" s="114"/>
      <c r="D134" s="114" t="s">
        <v>959</v>
      </c>
      <c r="E134" s="122">
        <v>-75043.41</v>
      </c>
    </row>
    <row r="135" spans="1:5" ht="15.5" x14ac:dyDescent="0.35">
      <c r="A135" s="112" t="s">
        <v>957</v>
      </c>
      <c r="B135" s="113" t="s">
        <v>946</v>
      </c>
      <c r="C135" s="114"/>
      <c r="D135" s="114" t="s">
        <v>960</v>
      </c>
      <c r="E135" s="122">
        <v>-107279.39</v>
      </c>
    </row>
    <row r="136" spans="1:5" ht="15.5" x14ac:dyDescent="0.35">
      <c r="A136" s="114" t="s">
        <v>975</v>
      </c>
      <c r="B136" s="122">
        <v>-2264701.4900000002</v>
      </c>
      <c r="C136" s="114"/>
      <c r="D136" s="114" t="s">
        <v>961</v>
      </c>
      <c r="E136" s="122">
        <v>-29217.13</v>
      </c>
    </row>
    <row r="137" spans="1:5" ht="15.5" x14ac:dyDescent="0.35">
      <c r="A137" s="114" t="s">
        <v>976</v>
      </c>
      <c r="B137" s="116">
        <v>703035.97</v>
      </c>
      <c r="C137" s="114"/>
      <c r="D137" s="114" t="s">
        <v>962</v>
      </c>
      <c r="E137" s="122">
        <v>-44318.55</v>
      </c>
    </row>
    <row r="138" spans="1:5" ht="15.5" x14ac:dyDescent="0.35">
      <c r="A138" s="114" t="s">
        <v>977</v>
      </c>
      <c r="B138" s="116">
        <v>88482.2</v>
      </c>
      <c r="C138" s="114"/>
      <c r="D138" s="112" t="s">
        <v>918</v>
      </c>
      <c r="E138" s="124">
        <f>SUM(E134:E137)</f>
        <v>-255858.47999999998</v>
      </c>
    </row>
    <row r="139" spans="1:5" ht="15.5" x14ac:dyDescent="0.35">
      <c r="A139" s="114" t="s">
        <v>978</v>
      </c>
      <c r="B139" s="115">
        <v>2664695.9</v>
      </c>
      <c r="C139" s="114"/>
      <c r="D139" s="112"/>
      <c r="E139" s="125"/>
    </row>
    <row r="140" spans="1:5" ht="15.5" x14ac:dyDescent="0.35">
      <c r="A140" s="114" t="s">
        <v>979</v>
      </c>
      <c r="B140" s="115">
        <v>1952284.43</v>
      </c>
    </row>
    <row r="141" spans="1:5" ht="15.5" x14ac:dyDescent="0.35">
      <c r="A141" s="112" t="s">
        <v>963</v>
      </c>
      <c r="B141" s="118">
        <f>SUM(B136:B140)</f>
        <v>3143797.01</v>
      </c>
    </row>
    <row r="142" spans="1:5" ht="15.5" x14ac:dyDescent="0.35">
      <c r="A142" s="112" t="s">
        <v>964</v>
      </c>
      <c r="B142" s="113" t="s">
        <v>946</v>
      </c>
      <c r="D142" s="112"/>
      <c r="E142" s="113"/>
    </row>
    <row r="143" spans="1:5" ht="15.5" x14ac:dyDescent="0.35">
      <c r="A143" s="114" t="s">
        <v>981</v>
      </c>
      <c r="B143" s="122">
        <v>-4269816.12</v>
      </c>
    </row>
    <row r="144" spans="1:5" ht="15.5" x14ac:dyDescent="0.35">
      <c r="A144" s="114" t="s">
        <v>982</v>
      </c>
      <c r="B144" s="122">
        <v>-383837.93</v>
      </c>
    </row>
    <row r="145" spans="1:2" ht="15.5" x14ac:dyDescent="0.35">
      <c r="A145" s="114" t="s">
        <v>983</v>
      </c>
      <c r="B145" s="115">
        <v>3441793.14</v>
      </c>
    </row>
    <row r="146" spans="1:2" ht="15.5" x14ac:dyDescent="0.35">
      <c r="A146" s="114" t="s">
        <v>984</v>
      </c>
      <c r="B146" s="115">
        <v>3008480.47</v>
      </c>
    </row>
    <row r="147" spans="1:2" ht="15.5" x14ac:dyDescent="0.35">
      <c r="A147" s="114" t="s">
        <v>985</v>
      </c>
      <c r="B147" s="115">
        <v>5265064.12</v>
      </c>
    </row>
    <row r="148" spans="1:2" ht="15.5" x14ac:dyDescent="0.35">
      <c r="A148" s="114" t="s">
        <v>986</v>
      </c>
      <c r="B148" s="126">
        <v>-2458304.6</v>
      </c>
    </row>
    <row r="149" spans="1:2" ht="15.5" x14ac:dyDescent="0.35">
      <c r="A149" s="112" t="s">
        <v>963</v>
      </c>
      <c r="B149" s="118">
        <f>SUM(B143:B148)</f>
        <v>4603379.08</v>
      </c>
    </row>
    <row r="150" spans="1:2" ht="15.5" x14ac:dyDescent="0.35">
      <c r="A150" s="112" t="s">
        <v>942</v>
      </c>
      <c r="B150" s="119">
        <f>B141+B149</f>
        <v>7747176.0899999999</v>
      </c>
    </row>
    <row r="151" spans="1:2" ht="15.5" x14ac:dyDescent="0.35">
      <c r="A151" s="114"/>
      <c r="B151" s="114"/>
    </row>
    <row r="152" spans="1:2" ht="15.5" x14ac:dyDescent="0.35">
      <c r="A152" s="114"/>
      <c r="B152" s="114"/>
    </row>
    <row r="153" spans="1:2" ht="15.5" x14ac:dyDescent="0.35">
      <c r="A153" s="114"/>
      <c r="B153" s="114"/>
    </row>
    <row r="154" spans="1:2" ht="15.5" x14ac:dyDescent="0.35">
      <c r="A154" s="114"/>
      <c r="B154" s="114"/>
    </row>
    <row r="155" spans="1:2" ht="23.5" x14ac:dyDescent="0.55000000000000004">
      <c r="A155" s="110" t="s">
        <v>942</v>
      </c>
      <c r="B155" s="120">
        <f>B130+E129+B150+E138</f>
        <v>18859887.370000001</v>
      </c>
    </row>
    <row r="161" spans="1:5" ht="23.5" x14ac:dyDescent="0.55000000000000004">
      <c r="A161" s="110" t="s">
        <v>944</v>
      </c>
      <c r="B161" s="111"/>
      <c r="C161" s="111"/>
      <c r="D161" s="111"/>
      <c r="E161" s="111"/>
    </row>
    <row r="162" spans="1:5" x14ac:dyDescent="0.35">
      <c r="A162" s="111"/>
      <c r="B162" s="111"/>
      <c r="C162" s="111"/>
      <c r="D162" s="111"/>
      <c r="E162" s="111"/>
    </row>
    <row r="163" spans="1:5" ht="15.5" x14ac:dyDescent="0.35">
      <c r="A163" s="112" t="s">
        <v>945</v>
      </c>
      <c r="B163" s="113" t="s">
        <v>946</v>
      </c>
      <c r="C163" s="114"/>
      <c r="D163" s="112" t="s">
        <v>947</v>
      </c>
      <c r="E163" s="113" t="s">
        <v>948</v>
      </c>
    </row>
    <row r="164" spans="1:5" ht="15.5" x14ac:dyDescent="0.35">
      <c r="A164" s="114" t="s">
        <v>975</v>
      </c>
      <c r="B164" s="122">
        <v>-5888223.8799999999</v>
      </c>
      <c r="C164" s="114"/>
      <c r="D164" s="114" t="s">
        <v>975</v>
      </c>
      <c r="E164" s="122">
        <v>-905880.6</v>
      </c>
    </row>
    <row r="165" spans="1:5" ht="15.5" x14ac:dyDescent="0.35">
      <c r="A165" s="114" t="s">
        <v>976</v>
      </c>
      <c r="B165" s="116">
        <v>1827893.53</v>
      </c>
      <c r="C165" s="114"/>
      <c r="D165" s="114" t="s">
        <v>976</v>
      </c>
      <c r="E165" s="116">
        <v>281214.39</v>
      </c>
    </row>
    <row r="166" spans="1:5" ht="15.5" x14ac:dyDescent="0.35">
      <c r="A166" s="114" t="s">
        <v>977</v>
      </c>
      <c r="B166" s="116">
        <v>230053.71</v>
      </c>
      <c r="C166" s="114"/>
      <c r="D166" s="114" t="s">
        <v>977</v>
      </c>
      <c r="E166" s="116">
        <v>35392.879999999997</v>
      </c>
    </row>
    <row r="167" spans="1:5" ht="15.5" x14ac:dyDescent="0.35">
      <c r="A167" s="114" t="s">
        <v>978</v>
      </c>
      <c r="B167" s="115">
        <v>6928209.3399999999</v>
      </c>
      <c r="C167" s="114"/>
      <c r="D167" s="114" t="s">
        <v>978</v>
      </c>
      <c r="E167" s="127">
        <v>1065878.3600000001</v>
      </c>
    </row>
    <row r="168" spans="1:5" ht="36.75" customHeight="1" x14ac:dyDescent="0.65">
      <c r="A168" s="128" t="s">
        <v>987</v>
      </c>
      <c r="B168" s="129">
        <v>1937178.26</v>
      </c>
      <c r="C168" s="114"/>
      <c r="D168" s="112" t="s">
        <v>918</v>
      </c>
      <c r="E168" s="130">
        <f>SUM(E164:E167)</f>
        <v>476605.03000000014</v>
      </c>
    </row>
    <row r="169" spans="1:5" ht="15.5" x14ac:dyDescent="0.35">
      <c r="A169" s="112" t="s">
        <v>918</v>
      </c>
      <c r="B169" s="130">
        <f>SUM(B164:B168)</f>
        <v>5035110.96</v>
      </c>
      <c r="C169" s="114"/>
      <c r="D169" s="114"/>
      <c r="E169" s="115"/>
    </row>
    <row r="170" spans="1:5" ht="15.5" x14ac:dyDescent="0.35">
      <c r="A170" s="112"/>
      <c r="B170" s="123"/>
      <c r="C170" s="114"/>
      <c r="D170" s="112"/>
      <c r="E170" s="123"/>
    </row>
    <row r="171" spans="1:5" ht="15.5" x14ac:dyDescent="0.35">
      <c r="A171" s="112"/>
      <c r="B171" s="123"/>
      <c r="C171" s="114"/>
    </row>
    <row r="172" spans="1:5" ht="15.5" x14ac:dyDescent="0.35">
      <c r="A172" s="114"/>
      <c r="B172" s="114"/>
      <c r="C172" s="114"/>
      <c r="D172" s="112" t="s">
        <v>958</v>
      </c>
      <c r="E172" s="113" t="s">
        <v>948</v>
      </c>
    </row>
    <row r="173" spans="1:5" ht="15.5" x14ac:dyDescent="0.35">
      <c r="A173" s="112" t="s">
        <v>956</v>
      </c>
      <c r="B173" s="114"/>
      <c r="C173" s="114"/>
      <c r="D173" s="114" t="s">
        <v>959</v>
      </c>
      <c r="E173" s="122">
        <v>-75043.41</v>
      </c>
    </row>
    <row r="174" spans="1:5" ht="15.5" x14ac:dyDescent="0.35">
      <c r="A174" s="112" t="s">
        <v>957</v>
      </c>
      <c r="B174" s="113" t="s">
        <v>946</v>
      </c>
      <c r="C174" s="114"/>
      <c r="D174" s="114" t="s">
        <v>960</v>
      </c>
      <c r="E174" s="122">
        <v>-107279.39</v>
      </c>
    </row>
    <row r="175" spans="1:5" ht="15.5" x14ac:dyDescent="0.35">
      <c r="A175" s="114" t="s">
        <v>975</v>
      </c>
      <c r="B175" s="122">
        <v>-2264701.4900000002</v>
      </c>
      <c r="C175" s="114"/>
      <c r="D175" s="114" t="s">
        <v>961</v>
      </c>
      <c r="E175" s="122">
        <v>-29217.13</v>
      </c>
    </row>
    <row r="176" spans="1:5" ht="15.5" x14ac:dyDescent="0.35">
      <c r="A176" s="114" t="s">
        <v>976</v>
      </c>
      <c r="B176" s="116">
        <v>703035.97</v>
      </c>
      <c r="C176" s="114"/>
      <c r="D176" s="114" t="s">
        <v>962</v>
      </c>
      <c r="E176" s="122">
        <v>-44318.55</v>
      </c>
    </row>
    <row r="177" spans="1:5" ht="15.5" x14ac:dyDescent="0.35">
      <c r="A177" s="114" t="s">
        <v>977</v>
      </c>
      <c r="B177" s="116">
        <v>88482.2</v>
      </c>
      <c r="C177" s="114"/>
      <c r="D177" s="112" t="s">
        <v>918</v>
      </c>
      <c r="E177" s="124">
        <f>SUM(E173:E176)</f>
        <v>-255858.47999999998</v>
      </c>
    </row>
    <row r="178" spans="1:5" ht="15.5" x14ac:dyDescent="0.35">
      <c r="A178" s="114" t="s">
        <v>988</v>
      </c>
      <c r="B178" s="115">
        <v>2664695.9</v>
      </c>
      <c r="C178" s="114"/>
      <c r="D178" s="112"/>
      <c r="E178" s="125"/>
    </row>
    <row r="179" spans="1:5" ht="15.5" x14ac:dyDescent="0.35">
      <c r="A179" s="114" t="s">
        <v>981</v>
      </c>
      <c r="B179" s="122">
        <v>-4269816.12</v>
      </c>
    </row>
    <row r="180" spans="1:5" ht="15.5" x14ac:dyDescent="0.35">
      <c r="A180" s="114" t="s">
        <v>982</v>
      </c>
      <c r="B180" s="122">
        <v>-383837.93</v>
      </c>
    </row>
    <row r="181" spans="1:5" ht="15.5" x14ac:dyDescent="0.35">
      <c r="A181" s="114" t="s">
        <v>983</v>
      </c>
      <c r="B181" s="115">
        <v>3441793.14</v>
      </c>
    </row>
    <row r="182" spans="1:5" ht="15.5" x14ac:dyDescent="0.35">
      <c r="A182" s="114" t="s">
        <v>984</v>
      </c>
      <c r="B182" s="115">
        <v>3008480.47</v>
      </c>
    </row>
    <row r="183" spans="1:5" ht="15.5" x14ac:dyDescent="0.35">
      <c r="A183" s="112" t="s">
        <v>970</v>
      </c>
      <c r="B183" s="118">
        <f>SUM(B175:B182)</f>
        <v>2988132.1399999997</v>
      </c>
    </row>
    <row r="184" spans="1:5" ht="15.5" x14ac:dyDescent="0.35">
      <c r="A184" s="114"/>
      <c r="B184" s="114"/>
    </row>
    <row r="185" spans="1:5" ht="15.5" x14ac:dyDescent="0.35">
      <c r="A185" s="114"/>
      <c r="B185" s="114"/>
    </row>
    <row r="186" spans="1:5" ht="15.5" x14ac:dyDescent="0.35">
      <c r="A186" s="114"/>
      <c r="B186" s="114"/>
    </row>
    <row r="187" spans="1:5" ht="32" x14ac:dyDescent="0.45">
      <c r="A187" s="131" t="s">
        <v>989</v>
      </c>
      <c r="B187" s="120">
        <f>B169+E168+B183</f>
        <v>8499848.129999999</v>
      </c>
    </row>
    <row r="191" spans="1:5" ht="23.5" x14ac:dyDescent="0.55000000000000004">
      <c r="A191" s="110"/>
      <c r="B191" s="111"/>
      <c r="C191" s="111"/>
      <c r="D191" s="111"/>
      <c r="E191" s="111"/>
    </row>
    <row r="192" spans="1:5" x14ac:dyDescent="0.35">
      <c r="A192" s="111"/>
      <c r="B192" s="111"/>
      <c r="C192" s="111"/>
      <c r="D192" s="111"/>
      <c r="E192" s="111"/>
    </row>
    <row r="193" spans="1:5" ht="15.5" x14ac:dyDescent="0.35">
      <c r="A193" s="112" t="s">
        <v>945</v>
      </c>
      <c r="B193" s="113" t="s">
        <v>946</v>
      </c>
      <c r="C193" s="114"/>
      <c r="D193" s="112" t="s">
        <v>947</v>
      </c>
      <c r="E193" s="113" t="s">
        <v>948</v>
      </c>
    </row>
    <row r="194" spans="1:5" ht="15.5" x14ac:dyDescent="0.35">
      <c r="A194" s="114" t="s">
        <v>979</v>
      </c>
      <c r="B194" s="115">
        <v>5075940.1900000004</v>
      </c>
      <c r="C194" s="114"/>
      <c r="D194" s="114"/>
      <c r="E194" s="115"/>
    </row>
    <row r="195" spans="1:5" ht="15.5" x14ac:dyDescent="0.35">
      <c r="A195" s="114" t="s">
        <v>990</v>
      </c>
      <c r="B195" s="126">
        <v>-37702745.909999996</v>
      </c>
      <c r="C195" s="114"/>
      <c r="D195" s="114"/>
      <c r="E195" s="126"/>
    </row>
    <row r="196" spans="1:5" ht="15.5" x14ac:dyDescent="0.35">
      <c r="A196" s="112" t="s">
        <v>970</v>
      </c>
      <c r="B196" s="132">
        <f>SUM(B194:B195)</f>
        <v>-32626805.719999995</v>
      </c>
      <c r="C196" s="114"/>
      <c r="D196" s="112" t="s">
        <v>918</v>
      </c>
      <c r="E196" s="133">
        <f>SUM(E194:E195)</f>
        <v>0</v>
      </c>
    </row>
    <row r="197" spans="1:5" ht="15.5" x14ac:dyDescent="0.35">
      <c r="A197" s="112"/>
      <c r="B197" s="123"/>
      <c r="C197" s="114"/>
      <c r="D197" s="112"/>
      <c r="E197" s="123"/>
    </row>
    <row r="198" spans="1:5" ht="15.5" x14ac:dyDescent="0.35">
      <c r="A198" s="112"/>
      <c r="B198" s="123"/>
      <c r="C198" s="114"/>
      <c r="D198" s="112"/>
      <c r="E198" s="123"/>
    </row>
    <row r="199" spans="1:5" ht="15.5" x14ac:dyDescent="0.35">
      <c r="A199" s="114"/>
      <c r="B199" s="114"/>
      <c r="C199" s="114"/>
    </row>
    <row r="200" spans="1:5" ht="15.5" x14ac:dyDescent="0.35">
      <c r="A200" s="112" t="s">
        <v>956</v>
      </c>
      <c r="B200" s="114"/>
      <c r="C200" s="114"/>
      <c r="D200" s="112" t="s">
        <v>958</v>
      </c>
      <c r="E200" s="113" t="s">
        <v>948</v>
      </c>
    </row>
    <row r="201" spans="1:5" ht="15.5" x14ac:dyDescent="0.35">
      <c r="A201" s="112" t="s">
        <v>957</v>
      </c>
      <c r="B201" s="113" t="s">
        <v>946</v>
      </c>
      <c r="C201" s="114"/>
      <c r="D201" s="114" t="s">
        <v>959</v>
      </c>
      <c r="E201" s="122">
        <v>-75043.41</v>
      </c>
    </row>
    <row r="202" spans="1:5" ht="15.5" x14ac:dyDescent="0.35">
      <c r="A202" s="114" t="s">
        <v>979</v>
      </c>
      <c r="B202" s="115">
        <v>1952284.43</v>
      </c>
      <c r="C202" s="114"/>
      <c r="D202" s="114" t="s">
        <v>960</v>
      </c>
      <c r="E202" s="122">
        <v>-107279.39</v>
      </c>
    </row>
    <row r="203" spans="1:5" ht="15.5" x14ac:dyDescent="0.35">
      <c r="A203" s="114" t="s">
        <v>990</v>
      </c>
      <c r="B203" s="126">
        <v>-14501056.119999999</v>
      </c>
      <c r="C203" s="114"/>
      <c r="D203" s="114" t="s">
        <v>961</v>
      </c>
      <c r="E203" s="122">
        <v>-29217.13</v>
      </c>
    </row>
    <row r="204" spans="1:5" ht="15.5" x14ac:dyDescent="0.35">
      <c r="A204" s="112" t="s">
        <v>963</v>
      </c>
      <c r="B204" s="124">
        <f>SUM(B202:B203)</f>
        <v>-12548771.689999999</v>
      </c>
      <c r="C204" s="114"/>
      <c r="D204" s="114" t="s">
        <v>962</v>
      </c>
      <c r="E204" s="122">
        <v>-44318.55</v>
      </c>
    </row>
    <row r="205" spans="1:5" ht="15.5" x14ac:dyDescent="0.35">
      <c r="A205" s="112" t="s">
        <v>964</v>
      </c>
      <c r="B205" s="113" t="s">
        <v>946</v>
      </c>
      <c r="C205" s="114"/>
      <c r="D205" s="112" t="s">
        <v>918</v>
      </c>
      <c r="E205" s="124">
        <f>SUM(E201:E204)</f>
        <v>-255858.47999999998</v>
      </c>
    </row>
    <row r="206" spans="1:5" ht="15.5" x14ac:dyDescent="0.35">
      <c r="A206" s="114" t="s">
        <v>985</v>
      </c>
      <c r="B206" s="115">
        <v>5265064.12</v>
      </c>
      <c r="D206" s="112"/>
      <c r="E206" s="125"/>
    </row>
    <row r="207" spans="1:5" ht="15.5" x14ac:dyDescent="0.35">
      <c r="A207" s="114" t="s">
        <v>986</v>
      </c>
      <c r="B207" s="126">
        <v>-2458304.6</v>
      </c>
      <c r="D207" s="112"/>
      <c r="E207" s="125"/>
    </row>
    <row r="208" spans="1:5" ht="15.5" x14ac:dyDescent="0.35">
      <c r="A208" s="114" t="s">
        <v>991</v>
      </c>
      <c r="B208" s="126">
        <v>14710414.789999999</v>
      </c>
      <c r="D208" s="112"/>
      <c r="E208" s="125"/>
    </row>
    <row r="209" spans="1:5" ht="15.5" x14ac:dyDescent="0.35">
      <c r="A209" s="114" t="s">
        <v>992</v>
      </c>
      <c r="B209" s="126">
        <v>0</v>
      </c>
    </row>
    <row r="210" spans="1:5" ht="15.5" x14ac:dyDescent="0.35">
      <c r="A210" s="112" t="s">
        <v>963</v>
      </c>
      <c r="B210" s="118">
        <f>SUM(B206:B209)</f>
        <v>17517174.309999999</v>
      </c>
    </row>
    <row r="211" spans="1:5" ht="15.5" x14ac:dyDescent="0.35">
      <c r="A211" s="112" t="s">
        <v>942</v>
      </c>
      <c r="B211" s="119">
        <f>B204+B210</f>
        <v>4968402.6199999992</v>
      </c>
      <c r="D211" s="112"/>
      <c r="E211" s="113"/>
    </row>
    <row r="212" spans="1:5" ht="15.5" x14ac:dyDescent="0.35">
      <c r="A212" s="114"/>
      <c r="B212" s="114"/>
    </row>
    <row r="214" spans="1:5" ht="18.5" x14ac:dyDescent="0.45">
      <c r="A214" s="120" t="s">
        <v>918</v>
      </c>
      <c r="B214" s="134">
        <f>B196+B211+E196+E205</f>
        <v>-27914261.579999994</v>
      </c>
    </row>
    <row r="218" spans="1:5" ht="23.5" x14ac:dyDescent="0.55000000000000004">
      <c r="A218" s="110" t="s">
        <v>993</v>
      </c>
      <c r="B218" s="111"/>
      <c r="C218" s="111"/>
      <c r="D218" s="111"/>
      <c r="E218" s="111"/>
    </row>
    <row r="219" spans="1:5" x14ac:dyDescent="0.35">
      <c r="A219" s="111"/>
      <c r="B219" s="111"/>
      <c r="C219" s="111"/>
      <c r="D219" s="111"/>
      <c r="E219" s="111"/>
    </row>
    <row r="220" spans="1:5" ht="15.5" x14ac:dyDescent="0.35">
      <c r="A220" s="112" t="s">
        <v>945</v>
      </c>
      <c r="B220" s="113" t="s">
        <v>946</v>
      </c>
      <c r="C220" s="114"/>
      <c r="D220" s="112" t="s">
        <v>947</v>
      </c>
      <c r="E220" s="113" t="s">
        <v>948</v>
      </c>
    </row>
    <row r="221" spans="1:5" ht="15.5" x14ac:dyDescent="0.35">
      <c r="A221" s="114" t="s">
        <v>994</v>
      </c>
      <c r="B221" s="116">
        <v>7458750</v>
      </c>
      <c r="C221" s="114"/>
      <c r="D221" s="114" t="s">
        <v>994</v>
      </c>
      <c r="E221" s="116">
        <v>1147500</v>
      </c>
    </row>
    <row r="222" spans="1:5" ht="15.5" x14ac:dyDescent="0.35">
      <c r="A222" s="114" t="s">
        <v>942</v>
      </c>
      <c r="B222" s="135">
        <f>SUM(B221:B221)</f>
        <v>7458750</v>
      </c>
      <c r="C222" s="114"/>
      <c r="D222" s="114" t="s">
        <v>942</v>
      </c>
      <c r="E222" s="136">
        <f>SUM(E221:E221)</f>
        <v>1147500</v>
      </c>
    </row>
    <row r="223" spans="1:5" ht="15.5" x14ac:dyDescent="0.35">
      <c r="A223" s="114"/>
      <c r="B223" s="116"/>
      <c r="C223" s="114"/>
      <c r="D223" s="114"/>
      <c r="E223" s="115"/>
    </row>
    <row r="224" spans="1:5" ht="15.5" x14ac:dyDescent="0.35">
      <c r="A224" s="114"/>
      <c r="B224" s="116"/>
      <c r="C224" s="114"/>
    </row>
    <row r="225" spans="1:5" ht="15.5" x14ac:dyDescent="0.35">
      <c r="A225" s="114"/>
      <c r="B225" s="116"/>
      <c r="C225" s="114"/>
    </row>
    <row r="226" spans="1:5" ht="15.5" x14ac:dyDescent="0.35">
      <c r="A226" s="112" t="s">
        <v>956</v>
      </c>
      <c r="B226" s="113" t="s">
        <v>946</v>
      </c>
      <c r="C226" s="114"/>
      <c r="D226" s="112"/>
      <c r="E226" s="113"/>
    </row>
    <row r="227" spans="1:5" ht="15.5" x14ac:dyDescent="0.35">
      <c r="A227" s="114" t="s">
        <v>994</v>
      </c>
      <c r="B227" s="116">
        <v>2868750</v>
      </c>
      <c r="D227" s="114"/>
      <c r="E227" s="116"/>
    </row>
    <row r="228" spans="1:5" ht="16" thickBot="1" x14ac:dyDescent="0.4">
      <c r="A228" s="112"/>
      <c r="B228" s="137">
        <f>SUM(B227)</f>
        <v>2868750</v>
      </c>
      <c r="D228" s="114"/>
      <c r="E228" s="116"/>
    </row>
    <row r="229" spans="1:5" ht="15.5" x14ac:dyDescent="0.35">
      <c r="A229" s="112"/>
      <c r="B229" s="138"/>
      <c r="D229" s="114"/>
      <c r="E229" s="116"/>
    </row>
    <row r="230" spans="1:5" ht="15.5" x14ac:dyDescent="0.35">
      <c r="A230" s="114"/>
      <c r="B230" s="122"/>
      <c r="D230" s="114"/>
      <c r="E230" s="116"/>
    </row>
    <row r="231" spans="1:5" ht="15.5" x14ac:dyDescent="0.35">
      <c r="A231" s="114"/>
      <c r="B231" s="114"/>
    </row>
    <row r="232" spans="1:5" ht="15.5" x14ac:dyDescent="0.35">
      <c r="A232" s="114"/>
      <c r="B232" s="114"/>
    </row>
    <row r="233" spans="1:5" ht="23.5" x14ac:dyDescent="0.55000000000000004">
      <c r="A233" s="110" t="s">
        <v>942</v>
      </c>
      <c r="B233" s="120">
        <f>B222+E222+B228</f>
        <v>11475000</v>
      </c>
    </row>
    <row r="234" spans="1:5" ht="15.5" x14ac:dyDescent="0.35">
      <c r="D234" s="114"/>
    </row>
    <row r="236" spans="1:5" ht="23.5" x14ac:dyDescent="0.55000000000000004">
      <c r="A236" s="166" t="s">
        <v>995</v>
      </c>
      <c r="B236" s="166"/>
      <c r="C236" s="166"/>
    </row>
    <row r="238" spans="1:5" ht="15.5" x14ac:dyDescent="0.35">
      <c r="A238" s="112" t="s">
        <v>945</v>
      </c>
      <c r="B238" s="113" t="s">
        <v>946</v>
      </c>
      <c r="C238" s="114"/>
      <c r="D238" s="112" t="s">
        <v>947</v>
      </c>
      <c r="E238" s="113" t="s">
        <v>948</v>
      </c>
    </row>
    <row r="239" spans="1:5" ht="15.5" x14ac:dyDescent="0.35">
      <c r="A239" s="114" t="s">
        <v>979</v>
      </c>
      <c r="B239" s="115">
        <v>5075940.1900000004</v>
      </c>
      <c r="C239" s="114"/>
      <c r="D239" s="114" t="s">
        <v>996</v>
      </c>
      <c r="E239" s="126">
        <v>-5959672.0999999996</v>
      </c>
    </row>
    <row r="240" spans="1:5" ht="15.5" x14ac:dyDescent="0.35">
      <c r="A240" s="114" t="s">
        <v>990</v>
      </c>
      <c r="B240" s="126">
        <v>-37702745.909999996</v>
      </c>
      <c r="C240" s="114"/>
      <c r="D240" s="114" t="s">
        <v>994</v>
      </c>
      <c r="E240" s="116">
        <v>1147500</v>
      </c>
    </row>
    <row r="241" spans="1:5" ht="15.5" x14ac:dyDescent="0.35">
      <c r="A241" s="114" t="s">
        <v>996</v>
      </c>
      <c r="B241" s="126">
        <v>-38737868.649999999</v>
      </c>
      <c r="C241" s="114"/>
      <c r="D241" s="112" t="s">
        <v>918</v>
      </c>
      <c r="E241" s="133">
        <f>SUM(E239:E240)</f>
        <v>-4812172.0999999996</v>
      </c>
    </row>
    <row r="242" spans="1:5" ht="15.5" x14ac:dyDescent="0.35">
      <c r="A242" s="114" t="s">
        <v>994</v>
      </c>
      <c r="B242" s="116">
        <v>7458750</v>
      </c>
      <c r="C242" s="114"/>
      <c r="D242" s="112"/>
      <c r="E242" s="139"/>
    </row>
    <row r="243" spans="1:5" ht="15.5" x14ac:dyDescent="0.35">
      <c r="A243" s="112" t="s">
        <v>970</v>
      </c>
      <c r="B243" s="132">
        <f>SUM(B239:B242)</f>
        <v>-63905924.36999999</v>
      </c>
      <c r="C243" s="114"/>
      <c r="D243" s="112"/>
      <c r="E243" s="123"/>
    </row>
    <row r="244" spans="1:5" ht="15.5" x14ac:dyDescent="0.35">
      <c r="A244" s="112"/>
      <c r="B244" s="123"/>
      <c r="C244" s="114"/>
      <c r="D244" s="112"/>
      <c r="E244" s="123"/>
    </row>
    <row r="245" spans="1:5" ht="15.5" x14ac:dyDescent="0.35">
      <c r="A245" s="112"/>
      <c r="B245" s="123"/>
      <c r="C245" s="114"/>
    </row>
    <row r="246" spans="1:5" ht="15.5" x14ac:dyDescent="0.35">
      <c r="A246" s="114"/>
      <c r="B246" s="114"/>
      <c r="C246" s="114"/>
      <c r="D246" s="112" t="s">
        <v>958</v>
      </c>
      <c r="E246" s="113" t="s">
        <v>948</v>
      </c>
    </row>
    <row r="247" spans="1:5" ht="15.5" x14ac:dyDescent="0.35">
      <c r="A247" s="112" t="s">
        <v>956</v>
      </c>
      <c r="B247" s="114"/>
      <c r="C247" s="114"/>
      <c r="D247" s="114" t="s">
        <v>959</v>
      </c>
      <c r="E247" s="122">
        <v>-75043.41</v>
      </c>
    </row>
    <row r="248" spans="1:5" ht="15.5" x14ac:dyDescent="0.35">
      <c r="A248" s="112" t="s">
        <v>957</v>
      </c>
      <c r="B248" s="113" t="s">
        <v>946</v>
      </c>
      <c r="C248" s="114"/>
      <c r="D248" s="114" t="s">
        <v>960</v>
      </c>
      <c r="E248" s="122">
        <v>-107279.39</v>
      </c>
    </row>
    <row r="249" spans="1:5" ht="15.5" x14ac:dyDescent="0.35">
      <c r="A249" s="114" t="s">
        <v>979</v>
      </c>
      <c r="B249" s="115">
        <v>1952284.43</v>
      </c>
      <c r="C249" s="114"/>
      <c r="D249" s="114" t="s">
        <v>961</v>
      </c>
      <c r="E249" s="122">
        <v>-29217.13</v>
      </c>
    </row>
    <row r="250" spans="1:5" ht="15.5" x14ac:dyDescent="0.35">
      <c r="A250" s="114" t="s">
        <v>990</v>
      </c>
      <c r="B250" s="126">
        <v>-14501056.119999999</v>
      </c>
      <c r="C250" s="114"/>
      <c r="D250" s="114" t="s">
        <v>962</v>
      </c>
      <c r="E250" s="122">
        <v>-44318.55</v>
      </c>
    </row>
    <row r="251" spans="1:5" ht="15.5" x14ac:dyDescent="0.35">
      <c r="A251" s="114" t="s">
        <v>996</v>
      </c>
      <c r="B251" s="126">
        <v>-14899180.25</v>
      </c>
      <c r="C251" s="114"/>
      <c r="D251" s="112" t="s">
        <v>918</v>
      </c>
      <c r="E251" s="124">
        <f>SUM(E247:E250)</f>
        <v>-255858.47999999998</v>
      </c>
    </row>
    <row r="252" spans="1:5" ht="15.5" x14ac:dyDescent="0.35">
      <c r="A252" s="114" t="s">
        <v>994</v>
      </c>
      <c r="B252" s="116">
        <v>2868750</v>
      </c>
      <c r="C252" s="114"/>
      <c r="D252" s="112"/>
      <c r="E252" s="125"/>
    </row>
    <row r="253" spans="1:5" ht="15.5" x14ac:dyDescent="0.35">
      <c r="A253" s="112" t="s">
        <v>963</v>
      </c>
      <c r="B253" s="124">
        <f>SUM(B249:B252)</f>
        <v>-24579201.939999998</v>
      </c>
      <c r="C253" s="114"/>
      <c r="D253" s="112"/>
      <c r="E253" s="125"/>
    </row>
    <row r="254" spans="1:5" ht="15.5" x14ac:dyDescent="0.35">
      <c r="A254" s="112" t="s">
        <v>964</v>
      </c>
      <c r="B254" s="113" t="s">
        <v>946</v>
      </c>
      <c r="D254" s="112"/>
      <c r="E254" s="125"/>
    </row>
    <row r="255" spans="1:5" ht="15.5" x14ac:dyDescent="0.35">
      <c r="A255" s="114" t="s">
        <v>985</v>
      </c>
      <c r="B255" s="115">
        <v>5265064.12</v>
      </c>
      <c r="D255" s="112"/>
      <c r="E255" s="125"/>
    </row>
    <row r="256" spans="1:5" ht="15.5" x14ac:dyDescent="0.35">
      <c r="A256" s="114" t="s">
        <v>986</v>
      </c>
      <c r="B256" s="126">
        <v>-2458304.6</v>
      </c>
    </row>
    <row r="257" spans="1:5" ht="15.5" x14ac:dyDescent="0.35">
      <c r="A257" s="114" t="s">
        <v>991</v>
      </c>
      <c r="B257" s="126">
        <v>14710414.789999999</v>
      </c>
    </row>
    <row r="258" spans="1:5" ht="15.5" x14ac:dyDescent="0.35">
      <c r="A258" s="114" t="s">
        <v>992</v>
      </c>
      <c r="B258" s="126">
        <v>0</v>
      </c>
      <c r="D258" s="112"/>
      <c r="E258" s="113"/>
    </row>
    <row r="259" spans="1:5" ht="15.5" x14ac:dyDescent="0.35">
      <c r="A259" s="114" t="s">
        <v>997</v>
      </c>
      <c r="B259" s="126">
        <v>-5235229.17</v>
      </c>
      <c r="D259" s="112"/>
      <c r="E259" s="113"/>
    </row>
    <row r="260" spans="1:5" ht="15.5" x14ac:dyDescent="0.35">
      <c r="A260" s="114" t="s">
        <v>998</v>
      </c>
      <c r="B260" s="126">
        <v>265424.21999999997</v>
      </c>
      <c r="D260" s="112"/>
      <c r="E260" s="113"/>
    </row>
    <row r="261" spans="1:5" ht="15.5" x14ac:dyDescent="0.35">
      <c r="A261" s="112" t="s">
        <v>963</v>
      </c>
      <c r="B261" s="118">
        <f>SUM(B255:B260)</f>
        <v>12547369.359999999</v>
      </c>
    </row>
    <row r="262" spans="1:5" ht="15.5" x14ac:dyDescent="0.35">
      <c r="A262" s="112" t="s">
        <v>942</v>
      </c>
      <c r="B262" s="119">
        <f>B253+B261</f>
        <v>-12031832.579999998</v>
      </c>
    </row>
    <row r="263" spans="1:5" ht="15.5" x14ac:dyDescent="0.35">
      <c r="A263" s="114"/>
      <c r="B263" s="114"/>
    </row>
    <row r="265" spans="1:5" ht="18.5" x14ac:dyDescent="0.45">
      <c r="A265" s="120" t="s">
        <v>918</v>
      </c>
      <c r="B265" s="134">
        <f>B243+B262+E241+E251</f>
        <v>-81005787.529999986</v>
      </c>
    </row>
    <row r="270" spans="1:5" ht="23.5" x14ac:dyDescent="0.55000000000000004">
      <c r="A270" s="166" t="s">
        <v>995</v>
      </c>
      <c r="B270" s="166"/>
      <c r="C270" s="166"/>
    </row>
    <row r="272" spans="1:5" ht="15.5" x14ac:dyDescent="0.35">
      <c r="A272" s="112" t="s">
        <v>945</v>
      </c>
      <c r="B272" s="113" t="s">
        <v>946</v>
      </c>
      <c r="C272" s="114"/>
      <c r="D272" s="112" t="s">
        <v>947</v>
      </c>
      <c r="E272" s="113" t="s">
        <v>948</v>
      </c>
    </row>
    <row r="273" spans="1:5" ht="15.5" x14ac:dyDescent="0.35">
      <c r="A273" s="114" t="s">
        <v>979</v>
      </c>
      <c r="B273" s="115">
        <v>5075940.1900000004</v>
      </c>
      <c r="C273" s="114"/>
      <c r="D273" s="114" t="s">
        <v>996</v>
      </c>
      <c r="E273" s="126">
        <v>-5959672.0999999996</v>
      </c>
    </row>
    <row r="274" spans="1:5" ht="15.5" x14ac:dyDescent="0.35">
      <c r="A274" s="114" t="s">
        <v>999</v>
      </c>
      <c r="B274" s="126">
        <v>-614527.36</v>
      </c>
      <c r="C274" s="114"/>
      <c r="D274" s="114" t="s">
        <v>994</v>
      </c>
      <c r="E274" s="116">
        <v>1147500</v>
      </c>
    </row>
    <row r="275" spans="1:5" ht="15.5" x14ac:dyDescent="0.35">
      <c r="A275" s="114" t="s">
        <v>996</v>
      </c>
      <c r="B275" s="126">
        <v>-38737868.649999999</v>
      </c>
      <c r="C275" s="114"/>
      <c r="D275" s="112" t="s">
        <v>918</v>
      </c>
      <c r="E275" s="133">
        <f>SUM(E273:E274)</f>
        <v>-4812172.0999999996</v>
      </c>
    </row>
    <row r="276" spans="1:5" ht="15.5" x14ac:dyDescent="0.35">
      <c r="A276" s="114" t="s">
        <v>994</v>
      </c>
      <c r="B276" s="116">
        <v>7458750</v>
      </c>
      <c r="C276" s="114"/>
      <c r="D276" s="112"/>
      <c r="E276" s="139"/>
    </row>
    <row r="277" spans="1:5" ht="15.5" x14ac:dyDescent="0.35">
      <c r="A277" s="112" t="s">
        <v>970</v>
      </c>
      <c r="B277" s="132">
        <f>SUM(B273:B276)</f>
        <v>-26817705.82</v>
      </c>
      <c r="C277" s="114"/>
      <c r="D277" s="112"/>
      <c r="E277" s="123"/>
    </row>
    <row r="278" spans="1:5" ht="15.5" x14ac:dyDescent="0.35">
      <c r="A278" s="112"/>
      <c r="B278" s="123"/>
      <c r="C278" s="114"/>
      <c r="D278" s="112"/>
      <c r="E278" s="123"/>
    </row>
    <row r="279" spans="1:5" ht="15.5" x14ac:dyDescent="0.35">
      <c r="A279" s="112"/>
      <c r="B279" s="123"/>
      <c r="C279" s="114"/>
    </row>
    <row r="280" spans="1:5" ht="15.5" x14ac:dyDescent="0.35">
      <c r="A280" s="114"/>
      <c r="B280" s="114"/>
      <c r="C280" s="114"/>
      <c r="D280" s="112" t="s">
        <v>958</v>
      </c>
      <c r="E280" s="113" t="s">
        <v>948</v>
      </c>
    </row>
    <row r="281" spans="1:5" ht="15.5" x14ac:dyDescent="0.35">
      <c r="A281" s="112" t="s">
        <v>956</v>
      </c>
      <c r="B281" s="114"/>
      <c r="C281" s="114"/>
      <c r="D281" s="114" t="s">
        <v>959</v>
      </c>
      <c r="E281" s="122">
        <v>-75043.41</v>
      </c>
    </row>
    <row r="282" spans="1:5" ht="15.5" x14ac:dyDescent="0.35">
      <c r="A282" s="112" t="s">
        <v>957</v>
      </c>
      <c r="B282" s="113" t="s">
        <v>946</v>
      </c>
      <c r="C282" s="114"/>
      <c r="D282" s="114" t="s">
        <v>960</v>
      </c>
      <c r="E282" s="122">
        <v>-107279.39</v>
      </c>
    </row>
    <row r="283" spans="1:5" ht="15.5" x14ac:dyDescent="0.35">
      <c r="A283" s="114" t="s">
        <v>979</v>
      </c>
      <c r="B283" s="115">
        <v>1952284.43</v>
      </c>
      <c r="C283" s="114"/>
      <c r="D283" s="114" t="s">
        <v>961</v>
      </c>
      <c r="E283" s="122">
        <v>-29217.13</v>
      </c>
    </row>
    <row r="284" spans="1:5" ht="15.5" x14ac:dyDescent="0.35">
      <c r="A284" s="114" t="s">
        <v>990</v>
      </c>
      <c r="B284" s="126">
        <v>-14501056.119999999</v>
      </c>
      <c r="C284" s="114"/>
      <c r="D284" s="114" t="s">
        <v>962</v>
      </c>
      <c r="E284" s="122">
        <v>-44318.55</v>
      </c>
    </row>
    <row r="285" spans="1:5" ht="15.5" x14ac:dyDescent="0.35">
      <c r="A285" s="114" t="s">
        <v>996</v>
      </c>
      <c r="B285" s="126">
        <v>-14899180.25</v>
      </c>
      <c r="C285" s="114"/>
      <c r="D285" s="112" t="s">
        <v>918</v>
      </c>
      <c r="E285" s="124">
        <f>SUM(E281:E284)</f>
        <v>-255858.47999999998</v>
      </c>
    </row>
    <row r="286" spans="1:5" ht="15.5" x14ac:dyDescent="0.35">
      <c r="A286" s="114" t="s">
        <v>994</v>
      </c>
      <c r="B286" s="116">
        <v>2868750</v>
      </c>
      <c r="C286" s="114"/>
      <c r="D286" s="112"/>
      <c r="E286" s="125"/>
    </row>
    <row r="287" spans="1:5" ht="15.5" x14ac:dyDescent="0.35">
      <c r="A287" s="112" t="s">
        <v>963</v>
      </c>
      <c r="B287" s="124">
        <f>SUM(B283:B286)</f>
        <v>-24579201.939999998</v>
      </c>
      <c r="C287" s="114"/>
      <c r="D287" s="112"/>
      <c r="E287" s="125"/>
    </row>
    <row r="288" spans="1:5" ht="15.5" x14ac:dyDescent="0.35">
      <c r="A288" s="112" t="s">
        <v>964</v>
      </c>
      <c r="B288" s="113" t="s">
        <v>946</v>
      </c>
      <c r="D288" s="112"/>
      <c r="E288" s="125"/>
    </row>
    <row r="289" spans="1:5" ht="15.5" x14ac:dyDescent="0.35">
      <c r="A289" s="114" t="s">
        <v>985</v>
      </c>
      <c r="B289" s="115">
        <v>5265064.12</v>
      </c>
      <c r="D289" s="112"/>
      <c r="E289" s="125"/>
    </row>
    <row r="290" spans="1:5" ht="15.5" x14ac:dyDescent="0.35">
      <c r="A290" s="114" t="s">
        <v>986</v>
      </c>
      <c r="B290" s="126">
        <v>-2458304.6</v>
      </c>
    </row>
    <row r="291" spans="1:5" ht="15.5" x14ac:dyDescent="0.35">
      <c r="A291" s="114" t="s">
        <v>991</v>
      </c>
      <c r="B291" s="126">
        <v>14710414.789999999</v>
      </c>
    </row>
    <row r="292" spans="1:5" ht="15.5" x14ac:dyDescent="0.35">
      <c r="A292" s="114" t="s">
        <v>992</v>
      </c>
      <c r="B292" s="126">
        <v>0</v>
      </c>
      <c r="D292" s="112"/>
      <c r="E292" s="113"/>
    </row>
    <row r="293" spans="1:5" ht="15.5" x14ac:dyDescent="0.35">
      <c r="A293" s="114" t="s">
        <v>997</v>
      </c>
      <c r="B293" s="126">
        <v>-5235229.17</v>
      </c>
      <c r="D293" s="112"/>
      <c r="E293" s="113"/>
    </row>
    <row r="294" spans="1:5" ht="15.5" x14ac:dyDescent="0.35">
      <c r="A294" s="114" t="s">
        <v>998</v>
      </c>
      <c r="B294" s="126">
        <v>265424.21999999997</v>
      </c>
      <c r="D294" s="112"/>
      <c r="E294" s="113"/>
    </row>
    <row r="295" spans="1:5" ht="15.5" x14ac:dyDescent="0.35">
      <c r="A295" s="112" t="s">
        <v>963</v>
      </c>
      <c r="B295" s="118">
        <f>SUM(B289:B294)</f>
        <v>12547369.359999999</v>
      </c>
    </row>
    <row r="296" spans="1:5" ht="15.5" x14ac:dyDescent="0.35">
      <c r="A296" s="112" t="s">
        <v>942</v>
      </c>
      <c r="B296" s="119">
        <f>B287+B295</f>
        <v>-12031832.579999998</v>
      </c>
    </row>
    <row r="297" spans="1:5" ht="15.5" x14ac:dyDescent="0.35">
      <c r="A297" s="114"/>
      <c r="B297" s="114"/>
    </row>
    <row r="299" spans="1:5" ht="18.5" x14ac:dyDescent="0.45">
      <c r="A299" s="120" t="s">
        <v>918</v>
      </c>
      <c r="B299" s="134">
        <f>B277+B296+E275+E285</f>
        <v>-43917568.979999997</v>
      </c>
    </row>
    <row r="308" spans="1:5" ht="23.5" x14ac:dyDescent="0.55000000000000004">
      <c r="A308" s="166" t="s">
        <v>995</v>
      </c>
      <c r="B308" s="166"/>
      <c r="C308" s="166"/>
    </row>
    <row r="310" spans="1:5" ht="15.5" x14ac:dyDescent="0.35">
      <c r="A310" s="112" t="s">
        <v>945</v>
      </c>
      <c r="B310" s="113" t="s">
        <v>946</v>
      </c>
      <c r="C310" s="114"/>
      <c r="D310" s="112" t="s">
        <v>947</v>
      </c>
      <c r="E310" s="113" t="s">
        <v>948</v>
      </c>
    </row>
    <row r="311" spans="1:5" ht="15.5" x14ac:dyDescent="0.35">
      <c r="A311" s="114" t="s">
        <v>996</v>
      </c>
      <c r="B311" s="126">
        <v>-26795052.690000001</v>
      </c>
      <c r="C311" s="114"/>
      <c r="D311" s="114" t="s">
        <v>996</v>
      </c>
      <c r="E311" s="126">
        <v>-5959672.0999999996</v>
      </c>
    </row>
    <row r="312" spans="1:5" ht="15.5" x14ac:dyDescent="0.35">
      <c r="A312" s="114" t="s">
        <v>1000</v>
      </c>
      <c r="B312" s="122">
        <v>-3262302.1</v>
      </c>
      <c r="C312" s="114"/>
      <c r="D312" s="114" t="s">
        <v>1000</v>
      </c>
      <c r="E312" s="122">
        <v>-501892.63</v>
      </c>
    </row>
    <row r="313" spans="1:5" ht="15.5" x14ac:dyDescent="0.35">
      <c r="A313" s="114" t="s">
        <v>1001</v>
      </c>
      <c r="B313" s="116">
        <v>2452448.15</v>
      </c>
      <c r="C313" s="114"/>
      <c r="D313" s="114" t="s">
        <v>1001</v>
      </c>
      <c r="E313" s="116">
        <v>377299.72</v>
      </c>
    </row>
    <row r="314" spans="1:5" ht="15.5" x14ac:dyDescent="0.35">
      <c r="A314" s="114" t="s">
        <v>1002</v>
      </c>
      <c r="B314" s="116">
        <v>0</v>
      </c>
      <c r="C314" s="114"/>
      <c r="D314" s="114" t="s">
        <v>1002</v>
      </c>
      <c r="E314" s="116">
        <v>0</v>
      </c>
    </row>
    <row r="315" spans="1:5" ht="15.5" x14ac:dyDescent="0.35">
      <c r="A315" s="114" t="s">
        <v>1003</v>
      </c>
      <c r="B315" s="126">
        <v>13953622.199999999</v>
      </c>
      <c r="C315" s="114"/>
      <c r="D315" s="114" t="s">
        <v>1003</v>
      </c>
      <c r="E315" s="126">
        <v>1646986.09</v>
      </c>
    </row>
    <row r="316" spans="1:5" ht="15.5" x14ac:dyDescent="0.35">
      <c r="A316" s="114" t="s">
        <v>1004</v>
      </c>
      <c r="B316" s="126">
        <v>-4486197.84</v>
      </c>
      <c r="C316" s="114"/>
      <c r="D316" s="114" t="s">
        <v>1004</v>
      </c>
      <c r="E316" s="126">
        <v>-690184.28</v>
      </c>
    </row>
    <row r="317" spans="1:5" ht="15.5" x14ac:dyDescent="0.35">
      <c r="A317" s="112" t="s">
        <v>970</v>
      </c>
      <c r="B317" s="132">
        <f>SUM(B311:B316)</f>
        <v>-18137482.280000005</v>
      </c>
      <c r="C317" s="114"/>
      <c r="D317" s="112" t="s">
        <v>918</v>
      </c>
      <c r="E317" s="133">
        <f>SUM(E311:E316)</f>
        <v>-5127463.2</v>
      </c>
    </row>
    <row r="318" spans="1:5" ht="15.5" x14ac:dyDescent="0.35">
      <c r="A318" s="112"/>
      <c r="B318" s="123"/>
      <c r="C318" s="114"/>
      <c r="D318" s="112"/>
      <c r="E318" s="139"/>
    </row>
    <row r="319" spans="1:5" ht="15.5" x14ac:dyDescent="0.35">
      <c r="A319" s="112"/>
      <c r="B319" s="123"/>
      <c r="C319" s="114"/>
      <c r="D319" s="112"/>
      <c r="E319" s="123"/>
    </row>
    <row r="320" spans="1:5" ht="15.5" x14ac:dyDescent="0.35">
      <c r="A320" s="114"/>
      <c r="B320" s="114"/>
      <c r="C320" s="114"/>
      <c r="D320" s="112"/>
      <c r="E320" s="123"/>
    </row>
    <row r="321" spans="1:5" ht="15.5" x14ac:dyDescent="0.35">
      <c r="A321" s="112" t="s">
        <v>956</v>
      </c>
      <c r="B321" s="114"/>
      <c r="C321" s="114"/>
      <c r="D321" s="112" t="s">
        <v>958</v>
      </c>
      <c r="E321" s="113" t="s">
        <v>948</v>
      </c>
    </row>
    <row r="322" spans="1:5" ht="15.5" x14ac:dyDescent="0.35">
      <c r="A322" s="112" t="s">
        <v>957</v>
      </c>
      <c r="B322" s="113" t="s">
        <v>946</v>
      </c>
      <c r="C322" s="114"/>
      <c r="D322" s="114" t="s">
        <v>959</v>
      </c>
      <c r="E322" s="122">
        <v>-75043.41</v>
      </c>
    </row>
    <row r="323" spans="1:5" ht="15.5" x14ac:dyDescent="0.35">
      <c r="A323" s="114" t="s">
        <v>1000</v>
      </c>
      <c r="B323" s="122">
        <v>-1254731.58</v>
      </c>
      <c r="C323" s="114"/>
      <c r="D323" s="114" t="s">
        <v>960</v>
      </c>
      <c r="E323" s="122">
        <v>-107279.39</v>
      </c>
    </row>
    <row r="324" spans="1:5" ht="15.5" x14ac:dyDescent="0.35">
      <c r="A324" s="114" t="s">
        <v>1001</v>
      </c>
      <c r="B324" s="116">
        <v>943249.29</v>
      </c>
      <c r="C324" s="114"/>
      <c r="D324" s="114" t="s">
        <v>961</v>
      </c>
      <c r="E324" s="122">
        <v>-29217.13</v>
      </c>
    </row>
    <row r="325" spans="1:5" ht="15.5" x14ac:dyDescent="0.35">
      <c r="A325" s="114" t="s">
        <v>1002</v>
      </c>
      <c r="B325" s="116">
        <v>0</v>
      </c>
      <c r="C325" s="114"/>
      <c r="D325" s="114" t="s">
        <v>962</v>
      </c>
      <c r="E325" s="122">
        <v>-44318.55</v>
      </c>
    </row>
    <row r="326" spans="1:5" ht="15.5" x14ac:dyDescent="0.35">
      <c r="A326" s="114" t="s">
        <v>1003</v>
      </c>
      <c r="B326" s="126">
        <v>4117465.23</v>
      </c>
      <c r="C326" s="114"/>
      <c r="D326" s="112" t="s">
        <v>918</v>
      </c>
      <c r="E326" s="124">
        <f>SUM(E322:E325)</f>
        <v>-255858.47999999998</v>
      </c>
    </row>
    <row r="327" spans="1:5" ht="15.5" x14ac:dyDescent="0.35">
      <c r="A327" s="114" t="s">
        <v>1004</v>
      </c>
      <c r="B327" s="126">
        <v>-1725460.71</v>
      </c>
      <c r="C327" s="114"/>
      <c r="D327" s="112"/>
      <c r="E327" s="125"/>
    </row>
    <row r="328" spans="1:5" ht="15.5" x14ac:dyDescent="0.35">
      <c r="A328" s="112" t="s">
        <v>963</v>
      </c>
      <c r="B328" s="124">
        <f>SUM(B323:B327)</f>
        <v>2080522.23</v>
      </c>
      <c r="C328" s="114"/>
    </row>
    <row r="329" spans="1:5" ht="15.5" x14ac:dyDescent="0.35">
      <c r="A329" s="112" t="s">
        <v>964</v>
      </c>
      <c r="B329" s="113" t="s">
        <v>946</v>
      </c>
    </row>
    <row r="330" spans="1:5" ht="15.5" x14ac:dyDescent="0.35">
      <c r="A330" s="114" t="s">
        <v>1005</v>
      </c>
      <c r="B330" s="122">
        <v>-3814764.35</v>
      </c>
    </row>
    <row r="331" spans="1:5" ht="15.5" x14ac:dyDescent="0.35">
      <c r="A331" s="114" t="s">
        <v>1006</v>
      </c>
      <c r="B331" s="122">
        <v>-250807.88</v>
      </c>
      <c r="D331" s="112"/>
      <c r="E331" s="125"/>
    </row>
    <row r="332" spans="1:5" ht="15.5" x14ac:dyDescent="0.35">
      <c r="A332" s="114" t="s">
        <v>1007</v>
      </c>
      <c r="B332" s="115">
        <v>1492055.36</v>
      </c>
      <c r="D332" s="112"/>
      <c r="E332" s="125"/>
    </row>
    <row r="333" spans="1:5" ht="15.5" x14ac:dyDescent="0.35">
      <c r="A333" s="114" t="s">
        <v>1008</v>
      </c>
      <c r="B333" s="115">
        <v>0</v>
      </c>
    </row>
    <row r="334" spans="1:5" ht="15.5" x14ac:dyDescent="0.35">
      <c r="A334" s="114" t="s">
        <v>1009</v>
      </c>
      <c r="B334" s="115">
        <v>638699.19999999995</v>
      </c>
    </row>
    <row r="335" spans="1:5" ht="15.5" x14ac:dyDescent="0.35">
      <c r="A335" s="112" t="s">
        <v>963</v>
      </c>
      <c r="B335" s="118">
        <f>SUM(B330:B334)</f>
        <v>-1934817.6700000002</v>
      </c>
      <c r="D335" s="112"/>
      <c r="E335" s="113"/>
    </row>
    <row r="336" spans="1:5" ht="18.5" x14ac:dyDescent="0.45">
      <c r="A336" s="112" t="s">
        <v>942</v>
      </c>
      <c r="B336" s="140">
        <f>B328+B335</f>
        <v>145704.55999999982</v>
      </c>
    </row>
    <row r="337" spans="1:5" ht="15.5" x14ac:dyDescent="0.35">
      <c r="A337" s="114"/>
      <c r="B337" s="114"/>
    </row>
    <row r="339" spans="1:5" ht="18.5" x14ac:dyDescent="0.45">
      <c r="A339" s="120" t="s">
        <v>918</v>
      </c>
      <c r="B339" s="134">
        <f>B317+B336+E317+E326</f>
        <v>-23375099.400000006</v>
      </c>
    </row>
    <row r="345" spans="1:5" ht="23.5" x14ac:dyDescent="0.55000000000000004">
      <c r="A345" s="166" t="s">
        <v>995</v>
      </c>
      <c r="B345" s="166"/>
      <c r="C345" s="166"/>
    </row>
    <row r="347" spans="1:5" ht="15.5" x14ac:dyDescent="0.35">
      <c r="A347" s="112" t="s">
        <v>945</v>
      </c>
      <c r="B347" s="113" t="s">
        <v>946</v>
      </c>
      <c r="C347" s="114"/>
      <c r="D347" s="112" t="s">
        <v>947</v>
      </c>
      <c r="E347" s="113" t="s">
        <v>948</v>
      </c>
    </row>
    <row r="348" spans="1:5" ht="15.5" x14ac:dyDescent="0.35">
      <c r="A348" s="114" t="s">
        <v>996</v>
      </c>
      <c r="B348" s="126">
        <v>-23791345.420000002</v>
      </c>
      <c r="C348" s="114"/>
      <c r="D348" s="114" t="s">
        <v>996</v>
      </c>
      <c r="E348" s="126">
        <v>-5959672.0999999996</v>
      </c>
    </row>
    <row r="349" spans="1:5" ht="15.5" x14ac:dyDescent="0.35">
      <c r="A349" s="114" t="s">
        <v>1000</v>
      </c>
      <c r="B349" s="122">
        <v>-3262302.1</v>
      </c>
      <c r="C349" s="114"/>
      <c r="D349" s="114" t="s">
        <v>1000</v>
      </c>
      <c r="E349" s="122">
        <v>-501892.63</v>
      </c>
    </row>
    <row r="350" spans="1:5" ht="15.5" x14ac:dyDescent="0.35">
      <c r="A350" s="114" t="s">
        <v>1001</v>
      </c>
      <c r="B350" s="116">
        <v>2452448.15</v>
      </c>
      <c r="C350" s="114"/>
      <c r="D350" s="114" t="s">
        <v>1001</v>
      </c>
      <c r="E350" s="116">
        <v>377299.72</v>
      </c>
    </row>
    <row r="351" spans="1:5" ht="15.5" x14ac:dyDescent="0.35">
      <c r="A351" s="114" t="s">
        <v>1002</v>
      </c>
      <c r="B351" s="116">
        <v>0</v>
      </c>
      <c r="C351" s="114"/>
      <c r="D351" s="114" t="s">
        <v>1002</v>
      </c>
      <c r="E351" s="116">
        <v>0</v>
      </c>
    </row>
    <row r="352" spans="1:5" ht="15.5" x14ac:dyDescent="0.35">
      <c r="A352" s="114" t="s">
        <v>1003</v>
      </c>
      <c r="B352" s="126">
        <v>13130129.15</v>
      </c>
      <c r="C352" s="114"/>
      <c r="D352" s="114" t="s">
        <v>1003</v>
      </c>
      <c r="E352" s="126">
        <v>1646986.09</v>
      </c>
    </row>
    <row r="353" spans="1:5" ht="15.5" x14ac:dyDescent="0.35">
      <c r="A353" s="114" t="s">
        <v>1004</v>
      </c>
      <c r="B353" s="126">
        <v>-4486197.84</v>
      </c>
      <c r="C353" s="114"/>
      <c r="D353" s="114" t="s">
        <v>1004</v>
      </c>
      <c r="E353" s="126">
        <v>-690184.28</v>
      </c>
    </row>
    <row r="354" spans="1:5" ht="15.5" x14ac:dyDescent="0.35">
      <c r="A354" s="114" t="s">
        <v>1010</v>
      </c>
      <c r="B354" s="126">
        <v>-20423671.199999999</v>
      </c>
      <c r="C354" s="114"/>
      <c r="D354" s="114" t="s">
        <v>1010</v>
      </c>
      <c r="E354" s="126">
        <v>-3142103.26</v>
      </c>
    </row>
    <row r="355" spans="1:5" ht="15.5" x14ac:dyDescent="0.35">
      <c r="A355" s="112" t="s">
        <v>970</v>
      </c>
      <c r="B355" s="132">
        <f>SUM(B348:B354)</f>
        <v>-36380939.260000005</v>
      </c>
      <c r="C355" s="114"/>
      <c r="D355" s="112" t="s">
        <v>918</v>
      </c>
      <c r="E355" s="133">
        <f>SUM(E348:E354)</f>
        <v>-8269566.46</v>
      </c>
    </row>
    <row r="356" spans="1:5" ht="15.5" x14ac:dyDescent="0.35">
      <c r="A356" s="112"/>
      <c r="B356" s="123"/>
      <c r="C356" s="114"/>
      <c r="D356" s="112"/>
      <c r="E356" s="139"/>
    </row>
    <row r="357" spans="1:5" ht="15.5" x14ac:dyDescent="0.35">
      <c r="A357" s="112"/>
      <c r="B357" s="123"/>
      <c r="C357" s="114"/>
      <c r="D357" s="112"/>
      <c r="E357" s="139"/>
    </row>
    <row r="358" spans="1:5" ht="15.5" x14ac:dyDescent="0.35">
      <c r="A358" s="112"/>
      <c r="B358" s="123"/>
      <c r="C358" s="114"/>
      <c r="D358" s="112"/>
      <c r="E358" s="139"/>
    </row>
    <row r="359" spans="1:5" ht="15.5" x14ac:dyDescent="0.35">
      <c r="A359" s="112"/>
      <c r="B359" s="123"/>
      <c r="C359" s="114"/>
      <c r="D359" s="112"/>
      <c r="E359" s="139"/>
    </row>
    <row r="360" spans="1:5" ht="15.5" x14ac:dyDescent="0.35">
      <c r="A360" s="112"/>
      <c r="B360" s="123"/>
      <c r="C360" s="114"/>
      <c r="D360" s="112"/>
      <c r="E360" s="123"/>
    </row>
    <row r="361" spans="1:5" ht="15.5" x14ac:dyDescent="0.35">
      <c r="A361" s="114"/>
      <c r="B361" s="114"/>
      <c r="C361" s="114"/>
      <c r="D361" s="112"/>
      <c r="E361" s="123"/>
    </row>
    <row r="362" spans="1:5" ht="15.5" x14ac:dyDescent="0.35">
      <c r="A362" s="112" t="s">
        <v>956</v>
      </c>
      <c r="B362" s="114"/>
      <c r="C362" s="114"/>
      <c r="D362" s="112" t="s">
        <v>958</v>
      </c>
      <c r="E362" s="113" t="s">
        <v>948</v>
      </c>
    </row>
    <row r="363" spans="1:5" ht="15.5" x14ac:dyDescent="0.35">
      <c r="A363" s="112" t="s">
        <v>957</v>
      </c>
      <c r="B363" s="113" t="s">
        <v>946</v>
      </c>
      <c r="C363" s="114"/>
      <c r="D363" s="114" t="s">
        <v>959</v>
      </c>
      <c r="E363" s="122">
        <v>-75043.41</v>
      </c>
    </row>
    <row r="364" spans="1:5" ht="15.5" x14ac:dyDescent="0.35">
      <c r="A364" s="114" t="s">
        <v>1000</v>
      </c>
      <c r="B364" s="122">
        <v>-1254731.58</v>
      </c>
      <c r="C364" s="114"/>
      <c r="D364" s="114" t="s">
        <v>960</v>
      </c>
      <c r="E364" s="122">
        <v>-107279.39</v>
      </c>
    </row>
    <row r="365" spans="1:5" ht="15.5" x14ac:dyDescent="0.35">
      <c r="A365" s="114" t="s">
        <v>1001</v>
      </c>
      <c r="B365" s="116">
        <v>1679631.18</v>
      </c>
      <c r="C365" s="114"/>
      <c r="D365" s="114" t="s">
        <v>961</v>
      </c>
      <c r="E365" s="122">
        <v>-29217.13</v>
      </c>
    </row>
    <row r="366" spans="1:5" ht="15.5" x14ac:dyDescent="0.35">
      <c r="A366" s="114" t="s">
        <v>1002</v>
      </c>
      <c r="B366" s="116">
        <v>0</v>
      </c>
      <c r="C366" s="114"/>
      <c r="D366" s="114" t="s">
        <v>962</v>
      </c>
      <c r="E366" s="122">
        <v>-44318.55</v>
      </c>
    </row>
    <row r="367" spans="1:5" ht="15.5" x14ac:dyDescent="0.35">
      <c r="A367" s="114" t="s">
        <v>1003</v>
      </c>
      <c r="B367" s="126">
        <v>4117465.23</v>
      </c>
      <c r="C367" s="114"/>
      <c r="D367" s="112" t="s">
        <v>918</v>
      </c>
      <c r="E367" s="124">
        <f>SUM(E363:E366)</f>
        <v>-255858.47999999998</v>
      </c>
    </row>
    <row r="368" spans="1:5" ht="15.5" x14ac:dyDescent="0.35">
      <c r="A368" s="114" t="s">
        <v>1004</v>
      </c>
      <c r="B368" s="126">
        <v>-1725460.71</v>
      </c>
      <c r="C368" s="114"/>
      <c r="D368" s="112"/>
      <c r="E368" s="125"/>
    </row>
    <row r="369" spans="1:5" ht="15.5" x14ac:dyDescent="0.35">
      <c r="A369" s="114" t="s">
        <v>1011</v>
      </c>
      <c r="B369" s="126">
        <v>-7855258.1500000004</v>
      </c>
      <c r="C369" s="114"/>
      <c r="D369" s="112"/>
      <c r="E369" s="125"/>
    </row>
    <row r="370" spans="1:5" ht="15.5" x14ac:dyDescent="0.35">
      <c r="A370" s="112" t="s">
        <v>963</v>
      </c>
      <c r="B370" s="124">
        <f>SUM(B364:B369)</f>
        <v>-5038354.03</v>
      </c>
      <c r="C370" s="114"/>
    </row>
    <row r="371" spans="1:5" ht="15.5" x14ac:dyDescent="0.35">
      <c r="A371" s="112" t="s">
        <v>964</v>
      </c>
      <c r="B371" s="113" t="s">
        <v>946</v>
      </c>
    </row>
    <row r="372" spans="1:5" ht="15.5" x14ac:dyDescent="0.35">
      <c r="A372" s="114" t="s">
        <v>1005</v>
      </c>
      <c r="B372" s="122">
        <v>-4720224.4800000004</v>
      </c>
    </row>
    <row r="373" spans="1:5" ht="15.5" x14ac:dyDescent="0.35">
      <c r="A373" s="114" t="s">
        <v>1006</v>
      </c>
      <c r="B373" s="122">
        <v>-549439.57999999996</v>
      </c>
      <c r="D373" s="112"/>
      <c r="E373" s="125"/>
    </row>
    <row r="374" spans="1:5" ht="15.5" x14ac:dyDescent="0.35">
      <c r="A374" s="114" t="s">
        <v>1007</v>
      </c>
      <c r="B374" s="115">
        <v>1492055.36</v>
      </c>
      <c r="D374" s="112"/>
      <c r="E374" s="125"/>
    </row>
    <row r="375" spans="1:5" ht="15.5" x14ac:dyDescent="0.35">
      <c r="A375" s="114" t="s">
        <v>1009</v>
      </c>
      <c r="B375" s="115">
        <v>638699.19999999995</v>
      </c>
    </row>
    <row r="376" spans="1:5" ht="15.5" x14ac:dyDescent="0.35">
      <c r="A376" s="114" t="s">
        <v>1012</v>
      </c>
      <c r="B376" s="115">
        <v>3184169.29</v>
      </c>
    </row>
    <row r="377" spans="1:5" ht="15.5" x14ac:dyDescent="0.35">
      <c r="A377" s="112" t="s">
        <v>963</v>
      </c>
      <c r="B377" s="118">
        <f>SUM(B372:B376)</f>
        <v>45259.790000000037</v>
      </c>
      <c r="D377" s="112"/>
      <c r="E377" s="113"/>
    </row>
    <row r="378" spans="1:5" ht="18.5" x14ac:dyDescent="0.45">
      <c r="A378" s="112" t="s">
        <v>942</v>
      </c>
      <c r="B378" s="140">
        <f>B370+B377</f>
        <v>-4993094.24</v>
      </c>
    </row>
    <row r="379" spans="1:5" ht="15.5" x14ac:dyDescent="0.35">
      <c r="A379" s="114"/>
      <c r="B379" s="114"/>
    </row>
    <row r="381" spans="1:5" ht="18.5" x14ac:dyDescent="0.45">
      <c r="A381" s="120" t="s">
        <v>918</v>
      </c>
      <c r="B381" s="134">
        <f>B355+B378+E355+E367</f>
        <v>-49899458.440000005</v>
      </c>
    </row>
    <row r="390" spans="1:5" ht="23.5" x14ac:dyDescent="0.55000000000000004">
      <c r="A390" s="166" t="s">
        <v>995</v>
      </c>
      <c r="B390" s="166"/>
      <c r="C390" s="166"/>
    </row>
    <row r="392" spans="1:5" ht="15.5" x14ac:dyDescent="0.35">
      <c r="A392" s="112" t="s">
        <v>945</v>
      </c>
      <c r="B392" s="113" t="s">
        <v>946</v>
      </c>
      <c r="C392" s="114"/>
      <c r="D392" s="112" t="s">
        <v>947</v>
      </c>
      <c r="E392" s="113" t="s">
        <v>948</v>
      </c>
    </row>
    <row r="393" spans="1:5" ht="15.5" x14ac:dyDescent="0.35">
      <c r="A393" s="114" t="s">
        <v>996</v>
      </c>
      <c r="B393" s="126">
        <v>-23791345.420000002</v>
      </c>
      <c r="C393" s="114"/>
      <c r="D393" s="114" t="s">
        <v>996</v>
      </c>
      <c r="E393" s="126">
        <v>-5959672.0999999996</v>
      </c>
    </row>
    <row r="394" spans="1:5" ht="15.5" x14ac:dyDescent="0.35">
      <c r="A394" s="114" t="s">
        <v>1000</v>
      </c>
      <c r="B394" s="122">
        <v>-3262302.1</v>
      </c>
      <c r="C394" s="114"/>
      <c r="D394" s="114" t="s">
        <v>1000</v>
      </c>
      <c r="E394" s="122">
        <v>-501892.63</v>
      </c>
    </row>
    <row r="395" spans="1:5" ht="15.5" x14ac:dyDescent="0.35">
      <c r="A395" s="114" t="s">
        <v>1001</v>
      </c>
      <c r="B395" s="116">
        <v>2452448.15</v>
      </c>
      <c r="C395" s="114"/>
      <c r="D395" s="114" t="s">
        <v>1001</v>
      </c>
      <c r="E395" s="116">
        <v>377299.72</v>
      </c>
    </row>
    <row r="396" spans="1:5" ht="15.5" x14ac:dyDescent="0.35">
      <c r="A396" s="114" t="s">
        <v>1002</v>
      </c>
      <c r="B396" s="116">
        <v>0</v>
      </c>
      <c r="C396" s="114"/>
      <c r="D396" s="114" t="s">
        <v>1002</v>
      </c>
      <c r="E396" s="116">
        <v>0</v>
      </c>
    </row>
    <row r="397" spans="1:5" ht="15.5" x14ac:dyDescent="0.35">
      <c r="A397" s="114" t="s">
        <v>1003</v>
      </c>
      <c r="B397" s="126">
        <v>13130129.15</v>
      </c>
      <c r="C397" s="114"/>
      <c r="D397" s="114" t="s">
        <v>1003</v>
      </c>
      <c r="E397" s="126">
        <v>1646986.09</v>
      </c>
    </row>
    <row r="398" spans="1:5" ht="15.5" x14ac:dyDescent="0.35">
      <c r="A398" s="114" t="s">
        <v>1004</v>
      </c>
      <c r="B398" s="126">
        <v>-4486197.84</v>
      </c>
      <c r="C398" s="114"/>
      <c r="D398" s="114" t="s">
        <v>1004</v>
      </c>
      <c r="E398" s="126">
        <v>-690184.28</v>
      </c>
    </row>
    <row r="399" spans="1:5" ht="15.5" x14ac:dyDescent="0.35">
      <c r="A399" s="114" t="s">
        <v>1010</v>
      </c>
      <c r="B399" s="126">
        <v>-20423671.199999999</v>
      </c>
      <c r="C399" s="114"/>
      <c r="D399" s="114" t="s">
        <v>1010</v>
      </c>
      <c r="E399" s="126">
        <v>-3142103.26</v>
      </c>
    </row>
    <row r="400" spans="1:5" ht="15.5" x14ac:dyDescent="0.35">
      <c r="A400" s="112" t="s">
        <v>970</v>
      </c>
      <c r="B400" s="132">
        <f>SUM(B393:B399)</f>
        <v>-36380939.260000005</v>
      </c>
      <c r="C400" s="114"/>
      <c r="D400" s="112" t="s">
        <v>918</v>
      </c>
      <c r="E400" s="133">
        <f>SUM(E393:E399)</f>
        <v>-8269566.46</v>
      </c>
    </row>
    <row r="401" spans="1:5" ht="15.5" x14ac:dyDescent="0.35">
      <c r="A401" s="112"/>
      <c r="B401" s="123"/>
      <c r="C401" s="114"/>
      <c r="D401" s="112"/>
      <c r="E401" s="139"/>
    </row>
    <row r="402" spans="1:5" ht="15.5" x14ac:dyDescent="0.35">
      <c r="A402" s="114"/>
      <c r="B402" s="114"/>
      <c r="C402" s="114"/>
      <c r="D402" s="112"/>
      <c r="E402" s="123"/>
    </row>
    <row r="403" spans="1:5" ht="15.5" x14ac:dyDescent="0.35">
      <c r="A403" s="112" t="s">
        <v>956</v>
      </c>
      <c r="B403" s="114"/>
      <c r="C403" s="114"/>
      <c r="D403" s="112" t="s">
        <v>958</v>
      </c>
      <c r="E403" s="113" t="s">
        <v>948</v>
      </c>
    </row>
    <row r="404" spans="1:5" ht="15.5" x14ac:dyDescent="0.35">
      <c r="A404" s="112" t="s">
        <v>957</v>
      </c>
      <c r="B404" s="113" t="s">
        <v>946</v>
      </c>
      <c r="C404" s="114"/>
      <c r="D404" s="114" t="s">
        <v>959</v>
      </c>
      <c r="E404" s="122">
        <v>-75043.41</v>
      </c>
    </row>
    <row r="405" spans="1:5" ht="15.5" x14ac:dyDescent="0.35">
      <c r="A405" s="114" t="s">
        <v>1000</v>
      </c>
      <c r="B405" s="122">
        <v>-1254731.58</v>
      </c>
      <c r="C405" s="114"/>
      <c r="D405" s="114" t="s">
        <v>960</v>
      </c>
      <c r="E405" s="122">
        <v>-107279.39</v>
      </c>
    </row>
    <row r="406" spans="1:5" ht="15.5" x14ac:dyDescent="0.35">
      <c r="A406" s="114" t="s">
        <v>1001</v>
      </c>
      <c r="B406" s="116">
        <v>1679631.18</v>
      </c>
      <c r="C406" s="114"/>
      <c r="D406" s="114" t="s">
        <v>961</v>
      </c>
      <c r="E406" s="122">
        <v>-29217.13</v>
      </c>
    </row>
    <row r="407" spans="1:5" ht="15.5" x14ac:dyDescent="0.35">
      <c r="A407" s="114" t="s">
        <v>1002</v>
      </c>
      <c r="B407" s="116">
        <v>0</v>
      </c>
      <c r="C407" s="114"/>
      <c r="D407" s="114" t="s">
        <v>962</v>
      </c>
      <c r="E407" s="122">
        <v>-44318.55</v>
      </c>
    </row>
    <row r="408" spans="1:5" ht="15.5" x14ac:dyDescent="0.35">
      <c r="A408" s="114" t="s">
        <v>1003</v>
      </c>
      <c r="B408" s="126">
        <v>4117465.23</v>
      </c>
      <c r="C408" s="114"/>
      <c r="D408" s="112" t="s">
        <v>918</v>
      </c>
      <c r="E408" s="124">
        <f>SUM(E404:E407)</f>
        <v>-255858.47999999998</v>
      </c>
    </row>
    <row r="409" spans="1:5" ht="15.5" x14ac:dyDescent="0.35">
      <c r="A409" s="114" t="s">
        <v>1004</v>
      </c>
      <c r="B409" s="126">
        <v>-1725460.71</v>
      </c>
      <c r="C409" s="114"/>
      <c r="D409" s="112"/>
      <c r="E409" s="125"/>
    </row>
    <row r="410" spans="1:5" ht="15.5" x14ac:dyDescent="0.35">
      <c r="A410" s="114" t="s">
        <v>1011</v>
      </c>
      <c r="B410" s="126">
        <v>-7855258.1500000004</v>
      </c>
      <c r="C410" s="114"/>
      <c r="D410" s="112"/>
      <c r="E410" s="125"/>
    </row>
    <row r="411" spans="1:5" ht="15.5" x14ac:dyDescent="0.35">
      <c r="A411" s="112" t="s">
        <v>963</v>
      </c>
      <c r="B411" s="124">
        <f>SUM(B405:B410)</f>
        <v>-5038354.03</v>
      </c>
      <c r="C411" s="114"/>
    </row>
    <row r="412" spans="1:5" ht="15.5" x14ac:dyDescent="0.35">
      <c r="A412" s="112" t="s">
        <v>964</v>
      </c>
      <c r="B412" s="113" t="s">
        <v>946</v>
      </c>
    </row>
    <row r="413" spans="1:5" ht="15.5" x14ac:dyDescent="0.35">
      <c r="A413" s="114" t="s">
        <v>1005</v>
      </c>
      <c r="B413" s="122">
        <v>-4720224.4800000004</v>
      </c>
    </row>
    <row r="414" spans="1:5" ht="15.5" x14ac:dyDescent="0.35">
      <c r="A414" s="114" t="s">
        <v>1006</v>
      </c>
      <c r="B414" s="122">
        <v>-549439.57999999996</v>
      </c>
      <c r="D414" s="112"/>
      <c r="E414" s="125"/>
    </row>
    <row r="415" spans="1:5" ht="15.5" x14ac:dyDescent="0.35">
      <c r="A415" s="114" t="s">
        <v>1007</v>
      </c>
      <c r="B415" s="115">
        <v>1492055.36</v>
      </c>
      <c r="D415" s="112"/>
      <c r="E415" s="125"/>
    </row>
    <row r="416" spans="1:5" ht="15.5" x14ac:dyDescent="0.35">
      <c r="A416" s="114" t="s">
        <v>1009</v>
      </c>
      <c r="B416" s="115">
        <v>638699.19999999995</v>
      </c>
    </row>
    <row r="417" spans="1:5" ht="15.5" x14ac:dyDescent="0.35">
      <c r="A417" s="114" t="s">
        <v>1012</v>
      </c>
      <c r="B417" s="115">
        <v>3184169.29</v>
      </c>
    </row>
    <row r="418" spans="1:5" ht="15.5" x14ac:dyDescent="0.35">
      <c r="A418" s="112" t="s">
        <v>963</v>
      </c>
      <c r="B418" s="118">
        <f>SUM(B413:B417)</f>
        <v>45259.790000000037</v>
      </c>
      <c r="D418" s="112"/>
      <c r="E418" s="113"/>
    </row>
    <row r="419" spans="1:5" ht="18.5" x14ac:dyDescent="0.45">
      <c r="A419" s="112" t="s">
        <v>942</v>
      </c>
      <c r="B419" s="140">
        <f>B411+B418</f>
        <v>-4993094.24</v>
      </c>
    </row>
    <row r="420" spans="1:5" ht="15.5" x14ac:dyDescent="0.35">
      <c r="A420" s="114"/>
      <c r="B420" s="114"/>
    </row>
    <row r="422" spans="1:5" ht="18.5" x14ac:dyDescent="0.45">
      <c r="A422" s="120" t="s">
        <v>918</v>
      </c>
      <c r="B422" s="134">
        <f>B400+B419+E400+E408</f>
        <v>-49899458.440000005</v>
      </c>
    </row>
    <row r="430" spans="1:5" ht="23.5" x14ac:dyDescent="0.55000000000000004">
      <c r="A430" s="166" t="s">
        <v>1013</v>
      </c>
      <c r="B430" s="166"/>
      <c r="C430" s="166"/>
    </row>
    <row r="432" spans="1:5" ht="15.5" x14ac:dyDescent="0.35">
      <c r="A432" s="112" t="s">
        <v>945</v>
      </c>
      <c r="B432" s="113" t="s">
        <v>946</v>
      </c>
      <c r="C432" s="114"/>
      <c r="D432" s="112" t="s">
        <v>947</v>
      </c>
      <c r="E432" s="113" t="s">
        <v>948</v>
      </c>
    </row>
    <row r="433" spans="1:5" ht="15.5" x14ac:dyDescent="0.35">
      <c r="A433" s="114" t="s">
        <v>996</v>
      </c>
      <c r="B433" s="126">
        <v>-23791345.420000002</v>
      </c>
      <c r="C433" s="114"/>
      <c r="D433" s="114" t="s">
        <v>1010</v>
      </c>
      <c r="E433" s="126">
        <v>-3142103.26</v>
      </c>
    </row>
    <row r="434" spans="1:5" ht="15.5" x14ac:dyDescent="0.35">
      <c r="A434" s="114" t="s">
        <v>1000</v>
      </c>
      <c r="B434" s="122">
        <v>-3262302.1</v>
      </c>
      <c r="C434" s="114"/>
      <c r="D434" s="112" t="s">
        <v>918</v>
      </c>
      <c r="E434" s="133">
        <f>SUM(E433:E433)</f>
        <v>-3142103.26</v>
      </c>
    </row>
    <row r="435" spans="1:5" ht="15.5" x14ac:dyDescent="0.35">
      <c r="A435" s="114" t="s">
        <v>1001</v>
      </c>
      <c r="B435" s="116">
        <v>2452448.15</v>
      </c>
      <c r="C435" s="114"/>
      <c r="D435" s="112"/>
      <c r="E435" s="139"/>
    </row>
    <row r="436" spans="1:5" ht="15.5" x14ac:dyDescent="0.35">
      <c r="A436" s="114" t="s">
        <v>1002</v>
      </c>
      <c r="B436" s="116">
        <v>0</v>
      </c>
      <c r="C436" s="114"/>
      <c r="D436" s="112"/>
      <c r="E436" s="123"/>
    </row>
    <row r="437" spans="1:5" ht="15.5" x14ac:dyDescent="0.35">
      <c r="A437" s="114" t="s">
        <v>1003</v>
      </c>
      <c r="B437" s="126">
        <v>10705409.59</v>
      </c>
      <c r="C437" s="114"/>
      <c r="D437" s="112" t="s">
        <v>958</v>
      </c>
      <c r="E437" s="113" t="s">
        <v>948</v>
      </c>
    </row>
    <row r="438" spans="1:5" ht="15.5" x14ac:dyDescent="0.35">
      <c r="A438" s="114" t="s">
        <v>1004</v>
      </c>
      <c r="B438" s="126">
        <v>-4486197.84</v>
      </c>
      <c r="C438" s="114"/>
      <c r="D438" s="114" t="s">
        <v>959</v>
      </c>
      <c r="E438" s="122">
        <v>-75043.41</v>
      </c>
    </row>
    <row r="439" spans="1:5" ht="15.5" x14ac:dyDescent="0.35">
      <c r="A439" s="114" t="s">
        <v>1010</v>
      </c>
      <c r="B439" s="126">
        <v>-20423671.199999999</v>
      </c>
      <c r="C439" s="114"/>
      <c r="D439" s="114" t="s">
        <v>960</v>
      </c>
      <c r="E439" s="122">
        <v>-107279.39</v>
      </c>
    </row>
    <row r="440" spans="1:5" ht="15.5" x14ac:dyDescent="0.35">
      <c r="A440" s="112" t="s">
        <v>970</v>
      </c>
      <c r="B440" s="132">
        <f>SUM(B433:B439)</f>
        <v>-38805658.820000008</v>
      </c>
      <c r="C440" s="114"/>
      <c r="D440" s="114" t="s">
        <v>961</v>
      </c>
      <c r="E440" s="122">
        <v>-29217.13</v>
      </c>
    </row>
    <row r="441" spans="1:5" ht="15.5" x14ac:dyDescent="0.35">
      <c r="A441" s="112"/>
      <c r="B441" s="123"/>
      <c r="C441" s="114"/>
      <c r="D441" s="114" t="s">
        <v>962</v>
      </c>
      <c r="E441" s="122">
        <v>-44318.55</v>
      </c>
    </row>
    <row r="442" spans="1:5" ht="15.5" x14ac:dyDescent="0.35">
      <c r="A442" s="114"/>
      <c r="B442" s="114"/>
      <c r="C442" s="114"/>
      <c r="D442" s="112" t="s">
        <v>918</v>
      </c>
      <c r="E442" s="124">
        <f>SUM(E438:E441)</f>
        <v>-255858.47999999998</v>
      </c>
    </row>
    <row r="443" spans="1:5" ht="15.5" x14ac:dyDescent="0.35">
      <c r="A443" s="112" t="s">
        <v>956</v>
      </c>
      <c r="B443" s="114"/>
      <c r="C443" s="114"/>
      <c r="D443" s="112"/>
      <c r="E443" s="125"/>
    </row>
    <row r="444" spans="1:5" ht="15.5" x14ac:dyDescent="0.35">
      <c r="A444" s="112" t="s">
        <v>957</v>
      </c>
      <c r="B444" s="113" t="s">
        <v>946</v>
      </c>
      <c r="C444" s="114"/>
      <c r="D444" s="112"/>
      <c r="E444" s="125"/>
    </row>
    <row r="445" spans="1:5" ht="15.5" x14ac:dyDescent="0.35">
      <c r="A445" s="114"/>
      <c r="B445" s="122"/>
      <c r="C445" s="114"/>
    </row>
    <row r="446" spans="1:5" ht="15.5" x14ac:dyDescent="0.35">
      <c r="A446" s="114"/>
      <c r="B446" s="126"/>
      <c r="C446" s="114"/>
      <c r="D446" s="112"/>
      <c r="E446" s="125"/>
    </row>
    <row r="447" spans="1:5" ht="15.5" x14ac:dyDescent="0.35">
      <c r="A447" s="114"/>
      <c r="B447" s="126"/>
      <c r="C447" s="114"/>
    </row>
    <row r="448" spans="1:5" ht="15.5" x14ac:dyDescent="0.35">
      <c r="A448" s="112"/>
      <c r="B448" s="124"/>
      <c r="C448" s="114"/>
    </row>
    <row r="449" spans="1:5" ht="15.5" x14ac:dyDescent="0.35">
      <c r="A449" s="112" t="s">
        <v>964</v>
      </c>
      <c r="B449" s="113" t="s">
        <v>946</v>
      </c>
      <c r="D449" s="112"/>
      <c r="E449" s="113"/>
    </row>
    <row r="450" spans="1:5" ht="15.5" x14ac:dyDescent="0.35">
      <c r="A450" s="114"/>
      <c r="B450" s="122"/>
    </row>
    <row r="451" spans="1:5" ht="15.5" x14ac:dyDescent="0.35">
      <c r="A451" s="114"/>
      <c r="B451" s="115"/>
    </row>
    <row r="452" spans="1:5" ht="15.5" x14ac:dyDescent="0.35">
      <c r="A452" s="114"/>
      <c r="B452" s="115"/>
    </row>
    <row r="453" spans="1:5" ht="15.5" x14ac:dyDescent="0.35">
      <c r="A453" s="112"/>
      <c r="B453" s="118"/>
    </row>
    <row r="454" spans="1:5" ht="18.5" x14ac:dyDescent="0.45">
      <c r="A454" s="112"/>
      <c r="B454" s="140"/>
    </row>
    <row r="455" spans="1:5" ht="15.5" x14ac:dyDescent="0.35">
      <c r="A455" s="114"/>
      <c r="B455" s="114"/>
    </row>
    <row r="457" spans="1:5" ht="18.5" x14ac:dyDescent="0.45">
      <c r="A457" s="120" t="s">
        <v>918</v>
      </c>
      <c r="B457" s="134">
        <f>B440+B454+E434+E442</f>
        <v>-42203620.560000002</v>
      </c>
    </row>
    <row r="462" spans="1:5" ht="23.5" x14ac:dyDescent="0.55000000000000004">
      <c r="A462" s="166" t="s">
        <v>1013</v>
      </c>
      <c r="B462" s="166"/>
      <c r="C462" s="166"/>
    </row>
    <row r="464" spans="1:5" ht="15.5" x14ac:dyDescent="0.35">
      <c r="A464" s="112" t="s">
        <v>945</v>
      </c>
      <c r="B464" s="113" t="s">
        <v>946</v>
      </c>
      <c r="C464" s="114"/>
      <c r="D464" s="112" t="s">
        <v>947</v>
      </c>
      <c r="E464" s="113" t="s">
        <v>948</v>
      </c>
    </row>
    <row r="465" spans="1:5" ht="15.5" x14ac:dyDescent="0.35">
      <c r="A465" s="114" t="s">
        <v>1000</v>
      </c>
      <c r="B465" s="122">
        <v>-1254731.57</v>
      </c>
      <c r="C465" s="114"/>
      <c r="D465" s="114" t="s">
        <v>1014</v>
      </c>
      <c r="E465" s="126">
        <v>409500</v>
      </c>
    </row>
    <row r="466" spans="1:5" ht="15.5" x14ac:dyDescent="0.35">
      <c r="A466" s="114" t="s">
        <v>1001</v>
      </c>
      <c r="B466" s="116">
        <v>1311440.23</v>
      </c>
      <c r="C466" s="114"/>
      <c r="D466" s="112" t="s">
        <v>918</v>
      </c>
      <c r="E466" s="133">
        <f>SUM(E465:E465)</f>
        <v>409500</v>
      </c>
    </row>
    <row r="467" spans="1:5" ht="15.5" x14ac:dyDescent="0.35">
      <c r="A467" s="114" t="s">
        <v>1002</v>
      </c>
      <c r="B467" s="116">
        <v>5668410.0999999996</v>
      </c>
      <c r="C467" s="114"/>
      <c r="D467" s="112"/>
      <c r="E467" s="139"/>
    </row>
    <row r="468" spans="1:5" ht="15.5" x14ac:dyDescent="0.35">
      <c r="A468" s="114" t="s">
        <v>1003</v>
      </c>
      <c r="B468" s="126">
        <v>4895198.71</v>
      </c>
      <c r="C468" s="114"/>
      <c r="D468" s="112"/>
      <c r="E468" s="123"/>
    </row>
    <row r="469" spans="1:5" ht="15.5" x14ac:dyDescent="0.35">
      <c r="A469" s="114" t="s">
        <v>1004</v>
      </c>
      <c r="B469" s="126">
        <v>-1035276.43</v>
      </c>
      <c r="C469" s="114"/>
      <c r="D469" s="112" t="s">
        <v>958</v>
      </c>
      <c r="E469" s="113" t="s">
        <v>948</v>
      </c>
    </row>
    <row r="470" spans="1:5" ht="15.5" x14ac:dyDescent="0.35">
      <c r="A470" s="114" t="s">
        <v>1010</v>
      </c>
      <c r="B470" s="126">
        <v>-4713154.9000000004</v>
      </c>
      <c r="C470" s="114"/>
      <c r="D470" s="114" t="s">
        <v>959</v>
      </c>
      <c r="E470" s="122">
        <v>-75043.41</v>
      </c>
    </row>
    <row r="471" spans="1:5" ht="15.5" x14ac:dyDescent="0.35">
      <c r="A471" s="114" t="s">
        <v>1015</v>
      </c>
      <c r="B471" s="126">
        <v>-522297.58</v>
      </c>
      <c r="C471" s="114"/>
      <c r="D471" s="114" t="s">
        <v>960</v>
      </c>
      <c r="E471" s="122">
        <v>-107279.39</v>
      </c>
    </row>
    <row r="472" spans="1:5" ht="15.5" x14ac:dyDescent="0.35">
      <c r="A472" s="114" t="s">
        <v>1016</v>
      </c>
      <c r="B472" s="126">
        <v>7926298.3799999999</v>
      </c>
      <c r="C472" s="114"/>
      <c r="D472" s="114" t="s">
        <v>961</v>
      </c>
      <c r="E472" s="122">
        <v>-29217.13</v>
      </c>
    </row>
    <row r="473" spans="1:5" ht="15.5" x14ac:dyDescent="0.35">
      <c r="A473" s="114" t="s">
        <v>1017</v>
      </c>
      <c r="B473" s="126">
        <v>-6023643.1299999999</v>
      </c>
      <c r="C473" s="114"/>
      <c r="D473" s="114" t="s">
        <v>962</v>
      </c>
      <c r="E473" s="122">
        <v>-44318.55</v>
      </c>
    </row>
    <row r="474" spans="1:5" ht="15.5" x14ac:dyDescent="0.35">
      <c r="A474" s="114" t="s">
        <v>1018</v>
      </c>
      <c r="B474" s="126">
        <v>-12270649.17</v>
      </c>
      <c r="C474" s="114"/>
      <c r="D474" s="112" t="s">
        <v>918</v>
      </c>
      <c r="E474" s="124">
        <f>SUM(E470:E473)</f>
        <v>-255858.47999999998</v>
      </c>
    </row>
    <row r="475" spans="1:5" ht="15.5" x14ac:dyDescent="0.35">
      <c r="A475" s="114" t="s">
        <v>1019</v>
      </c>
      <c r="B475" s="126">
        <v>3230791.56</v>
      </c>
      <c r="C475" s="114"/>
      <c r="D475" s="112"/>
      <c r="E475" s="125"/>
    </row>
    <row r="476" spans="1:5" ht="15.5" x14ac:dyDescent="0.35">
      <c r="A476" s="114" t="s">
        <v>1020</v>
      </c>
      <c r="B476" s="126">
        <v>9294370.75</v>
      </c>
      <c r="C476" s="114"/>
      <c r="D476" s="112"/>
      <c r="E476" s="113"/>
    </row>
    <row r="477" spans="1:5" ht="15.5" x14ac:dyDescent="0.35">
      <c r="A477" s="114" t="s">
        <v>1021</v>
      </c>
      <c r="B477" s="126">
        <v>13666897.699999999</v>
      </c>
      <c r="C477" s="114"/>
    </row>
    <row r="478" spans="1:5" ht="15.5" x14ac:dyDescent="0.35">
      <c r="A478" s="114" t="s">
        <v>1014</v>
      </c>
      <c r="B478" s="126">
        <v>2661750</v>
      </c>
      <c r="C478" s="114"/>
    </row>
    <row r="479" spans="1:5" ht="15.5" x14ac:dyDescent="0.35">
      <c r="A479" s="112" t="s">
        <v>970</v>
      </c>
      <c r="B479" s="132">
        <f>SUM(B465:B478)</f>
        <v>22835404.649999999</v>
      </c>
      <c r="C479" s="114"/>
    </row>
    <row r="480" spans="1:5" ht="15.5" x14ac:dyDescent="0.35">
      <c r="A480" s="112"/>
      <c r="B480" s="123"/>
    </row>
    <row r="481" spans="1:2" ht="15.5" x14ac:dyDescent="0.35">
      <c r="A481" s="112" t="s">
        <v>956</v>
      </c>
      <c r="B481" s="114"/>
    </row>
    <row r="482" spans="1:2" ht="15.5" x14ac:dyDescent="0.35">
      <c r="A482" s="112" t="s">
        <v>957</v>
      </c>
      <c r="B482" s="113" t="s">
        <v>946</v>
      </c>
    </row>
    <row r="483" spans="1:2" ht="15.5" x14ac:dyDescent="0.35">
      <c r="A483" s="114" t="s">
        <v>1021</v>
      </c>
      <c r="B483" s="126">
        <v>5256499.12</v>
      </c>
    </row>
    <row r="484" spans="1:2" ht="15.5" x14ac:dyDescent="0.35">
      <c r="A484" s="114" t="s">
        <v>1014</v>
      </c>
      <c r="B484" s="126">
        <v>1023750</v>
      </c>
    </row>
    <row r="485" spans="1:2" ht="15.5" x14ac:dyDescent="0.35">
      <c r="A485" s="114"/>
      <c r="B485" s="124">
        <f>SUM(B483:B484)</f>
        <v>6280249.1200000001</v>
      </c>
    </row>
    <row r="486" spans="1:2" ht="15.5" x14ac:dyDescent="0.35">
      <c r="A486" s="112"/>
      <c r="B486" s="125"/>
    </row>
    <row r="487" spans="1:2" ht="15.5" x14ac:dyDescent="0.35">
      <c r="A487" s="112" t="s">
        <v>964</v>
      </c>
      <c r="B487" s="113" t="s">
        <v>946</v>
      </c>
    </row>
    <row r="488" spans="1:2" ht="15.5" x14ac:dyDescent="0.35">
      <c r="A488" s="114" t="s">
        <v>1022</v>
      </c>
      <c r="B488" s="126">
        <v>4613976.78</v>
      </c>
    </row>
    <row r="489" spans="1:2" ht="15.5" x14ac:dyDescent="0.35">
      <c r="A489" s="114" t="s">
        <v>1023</v>
      </c>
      <c r="B489" s="126">
        <v>1913628.3</v>
      </c>
    </row>
    <row r="490" spans="1:2" ht="15.5" x14ac:dyDescent="0.35">
      <c r="A490" s="112"/>
      <c r="B490" s="118">
        <f>SUM(B488:B489)</f>
        <v>6527605.0800000001</v>
      </c>
    </row>
    <row r="491" spans="1:2" ht="18.5" x14ac:dyDescent="0.45">
      <c r="B491" s="140"/>
    </row>
    <row r="492" spans="1:2" ht="18.5" x14ac:dyDescent="0.45">
      <c r="A492" s="120" t="s">
        <v>918</v>
      </c>
      <c r="B492" s="134">
        <f>B479+E466+B485+B490+E474</f>
        <v>35796900.370000005</v>
      </c>
    </row>
    <row r="493" spans="1:2" ht="18.5" x14ac:dyDescent="0.45">
      <c r="A493" s="120"/>
      <c r="B493" s="134"/>
    </row>
    <row r="494" spans="1:2" ht="18.5" x14ac:dyDescent="0.45">
      <c r="A494" s="120"/>
      <c r="B494" s="134"/>
    </row>
    <row r="495" spans="1:2" ht="18.5" x14ac:dyDescent="0.45">
      <c r="A495" s="120"/>
      <c r="B495" s="134"/>
    </row>
    <row r="496" spans="1:2" ht="18.5" x14ac:dyDescent="0.45">
      <c r="A496" s="120"/>
      <c r="B496" s="134"/>
    </row>
    <row r="498" spans="1:7" ht="23.5" x14ac:dyDescent="0.55000000000000004">
      <c r="A498" s="110" t="s">
        <v>1024</v>
      </c>
      <c r="B498" s="111"/>
      <c r="C498" s="111"/>
      <c r="D498" s="111"/>
      <c r="E498" s="111"/>
    </row>
    <row r="499" spans="1:7" x14ac:dyDescent="0.35">
      <c r="A499" s="111"/>
      <c r="B499" s="111"/>
      <c r="C499" s="111"/>
      <c r="D499" s="111"/>
      <c r="E499" s="111"/>
    </row>
    <row r="500" spans="1:7" ht="21" x14ac:dyDescent="0.5">
      <c r="A500" s="112" t="s">
        <v>945</v>
      </c>
      <c r="B500" s="113" t="s">
        <v>946</v>
      </c>
      <c r="C500" s="114"/>
      <c r="D500" s="112" t="s">
        <v>947</v>
      </c>
      <c r="E500" s="113" t="s">
        <v>948</v>
      </c>
      <c r="F500" s="75" t="s">
        <v>1025</v>
      </c>
      <c r="G500" s="75"/>
    </row>
    <row r="501" spans="1:7" ht="16" thickBot="1" x14ac:dyDescent="0.4">
      <c r="A501" s="114" t="s">
        <v>1000</v>
      </c>
      <c r="B501" s="122">
        <v>-1254731.57</v>
      </c>
      <c r="C501" s="114"/>
      <c r="D501" s="114" t="s">
        <v>1026</v>
      </c>
      <c r="E501" s="116">
        <v>409500</v>
      </c>
      <c r="F501" s="141">
        <v>904.79</v>
      </c>
    </row>
    <row r="502" spans="1:7" ht="16" thickBot="1" x14ac:dyDescent="0.4">
      <c r="A502" s="114" t="s">
        <v>1001</v>
      </c>
      <c r="B502" s="116">
        <v>1311440.23</v>
      </c>
      <c r="C502" s="114"/>
      <c r="D502" s="114" t="s">
        <v>942</v>
      </c>
      <c r="E502" s="117">
        <f>SUM(E501:E501)</f>
        <v>409500</v>
      </c>
      <c r="F502" s="142">
        <v>904.79</v>
      </c>
    </row>
    <row r="503" spans="1:7" ht="15.5" x14ac:dyDescent="0.35">
      <c r="A503" s="114" t="s">
        <v>1002</v>
      </c>
      <c r="B503" s="116">
        <v>5668410.0999999996</v>
      </c>
      <c r="C503" s="114"/>
      <c r="D503" s="114"/>
      <c r="E503" s="115"/>
    </row>
    <row r="504" spans="1:7" ht="15.5" x14ac:dyDescent="0.35">
      <c r="A504" s="114" t="s">
        <v>1003</v>
      </c>
      <c r="B504" s="126">
        <v>4895198.71</v>
      </c>
      <c r="C504" s="114"/>
    </row>
    <row r="505" spans="1:7" ht="15.5" x14ac:dyDescent="0.35">
      <c r="A505" s="114" t="s">
        <v>1004</v>
      </c>
      <c r="B505" s="126">
        <v>-1035276.43</v>
      </c>
      <c r="C505" s="114"/>
    </row>
    <row r="506" spans="1:7" ht="15.5" x14ac:dyDescent="0.35">
      <c r="A506" s="114" t="s">
        <v>1010</v>
      </c>
      <c r="B506" s="126">
        <v>-4713154.9000000004</v>
      </c>
      <c r="C506" s="114"/>
      <c r="D506" s="112" t="s">
        <v>958</v>
      </c>
      <c r="E506" s="113" t="s">
        <v>948</v>
      </c>
    </row>
    <row r="507" spans="1:7" ht="15.5" x14ac:dyDescent="0.35">
      <c r="A507" s="114" t="s">
        <v>1015</v>
      </c>
      <c r="B507" s="126">
        <v>-522297.58</v>
      </c>
      <c r="D507" s="114" t="s">
        <v>959</v>
      </c>
      <c r="E507" s="122">
        <v>-75043.41</v>
      </c>
    </row>
    <row r="508" spans="1:7" ht="15.5" x14ac:dyDescent="0.35">
      <c r="A508" s="114" t="s">
        <v>1016</v>
      </c>
      <c r="B508" s="126">
        <v>7926298.3799999999</v>
      </c>
      <c r="D508" s="114" t="s">
        <v>960</v>
      </c>
      <c r="E508" s="122">
        <v>-107279.39</v>
      </c>
    </row>
    <row r="509" spans="1:7" ht="15.5" x14ac:dyDescent="0.35">
      <c r="A509" s="114" t="s">
        <v>1017</v>
      </c>
      <c r="B509" s="126">
        <v>-6023643.1299999999</v>
      </c>
      <c r="D509" s="114" t="s">
        <v>961</v>
      </c>
      <c r="E509" s="122">
        <v>-29217.13</v>
      </c>
    </row>
    <row r="510" spans="1:7" ht="15.5" x14ac:dyDescent="0.35">
      <c r="A510" s="114" t="s">
        <v>1018</v>
      </c>
      <c r="B510" s="126">
        <v>-12270649.17</v>
      </c>
      <c r="D510" s="114" t="s">
        <v>962</v>
      </c>
      <c r="E510" s="122">
        <v>-44318.55</v>
      </c>
    </row>
    <row r="511" spans="1:7" ht="15.5" x14ac:dyDescent="0.35">
      <c r="A511" s="114" t="s">
        <v>1019</v>
      </c>
      <c r="B511" s="126">
        <v>3230791.56</v>
      </c>
      <c r="D511" s="112" t="s">
        <v>918</v>
      </c>
      <c r="E511" s="124">
        <f>SUM(E507:E510)</f>
        <v>-255858.47999999998</v>
      </c>
    </row>
    <row r="512" spans="1:7" ht="15.5" x14ac:dyDescent="0.35">
      <c r="A512" s="114" t="s">
        <v>1027</v>
      </c>
      <c r="B512" s="116">
        <v>13666897.699999999</v>
      </c>
    </row>
    <row r="513" spans="1:4" ht="15.5" x14ac:dyDescent="0.35">
      <c r="A513" s="114" t="s">
        <v>1026</v>
      </c>
      <c r="B513" s="126">
        <v>2661750</v>
      </c>
    </row>
    <row r="514" spans="1:4" ht="15.5" x14ac:dyDescent="0.35">
      <c r="A514" s="114" t="s">
        <v>942</v>
      </c>
      <c r="B514" s="118">
        <f>SUM(B501:B513)</f>
        <v>13541033.899999997</v>
      </c>
    </row>
    <row r="515" spans="1:4" ht="15.5" x14ac:dyDescent="0.35">
      <c r="A515" s="114"/>
      <c r="B515" s="116"/>
    </row>
    <row r="516" spans="1:4" ht="15.5" x14ac:dyDescent="0.35">
      <c r="A516" s="114"/>
      <c r="B516" s="116"/>
    </row>
    <row r="517" spans="1:4" ht="15.5" x14ac:dyDescent="0.35">
      <c r="A517" s="114"/>
      <c r="B517" s="116"/>
    </row>
    <row r="518" spans="1:4" ht="21" x14ac:dyDescent="0.5">
      <c r="A518" s="112" t="s">
        <v>956</v>
      </c>
      <c r="B518" s="143" t="s">
        <v>1028</v>
      </c>
      <c r="C518" s="75" t="s">
        <v>1025</v>
      </c>
      <c r="D518" s="75"/>
    </row>
    <row r="519" spans="1:4" ht="15.5" x14ac:dyDescent="0.35">
      <c r="A519" s="114" t="s">
        <v>1021</v>
      </c>
      <c r="B519" s="126">
        <v>5256499.12</v>
      </c>
      <c r="C519" s="144">
        <v>11614.26</v>
      </c>
    </row>
    <row r="520" spans="1:4" ht="16" thickBot="1" x14ac:dyDescent="0.4">
      <c r="A520" s="114" t="s">
        <v>1014</v>
      </c>
      <c r="B520" s="126">
        <v>1023750</v>
      </c>
      <c r="C520" s="145">
        <v>2261.98</v>
      </c>
    </row>
    <row r="521" spans="1:4" ht="16" thickBot="1" x14ac:dyDescent="0.4">
      <c r="A521" s="112"/>
      <c r="B521" s="137">
        <f>SUM(B519:B520)</f>
        <v>6280249.1200000001</v>
      </c>
      <c r="C521" s="146">
        <f>SUM(C519:C520)</f>
        <v>13876.24</v>
      </c>
    </row>
    <row r="522" spans="1:4" ht="15.5" x14ac:dyDescent="0.35">
      <c r="A522" s="112"/>
      <c r="B522" s="138"/>
    </row>
    <row r="523" spans="1:4" ht="15.5" x14ac:dyDescent="0.35">
      <c r="A523" s="112"/>
      <c r="B523" s="138"/>
    </row>
    <row r="524" spans="1:4" ht="21" x14ac:dyDescent="0.5">
      <c r="A524" s="112" t="s">
        <v>964</v>
      </c>
      <c r="B524" s="113" t="s">
        <v>946</v>
      </c>
      <c r="C524" s="75" t="s">
        <v>1025</v>
      </c>
      <c r="D524" s="75"/>
    </row>
    <row r="525" spans="1:4" ht="15.5" x14ac:dyDescent="0.35">
      <c r="A525" s="114" t="s">
        <v>1022</v>
      </c>
      <c r="B525" s="126">
        <v>4613976.78</v>
      </c>
      <c r="C525" s="147">
        <v>10194.61</v>
      </c>
    </row>
    <row r="526" spans="1:4" ht="16" thickBot="1" x14ac:dyDescent="0.4">
      <c r="A526" s="114" t="s">
        <v>1023</v>
      </c>
      <c r="B526" s="126">
        <v>1913628.3</v>
      </c>
      <c r="C526" s="148">
        <v>4228.17</v>
      </c>
    </row>
    <row r="527" spans="1:4" ht="19" thickBot="1" x14ac:dyDescent="0.5">
      <c r="A527" s="112"/>
      <c r="B527" s="118">
        <f>SUM(B525:B526)</f>
        <v>6527605.0800000001</v>
      </c>
      <c r="C527" s="149">
        <f>SUM(C525:C526)</f>
        <v>14422.78</v>
      </c>
    </row>
    <row r="528" spans="1:4" ht="15.5" x14ac:dyDescent="0.35">
      <c r="A528" s="114"/>
      <c r="B528" s="114"/>
    </row>
    <row r="529" spans="1:7" ht="15.5" x14ac:dyDescent="0.35">
      <c r="A529" s="114"/>
      <c r="B529" s="114"/>
    </row>
    <row r="530" spans="1:7" ht="23.5" x14ac:dyDescent="0.55000000000000004">
      <c r="A530" s="110" t="s">
        <v>942</v>
      </c>
      <c r="B530" s="120">
        <f>B514+E502+B521+B527</f>
        <v>26758388.099999994</v>
      </c>
    </row>
    <row r="531" spans="1:7" ht="23.5" x14ac:dyDescent="0.55000000000000004">
      <c r="A531" s="110"/>
      <c r="B531" s="120"/>
    </row>
    <row r="532" spans="1:7" ht="21" x14ac:dyDescent="0.5">
      <c r="A532" s="109" t="s">
        <v>1029</v>
      </c>
      <c r="B532" s="150" t="s">
        <v>1030</v>
      </c>
    </row>
    <row r="533" spans="1:7" ht="21" x14ac:dyDescent="0.5">
      <c r="A533" s="75" t="s">
        <v>1031</v>
      </c>
      <c r="B533" s="151" t="s">
        <v>1032</v>
      </c>
    </row>
    <row r="534" spans="1:7" ht="21" x14ac:dyDescent="0.5">
      <c r="A534" s="75" t="s">
        <v>1033</v>
      </c>
      <c r="B534" s="152">
        <v>28299.02</v>
      </c>
    </row>
    <row r="535" spans="1:7" ht="21" x14ac:dyDescent="0.5">
      <c r="A535" s="75" t="s">
        <v>1034</v>
      </c>
      <c r="B535" s="152">
        <v>904.79</v>
      </c>
    </row>
    <row r="536" spans="1:7" ht="21" x14ac:dyDescent="0.5">
      <c r="A536" s="75"/>
      <c r="B536" s="75"/>
    </row>
    <row r="537" spans="1:7" x14ac:dyDescent="0.35">
      <c r="C537" s="111"/>
    </row>
    <row r="538" spans="1:7" ht="21" x14ac:dyDescent="0.5">
      <c r="A538" s="109" t="s">
        <v>1035</v>
      </c>
      <c r="B538" s="75"/>
      <c r="C538" s="75"/>
      <c r="D538" s="75"/>
      <c r="E538" s="75"/>
      <c r="F538" s="75"/>
      <c r="G538" s="75"/>
    </row>
    <row r="539" spans="1:7" ht="21" x14ac:dyDescent="0.5">
      <c r="A539" s="75"/>
      <c r="B539" s="75"/>
      <c r="C539" s="75"/>
      <c r="D539" s="75"/>
      <c r="E539" s="75"/>
      <c r="F539" s="75"/>
      <c r="G539" s="75"/>
    </row>
    <row r="540" spans="1:7" ht="21" x14ac:dyDescent="0.5">
      <c r="A540" s="109" t="s">
        <v>945</v>
      </c>
      <c r="B540" s="153" t="s">
        <v>1036</v>
      </c>
      <c r="C540" s="75"/>
      <c r="D540" s="109" t="s">
        <v>947</v>
      </c>
      <c r="E540" s="153" t="s">
        <v>1037</v>
      </c>
      <c r="F540" s="75" t="s">
        <v>1038</v>
      </c>
      <c r="G540" s="75"/>
    </row>
    <row r="541" spans="1:7" ht="21" x14ac:dyDescent="0.5">
      <c r="A541" s="75" t="s">
        <v>1039</v>
      </c>
      <c r="B541" s="154">
        <v>7353450</v>
      </c>
      <c r="C541" s="75"/>
      <c r="D541" s="75" t="s">
        <v>1039</v>
      </c>
      <c r="E541" s="154">
        <v>1131300</v>
      </c>
      <c r="F541" s="155">
        <v>2738.1</v>
      </c>
      <c r="G541" s="75"/>
    </row>
    <row r="542" spans="1:7" ht="21.5" thickBot="1" x14ac:dyDescent="0.55000000000000004">
      <c r="A542" s="75" t="s">
        <v>942</v>
      </c>
      <c r="B542" s="156">
        <f>SUM(B541:B541)</f>
        <v>7353450</v>
      </c>
      <c r="C542" s="75"/>
      <c r="D542" s="75" t="s">
        <v>942</v>
      </c>
      <c r="E542" s="157">
        <f>SUM(E541:E541)</f>
        <v>1131300</v>
      </c>
      <c r="F542" s="158">
        <v>2738.1</v>
      </c>
      <c r="G542" s="75"/>
    </row>
    <row r="543" spans="1:7" ht="21" x14ac:dyDescent="0.5">
      <c r="A543" s="75"/>
      <c r="B543" s="154"/>
      <c r="C543" s="75"/>
      <c r="D543" s="75"/>
      <c r="E543" s="159"/>
      <c r="F543" s="75"/>
      <c r="G543" s="75"/>
    </row>
    <row r="544" spans="1:7" ht="21" x14ac:dyDescent="0.5">
      <c r="A544" s="75"/>
      <c r="B544" s="154"/>
      <c r="C544" s="75"/>
      <c r="D544" s="75"/>
      <c r="E544" s="75"/>
      <c r="F544" s="75"/>
      <c r="G544" s="75"/>
    </row>
    <row r="545" spans="1:7" ht="21" x14ac:dyDescent="0.5">
      <c r="A545" s="75"/>
      <c r="B545" s="154"/>
      <c r="C545" s="75"/>
      <c r="D545" s="75"/>
      <c r="E545" s="75"/>
      <c r="F545" s="75"/>
      <c r="G545" s="75"/>
    </row>
    <row r="546" spans="1:7" ht="21" x14ac:dyDescent="0.5">
      <c r="A546" s="109" t="s">
        <v>956</v>
      </c>
      <c r="B546" s="153" t="s">
        <v>1036</v>
      </c>
      <c r="C546" s="75" t="s">
        <v>1038</v>
      </c>
      <c r="D546" s="109"/>
      <c r="E546" s="153"/>
      <c r="F546" s="75"/>
      <c r="G546" s="75"/>
    </row>
    <row r="547" spans="1:7" ht="21" x14ac:dyDescent="0.5">
      <c r="A547" s="75" t="s">
        <v>1039</v>
      </c>
      <c r="B547" s="154">
        <v>2828250</v>
      </c>
      <c r="C547" s="155">
        <v>6845.25</v>
      </c>
      <c r="D547" s="75"/>
      <c r="E547" s="154"/>
      <c r="F547" s="75"/>
      <c r="G547" s="75"/>
    </row>
    <row r="548" spans="1:7" ht="21.5" thickBot="1" x14ac:dyDescent="0.55000000000000004">
      <c r="A548" s="109"/>
      <c r="B548" s="160">
        <f>SUM(B547)</f>
        <v>2828250</v>
      </c>
      <c r="C548" s="161">
        <v>6845.25</v>
      </c>
      <c r="D548" s="75"/>
      <c r="E548" s="154"/>
      <c r="F548" s="75"/>
      <c r="G548" s="75"/>
    </row>
    <row r="549" spans="1:7" ht="21" x14ac:dyDescent="0.5">
      <c r="A549" s="109"/>
      <c r="B549" s="162"/>
      <c r="C549" s="75"/>
      <c r="D549" s="75"/>
      <c r="E549" s="154"/>
      <c r="F549" s="75"/>
      <c r="G549" s="75"/>
    </row>
    <row r="550" spans="1:7" ht="21" x14ac:dyDescent="0.5">
      <c r="A550" s="75"/>
      <c r="B550" s="163"/>
      <c r="C550" s="75"/>
      <c r="D550" s="75"/>
      <c r="E550" s="154"/>
      <c r="F550" s="75"/>
      <c r="G550" s="75"/>
    </row>
    <row r="551" spans="1:7" ht="21" x14ac:dyDescent="0.5">
      <c r="A551" s="75"/>
      <c r="B551" s="75"/>
      <c r="C551" s="75"/>
      <c r="D551" s="75"/>
      <c r="E551" s="75"/>
      <c r="F551" s="75"/>
      <c r="G551" s="75"/>
    </row>
    <row r="552" spans="1:7" ht="21" x14ac:dyDescent="0.5">
      <c r="A552" s="109" t="s">
        <v>942</v>
      </c>
      <c r="B552" s="164">
        <f>B542+E542+B548</f>
        <v>11313000</v>
      </c>
      <c r="C552" s="75"/>
      <c r="D552" s="75"/>
      <c r="E552" s="75"/>
      <c r="F552" s="75"/>
      <c r="G552" s="75"/>
    </row>
    <row r="553" spans="1:7" ht="21" x14ac:dyDescent="0.5">
      <c r="A553" s="75"/>
      <c r="B553" s="75"/>
      <c r="C553" s="75"/>
      <c r="D553" s="75"/>
      <c r="E553" s="75"/>
      <c r="F553" s="75"/>
      <c r="G553" s="75"/>
    </row>
    <row r="554" spans="1:7" ht="21" x14ac:dyDescent="0.5">
      <c r="A554" s="109" t="s">
        <v>1029</v>
      </c>
      <c r="B554" s="150" t="s">
        <v>1030</v>
      </c>
      <c r="C554" s="75"/>
      <c r="D554" s="109"/>
      <c r="E554" s="75"/>
      <c r="F554" s="75"/>
      <c r="G554" s="75"/>
    </row>
    <row r="555" spans="1:7" ht="21" x14ac:dyDescent="0.5">
      <c r="A555" s="75" t="s">
        <v>1031</v>
      </c>
      <c r="B555" s="151" t="s">
        <v>1040</v>
      </c>
      <c r="C555" s="75"/>
      <c r="D555" s="75"/>
      <c r="E555" s="75"/>
      <c r="F555" s="75"/>
      <c r="G555" s="75"/>
    </row>
    <row r="556" spans="1:7" ht="21" x14ac:dyDescent="0.5">
      <c r="A556" s="75" t="s">
        <v>1033</v>
      </c>
      <c r="B556" s="152">
        <v>6845.25</v>
      </c>
      <c r="C556" s="75"/>
      <c r="D556" s="75"/>
      <c r="E556" s="75"/>
      <c r="F556" s="75"/>
      <c r="G556" s="75"/>
    </row>
    <row r="557" spans="1:7" ht="21" x14ac:dyDescent="0.5">
      <c r="A557" s="75" t="s">
        <v>1034</v>
      </c>
      <c r="B557" s="152">
        <v>2738.1</v>
      </c>
      <c r="C557" s="75"/>
      <c r="D557" s="75"/>
      <c r="E557" s="75"/>
      <c r="F557" s="75"/>
      <c r="G557" s="75"/>
    </row>
    <row r="558" spans="1:7" ht="21" x14ac:dyDescent="0.5">
      <c r="A558" s="75"/>
      <c r="B558" s="75"/>
      <c r="C558" s="75"/>
      <c r="D558" s="75"/>
      <c r="E558" s="75"/>
      <c r="F558" s="75"/>
      <c r="G558" s="75"/>
    </row>
    <row r="563" spans="1:7" ht="23.5" x14ac:dyDescent="0.55000000000000004">
      <c r="A563" s="166" t="s">
        <v>1013</v>
      </c>
      <c r="B563" s="166"/>
      <c r="C563" s="166"/>
    </row>
    <row r="565" spans="1:7" ht="15.5" x14ac:dyDescent="0.35">
      <c r="A565" s="112" t="s">
        <v>1041</v>
      </c>
      <c r="B565" s="113" t="s">
        <v>946</v>
      </c>
      <c r="C565" s="114"/>
      <c r="D565" s="112" t="s">
        <v>1042</v>
      </c>
      <c r="E565" s="113" t="s">
        <v>948</v>
      </c>
    </row>
    <row r="566" spans="1:7" ht="15.5" x14ac:dyDescent="0.35">
      <c r="A566" s="114" t="s">
        <v>1020</v>
      </c>
      <c r="B566" s="126">
        <v>9294370.75</v>
      </c>
      <c r="C566" s="114"/>
      <c r="D566" s="114" t="s">
        <v>1043</v>
      </c>
      <c r="E566" s="126">
        <v>-83440.84</v>
      </c>
    </row>
    <row r="567" spans="1:7" ht="15.5" x14ac:dyDescent="0.35">
      <c r="A567" s="114" t="s">
        <v>1043</v>
      </c>
      <c r="B567" s="126">
        <v>-542365.47</v>
      </c>
      <c r="C567" s="114"/>
      <c r="D567" s="114" t="s">
        <v>1044</v>
      </c>
      <c r="E567" s="126">
        <v>2301697.44</v>
      </c>
    </row>
    <row r="568" spans="1:7" ht="15.5" x14ac:dyDescent="0.35">
      <c r="A568" s="114" t="s">
        <v>1044</v>
      </c>
      <c r="B568" s="126">
        <v>14961033.33</v>
      </c>
      <c r="C568" s="114"/>
      <c r="D568" s="114" t="s">
        <v>1045</v>
      </c>
      <c r="E568" s="126">
        <v>-1328567.0900000001</v>
      </c>
    </row>
    <row r="569" spans="1:7" ht="15.5" x14ac:dyDescent="0.35">
      <c r="A569" s="114" t="s">
        <v>1045</v>
      </c>
      <c r="B569" s="126">
        <v>-8635686.0800000001</v>
      </c>
      <c r="C569" s="114"/>
      <c r="D569" s="114" t="s">
        <v>1046</v>
      </c>
      <c r="E569" s="126">
        <v>296803.71999999997</v>
      </c>
    </row>
    <row r="570" spans="1:7" ht="21" x14ac:dyDescent="0.5">
      <c r="A570" s="114" t="s">
        <v>1046</v>
      </c>
      <c r="B570" s="126">
        <v>1929224.18</v>
      </c>
      <c r="C570" s="114"/>
      <c r="D570" s="114" t="s">
        <v>1047</v>
      </c>
      <c r="E570" s="126">
        <v>2621666.21</v>
      </c>
      <c r="F570" s="75"/>
      <c r="G570" s="75"/>
    </row>
    <row r="571" spans="1:7" ht="21.5" thickBot="1" x14ac:dyDescent="0.55000000000000004">
      <c r="A571" s="114" t="s">
        <v>1047</v>
      </c>
      <c r="B571" s="126">
        <v>17040830.34</v>
      </c>
      <c r="C571" s="114"/>
      <c r="D571" s="114" t="s">
        <v>1048</v>
      </c>
      <c r="E571" s="126">
        <v>3297072.83</v>
      </c>
      <c r="F571" s="75" t="s">
        <v>1049</v>
      </c>
      <c r="G571" s="75"/>
    </row>
    <row r="572" spans="1:7" ht="16" thickBot="1" x14ac:dyDescent="0.4">
      <c r="A572" s="114" t="s">
        <v>1048</v>
      </c>
      <c r="B572" s="126">
        <v>21430973.379999999</v>
      </c>
      <c r="C572" s="114"/>
      <c r="D572" s="112"/>
      <c r="E572" s="133">
        <f>SUM(E566:E571)</f>
        <v>7105232.2699999996</v>
      </c>
      <c r="F572" s="165" t="s">
        <v>1050</v>
      </c>
    </row>
    <row r="573" spans="1:7" ht="15.5" x14ac:dyDescent="0.35">
      <c r="A573" s="112" t="s">
        <v>970</v>
      </c>
      <c r="B573" s="132">
        <f>SUM(B566:B572)</f>
        <v>55478380.429999992</v>
      </c>
      <c r="C573" s="114"/>
      <c r="D573" s="112"/>
      <c r="E573" s="139"/>
    </row>
    <row r="574" spans="1:7" ht="15.5" x14ac:dyDescent="0.35">
      <c r="A574" s="112"/>
      <c r="B574" s="123"/>
      <c r="C574" s="114"/>
      <c r="D574" s="112"/>
      <c r="E574" s="139"/>
    </row>
    <row r="575" spans="1:7" ht="15.5" x14ac:dyDescent="0.35">
      <c r="A575" s="112" t="s">
        <v>1051</v>
      </c>
      <c r="B575" s="114"/>
      <c r="C575" s="114"/>
      <c r="D575" s="112" t="s">
        <v>958</v>
      </c>
      <c r="E575" s="123" t="s">
        <v>926</v>
      </c>
    </row>
    <row r="576" spans="1:7" ht="15.5" x14ac:dyDescent="0.35">
      <c r="A576" s="112" t="s">
        <v>957</v>
      </c>
      <c r="B576" s="113" t="s">
        <v>946</v>
      </c>
      <c r="C576" s="114"/>
      <c r="D576" s="114" t="s">
        <v>959</v>
      </c>
      <c r="E576" s="122">
        <v>-75043.41</v>
      </c>
    </row>
    <row r="577" spans="1:5" ht="15.5" x14ac:dyDescent="0.35">
      <c r="A577" s="114" t="s">
        <v>1043</v>
      </c>
      <c r="B577" s="126">
        <v>-208602.1</v>
      </c>
      <c r="C577" s="114"/>
      <c r="D577" s="114" t="s">
        <v>960</v>
      </c>
      <c r="E577" s="122">
        <v>-107279.39</v>
      </c>
    </row>
    <row r="578" spans="1:5" ht="15.5" x14ac:dyDescent="0.35">
      <c r="A578" s="114" t="s">
        <v>1044</v>
      </c>
      <c r="B578" s="126">
        <v>5754243.5899999999</v>
      </c>
      <c r="C578" s="114"/>
      <c r="D578" s="114" t="s">
        <v>961</v>
      </c>
      <c r="E578" s="122">
        <v>-29217.13</v>
      </c>
    </row>
    <row r="579" spans="1:5" ht="15.5" x14ac:dyDescent="0.35">
      <c r="A579" s="114" t="s">
        <v>1045</v>
      </c>
      <c r="B579" s="126">
        <v>-3321417.72</v>
      </c>
      <c r="C579" s="114"/>
      <c r="D579" s="114" t="s">
        <v>962</v>
      </c>
      <c r="E579" s="122">
        <v>-44318.55</v>
      </c>
    </row>
    <row r="580" spans="1:5" ht="15.5" x14ac:dyDescent="0.35">
      <c r="A580" s="114" t="s">
        <v>1046</v>
      </c>
      <c r="B580" s="144">
        <v>742009.3</v>
      </c>
      <c r="C580" s="114"/>
      <c r="D580" s="112" t="s">
        <v>918</v>
      </c>
      <c r="E580" s="124">
        <f>SUM(E576:E579)</f>
        <v>-255858.47999999998</v>
      </c>
    </row>
    <row r="581" spans="1:5" ht="15.5" x14ac:dyDescent="0.35">
      <c r="A581" s="114" t="s">
        <v>1047</v>
      </c>
      <c r="B581" s="144">
        <v>6554165.5199999996</v>
      </c>
      <c r="C581" s="114"/>
      <c r="D581" s="112"/>
      <c r="E581" s="125"/>
    </row>
    <row r="582" spans="1:5" ht="21.5" thickBot="1" x14ac:dyDescent="0.55000000000000004">
      <c r="A582" s="114" t="s">
        <v>1048</v>
      </c>
      <c r="B582" s="144">
        <v>8242682.0700000003</v>
      </c>
      <c r="C582" s="75" t="s">
        <v>1049</v>
      </c>
      <c r="D582" s="112"/>
      <c r="E582" s="113"/>
    </row>
    <row r="583" spans="1:5" ht="16" thickBot="1" x14ac:dyDescent="0.4">
      <c r="A583" s="114"/>
      <c r="B583" s="124">
        <f>SUM(B577:B582)</f>
        <v>17763080.66</v>
      </c>
      <c r="C583" s="165" t="s">
        <v>1052</v>
      </c>
    </row>
    <row r="584" spans="1:5" ht="15.5" x14ac:dyDescent="0.35">
      <c r="A584" s="112"/>
      <c r="B584" s="125"/>
    </row>
    <row r="585" spans="1:5" ht="15.5" x14ac:dyDescent="0.35">
      <c r="A585" s="112" t="s">
        <v>1053</v>
      </c>
      <c r="B585" s="113" t="s">
        <v>946</v>
      </c>
    </row>
    <row r="586" spans="1:5" ht="15.5" x14ac:dyDescent="0.35">
      <c r="A586" s="114" t="s">
        <v>1054</v>
      </c>
      <c r="B586" s="126">
        <v>7267636.04</v>
      </c>
    </row>
    <row r="587" spans="1:5" ht="15.5" x14ac:dyDescent="0.35">
      <c r="A587" s="114" t="s">
        <v>1055</v>
      </c>
      <c r="B587" s="126">
        <v>3702083.79</v>
      </c>
    </row>
    <row r="588" spans="1:5" ht="15.5" x14ac:dyDescent="0.35">
      <c r="A588" s="114" t="s">
        <v>1056</v>
      </c>
      <c r="B588" s="126">
        <v>1321509.8600000001</v>
      </c>
    </row>
    <row r="589" spans="1:5" ht="15.5" x14ac:dyDescent="0.35">
      <c r="A589" s="114" t="s">
        <v>1045</v>
      </c>
      <c r="B589" s="126">
        <v>-6031046.4100000001</v>
      </c>
    </row>
    <row r="590" spans="1:5" ht="15.5" x14ac:dyDescent="0.35">
      <c r="A590" s="114" t="s">
        <v>1057</v>
      </c>
      <c r="B590" s="126">
        <v>-634719.34</v>
      </c>
    </row>
    <row r="591" spans="1:5" ht="15.5" x14ac:dyDescent="0.35">
      <c r="A591" s="114" t="s">
        <v>1058</v>
      </c>
      <c r="B591" s="126">
        <v>517901.09</v>
      </c>
    </row>
    <row r="592" spans="1:5" ht="21.5" thickBot="1" x14ac:dyDescent="0.55000000000000004">
      <c r="A592" s="114" t="s">
        <v>1048</v>
      </c>
      <c r="B592" s="126">
        <v>7217707.5700000003</v>
      </c>
      <c r="C592" s="75" t="s">
        <v>1049</v>
      </c>
    </row>
    <row r="593" spans="1:5" ht="16" thickBot="1" x14ac:dyDescent="0.4">
      <c r="B593" s="118">
        <f>SUM(B586:B592)</f>
        <v>13361072.6</v>
      </c>
      <c r="C593" s="165" t="s">
        <v>1059</v>
      </c>
    </row>
    <row r="594" spans="1:5" ht="18.5" x14ac:dyDescent="0.45">
      <c r="B594" s="140"/>
    </row>
    <row r="595" spans="1:5" ht="18.5" x14ac:dyDescent="0.45">
      <c r="A595" s="120" t="s">
        <v>918</v>
      </c>
      <c r="B595" s="134">
        <f>B573+E572+B583+B593+E580</f>
        <v>93451907.479999974</v>
      </c>
    </row>
    <row r="597" spans="1:5" ht="21" x14ac:dyDescent="0.5">
      <c r="A597" s="109" t="s">
        <v>1029</v>
      </c>
      <c r="B597" s="150" t="s">
        <v>1030</v>
      </c>
    </row>
    <row r="598" spans="1:5" ht="21" x14ac:dyDescent="0.5">
      <c r="A598" s="75" t="s">
        <v>1031</v>
      </c>
      <c r="B598" s="151" t="s">
        <v>1060</v>
      </c>
    </row>
    <row r="599" spans="1:5" ht="21" x14ac:dyDescent="0.5">
      <c r="A599" s="75" t="s">
        <v>1033</v>
      </c>
      <c r="B599" s="152">
        <v>37619.99</v>
      </c>
    </row>
    <row r="600" spans="1:5" ht="21" x14ac:dyDescent="0.5">
      <c r="A600" s="75" t="s">
        <v>1034</v>
      </c>
      <c r="B600" s="152">
        <v>8588.15</v>
      </c>
    </row>
    <row r="606" spans="1:5" ht="23.5" x14ac:dyDescent="0.55000000000000004">
      <c r="A606" s="166" t="s">
        <v>1013</v>
      </c>
      <c r="B606" s="166"/>
      <c r="C606" s="166"/>
    </row>
    <row r="608" spans="1:5" ht="15.5" x14ac:dyDescent="0.35">
      <c r="A608" s="112" t="s">
        <v>945</v>
      </c>
      <c r="B608" s="113" t="s">
        <v>946</v>
      </c>
      <c r="C608" s="114"/>
      <c r="D608" s="112" t="s">
        <v>947</v>
      </c>
      <c r="E608" s="113" t="s">
        <v>948</v>
      </c>
    </row>
    <row r="609" spans="1:6" ht="15.5" x14ac:dyDescent="0.35">
      <c r="A609" s="114" t="s">
        <v>1068</v>
      </c>
      <c r="B609" s="126">
        <v>-2020967.19</v>
      </c>
      <c r="C609" s="114"/>
      <c r="D609" s="114" t="s">
        <v>1069</v>
      </c>
      <c r="E609" s="126">
        <v>-310918.03000000003</v>
      </c>
    </row>
    <row r="610" spans="1:6" ht="15.5" x14ac:dyDescent="0.35">
      <c r="A610" s="114" t="s">
        <v>1070</v>
      </c>
      <c r="B610" s="126">
        <v>36464126.460000001</v>
      </c>
      <c r="C610" s="114"/>
      <c r="D610" s="114" t="s">
        <v>1070</v>
      </c>
      <c r="E610" s="126">
        <v>5609865.6100000003</v>
      </c>
    </row>
    <row r="611" spans="1:6" ht="15.5" x14ac:dyDescent="0.35">
      <c r="A611" s="114" t="s">
        <v>1071</v>
      </c>
      <c r="B611" s="126">
        <v>-32324523.890000001</v>
      </c>
      <c r="C611" s="114"/>
      <c r="D611" s="114" t="s">
        <v>1071</v>
      </c>
      <c r="E611" s="126">
        <v>-4973003.68</v>
      </c>
    </row>
    <row r="612" spans="1:6" ht="15.5" x14ac:dyDescent="0.35">
      <c r="A612" s="114" t="s">
        <v>1072</v>
      </c>
      <c r="B612" s="126">
        <v>-14495537.390000001</v>
      </c>
      <c r="C612" s="114"/>
      <c r="D612" s="114" t="s">
        <v>1072</v>
      </c>
      <c r="E612" s="126">
        <v>-2236082.6800000002</v>
      </c>
    </row>
    <row r="613" spans="1:6" ht="15.5" x14ac:dyDescent="0.35">
      <c r="A613" s="114" t="s">
        <v>1073</v>
      </c>
      <c r="B613" s="126">
        <v>8225737.1399999997</v>
      </c>
      <c r="C613" s="114"/>
      <c r="D613" s="114" t="s">
        <v>1073</v>
      </c>
      <c r="E613" s="126">
        <v>1265498.02</v>
      </c>
    </row>
    <row r="614" spans="1:6" ht="15.5" x14ac:dyDescent="0.35">
      <c r="A614" s="114" t="s">
        <v>1074</v>
      </c>
      <c r="B614" s="126">
        <v>0</v>
      </c>
      <c r="C614" s="114"/>
      <c r="D614" s="114" t="s">
        <v>1074</v>
      </c>
      <c r="E614" s="126">
        <v>0</v>
      </c>
    </row>
    <row r="615" spans="1:6" ht="21.5" thickBot="1" x14ac:dyDescent="0.55000000000000004">
      <c r="A615" s="114" t="s">
        <v>1078</v>
      </c>
      <c r="B615" s="126">
        <v>75445369.430000007</v>
      </c>
      <c r="C615" s="114"/>
      <c r="D615" s="114" t="s">
        <v>1078</v>
      </c>
      <c r="E615" s="126">
        <v>11606979.91</v>
      </c>
      <c r="F615" s="75" t="s">
        <v>1081</v>
      </c>
    </row>
    <row r="616" spans="1:6" ht="16" thickBot="1" x14ac:dyDescent="0.4">
      <c r="A616" s="112" t="s">
        <v>970</v>
      </c>
      <c r="B616" s="132">
        <f>SUM(B609:B615)</f>
        <v>71294204.560000002</v>
      </c>
      <c r="C616" s="114"/>
      <c r="D616" s="112" t="s">
        <v>970</v>
      </c>
      <c r="E616" s="133">
        <f>SUM(E609:E615)</f>
        <v>10962339.15</v>
      </c>
      <c r="F616" s="165" t="s">
        <v>1082</v>
      </c>
    </row>
    <row r="617" spans="1:6" ht="15.5" x14ac:dyDescent="0.35">
      <c r="A617" s="112"/>
      <c r="B617" s="123"/>
      <c r="C617" s="114"/>
      <c r="D617" s="112"/>
      <c r="E617" s="139"/>
    </row>
    <row r="618" spans="1:6" ht="15.5" x14ac:dyDescent="0.35">
      <c r="A618" s="112" t="s">
        <v>956</v>
      </c>
      <c r="B618" s="114"/>
      <c r="C618" s="114"/>
      <c r="D618" s="112" t="s">
        <v>958</v>
      </c>
      <c r="E618" s="123"/>
    </row>
    <row r="619" spans="1:6" ht="15.5" x14ac:dyDescent="0.35">
      <c r="A619" s="112" t="s">
        <v>957</v>
      </c>
      <c r="B619" s="113" t="s">
        <v>946</v>
      </c>
      <c r="C619" s="114"/>
      <c r="D619" s="114" t="s">
        <v>959</v>
      </c>
      <c r="E619" s="113" t="s">
        <v>948</v>
      </c>
    </row>
    <row r="620" spans="1:6" ht="15.5" x14ac:dyDescent="0.35">
      <c r="A620" s="114" t="s">
        <v>1068</v>
      </c>
      <c r="B620" s="126">
        <v>-777295.07</v>
      </c>
      <c r="C620" s="114"/>
      <c r="D620" s="114" t="s">
        <v>960</v>
      </c>
      <c r="E620" s="122">
        <v>-75043.41</v>
      </c>
    </row>
    <row r="621" spans="1:6" ht="15.5" x14ac:dyDescent="0.35">
      <c r="A621" s="114" t="s">
        <v>1070</v>
      </c>
      <c r="B621" s="126">
        <v>14024664.02</v>
      </c>
      <c r="C621" s="114"/>
      <c r="D621" s="114" t="s">
        <v>961</v>
      </c>
      <c r="E621" s="122">
        <v>-107279.39</v>
      </c>
    </row>
    <row r="622" spans="1:6" ht="15.5" x14ac:dyDescent="0.35">
      <c r="A622" s="114" t="s">
        <v>1071</v>
      </c>
      <c r="B622" s="126">
        <v>-12432509.189999999</v>
      </c>
      <c r="C622" s="114"/>
      <c r="D622" s="114" t="s">
        <v>962</v>
      </c>
      <c r="E622" s="122">
        <v>-29217.13</v>
      </c>
    </row>
    <row r="623" spans="1:6" ht="15.5" x14ac:dyDescent="0.35">
      <c r="A623" s="114" t="s">
        <v>1072</v>
      </c>
      <c r="B623" s="126">
        <v>-5575206.6900000004</v>
      </c>
      <c r="D623" s="112" t="s">
        <v>918</v>
      </c>
      <c r="E623" s="122">
        <v>-44318.55</v>
      </c>
    </row>
    <row r="624" spans="1:6" ht="15.5" x14ac:dyDescent="0.35">
      <c r="A624" s="114" t="s">
        <v>1073</v>
      </c>
      <c r="B624" s="126">
        <v>3163745.06</v>
      </c>
      <c r="D624" s="112"/>
      <c r="E624" s="124">
        <f>SUM(E620:E623)</f>
        <v>-255858.47999999998</v>
      </c>
    </row>
    <row r="625" spans="1:5" ht="15.5" x14ac:dyDescent="0.35">
      <c r="A625" s="114" t="s">
        <v>1074</v>
      </c>
      <c r="B625" s="126">
        <v>0</v>
      </c>
      <c r="D625" s="112"/>
      <c r="E625" s="125"/>
    </row>
    <row r="626" spans="1:5" ht="21.5" thickBot="1" x14ac:dyDescent="0.55000000000000004">
      <c r="A626" s="114" t="s">
        <v>1078</v>
      </c>
      <c r="B626" s="126">
        <v>29017449.780000001</v>
      </c>
      <c r="C626" s="75" t="s">
        <v>1081</v>
      </c>
      <c r="E626" s="113"/>
    </row>
    <row r="627" spans="1:5" ht="16" thickBot="1" x14ac:dyDescent="0.4">
      <c r="A627" s="112" t="s">
        <v>970</v>
      </c>
      <c r="B627" s="124">
        <f>SUM(B620:B626)</f>
        <v>27420847.91</v>
      </c>
      <c r="C627" s="165" t="s">
        <v>1083</v>
      </c>
      <c r="E627" s="113"/>
    </row>
    <row r="628" spans="1:5" ht="15.5" x14ac:dyDescent="0.35">
      <c r="A628" s="112"/>
      <c r="B628" s="125"/>
    </row>
    <row r="629" spans="1:5" ht="15.5" x14ac:dyDescent="0.35">
      <c r="B629" s="125"/>
    </row>
    <row r="630" spans="1:5" ht="15.5" x14ac:dyDescent="0.35">
      <c r="A630" s="112" t="s">
        <v>964</v>
      </c>
      <c r="B630" s="113" t="s">
        <v>946</v>
      </c>
    </row>
    <row r="631" spans="1:5" ht="15.5" x14ac:dyDescent="0.35">
      <c r="A631" s="114" t="s">
        <v>1075</v>
      </c>
      <c r="B631" s="126">
        <v>3557242.65</v>
      </c>
    </row>
    <row r="632" spans="1:5" ht="15.5" x14ac:dyDescent="0.35">
      <c r="A632" s="114" t="s">
        <v>1076</v>
      </c>
      <c r="B632" s="126">
        <v>10735357.73</v>
      </c>
    </row>
    <row r="633" spans="1:5" ht="15.5" x14ac:dyDescent="0.35">
      <c r="A633" s="114" t="s">
        <v>1077</v>
      </c>
      <c r="B633" s="126">
        <v>12361475.779999999</v>
      </c>
    </row>
    <row r="634" spans="1:5" ht="15.5" x14ac:dyDescent="0.35">
      <c r="A634" s="114" t="s">
        <v>1079</v>
      </c>
      <c r="B634" s="126">
        <v>-4105239.73</v>
      </c>
    </row>
    <row r="635" spans="1:5" ht="15.5" x14ac:dyDescent="0.35">
      <c r="A635" s="114" t="s">
        <v>1080</v>
      </c>
      <c r="B635" s="126">
        <v>-331272.7</v>
      </c>
    </row>
    <row r="636" spans="1:5" ht="21.5" thickBot="1" x14ac:dyDescent="0.55000000000000004">
      <c r="A636" s="114" t="s">
        <v>1078</v>
      </c>
      <c r="B636" s="126">
        <v>8760884.0600000005</v>
      </c>
      <c r="C636" s="75" t="s">
        <v>1081</v>
      </c>
    </row>
    <row r="637" spans="1:5" ht="16" thickBot="1" x14ac:dyDescent="0.4">
      <c r="A637" s="112" t="s">
        <v>970</v>
      </c>
      <c r="B637" s="118">
        <f>SUM(B631:B636)</f>
        <v>30978447.789999999</v>
      </c>
      <c r="C637" s="165" t="s">
        <v>1084</v>
      </c>
    </row>
    <row r="638" spans="1:5" ht="18.5" x14ac:dyDescent="0.45">
      <c r="B638" s="140"/>
    </row>
    <row r="639" spans="1:5" ht="18.5" x14ac:dyDescent="0.45">
      <c r="A639" s="120" t="s">
        <v>942</v>
      </c>
      <c r="B639" s="134">
        <f>B616+E616+B627+B637+E624</f>
        <v>140399980.93000001</v>
      </c>
    </row>
    <row r="641" spans="1:2" ht="21" x14ac:dyDescent="0.5">
      <c r="A641" s="109" t="s">
        <v>1029</v>
      </c>
      <c r="B641" s="150" t="s">
        <v>1030</v>
      </c>
    </row>
    <row r="642" spans="1:2" ht="21" x14ac:dyDescent="0.5">
      <c r="A642" s="75" t="s">
        <v>1031</v>
      </c>
      <c r="B642" s="151" t="s">
        <v>1085</v>
      </c>
    </row>
    <row r="643" spans="1:2" ht="21" x14ac:dyDescent="0.5">
      <c r="A643" s="75" t="s">
        <v>1033</v>
      </c>
      <c r="B643" s="152">
        <v>34866.080000000002</v>
      </c>
    </row>
    <row r="644" spans="1:2" ht="21" x14ac:dyDescent="0.5">
      <c r="A644" s="75" t="s">
        <v>1034</v>
      </c>
      <c r="B644" s="152">
        <v>6544.84</v>
      </c>
    </row>
  </sheetData>
  <mergeCells count="10">
    <mergeCell ref="A606:C606"/>
    <mergeCell ref="A430:C430"/>
    <mergeCell ref="A462:C462"/>
    <mergeCell ref="A563:C563"/>
    <mergeCell ref="B33:E33"/>
    <mergeCell ref="A236:C236"/>
    <mergeCell ref="A270:C270"/>
    <mergeCell ref="A308:C308"/>
    <mergeCell ref="A345:C345"/>
    <mergeCell ref="A390:C390"/>
  </mergeCells>
  <pageMargins left="0.25" right="0.25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BOND</vt:lpstr>
      <vt:lpstr>ENGINEERING</vt:lpstr>
      <vt:lpstr>FIRE &amp; TERR</vt:lpstr>
      <vt:lpstr>MC</vt:lpstr>
      <vt:lpstr>MH</vt:lpstr>
      <vt:lpstr>TREATY STATEMENT</vt:lpstr>
      <vt:lpstr>SUMMARY OF TREATY ACCOUNTS</vt:lpstr>
      <vt:lpstr>Sheet1</vt:lpstr>
      <vt:lpstr>Sheet1!Print_Area</vt:lpstr>
    </vt:vector>
  </TitlesOfParts>
  <Company>Ha-Shem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O. Yusuf</dc:creator>
  <cp:lastModifiedBy>bosun arise</cp:lastModifiedBy>
  <cp:lastPrinted>2024-11-14T07:47:41Z</cp:lastPrinted>
  <dcterms:created xsi:type="dcterms:W3CDTF">2024-10-31T08:21:19Z</dcterms:created>
  <dcterms:modified xsi:type="dcterms:W3CDTF">2025-02-10T12:27:22Z</dcterms:modified>
</cp:coreProperties>
</file>