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cornevanstraten/Desktop/webdev/Balance/SDEtool/SDEtool2019/"/>
    </mc:Choice>
  </mc:AlternateContent>
  <xr:revisionPtr revIDLastSave="0" documentId="13_ncr:1_{FE962E8F-8337-F342-83E2-027FB94662E9}" xr6:coauthVersionLast="36" xr6:coauthVersionMax="36" xr10:uidLastSave="{00000000-0000-0000-0000-000000000000}"/>
  <workbookProtection workbookPassword="EDBC" lockStructure="1"/>
  <bookViews>
    <workbookView xWindow="-3480" yWindow="-18000" windowWidth="32000" windowHeight="18000" tabRatio="500" xr2:uid="{00000000-000D-0000-FFFF-FFFF00000000}"/>
  </bookViews>
  <sheets>
    <sheet name="Kengetallen" sheetId="6" r:id="rId1"/>
    <sheet name="Scenario_1" sheetId="2" r:id="rId2"/>
    <sheet name="Scenario_2" sheetId="8" r:id="rId3"/>
  </sheets>
  <calcPr calcId="179021"/>
  <customWorkbookViews>
    <customWorkbookView name="Test" guid="{95A8CE20-1E5A-F04B-B641-1D6E4283066B}" windowWidth="1280" windowHeight="614" tabRatio="500" activeSheetId="5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6" l="1"/>
  <c r="C3" i="2"/>
  <c r="C3" i="8"/>
  <c r="C8" i="8"/>
  <c r="C9" i="8"/>
  <c r="C10" i="8"/>
  <c r="C40" i="8" s="1"/>
  <c r="C41" i="8" s="1"/>
  <c r="C13" i="8"/>
  <c r="C14" i="8"/>
  <c r="F31" i="8" s="1"/>
  <c r="C19" i="8"/>
  <c r="C16" i="8"/>
  <c r="C17" i="8"/>
  <c r="C21" i="8"/>
  <c r="C5" i="8"/>
  <c r="C18" i="8"/>
  <c r="C11" i="8"/>
  <c r="E38" i="8" s="1"/>
  <c r="D38" i="8"/>
  <c r="F38" i="8"/>
  <c r="H38" i="8"/>
  <c r="J38" i="8"/>
  <c r="L38" i="8"/>
  <c r="N38" i="8"/>
  <c r="P38" i="8"/>
  <c r="R38" i="8"/>
  <c r="C22" i="8"/>
  <c r="C13" i="2"/>
  <c r="C14" i="2" s="1"/>
  <c r="F31" i="2"/>
  <c r="H31" i="2"/>
  <c r="J31" i="2"/>
  <c r="L31" i="2"/>
  <c r="N31" i="2"/>
  <c r="P31" i="2"/>
  <c r="R31" i="2"/>
  <c r="C5" i="2"/>
  <c r="C8" i="2"/>
  <c r="C10" i="2" s="1"/>
  <c r="C9" i="2"/>
  <c r="C40" i="2"/>
  <c r="C41" i="2" s="1"/>
  <c r="C19" i="2"/>
  <c r="C16" i="2"/>
  <c r="C17" i="2"/>
  <c r="C21" i="2"/>
  <c r="G38" i="2" s="1"/>
  <c r="C18" i="2"/>
  <c r="C11" i="2"/>
  <c r="D38" i="2"/>
  <c r="E38" i="2"/>
  <c r="K38" i="2"/>
  <c r="L38" i="2"/>
  <c r="P38" i="2"/>
  <c r="Q38" i="2"/>
  <c r="C22" i="2"/>
  <c r="G3" i="6"/>
  <c r="P36" i="2" l="1"/>
  <c r="P34" i="2"/>
  <c r="P32" i="2"/>
  <c r="L36" i="2"/>
  <c r="L34" i="2"/>
  <c r="L32" i="2"/>
  <c r="H36" i="2"/>
  <c r="H34" i="2"/>
  <c r="H32" i="2"/>
  <c r="F32" i="8"/>
  <c r="F36" i="8"/>
  <c r="F33" i="8"/>
  <c r="F34" i="8"/>
  <c r="C4" i="8"/>
  <c r="C4" i="2"/>
  <c r="P33" i="2" s="1"/>
  <c r="P35" i="2" s="1"/>
  <c r="O38" i="2"/>
  <c r="I38" i="2"/>
  <c r="F38" i="2"/>
  <c r="M38" i="2"/>
  <c r="H38" i="2"/>
  <c r="R34" i="2"/>
  <c r="R36" i="2"/>
  <c r="R33" i="2"/>
  <c r="R32" i="2"/>
  <c r="N34" i="2"/>
  <c r="N36" i="2"/>
  <c r="N33" i="2"/>
  <c r="N32" i="2"/>
  <c r="J34" i="2"/>
  <c r="J36" i="2"/>
  <c r="J33" i="2"/>
  <c r="J32" i="2"/>
  <c r="F34" i="2"/>
  <c r="F36" i="2"/>
  <c r="F33" i="2"/>
  <c r="F32" i="2"/>
  <c r="D31" i="2"/>
  <c r="E31" i="2"/>
  <c r="G31" i="2"/>
  <c r="I31" i="2"/>
  <c r="K31" i="2"/>
  <c r="M31" i="2"/>
  <c r="O31" i="2"/>
  <c r="Q31" i="2"/>
  <c r="R38" i="2"/>
  <c r="N38" i="2"/>
  <c r="J38" i="2"/>
  <c r="Q31" i="8"/>
  <c r="O31" i="8"/>
  <c r="M31" i="8"/>
  <c r="K31" i="8"/>
  <c r="I31" i="8"/>
  <c r="G31" i="8"/>
  <c r="E31" i="8"/>
  <c r="Q38" i="8"/>
  <c r="O38" i="8"/>
  <c r="M38" i="8"/>
  <c r="K38" i="8"/>
  <c r="I38" i="8"/>
  <c r="G38" i="8"/>
  <c r="D31" i="8"/>
  <c r="R31" i="8"/>
  <c r="P31" i="8"/>
  <c r="N31" i="8"/>
  <c r="L31" i="8"/>
  <c r="J31" i="8"/>
  <c r="H31" i="8"/>
  <c r="P32" i="8" l="1"/>
  <c r="P36" i="8"/>
  <c r="P33" i="8"/>
  <c r="P34" i="8"/>
  <c r="K33" i="8"/>
  <c r="K34" i="8"/>
  <c r="K32" i="8"/>
  <c r="K36" i="8"/>
  <c r="K33" i="2"/>
  <c r="K34" i="2"/>
  <c r="K36" i="2"/>
  <c r="K32" i="2"/>
  <c r="J32" i="8"/>
  <c r="J36" i="8"/>
  <c r="J33" i="8"/>
  <c r="J34" i="8"/>
  <c r="M33" i="8"/>
  <c r="M34" i="8"/>
  <c r="M32" i="8"/>
  <c r="M36" i="8"/>
  <c r="Q33" i="2"/>
  <c r="Q34" i="2"/>
  <c r="Q32" i="2"/>
  <c r="Q36" i="2"/>
  <c r="I33" i="2"/>
  <c r="I34" i="2"/>
  <c r="I32" i="2"/>
  <c r="I36" i="2"/>
  <c r="F35" i="8"/>
  <c r="F37" i="8" s="1"/>
  <c r="F40" i="8" s="1"/>
  <c r="P37" i="2"/>
  <c r="P40" i="2" s="1"/>
  <c r="H32" i="8"/>
  <c r="H36" i="8"/>
  <c r="H33" i="8"/>
  <c r="H34" i="8"/>
  <c r="R32" i="8"/>
  <c r="R36" i="8"/>
  <c r="R33" i="8"/>
  <c r="R34" i="8"/>
  <c r="E33" i="8"/>
  <c r="E34" i="8"/>
  <c r="E32" i="8"/>
  <c r="E36" i="8"/>
  <c r="L32" i="8"/>
  <c r="L36" i="8"/>
  <c r="L33" i="8"/>
  <c r="L34" i="8"/>
  <c r="D36" i="8"/>
  <c r="D32" i="8"/>
  <c r="D34" i="8"/>
  <c r="D33" i="8"/>
  <c r="D35" i="8" s="1"/>
  <c r="G33" i="8"/>
  <c r="G34" i="8"/>
  <c r="G32" i="8"/>
  <c r="G36" i="8"/>
  <c r="O33" i="8"/>
  <c r="O34" i="8"/>
  <c r="O32" i="8"/>
  <c r="O36" i="8"/>
  <c r="O33" i="2"/>
  <c r="O34" i="2"/>
  <c r="O36" i="2"/>
  <c r="O32" i="2"/>
  <c r="G33" i="2"/>
  <c r="G34" i="2"/>
  <c r="G36" i="2"/>
  <c r="G32" i="2"/>
  <c r="F35" i="2"/>
  <c r="F37" i="2" s="1"/>
  <c r="F40" i="2" s="1"/>
  <c r="J35" i="2"/>
  <c r="J37" i="2" s="1"/>
  <c r="J40" i="2" s="1"/>
  <c r="N35" i="2"/>
  <c r="N37" i="2" s="1"/>
  <c r="N40" i="2" s="1"/>
  <c r="R35" i="2"/>
  <c r="R37" i="2" s="1"/>
  <c r="R40" i="2" s="1"/>
  <c r="D36" i="2"/>
  <c r="D33" i="2"/>
  <c r="D35" i="2" s="1"/>
  <c r="D34" i="2"/>
  <c r="D32" i="2"/>
  <c r="N32" i="8"/>
  <c r="N36" i="8"/>
  <c r="N33" i="8"/>
  <c r="N34" i="8"/>
  <c r="I33" i="8"/>
  <c r="I34" i="8"/>
  <c r="I32" i="8"/>
  <c r="I36" i="8"/>
  <c r="Q33" i="8"/>
  <c r="Q34" i="8"/>
  <c r="Q32" i="8"/>
  <c r="Q36" i="8"/>
  <c r="M33" i="2"/>
  <c r="M34" i="2"/>
  <c r="M32" i="2"/>
  <c r="M36" i="2"/>
  <c r="E33" i="2"/>
  <c r="E34" i="2"/>
  <c r="E32" i="2"/>
  <c r="E36" i="2"/>
  <c r="H33" i="2"/>
  <c r="H35" i="2" s="1"/>
  <c r="H37" i="2" s="1"/>
  <c r="H40" i="2" s="1"/>
  <c r="L33" i="2"/>
  <c r="L35" i="2" s="1"/>
  <c r="L37" i="2" s="1"/>
  <c r="L40" i="2" s="1"/>
  <c r="E35" i="8" l="1"/>
  <c r="E37" i="8" s="1"/>
  <c r="E40" i="8" s="1"/>
  <c r="D37" i="2"/>
  <c r="D40" i="2" s="1"/>
  <c r="D41" i="2" s="1"/>
  <c r="R35" i="8"/>
  <c r="R37" i="8" s="1"/>
  <c r="R40" i="8" s="1"/>
  <c r="H35" i="8"/>
  <c r="H37" i="8" s="1"/>
  <c r="H40" i="8" s="1"/>
  <c r="N35" i="8"/>
  <c r="L35" i="8"/>
  <c r="L37" i="8" s="1"/>
  <c r="L40" i="8" s="1"/>
  <c r="J35" i="8"/>
  <c r="J37" i="8" s="1"/>
  <c r="J40" i="8" s="1"/>
  <c r="P35" i="8"/>
  <c r="D37" i="8"/>
  <c r="D40" i="8" s="1"/>
  <c r="E35" i="2"/>
  <c r="M35" i="2"/>
  <c r="M37" i="2" s="1"/>
  <c r="M40" i="2" s="1"/>
  <c r="Q35" i="8"/>
  <c r="Q37" i="8" s="1"/>
  <c r="Q40" i="8" s="1"/>
  <c r="I35" i="8"/>
  <c r="I37" i="8" s="1"/>
  <c r="I40" i="8" s="1"/>
  <c r="N37" i="8"/>
  <c r="N40" i="8" s="1"/>
  <c r="G35" i="2"/>
  <c r="G37" i="2" s="1"/>
  <c r="G40" i="2" s="1"/>
  <c r="O35" i="2"/>
  <c r="O37" i="2" s="1"/>
  <c r="O40" i="2" s="1"/>
  <c r="O35" i="8"/>
  <c r="O37" i="8" s="1"/>
  <c r="O40" i="8" s="1"/>
  <c r="G35" i="8"/>
  <c r="I35" i="2"/>
  <c r="I37" i="2" s="1"/>
  <c r="I40" i="2" s="1"/>
  <c r="Q35" i="2"/>
  <c r="Q37" i="2" s="1"/>
  <c r="Q40" i="2" s="1"/>
  <c r="M35" i="8"/>
  <c r="M37" i="8" s="1"/>
  <c r="M40" i="8" s="1"/>
  <c r="K35" i="2"/>
  <c r="K37" i="2" s="1"/>
  <c r="K40" i="2" s="1"/>
  <c r="K35" i="8"/>
  <c r="K37" i="8" s="1"/>
  <c r="K40" i="8" s="1"/>
  <c r="P37" i="8"/>
  <c r="P40" i="8" s="1"/>
  <c r="C24" i="8" l="1"/>
  <c r="G21" i="6" s="1"/>
  <c r="C24" i="2"/>
  <c r="G12" i="6" s="1"/>
  <c r="D41" i="8"/>
  <c r="E37" i="2"/>
  <c r="E40" i="2" s="1"/>
  <c r="C25" i="2" s="1"/>
  <c r="G13" i="6" s="1"/>
  <c r="G37" i="8"/>
  <c r="G40" i="8" s="1"/>
  <c r="C25" i="8" s="1"/>
  <c r="G22" i="6" s="1"/>
  <c r="D42" i="2"/>
  <c r="E41" i="2" l="1"/>
  <c r="D42" i="8"/>
  <c r="E41" i="8"/>
  <c r="F41" i="2" l="1"/>
  <c r="E42" i="2"/>
  <c r="F41" i="8"/>
  <c r="E42" i="8"/>
  <c r="F42" i="2" l="1"/>
  <c r="G41" i="2"/>
  <c r="F42" i="8"/>
  <c r="G41" i="8"/>
  <c r="H41" i="2" l="1"/>
  <c r="G42" i="2"/>
  <c r="H41" i="8"/>
  <c r="G42" i="8"/>
  <c r="H42" i="2" l="1"/>
  <c r="I41" i="2"/>
  <c r="H42" i="8"/>
  <c r="I41" i="8"/>
  <c r="J41" i="8" l="1"/>
  <c r="I42" i="8"/>
  <c r="J41" i="2"/>
  <c r="I42" i="2"/>
  <c r="J42" i="2" l="1"/>
  <c r="K41" i="2"/>
  <c r="J42" i="8"/>
  <c r="K41" i="8"/>
  <c r="L41" i="8" l="1"/>
  <c r="K42" i="8"/>
  <c r="L41" i="2"/>
  <c r="K42" i="2"/>
  <c r="M41" i="2" l="1"/>
  <c r="L42" i="2"/>
  <c r="L42" i="8"/>
  <c r="M41" i="8"/>
  <c r="N41" i="8" l="1"/>
  <c r="M42" i="8"/>
  <c r="N41" i="2"/>
  <c r="M42" i="2"/>
  <c r="N42" i="2" l="1"/>
  <c r="O41" i="2"/>
  <c r="N42" i="8"/>
  <c r="O41" i="8"/>
  <c r="P41" i="8" l="1"/>
  <c r="O42" i="8"/>
  <c r="P41" i="2"/>
  <c r="O42" i="2"/>
  <c r="P42" i="2" l="1"/>
  <c r="Q41" i="2"/>
  <c r="P42" i="8"/>
  <c r="Q41" i="8"/>
  <c r="R41" i="8" l="1"/>
  <c r="Q42" i="8"/>
  <c r="R41" i="2"/>
  <c r="Q42" i="2"/>
  <c r="R42" i="2" l="1"/>
  <c r="C27" i="2" s="1"/>
  <c r="G15" i="6" s="1"/>
  <c r="C26" i="2"/>
  <c r="G14" i="6" s="1"/>
  <c r="R42" i="8"/>
  <c r="C27" i="8" s="1"/>
  <c r="G24" i="6" s="1"/>
  <c r="C26" i="8"/>
  <c r="G23" i="6" s="1"/>
</calcChain>
</file>

<file path=xl/sharedStrings.xml><?xml version="1.0" encoding="utf-8"?>
<sst xmlns="http://schemas.openxmlformats.org/spreadsheetml/2006/main" count="142" uniqueCount="46">
  <si>
    <t>Jaar</t>
  </si>
  <si>
    <t>Kosten beheer en onderhoud</t>
  </si>
  <si>
    <t>Investeringsprijs</t>
  </si>
  <si>
    <t>Verzwaring aansluiting</t>
  </si>
  <si>
    <t>Totale investering</t>
  </si>
  <si>
    <t>Vermogen installatie</t>
  </si>
  <si>
    <t>per kWh</t>
  </si>
  <si>
    <t>kWh per jaar</t>
  </si>
  <si>
    <t>Beheer en onderhoud</t>
  </si>
  <si>
    <t>per jaar</t>
  </si>
  <si>
    <t>Gelijktijdigheid</t>
  </si>
  <si>
    <t>Terugleverprijs</t>
  </si>
  <si>
    <t>Index</t>
  </si>
  <si>
    <t>Degeneratie panelen</t>
  </si>
  <si>
    <t>IRR</t>
  </si>
  <si>
    <t>Productie kWh</t>
  </si>
  <si>
    <t>Vermeden kosten (gelijktijdigheid)</t>
  </si>
  <si>
    <t>Terugleveringsopbrengsten</t>
  </si>
  <si>
    <t>Inflatie</t>
  </si>
  <si>
    <t xml:space="preserve">Cumulatieve kasstromen </t>
  </si>
  <si>
    <t>Terugverdientijd</t>
  </si>
  <si>
    <t>jaar</t>
  </si>
  <si>
    <t>van kWh-prijs</t>
  </si>
  <si>
    <t>kWp</t>
  </si>
  <si>
    <t>Basisbedrag SDE+</t>
  </si>
  <si>
    <t>Scenario 1</t>
  </si>
  <si>
    <t>Scenario 2</t>
  </si>
  <si>
    <t>Vermeden kosten (energieprijs)</t>
  </si>
  <si>
    <t>NCW investering</t>
  </si>
  <si>
    <t>Totale subsidieopbrengsten</t>
  </si>
  <si>
    <t>eenmalig</t>
  </si>
  <si>
    <t>Energieproductie</t>
  </si>
  <si>
    <t>Rentevoet</t>
  </si>
  <si>
    <t>Installatiegegevens</t>
  </si>
  <si>
    <t>Kosten</t>
  </si>
  <si>
    <t>Financieel</t>
  </si>
  <si>
    <t>Energieleverancier</t>
  </si>
  <si>
    <t>Correctiebedrag (eigen verbruik)</t>
  </si>
  <si>
    <t>Correctiebedrag (netlevering)</t>
  </si>
  <si>
    <t>Maximale energieproductie</t>
  </si>
  <si>
    <t>SDE+ eigen verbruik</t>
  </si>
  <si>
    <t>SDE+ netlevering</t>
  </si>
  <si>
    <t>Totale opbrengsten</t>
  </si>
  <si>
    <t>Totale opbrengsten - kosten</t>
  </si>
  <si>
    <t>Totale subsidieopbrengsten SDE+</t>
  </si>
  <si>
    <t>kWh/jaar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</si>
</sst>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€&quot;\ * #,##0.00_);_(&quot;€&quot;\ * \(#,##0.00\);_(&quot;€&quot;\ 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&quot;€&quot;\ #,##0"/>
    <numFmt numFmtId="167" formatCode="&quot;€&quot;\ #,##0.000"/>
    <numFmt numFmtId="168" formatCode="&quot;€&quot;\ #,##0.00"/>
  </numFmts>
  <fonts count="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u/>
      <sz val="14"/>
      <color theme="1"/>
      <name val="Verdana"/>
      <family val="2"/>
    </font>
    <font>
      <sz val="12"/>
      <color theme="1"/>
      <name val="Verdana"/>
      <family val="2"/>
    </font>
    <font>
      <b/>
      <sz val="12"/>
      <name val="Verdana"/>
      <family val="2"/>
    </font>
    <font>
      <sz val="12"/>
      <color rgb="FF000000"/>
      <name val="Verdana"/>
      <family val="2"/>
    </font>
    <font>
      <b/>
      <sz val="20"/>
      <name val="Verdana"/>
      <family val="2"/>
    </font>
    <font>
      <sz val="12"/>
      <name val="Verdana"/>
      <family val="2"/>
    </font>
    <font>
      <b/>
      <sz val="12"/>
      <color theme="1"/>
      <name val="Verdana"/>
      <family val="2"/>
    </font>
    <font>
      <b/>
      <sz val="14"/>
      <name val="Verdana"/>
      <family val="2"/>
    </font>
    <font>
      <sz val="14"/>
      <color theme="1"/>
      <name val="Verdana"/>
      <family val="2"/>
    </font>
    <font>
      <b/>
      <sz val="14"/>
      <color theme="1"/>
      <name val="Verdana"/>
      <family val="2"/>
    </font>
    <font>
      <sz val="14"/>
      <color rgb="FF000000"/>
      <name val="Verdana"/>
      <family val="2"/>
    </font>
    <font>
      <sz val="14"/>
      <color theme="0"/>
      <name val="Verdana"/>
      <family val="2"/>
    </font>
    <font>
      <b/>
      <sz val="20"/>
      <color rgb="FF00B0F0"/>
      <name val="Verdana"/>
      <family val="2"/>
    </font>
    <font>
      <b/>
      <sz val="20"/>
      <color rgb="FFFFC000"/>
      <name val="Verdana"/>
      <family val="2"/>
    </font>
    <font>
      <sz val="12"/>
      <color rgb="FF00B0F0"/>
      <name val="Calibri"/>
      <family val="2"/>
      <scheme val="minor"/>
    </font>
    <font>
      <sz val="12"/>
      <color theme="6"/>
      <name val="Verdana"/>
      <family val="2"/>
    </font>
    <font>
      <sz val="10"/>
      <name val="Verdana"/>
      <family val="2"/>
    </font>
    <font>
      <sz val="10"/>
      <color theme="5" tint="0.59999389629810485"/>
      <name val="Verdana"/>
      <family val="2"/>
    </font>
    <font>
      <sz val="10"/>
      <color rgb="FF000000"/>
      <name val="Verdana"/>
      <family val="2"/>
    </font>
    <font>
      <sz val="10"/>
      <color theme="6"/>
      <name val="Verdana"/>
      <family val="2"/>
    </font>
    <font>
      <sz val="10"/>
      <color theme="1"/>
      <name val="Verdana"/>
      <family val="2"/>
    </font>
    <font>
      <b/>
      <sz val="14"/>
      <color rgb="FF000000"/>
      <name val="Verdana"/>
      <family val="2"/>
    </font>
    <font>
      <b/>
      <sz val="10"/>
      <color rgb="FF00B0F0"/>
      <name val="Verdana"/>
      <family val="2"/>
    </font>
    <font>
      <b/>
      <sz val="10"/>
      <color rgb="FF000000"/>
      <name val="Verdana"/>
      <family val="2"/>
    </font>
    <font>
      <i/>
      <sz val="10"/>
      <color theme="1"/>
      <name val="Verdana"/>
      <family val="2"/>
    </font>
    <font>
      <b/>
      <sz val="10"/>
      <color rgb="FFFFC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0" fontId="0" fillId="2" borderId="0" xfId="0" applyFill="1" applyBorder="1"/>
    <xf numFmtId="0" fontId="5" fillId="2" borderId="0" xfId="0" applyFont="1" applyFill="1"/>
    <xf numFmtId="9" fontId="0" fillId="2" borderId="0" xfId="0" applyNumberFormat="1" applyFill="1" applyBorder="1"/>
    <xf numFmtId="0" fontId="2" fillId="2" borderId="0" xfId="0" applyFont="1" applyFill="1"/>
    <xf numFmtId="0" fontId="0" fillId="3" borderId="0" xfId="0" applyFill="1" applyBorder="1"/>
    <xf numFmtId="0" fontId="6" fillId="2" borderId="0" xfId="0" applyFont="1" applyFill="1" applyBorder="1"/>
    <xf numFmtId="0" fontId="0" fillId="2" borderId="0" xfId="0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3" fontId="10" fillId="2" borderId="0" xfId="0" applyNumberFormat="1" applyFont="1" applyFill="1" applyProtection="1">
      <protection locked="0"/>
    </xf>
    <xf numFmtId="0" fontId="10" fillId="2" borderId="0" xfId="0" applyFont="1" applyFill="1"/>
    <xf numFmtId="0" fontId="11" fillId="2" borderId="0" xfId="0" applyFont="1" applyFill="1" applyBorder="1"/>
    <xf numFmtId="3" fontId="12" fillId="2" borderId="0" xfId="0" applyNumberFormat="1" applyFont="1" applyFill="1" applyBorder="1"/>
    <xf numFmtId="0" fontId="12" fillId="2" borderId="0" xfId="0" applyFont="1" applyFill="1" applyBorder="1"/>
    <xf numFmtId="166" fontId="10" fillId="2" borderId="0" xfId="0" applyNumberFormat="1" applyFont="1" applyFill="1" applyProtection="1">
      <protection locked="0"/>
    </xf>
    <xf numFmtId="168" fontId="10" fillId="4" borderId="0" xfId="0" applyNumberFormat="1" applyFont="1" applyFill="1" applyProtection="1">
      <protection locked="0"/>
    </xf>
    <xf numFmtId="0" fontId="10" fillId="4" borderId="0" xfId="0" applyFont="1" applyFill="1"/>
    <xf numFmtId="9" fontId="10" fillId="4" borderId="0" xfId="0" applyNumberFormat="1" applyFont="1" applyFill="1" applyProtection="1">
      <protection locked="0"/>
    </xf>
    <xf numFmtId="164" fontId="10" fillId="4" borderId="0" xfId="0" applyNumberFormat="1" applyFont="1" applyFill="1" applyProtection="1">
      <protection locked="0"/>
    </xf>
    <xf numFmtId="0" fontId="13" fillId="2" borderId="0" xfId="0" applyFont="1" applyFill="1" applyBorder="1"/>
    <xf numFmtId="9" fontId="8" fillId="2" borderId="0" xfId="0" applyNumberFormat="1" applyFont="1" applyFill="1" applyBorder="1" applyProtection="1">
      <protection locked="0"/>
    </xf>
    <xf numFmtId="0" fontId="8" fillId="2" borderId="0" xfId="0" applyFont="1" applyFill="1" applyBorder="1"/>
    <xf numFmtId="0" fontId="14" fillId="2" borderId="0" xfId="0" applyFont="1" applyFill="1"/>
    <xf numFmtId="0" fontId="12" fillId="2" borderId="0" xfId="0" applyFont="1" applyFill="1"/>
    <xf numFmtId="0" fontId="16" fillId="2" borderId="0" xfId="0" applyFont="1" applyFill="1" applyBorder="1"/>
    <xf numFmtId="0" fontId="9" fillId="2" borderId="0" xfId="0" applyFont="1" applyFill="1" applyBorder="1"/>
    <xf numFmtId="167" fontId="8" fillId="2" borderId="0" xfId="0" applyNumberFormat="1" applyFont="1" applyFill="1" applyBorder="1" applyProtection="1"/>
    <xf numFmtId="0" fontId="15" fillId="2" borderId="0" xfId="0" applyFont="1" applyFill="1" applyBorder="1"/>
    <xf numFmtId="10" fontId="17" fillId="2" borderId="0" xfId="0" applyNumberFormat="1" applyFont="1" applyFill="1"/>
    <xf numFmtId="10" fontId="15" fillId="2" borderId="0" xfId="0" applyNumberFormat="1" applyFont="1" applyFill="1"/>
    <xf numFmtId="0" fontId="15" fillId="2" borderId="0" xfId="0" applyFont="1" applyFill="1"/>
    <xf numFmtId="0" fontId="14" fillId="2" borderId="0" xfId="0" applyFont="1" applyFill="1" applyBorder="1"/>
    <xf numFmtId="167" fontId="8" fillId="2" borderId="0" xfId="0" applyNumberFormat="1" applyFont="1" applyFill="1" applyBorder="1" applyProtection="1">
      <protection locked="0"/>
    </xf>
    <xf numFmtId="166" fontId="8" fillId="2" borderId="0" xfId="0" applyNumberFormat="1" applyFont="1" applyFill="1"/>
    <xf numFmtId="10" fontId="10" fillId="2" borderId="0" xfId="0" applyNumberFormat="1" applyFont="1" applyFill="1"/>
    <xf numFmtId="0" fontId="19" fillId="2" borderId="0" xfId="0" applyFont="1" applyFill="1" applyBorder="1"/>
    <xf numFmtId="3" fontId="18" fillId="2" borderId="0" xfId="0" applyNumberFormat="1" applyFont="1" applyFill="1" applyBorder="1"/>
    <xf numFmtId="0" fontId="18" fillId="2" borderId="0" xfId="0" applyFont="1" applyFill="1" applyBorder="1"/>
    <xf numFmtId="0" fontId="20" fillId="2" borderId="0" xfId="0" applyFont="1" applyFill="1" applyBorder="1"/>
    <xf numFmtId="3" fontId="2" fillId="2" borderId="0" xfId="0" applyNumberFormat="1" applyFont="1" applyFill="1" applyBorder="1"/>
    <xf numFmtId="0" fontId="2" fillId="2" borderId="0" xfId="0" applyFont="1" applyFill="1" applyBorder="1"/>
    <xf numFmtId="0" fontId="21" fillId="2" borderId="0" xfId="0" applyFont="1" applyFill="1" applyBorder="1"/>
    <xf numFmtId="0" fontId="8" fillId="2" borderId="0" xfId="0" applyFont="1" applyFill="1" applyBorder="1" applyAlignment="1">
      <alignment horizontal="right"/>
    </xf>
    <xf numFmtId="3" fontId="12" fillId="2" borderId="0" xfId="0" applyNumberFormat="1" applyFont="1" applyFill="1"/>
    <xf numFmtId="167" fontId="8" fillId="2" borderId="0" xfId="0" applyNumberFormat="1" applyFont="1" applyFill="1" applyBorder="1"/>
    <xf numFmtId="168" fontId="10" fillId="2" borderId="0" xfId="0" applyNumberFormat="1" applyFont="1" applyFill="1" applyProtection="1">
      <protection locked="0"/>
    </xf>
    <xf numFmtId="3" fontId="10" fillId="2" borderId="0" xfId="0" applyNumberFormat="1" applyFont="1" applyFill="1"/>
    <xf numFmtId="3" fontId="22" fillId="2" borderId="0" xfId="0" applyNumberFormat="1" applyFont="1" applyFill="1"/>
    <xf numFmtId="0" fontId="22" fillId="2" borderId="0" xfId="0" applyFont="1" applyFill="1"/>
    <xf numFmtId="9" fontId="10" fillId="2" borderId="0" xfId="0" applyNumberFormat="1" applyFont="1" applyFill="1" applyProtection="1">
      <protection locked="0"/>
    </xf>
    <xf numFmtId="164" fontId="10" fillId="2" borderId="0" xfId="0" applyNumberFormat="1" applyFont="1" applyFill="1" applyProtection="1">
      <protection locked="0"/>
    </xf>
    <xf numFmtId="166" fontId="15" fillId="0" borderId="0" xfId="0" applyNumberFormat="1" applyFont="1" applyFill="1"/>
    <xf numFmtId="0" fontId="8" fillId="0" borderId="0" xfId="0" applyFont="1" applyFill="1" applyBorder="1"/>
    <xf numFmtId="0" fontId="23" fillId="2" borderId="0" xfId="0" applyFont="1" applyFill="1" applyBorder="1"/>
    <xf numFmtId="0" fontId="24" fillId="2" borderId="0" xfId="0" applyFont="1" applyFill="1" applyBorder="1"/>
    <xf numFmtId="0" fontId="25" fillId="2" borderId="0" xfId="0" applyFont="1" applyFill="1"/>
    <xf numFmtId="0" fontId="23" fillId="2" borderId="0" xfId="0" applyFont="1" applyFill="1"/>
    <xf numFmtId="0" fontId="26" fillId="2" borderId="0" xfId="0" applyFont="1" applyFill="1"/>
    <xf numFmtId="0" fontId="27" fillId="2" borderId="0" xfId="0" applyFont="1" applyFill="1" applyBorder="1"/>
    <xf numFmtId="0" fontId="28" fillId="2" borderId="0" xfId="0" applyFont="1" applyFill="1"/>
    <xf numFmtId="0" fontId="29" fillId="2" borderId="0" xfId="0" applyFont="1" applyFill="1"/>
    <xf numFmtId="0" fontId="29" fillId="2" borderId="0" xfId="0" applyFont="1" applyFill="1" applyAlignment="1">
      <alignment horizontal="center"/>
    </xf>
    <xf numFmtId="0" fontId="30" fillId="2" borderId="0" xfId="0" applyFont="1" applyFill="1"/>
    <xf numFmtId="165" fontId="25" fillId="2" borderId="0" xfId="1" applyNumberFormat="1" applyFont="1" applyFill="1"/>
    <xf numFmtId="44" fontId="25" fillId="2" borderId="0" xfId="0" applyNumberFormat="1" applyFont="1" applyFill="1"/>
    <xf numFmtId="167" fontId="27" fillId="2" borderId="0" xfId="0" applyNumberFormat="1" applyFont="1" applyFill="1" applyBorder="1"/>
    <xf numFmtId="167" fontId="25" fillId="2" borderId="0" xfId="0" applyNumberFormat="1" applyFont="1" applyFill="1"/>
    <xf numFmtId="166" fontId="25" fillId="2" borderId="0" xfId="0" applyNumberFormat="1" applyFont="1" applyFill="1"/>
    <xf numFmtId="0" fontId="31" fillId="2" borderId="0" xfId="0" applyFont="1" applyFill="1" applyBorder="1" applyAlignment="1">
      <alignment horizontal="left"/>
    </xf>
    <xf numFmtId="0" fontId="0" fillId="5" borderId="0" xfId="0" applyFill="1" applyBorder="1"/>
    <xf numFmtId="0" fontId="32" fillId="2" borderId="0" xfId="0" applyFont="1" applyFill="1"/>
    <xf numFmtId="0" fontId="32" fillId="2" borderId="0" xfId="0" applyFont="1" applyFill="1" applyAlignment="1">
      <alignment horizontal="center"/>
    </xf>
    <xf numFmtId="10" fontId="8" fillId="2" borderId="0" xfId="0" applyNumberFormat="1" applyFont="1" applyFill="1"/>
    <xf numFmtId="0" fontId="8" fillId="2" borderId="0" xfId="0" applyNumberFormat="1" applyFont="1" applyFill="1"/>
    <xf numFmtId="0" fontId="13" fillId="0" borderId="0" xfId="0" applyFont="1" applyFill="1" applyBorder="1"/>
    <xf numFmtId="44" fontId="16" fillId="3" borderId="0" xfId="0" applyNumberFormat="1" applyFont="1" applyFill="1" applyBorder="1"/>
    <xf numFmtId="44" fontId="16" fillId="5" borderId="0" xfId="0" applyNumberFormat="1" applyFont="1" applyFill="1" applyBorder="1"/>
  </cellXfs>
  <cellStyles count="12">
    <cellStyle name="Gevolgde hyperlink" xfId="3" builtinId="9" hidden="1"/>
    <cellStyle name="Gevolgde hyperlink" xfId="5" builtinId="9" hidden="1"/>
    <cellStyle name="Gevolgde hyperlink" xfId="7" builtinId="9" hidden="1"/>
    <cellStyle name="Gevolgde hyperlink" xfId="9" builtinId="9" hidden="1"/>
    <cellStyle name="Gevolgde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Komma" xfId="1" builtinId="3"/>
    <cellStyle name="Standaard" xfId="0" builtinId="0"/>
  </cellStyles>
  <dxfs count="0"/>
  <tableStyles count="0" defaultTableStyle="TableStyleMedium9" defaultPivotStyle="PivotStyleMedium7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Kengetallen!$F$9</c:f>
              <c:strCache>
                <c:ptCount val="1"/>
                <c:pt idx="0">
                  <c:v>Scenario 1</c:v>
                </c:pt>
              </c:strCache>
            </c:strRef>
          </c:tx>
          <c:spPr>
            <a:solidFill>
              <a:srgbClr val="00B0F0">
                <a:alpha val="48000"/>
              </a:srgbClr>
            </a:solidFill>
            <a:ln>
              <a:solidFill>
                <a:srgbClr val="00B0F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4.20168067226891E-3"/>
                  <c:y val="1.353965183752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086117911731602"/>
                      <c:h val="5.775628626692459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011D-AC48-995D-2B14FFBEEE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Kengetallen!$F$21</c:f>
              <c:strCache>
                <c:ptCount val="1"/>
                <c:pt idx="0">
                  <c:v>Totale subsidieopbrengsten</c:v>
                </c:pt>
              </c:strCache>
            </c:strRef>
          </c:cat>
          <c:val>
            <c:numRef>
              <c:f>Kengetallen!$G$12</c:f>
              <c:numCache>
                <c:formatCode>"€"\ #,##0</c:formatCode>
                <c:ptCount val="1"/>
                <c:pt idx="0">
                  <c:v>364139.76616273838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D-AC48-995D-2B14FFBEEE9A}"/>
            </c:ext>
          </c:extLst>
        </c:ser>
        <c:ser>
          <c:idx val="0"/>
          <c:order val="1"/>
          <c:tx>
            <c:strRef>
              <c:f>Kengetallen!$F$18</c:f>
              <c:strCache>
                <c:ptCount val="1"/>
                <c:pt idx="0">
                  <c:v>Scenario 2</c:v>
                </c:pt>
              </c:strCache>
            </c:strRef>
          </c:tx>
          <c:spPr>
            <a:solidFill>
              <a:srgbClr val="FFC000">
                <a:alpha val="59000"/>
              </a:srgbClr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4.2018460927678103E-3"/>
                  <c:y val="9.6712560349685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466386554621799"/>
                      <c:h val="6.24758220502900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11D-AC48-995D-2B14FFBEEE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Kengetallen!$F$21</c:f>
              <c:strCache>
                <c:ptCount val="1"/>
                <c:pt idx="0">
                  <c:v>Totale subsidieopbrengsten</c:v>
                </c:pt>
              </c:strCache>
            </c:strRef>
          </c:cat>
          <c:val>
            <c:numRef>
              <c:f>Kengetallen!$G$21</c:f>
              <c:numCache>
                <c:formatCode>"€"\ #,##0</c:formatCode>
                <c:ptCount val="1"/>
                <c:pt idx="0">
                  <c:v>470106.36478152475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1D-AC48-995D-2B14FFBEE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846752"/>
        <c:axId val="1433546784"/>
      </c:barChart>
      <c:catAx>
        <c:axId val="134084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3546784"/>
        <c:crosses val="autoZero"/>
        <c:auto val="1"/>
        <c:lblAlgn val="ctr"/>
        <c:lblOffset val="100"/>
        <c:noMultiLvlLbl val="0"/>
      </c:catAx>
      <c:valAx>
        <c:axId val="1433546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084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/>
              <a:t>Cummulatieve kasstromen</a:t>
            </a:r>
          </a:p>
        </c:rich>
      </c:tx>
      <c:layout>
        <c:manualLayout>
          <c:xMode val="edge"/>
          <c:yMode val="edge"/>
          <c:x val="0.34459077026173701"/>
          <c:y val="0.91770204008589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23042976300121"/>
          <c:y val="4.8955119810887598E-2"/>
          <c:w val="0.85578432378363101"/>
          <c:h val="0.80352776181947205"/>
        </c:manualLayout>
      </c:layout>
      <c:lineChart>
        <c:grouping val="standard"/>
        <c:varyColors val="0"/>
        <c:ser>
          <c:idx val="0"/>
          <c:order val="0"/>
          <c:tx>
            <c:strRef>
              <c:f>Kengetallen!$F$9</c:f>
              <c:strCache>
                <c:ptCount val="1"/>
                <c:pt idx="0">
                  <c:v>Scenario 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Scenario_1!$C$41:$R$41</c:f>
              <c:numCache>
                <c:formatCode>"€"\ #,##0</c:formatCode>
                <c:ptCount val="16"/>
                <c:pt idx="0">
                  <c:v>-533000</c:v>
                </c:pt>
                <c:pt idx="1">
                  <c:v>-472123</c:v>
                </c:pt>
                <c:pt idx="2">
                  <c:v>-411202.34700000001</c:v>
                </c:pt>
                <c:pt idx="3">
                  <c:v>-350236.65010189998</c:v>
                </c:pt>
                <c:pt idx="4">
                  <c:v>-289224.51853298314</c:v>
                </c:pt>
                <c:pt idx="5">
                  <c:v>-228164.56162284728</c:v>
                </c:pt>
                <c:pt idx="6">
                  <c:v>-167055.38878045423</c:v>
                </c:pt>
                <c:pt idx="7">
                  <c:v>-105895.60947129772</c:v>
                </c:pt>
                <c:pt idx="8">
                  <c:v>-44683.833194690189</c:v>
                </c:pt>
                <c:pt idx="9">
                  <c:v>16581.330538830785</c:v>
                </c:pt>
                <c:pt idx="10">
                  <c:v>77901.272229975817</c:v>
                </c:pt>
                <c:pt idx="11">
                  <c:v>139277.38241305627</c:v>
                </c:pt>
                <c:pt idx="12">
                  <c:v>200711.05167821527</c:v>
                </c:pt>
                <c:pt idx="13">
                  <c:v>262203.67069353675</c:v>
                </c:pt>
                <c:pt idx="14">
                  <c:v>323756.63022703165</c:v>
                </c:pt>
                <c:pt idx="15">
                  <c:v>385371.32116850058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A0B-884D-B099-8E3D23A55CD5}"/>
            </c:ext>
          </c:extLst>
        </c:ser>
        <c:ser>
          <c:idx val="1"/>
          <c:order val="1"/>
          <c:tx>
            <c:strRef>
              <c:f>Kengetallen!$F$18</c:f>
              <c:strCache>
                <c:ptCount val="1"/>
                <c:pt idx="0">
                  <c:v>Scenario 2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Scenario_2!$C$41:$R$41</c:f>
              <c:numCache>
                <c:formatCode>"€"\ #,##0</c:formatCode>
                <c:ptCount val="16"/>
                <c:pt idx="0">
                  <c:v>-533000</c:v>
                </c:pt>
                <c:pt idx="1">
                  <c:v>-464808</c:v>
                </c:pt>
                <c:pt idx="2">
                  <c:v>-396608.92200000002</c:v>
                </c:pt>
                <c:pt idx="3">
                  <c:v>-328401.19222690002</c:v>
                </c:pt>
                <c:pt idx="4">
                  <c:v>-260183.23794735817</c:v>
                </c:pt>
                <c:pt idx="5">
                  <c:v>-191953.48744015041</c:v>
                </c:pt>
                <c:pt idx="6">
                  <c:v>-123710.36996867083</c:v>
                </c:pt>
                <c:pt idx="7">
                  <c:v>-55452.315753573232</c:v>
                </c:pt>
                <c:pt idx="8">
                  <c:v>12822.244054445691</c:v>
                </c:pt>
                <c:pt idx="9">
                  <c:v>81114.877401720994</c:v>
                </c:pt>
                <c:pt idx="10">
                  <c:v>149427.15135855158</c:v>
                </c:pt>
                <c:pt idx="11">
                  <c:v>217760.63214598916</c:v>
                </c:pt>
                <c:pt idx="12">
                  <c:v>286116.88516248349</c:v>
                </c:pt>
                <c:pt idx="13">
                  <c:v>354497.47501038364</c:v>
                </c:pt>
                <c:pt idx="14">
                  <c:v>422903.96552229428</c:v>
                </c:pt>
                <c:pt idx="15">
                  <c:v>491337.9197872869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A0B-884D-B099-8E3D23A55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584528"/>
        <c:axId val="1430586848"/>
      </c:lineChart>
      <c:catAx>
        <c:axId val="143058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0586848"/>
        <c:crosses val="autoZero"/>
        <c:auto val="1"/>
        <c:lblAlgn val="ctr"/>
        <c:lblOffset val="100"/>
        <c:noMultiLvlLbl val="0"/>
      </c:catAx>
      <c:valAx>
        <c:axId val="14305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05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400991062278703"/>
          <c:y val="0.86500314620499597"/>
          <c:w val="0.29527507167040701"/>
          <c:h val="4.8603765242087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Scenario_1!$B$41</c:f>
              <c:strCache>
                <c:ptCount val="1"/>
                <c:pt idx="0">
                  <c:v>Cumulatieve kasstromen 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Scenario_1!$C$30:$R$30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Scenario_1!$C$41:$R$41</c:f>
              <c:numCache>
                <c:formatCode>"€"\ #,##0</c:formatCode>
                <c:ptCount val="16"/>
                <c:pt idx="0">
                  <c:v>-533000</c:v>
                </c:pt>
                <c:pt idx="1">
                  <c:v>-472123</c:v>
                </c:pt>
                <c:pt idx="2">
                  <c:v>-411202.34700000001</c:v>
                </c:pt>
                <c:pt idx="3">
                  <c:v>-350236.65010189998</c:v>
                </c:pt>
                <c:pt idx="4">
                  <c:v>-289224.51853298314</c:v>
                </c:pt>
                <c:pt idx="5">
                  <c:v>-228164.56162284728</c:v>
                </c:pt>
                <c:pt idx="6">
                  <c:v>-167055.38878045423</c:v>
                </c:pt>
                <c:pt idx="7">
                  <c:v>-105895.60947129772</c:v>
                </c:pt>
                <c:pt idx="8">
                  <c:v>-44683.833194690189</c:v>
                </c:pt>
                <c:pt idx="9">
                  <c:v>16581.330538830785</c:v>
                </c:pt>
                <c:pt idx="10">
                  <c:v>77901.272229975817</c:v>
                </c:pt>
                <c:pt idx="11">
                  <c:v>139277.38241305627</c:v>
                </c:pt>
                <c:pt idx="12">
                  <c:v>200711.05167821527</c:v>
                </c:pt>
                <c:pt idx="13">
                  <c:v>262203.67069353675</c:v>
                </c:pt>
                <c:pt idx="14">
                  <c:v>323756.63022703165</c:v>
                </c:pt>
                <c:pt idx="15">
                  <c:v>385371.32116850058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2-CB46-84FE-5B3387FD0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21120"/>
        <c:axId val="1430623872"/>
      </c:lineChart>
      <c:catAx>
        <c:axId val="14306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0623872"/>
        <c:crosses val="autoZero"/>
        <c:auto val="1"/>
        <c:lblAlgn val="ctr"/>
        <c:lblOffset val="100"/>
        <c:noMultiLvlLbl val="0"/>
      </c:catAx>
      <c:valAx>
        <c:axId val="14306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062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Scenario_1!$B$32</c:f>
              <c:strCache>
                <c:ptCount val="1"/>
                <c:pt idx="0">
                  <c:v>Vermeden kosten (gelijktijdigheid)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Scenario_1!$D$30:$R$30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Scenario_1!$D$32:$R$32</c:f>
              <c:numCache>
                <c:formatCode>_("€"* #,##0.00_);_("€"* \(#,##0.00\);_("€"* "-"??_);_(@_)</c:formatCode>
                <c:ptCount val="15"/>
                <c:pt idx="0">
                  <c:v>21280</c:v>
                </c:pt>
                <c:pt idx="1">
                  <c:v>21385.336000000003</c:v>
                </c:pt>
                <c:pt idx="2">
                  <c:v>21491.193413200002</c:v>
                </c:pt>
                <c:pt idx="3">
                  <c:v>21597.574820595342</c:v>
                </c:pt>
                <c:pt idx="4">
                  <c:v>21704.48281595729</c:v>
                </c:pt>
                <c:pt idx="5">
                  <c:v>21811.920005896278</c:v>
                </c:pt>
                <c:pt idx="6">
                  <c:v>21919.889009925468</c:v>
                </c:pt>
                <c:pt idx="7">
                  <c:v>22028.392460524596</c:v>
                </c:pt>
                <c:pt idx="8">
                  <c:v>22137.433003204194</c:v>
                </c:pt>
                <c:pt idx="9">
                  <c:v>22247.013296570054</c:v>
                </c:pt>
                <c:pt idx="10">
                  <c:v>22357.136012388084</c:v>
                </c:pt>
                <c:pt idx="11">
                  <c:v>22467.803835649396</c:v>
                </c:pt>
                <c:pt idx="12">
                  <c:v>22579.019464635865</c:v>
                </c:pt>
                <c:pt idx="13">
                  <c:v>22690.785610985818</c:v>
                </c:pt>
                <c:pt idx="14">
                  <c:v>22803.104999760199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5-9A49-BB43-6B18A9E69456}"/>
            </c:ext>
          </c:extLst>
        </c:ser>
        <c:ser>
          <c:idx val="1"/>
          <c:order val="1"/>
          <c:tx>
            <c:strRef>
              <c:f>Scenario_1!$B$35</c:f>
              <c:strCache>
                <c:ptCount val="1"/>
                <c:pt idx="0">
                  <c:v>Totale subsidieopbrengsten SDE+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Scenario_1!$D$30:$R$30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Scenario_1!$D$35:$R$35</c:f>
              <c:numCache>
                <c:formatCode>"€"\ #,##0.000</c:formatCode>
                <c:ptCount val="15"/>
                <c:pt idx="0">
                  <c:v>25136.999999999993</c:v>
                </c:pt>
                <c:pt idx="1">
                  <c:v>25011.314999999995</c:v>
                </c:pt>
                <c:pt idx="2">
                  <c:v>24886.258424999993</c:v>
                </c:pt>
                <c:pt idx="3">
                  <c:v>24761.827132874994</c:v>
                </c:pt>
                <c:pt idx="4">
                  <c:v>24638.017997210623</c:v>
                </c:pt>
                <c:pt idx="5">
                  <c:v>24514.827907224568</c:v>
                </c:pt>
                <c:pt idx="6">
                  <c:v>24392.253767688446</c:v>
                </c:pt>
                <c:pt idx="7">
                  <c:v>24270.292498850002</c:v>
                </c:pt>
                <c:pt idx="8">
                  <c:v>24148.941036355754</c:v>
                </c:pt>
                <c:pt idx="9">
                  <c:v>24028.196331173975</c:v>
                </c:pt>
                <c:pt idx="10">
                  <c:v>23908.055349518108</c:v>
                </c:pt>
                <c:pt idx="11">
                  <c:v>23788.515072770511</c:v>
                </c:pt>
                <c:pt idx="12">
                  <c:v>23669.572497406665</c:v>
                </c:pt>
                <c:pt idx="13">
                  <c:v>23551.224634919636</c:v>
                </c:pt>
                <c:pt idx="14">
                  <c:v>23433.468511745035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5-9A49-BB43-6B18A9E69456}"/>
            </c:ext>
          </c:extLst>
        </c:ser>
        <c:ser>
          <c:idx val="2"/>
          <c:order val="2"/>
          <c:tx>
            <c:strRef>
              <c:f>Scenario_1!$B$36</c:f>
              <c:strCache>
                <c:ptCount val="1"/>
                <c:pt idx="0">
                  <c:v>Terugleveringsopbrengsten</c:v>
                </c:pt>
              </c:strCache>
            </c:strRef>
          </c:tx>
          <c:spPr>
            <a:solidFill>
              <a:schemeClr val="bg1">
                <a:lumMod val="8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Scenario_1!$D$30:$R$30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Scenario_1!$D$36:$R$36</c:f>
              <c:numCache>
                <c:formatCode>_("€"* #,##0.00_);_("€"* \(#,##0.00\);_("€"* "-"??_);_(@_)</c:formatCode>
                <c:ptCount val="15"/>
                <c:pt idx="0">
                  <c:v>15960</c:v>
                </c:pt>
                <c:pt idx="1">
                  <c:v>16039.001999999999</c:v>
                </c:pt>
                <c:pt idx="2">
                  <c:v>16118.3950599</c:v>
                </c:pt>
                <c:pt idx="3">
                  <c:v>16198.181115446503</c:v>
                </c:pt>
                <c:pt idx="4">
                  <c:v>16278.362111967966</c:v>
                </c:pt>
                <c:pt idx="5">
                  <c:v>16358.940004422209</c:v>
                </c:pt>
                <c:pt idx="6">
                  <c:v>16439.916757444098</c:v>
                </c:pt>
                <c:pt idx="7">
                  <c:v>16521.294345393446</c:v>
                </c:pt>
                <c:pt idx="8">
                  <c:v>16603.074752403147</c:v>
                </c:pt>
                <c:pt idx="9">
                  <c:v>16685.259972427539</c:v>
                </c:pt>
                <c:pt idx="10">
                  <c:v>16767.852009291062</c:v>
                </c:pt>
                <c:pt idx="11">
                  <c:v>16850.852876737044</c:v>
                </c:pt>
                <c:pt idx="12">
                  <c:v>16934.264598476897</c:v>
                </c:pt>
                <c:pt idx="13">
                  <c:v>17018.089208239358</c:v>
                </c:pt>
                <c:pt idx="14">
                  <c:v>17102.328749820146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5-9A49-BB43-6B18A9E69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41698688"/>
        <c:axId val="1341701008"/>
      </c:barChart>
      <c:catAx>
        <c:axId val="13416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1701008"/>
        <c:crosses val="autoZero"/>
        <c:auto val="1"/>
        <c:lblAlgn val="ctr"/>
        <c:lblOffset val="100"/>
        <c:noMultiLvlLbl val="0"/>
      </c:catAx>
      <c:valAx>
        <c:axId val="1341701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416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66873333746701E-2"/>
          <c:y val="0.85999647102935695"/>
          <c:w val="0.96479618723207305"/>
          <c:h val="0.13775772790219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Scenario_2!$B$41</c:f>
              <c:strCache>
                <c:ptCount val="1"/>
                <c:pt idx="0">
                  <c:v>Cumulatieve kasstromen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Scenario_2!$C$30:$R$30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Scenario_2!$C$41:$R$41</c:f>
              <c:numCache>
                <c:formatCode>"€"\ #,##0</c:formatCode>
                <c:ptCount val="16"/>
                <c:pt idx="0">
                  <c:v>-533000</c:v>
                </c:pt>
                <c:pt idx="1">
                  <c:v>-464808</c:v>
                </c:pt>
                <c:pt idx="2">
                  <c:v>-396608.92200000002</c:v>
                </c:pt>
                <c:pt idx="3">
                  <c:v>-328401.19222690002</c:v>
                </c:pt>
                <c:pt idx="4">
                  <c:v>-260183.23794735817</c:v>
                </c:pt>
                <c:pt idx="5">
                  <c:v>-191953.48744015041</c:v>
                </c:pt>
                <c:pt idx="6">
                  <c:v>-123710.36996867083</c:v>
                </c:pt>
                <c:pt idx="7">
                  <c:v>-55452.315753573232</c:v>
                </c:pt>
                <c:pt idx="8">
                  <c:v>12822.244054445691</c:v>
                </c:pt>
                <c:pt idx="9">
                  <c:v>81114.877401720994</c:v>
                </c:pt>
                <c:pt idx="10">
                  <c:v>149427.15135855158</c:v>
                </c:pt>
                <c:pt idx="11">
                  <c:v>217760.63214598916</c:v>
                </c:pt>
                <c:pt idx="12">
                  <c:v>286116.88516248349</c:v>
                </c:pt>
                <c:pt idx="13">
                  <c:v>354497.47501038364</c:v>
                </c:pt>
                <c:pt idx="14">
                  <c:v>422903.96552229428</c:v>
                </c:pt>
                <c:pt idx="15">
                  <c:v>491337.9197872869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D-C146-981B-DE9C0152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625008"/>
        <c:axId val="1430640032"/>
      </c:lineChart>
      <c:catAx>
        <c:axId val="143362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0640032"/>
        <c:crosses val="autoZero"/>
        <c:auto val="1"/>
        <c:lblAlgn val="ctr"/>
        <c:lblOffset val="100"/>
        <c:noMultiLvlLbl val="0"/>
      </c:catAx>
      <c:valAx>
        <c:axId val="14306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362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Scenario_2!$B$32</c:f>
              <c:strCache>
                <c:ptCount val="1"/>
                <c:pt idx="0">
                  <c:v>Vermeden kosten (gelijktijdigheid)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Scenario_2!$D$30:$R$30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Scenario_2!$D$32:$R$32</c:f>
              <c:numCache>
                <c:formatCode>_("€"* #,##0.00_);_("€"* \(#,##0.00\);_("€"* "-"??_);_(@_)</c:formatCode>
                <c:ptCount val="15"/>
                <c:pt idx="0">
                  <c:v>21280</c:v>
                </c:pt>
                <c:pt idx="1">
                  <c:v>21385.336000000003</c:v>
                </c:pt>
                <c:pt idx="2">
                  <c:v>21491.193413200002</c:v>
                </c:pt>
                <c:pt idx="3">
                  <c:v>21597.574820595342</c:v>
                </c:pt>
                <c:pt idx="4">
                  <c:v>21704.48281595729</c:v>
                </c:pt>
                <c:pt idx="5">
                  <c:v>21811.920005896278</c:v>
                </c:pt>
                <c:pt idx="6">
                  <c:v>21919.889009925468</c:v>
                </c:pt>
                <c:pt idx="7">
                  <c:v>22028.392460524596</c:v>
                </c:pt>
                <c:pt idx="8">
                  <c:v>22137.433003204194</c:v>
                </c:pt>
                <c:pt idx="9">
                  <c:v>22247.013296570054</c:v>
                </c:pt>
                <c:pt idx="10">
                  <c:v>22357.136012388084</c:v>
                </c:pt>
                <c:pt idx="11">
                  <c:v>22467.803835649396</c:v>
                </c:pt>
                <c:pt idx="12">
                  <c:v>22579.019464635865</c:v>
                </c:pt>
                <c:pt idx="13">
                  <c:v>22690.785610985818</c:v>
                </c:pt>
                <c:pt idx="14">
                  <c:v>22803.104999760199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649-B208-AA1E0055AFA1}"/>
            </c:ext>
          </c:extLst>
        </c:ser>
        <c:ser>
          <c:idx val="1"/>
          <c:order val="1"/>
          <c:tx>
            <c:strRef>
              <c:f>Scenario_2!$B$35</c:f>
              <c:strCache>
                <c:ptCount val="1"/>
                <c:pt idx="0">
                  <c:v>Totale subsidieopbrengsten SDE+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Scenario_2!$D$30:$R$30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Scenario_2!$D$35:$R$35</c:f>
              <c:numCache>
                <c:formatCode>"€"\ #,##0.000</c:formatCode>
                <c:ptCount val="15"/>
                <c:pt idx="0">
                  <c:v>32452.000000000004</c:v>
                </c:pt>
                <c:pt idx="1">
                  <c:v>32289.740000000005</c:v>
                </c:pt>
                <c:pt idx="2">
                  <c:v>32128.291300000004</c:v>
                </c:pt>
                <c:pt idx="3">
                  <c:v>31967.649843499999</c:v>
                </c:pt>
                <c:pt idx="4">
                  <c:v>31807.811594282502</c:v>
                </c:pt>
                <c:pt idx="5">
                  <c:v>31648.772536311088</c:v>
                </c:pt>
                <c:pt idx="6">
                  <c:v>31490.528673629535</c:v>
                </c:pt>
                <c:pt idx="7">
                  <c:v>31333.076030261389</c:v>
                </c:pt>
                <c:pt idx="8">
                  <c:v>31176.410650110083</c:v>
                </c:pt>
                <c:pt idx="9">
                  <c:v>31020.528596859527</c:v>
                </c:pt>
                <c:pt idx="10">
                  <c:v>30865.425953875234</c:v>
                </c:pt>
                <c:pt idx="11">
                  <c:v>30711.098824105855</c:v>
                </c:pt>
                <c:pt idx="12">
                  <c:v>30557.543329985332</c:v>
                </c:pt>
                <c:pt idx="13">
                  <c:v>30404.755613335405</c:v>
                </c:pt>
                <c:pt idx="14">
                  <c:v>30252.731835268729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B-4649-B208-AA1E0055AFA1}"/>
            </c:ext>
          </c:extLst>
        </c:ser>
        <c:ser>
          <c:idx val="2"/>
          <c:order val="2"/>
          <c:tx>
            <c:strRef>
              <c:f>Scenario_2!$B$36</c:f>
              <c:strCache>
                <c:ptCount val="1"/>
                <c:pt idx="0">
                  <c:v>Terugleveringsopbrengsten</c:v>
                </c:pt>
              </c:strCache>
            </c:strRef>
          </c:tx>
          <c:spPr>
            <a:solidFill>
              <a:schemeClr val="bg1">
                <a:lumMod val="85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Scenario_2!$D$30:$R$30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Scenario_2!$D$36:$R$36</c:f>
              <c:numCache>
                <c:formatCode>_("€"* #,##0.00_);_("€"* \(#,##0.00\);_("€"* "-"??_);_(@_)</c:formatCode>
                <c:ptCount val="15"/>
                <c:pt idx="0">
                  <c:v>15960</c:v>
                </c:pt>
                <c:pt idx="1">
                  <c:v>16039.001999999999</c:v>
                </c:pt>
                <c:pt idx="2">
                  <c:v>16118.3950599</c:v>
                </c:pt>
                <c:pt idx="3">
                  <c:v>16198.181115446503</c:v>
                </c:pt>
                <c:pt idx="4">
                  <c:v>16278.362111967966</c:v>
                </c:pt>
                <c:pt idx="5">
                  <c:v>16358.940004422209</c:v>
                </c:pt>
                <c:pt idx="6">
                  <c:v>16439.916757444098</c:v>
                </c:pt>
                <c:pt idx="7">
                  <c:v>16521.294345393446</c:v>
                </c:pt>
                <c:pt idx="8">
                  <c:v>16603.074752403147</c:v>
                </c:pt>
                <c:pt idx="9">
                  <c:v>16685.259972427539</c:v>
                </c:pt>
                <c:pt idx="10">
                  <c:v>16767.852009291062</c:v>
                </c:pt>
                <c:pt idx="11">
                  <c:v>16850.852876737044</c:v>
                </c:pt>
                <c:pt idx="12">
                  <c:v>16934.264598476897</c:v>
                </c:pt>
                <c:pt idx="13">
                  <c:v>17018.089208239358</c:v>
                </c:pt>
                <c:pt idx="14">
                  <c:v>17102.328749820146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B-4649-B208-AA1E0055A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33642368"/>
        <c:axId val="1433645120"/>
      </c:barChart>
      <c:catAx>
        <c:axId val="14336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3645120"/>
        <c:crosses val="autoZero"/>
        <c:auto val="1"/>
        <c:lblAlgn val="ctr"/>
        <c:lblOffset val="100"/>
        <c:noMultiLvlLbl val="0"/>
      </c:catAx>
      <c:valAx>
        <c:axId val="1433645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36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66873333746701E-2"/>
          <c:y val="0.85999647102935695"/>
          <c:w val="0.96479618723207305"/>
          <c:h val="0.13775772790219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if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50799</xdr:colOff>
      <xdr:row>26</xdr:row>
      <xdr:rowOff>143934</xdr:rowOff>
    </xdr:from>
    <xdr:to>
      <xdr:col>1</xdr:col>
      <xdr:colOff>3225799</xdr:colOff>
      <xdr:row>53</xdr:row>
      <xdr:rowOff>38101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1079500</xdr:colOff>
      <xdr:row>26</xdr:row>
      <xdr:rowOff>46567</xdr:rowOff>
    </xdr:from>
    <xdr:to>
      <xdr:col>8</xdr:col>
      <xdr:colOff>224366</xdr:colOff>
      <xdr:row>53</xdr:row>
      <xdr:rowOff>143934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50800</xdr:colOff>
      <xdr:row>0</xdr:row>
      <xdr:rowOff>177800</xdr:rowOff>
    </xdr:from>
    <xdr:to>
      <xdr:col>2</xdr:col>
      <xdr:colOff>385232</xdr:colOff>
      <xdr:row>6</xdr:row>
      <xdr:rowOff>63500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100" y="177800"/>
          <a:ext cx="3725332" cy="1397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774700</xdr:colOff>
      <xdr:row>1</xdr:row>
      <xdr:rowOff>0</xdr:rowOff>
    </xdr:from>
    <xdr:to>
      <xdr:col>18</xdr:col>
      <xdr:colOff>12700</xdr:colOff>
      <xdr:row>27</xdr:row>
      <xdr:rowOff>38100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</xdr:row>
      <xdr:rowOff>0</xdr:rowOff>
    </xdr:from>
    <xdr:to>
      <xdr:col>10</xdr:col>
      <xdr:colOff>596900</xdr:colOff>
      <xdr:row>27</xdr:row>
      <xdr:rowOff>63500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774700</xdr:colOff>
      <xdr:row>1</xdr:row>
      <xdr:rowOff>0</xdr:rowOff>
    </xdr:from>
    <xdr:to>
      <xdr:col>18</xdr:col>
      <xdr:colOff>12700</xdr:colOff>
      <xdr:row>27</xdr:row>
      <xdr:rowOff>38100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</xdr:row>
      <xdr:rowOff>0</xdr:rowOff>
    </xdr:from>
    <xdr:to>
      <xdr:col>10</xdr:col>
      <xdr:colOff>596900</xdr:colOff>
      <xdr:row>27</xdr:row>
      <xdr:rowOff>63500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zoomScalePageLayoutView="150" workbookViewId="0">
      <selection activeCell="G19" sqref="G19"/>
    </sheetView>
  </sheetViews>
  <sheetFormatPr baseColWidth="10" defaultRowHeight="16" x14ac:dyDescent="0.2"/>
  <cols>
    <col min="1" max="1" width="4.5" style="7" customWidth="1"/>
    <col min="2" max="2" width="44.5" style="7" customWidth="1"/>
    <col min="3" max="3" width="18.33203125" style="7" customWidth="1"/>
    <col min="4" max="5" width="10.83203125" style="7"/>
    <col min="6" max="6" width="45.33203125" style="7" customWidth="1"/>
    <col min="7" max="7" width="17.1640625" style="7" customWidth="1"/>
    <col min="8" max="16384" width="10.83203125" style="7"/>
  </cols>
  <sheetData>
    <row r="1" spans="1:8" ht="28" customHeight="1" x14ac:dyDescent="0.2"/>
    <row r="2" spans="1:8" ht="25" customHeight="1" x14ac:dyDescent="0.2">
      <c r="F2" s="10"/>
      <c r="G2" s="35"/>
      <c r="H2" s="12"/>
    </row>
    <row r="3" spans="1:8" x14ac:dyDescent="0.2">
      <c r="F3" s="10" t="s">
        <v>39</v>
      </c>
      <c r="G3" s="45">
        <f>$C9*950</f>
        <v>665000</v>
      </c>
      <c r="H3" s="25" t="s">
        <v>45</v>
      </c>
    </row>
    <row r="4" spans="1:8" x14ac:dyDescent="0.2">
      <c r="F4" s="21" t="s">
        <v>37</v>
      </c>
      <c r="G4" s="34">
        <f>IF(C9&gt;=1000, 0.06, 0.069)</f>
        <v>6.9000000000000006E-2</v>
      </c>
      <c r="H4" s="15" t="s">
        <v>6</v>
      </c>
    </row>
    <row r="5" spans="1:8" x14ac:dyDescent="0.2">
      <c r="F5" s="21" t="s">
        <v>38</v>
      </c>
      <c r="G5" s="34">
        <v>4.1000000000000002E-2</v>
      </c>
      <c r="H5" s="15" t="s">
        <v>6</v>
      </c>
    </row>
    <row r="6" spans="1:8" ht="18" customHeight="1" x14ac:dyDescent="0.2"/>
    <row r="7" spans="1:8" ht="43" customHeight="1" x14ac:dyDescent="0.2"/>
    <row r="8" spans="1:8" ht="16" customHeight="1" x14ac:dyDescent="0.2">
      <c r="B8" s="8" t="s">
        <v>33</v>
      </c>
      <c r="C8" s="9"/>
      <c r="D8" s="9"/>
    </row>
    <row r="9" spans="1:8" ht="25" customHeight="1" x14ac:dyDescent="0.25">
      <c r="A9" s="2"/>
      <c r="B9" s="25" t="s">
        <v>5</v>
      </c>
      <c r="C9" s="11">
        <v>700</v>
      </c>
      <c r="D9" s="12" t="s">
        <v>23</v>
      </c>
      <c r="F9" s="37" t="s">
        <v>25</v>
      </c>
      <c r="G9" s="38"/>
      <c r="H9" s="39"/>
    </row>
    <row r="10" spans="1:8" ht="25" x14ac:dyDescent="0.25">
      <c r="A10" s="2"/>
      <c r="B10" s="13"/>
      <c r="C10" s="14"/>
      <c r="D10" s="15"/>
      <c r="F10" s="21" t="s">
        <v>24</v>
      </c>
      <c r="G10" s="34">
        <v>0.09</v>
      </c>
      <c r="H10" s="25" t="s">
        <v>6</v>
      </c>
    </row>
    <row r="11" spans="1:8" ht="18" x14ac:dyDescent="0.2">
      <c r="A11" s="2"/>
      <c r="B11" s="8" t="s">
        <v>34</v>
      </c>
      <c r="C11" s="14"/>
      <c r="D11" s="15"/>
      <c r="F11" s="27"/>
      <c r="G11" s="28"/>
      <c r="H11" s="25"/>
    </row>
    <row r="12" spans="1:8" x14ac:dyDescent="0.2">
      <c r="B12" s="25" t="s">
        <v>2</v>
      </c>
      <c r="C12" s="16">
        <v>533000</v>
      </c>
      <c r="D12" s="12" t="s">
        <v>30</v>
      </c>
      <c r="F12" s="25" t="s">
        <v>29</v>
      </c>
      <c r="G12" s="35">
        <f>Scenario_1!$C24</f>
        <v>364139.76616273838</v>
      </c>
      <c r="H12" s="25"/>
    </row>
    <row r="13" spans="1:8" ht="16" customHeight="1" x14ac:dyDescent="0.2">
      <c r="B13" s="25" t="s">
        <v>3</v>
      </c>
      <c r="C13" s="16">
        <v>0</v>
      </c>
      <c r="D13" s="12" t="s">
        <v>30</v>
      </c>
      <c r="F13" s="25" t="s">
        <v>28</v>
      </c>
      <c r="G13" s="35">
        <f>Scenario_1!$C25</f>
        <v>248474.10094717218</v>
      </c>
      <c r="H13" s="25"/>
    </row>
    <row r="14" spans="1:8" x14ac:dyDescent="0.2">
      <c r="B14" s="12" t="s">
        <v>8</v>
      </c>
      <c r="C14" s="16">
        <v>1500</v>
      </c>
      <c r="D14" s="12" t="s">
        <v>9</v>
      </c>
      <c r="F14" s="25" t="s">
        <v>14</v>
      </c>
      <c r="G14" s="36">
        <f>Scenario_1!$C26</f>
        <v>-5.6601290686602579E-2</v>
      </c>
      <c r="H14" s="25"/>
    </row>
    <row r="15" spans="1:8" x14ac:dyDescent="0.2">
      <c r="B15" s="9"/>
      <c r="C15" s="9"/>
      <c r="D15" s="9"/>
      <c r="F15" s="25" t="s">
        <v>20</v>
      </c>
      <c r="G15" s="44">
        <f>Scenario_1!$C27</f>
        <v>9</v>
      </c>
      <c r="H15" s="25" t="s">
        <v>21</v>
      </c>
    </row>
    <row r="16" spans="1:8" ht="18" x14ac:dyDescent="0.2">
      <c r="B16" s="8" t="s">
        <v>36</v>
      </c>
      <c r="C16" s="9"/>
      <c r="D16" s="9"/>
      <c r="H16" s="25"/>
    </row>
    <row r="17" spans="2:8" x14ac:dyDescent="0.2">
      <c r="B17" s="18" t="s">
        <v>27</v>
      </c>
      <c r="C17" s="17">
        <v>0.08</v>
      </c>
      <c r="D17" s="18" t="s">
        <v>6</v>
      </c>
      <c r="H17" s="25"/>
    </row>
    <row r="18" spans="2:8" ht="25" x14ac:dyDescent="0.25">
      <c r="B18" s="18" t="s">
        <v>10</v>
      </c>
      <c r="C18" s="19">
        <v>0.4</v>
      </c>
      <c r="D18" s="18" t="s">
        <v>9</v>
      </c>
      <c r="F18" s="40" t="s">
        <v>26</v>
      </c>
      <c r="G18" s="38"/>
      <c r="H18" s="25"/>
    </row>
    <row r="19" spans="2:8" x14ac:dyDescent="0.2">
      <c r="B19" s="18" t="s">
        <v>11</v>
      </c>
      <c r="C19" s="19">
        <v>0.5</v>
      </c>
      <c r="D19" s="18" t="s">
        <v>22</v>
      </c>
      <c r="F19" s="76" t="s">
        <v>24</v>
      </c>
      <c r="G19" s="34">
        <v>0.10100000000000001</v>
      </c>
      <c r="H19" s="25" t="s">
        <v>6</v>
      </c>
    </row>
    <row r="20" spans="2:8" ht="17" customHeight="1" x14ac:dyDescent="0.2">
      <c r="B20" s="18" t="s">
        <v>13</v>
      </c>
      <c r="C20" s="20">
        <v>5.0000000000000001E-3</v>
      </c>
      <c r="D20" s="18" t="s">
        <v>9</v>
      </c>
      <c r="F20" s="33"/>
      <c r="G20" s="28"/>
      <c r="H20" s="25"/>
    </row>
    <row r="21" spans="2:8" ht="20" customHeight="1" x14ac:dyDescent="0.2">
      <c r="B21" s="9"/>
      <c r="C21" s="9"/>
      <c r="D21" s="9"/>
      <c r="F21" s="25" t="s">
        <v>29</v>
      </c>
      <c r="G21" s="35">
        <f>Scenario_2!$C24</f>
        <v>470106.36478152475</v>
      </c>
      <c r="H21" s="25"/>
    </row>
    <row r="22" spans="2:8" ht="18" x14ac:dyDescent="0.2">
      <c r="B22" s="8" t="s">
        <v>35</v>
      </c>
      <c r="C22" s="9"/>
      <c r="D22" s="9"/>
      <c r="F22" s="25" t="s">
        <v>28</v>
      </c>
      <c r="G22" s="35">
        <f>Scenario_2!$C25</f>
        <v>337631.78598390485</v>
      </c>
      <c r="H22" s="25"/>
    </row>
    <row r="23" spans="2:8" x14ac:dyDescent="0.2">
      <c r="B23" s="23" t="s">
        <v>18</v>
      </c>
      <c r="C23" s="22">
        <v>0.01</v>
      </c>
      <c r="D23" s="23" t="s">
        <v>9</v>
      </c>
      <c r="F23" s="25" t="s">
        <v>14</v>
      </c>
      <c r="G23" s="74">
        <f>Scenario_2!$C26</f>
        <v>-1.4471643808987578E-2</v>
      </c>
      <c r="H23" s="25"/>
    </row>
    <row r="24" spans="2:8" x14ac:dyDescent="0.2">
      <c r="B24" s="23" t="s">
        <v>32</v>
      </c>
      <c r="C24" s="22">
        <v>0.02</v>
      </c>
      <c r="D24" s="23" t="s">
        <v>9</v>
      </c>
      <c r="F24" s="25" t="s">
        <v>20</v>
      </c>
      <c r="G24" s="75">
        <f>Scenario_2!$C27</f>
        <v>8</v>
      </c>
      <c r="H24" s="25" t="s">
        <v>21</v>
      </c>
    </row>
    <row r="25" spans="2:8" x14ac:dyDescent="0.2">
      <c r="B25" s="9"/>
      <c r="C25" s="9"/>
      <c r="D25" s="9"/>
    </row>
    <row r="27" spans="2:8" ht="18" x14ac:dyDescent="0.2">
      <c r="F27" s="24"/>
      <c r="G27" s="31"/>
      <c r="H27" s="32"/>
    </row>
    <row r="28" spans="2:8" ht="18" x14ac:dyDescent="0.2">
      <c r="F28" s="24"/>
      <c r="G28" s="32"/>
      <c r="H28" s="32"/>
    </row>
  </sheetData>
  <sheetProtection password="EDBC" sheet="1" objects="1" scenarios="1" selectLockedCells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4"/>
  <sheetViews>
    <sheetView zoomScaleNormal="90" zoomScalePageLayoutView="90" workbookViewId="0">
      <selection activeCell="B29" sqref="B29"/>
    </sheetView>
  </sheetViews>
  <sheetFormatPr baseColWidth="10" defaultRowHeight="16" x14ac:dyDescent="0.2"/>
  <cols>
    <col min="1" max="1" width="2.6640625" style="1" customWidth="1"/>
    <col min="2" max="2" width="38.6640625" style="1" customWidth="1"/>
    <col min="3" max="3" width="23" style="1" customWidth="1"/>
    <col min="4" max="19" width="12.83203125" style="1" customWidth="1"/>
    <col min="20" max="16384" width="10.83203125" style="1"/>
  </cols>
  <sheetData>
    <row r="1" spans="2:4" ht="25" x14ac:dyDescent="0.25">
      <c r="B1" s="37" t="s">
        <v>25</v>
      </c>
      <c r="C1" s="41"/>
      <c r="D1" s="42"/>
    </row>
    <row r="2" spans="2:4" x14ac:dyDescent="0.2">
      <c r="B2" s="6"/>
      <c r="C2" s="6"/>
    </row>
    <row r="3" spans="2:4" x14ac:dyDescent="0.2">
      <c r="B3" s="54" t="s">
        <v>24</v>
      </c>
      <c r="C3" s="28">
        <f>Kengetallen!$G10</f>
        <v>0.09</v>
      </c>
      <c r="D3" s="55" t="s">
        <v>6</v>
      </c>
    </row>
    <row r="4" spans="2:4" x14ac:dyDescent="0.2">
      <c r="B4" s="23" t="s">
        <v>37</v>
      </c>
      <c r="C4" s="34">
        <f>Kengetallen!$G4</f>
        <v>6.9000000000000006E-2</v>
      </c>
      <c r="D4" s="55" t="s">
        <v>6</v>
      </c>
    </row>
    <row r="5" spans="2:4" x14ac:dyDescent="0.2">
      <c r="B5" s="23" t="s">
        <v>38</v>
      </c>
      <c r="C5" s="28">
        <f>Kengetallen!$G5</f>
        <v>4.1000000000000002E-2</v>
      </c>
      <c r="D5" s="55" t="s">
        <v>6</v>
      </c>
    </row>
    <row r="6" spans="2:4" x14ac:dyDescent="0.2">
      <c r="B6" s="15"/>
      <c r="C6" s="46"/>
      <c r="D6" s="56"/>
    </row>
    <row r="7" spans="2:4" x14ac:dyDescent="0.2">
      <c r="B7" s="15"/>
      <c r="C7" s="46"/>
      <c r="D7" s="56"/>
    </row>
    <row r="8" spans="2:4" x14ac:dyDescent="0.2">
      <c r="B8" s="25" t="s">
        <v>2</v>
      </c>
      <c r="C8" s="16">
        <f>Kengetallen!$C12</f>
        <v>533000</v>
      </c>
      <c r="D8" s="57" t="s">
        <v>30</v>
      </c>
    </row>
    <row r="9" spans="2:4" x14ac:dyDescent="0.2">
      <c r="B9" s="25" t="s">
        <v>3</v>
      </c>
      <c r="C9" s="16">
        <f>Kengetallen!$C13</f>
        <v>0</v>
      </c>
      <c r="D9" s="57" t="s">
        <v>30</v>
      </c>
    </row>
    <row r="10" spans="2:4" x14ac:dyDescent="0.2">
      <c r="B10" s="25" t="s">
        <v>4</v>
      </c>
      <c r="C10" s="35">
        <f>$C8+$C9</f>
        <v>533000</v>
      </c>
      <c r="D10" s="57" t="s">
        <v>30</v>
      </c>
    </row>
    <row r="11" spans="2:4" x14ac:dyDescent="0.2">
      <c r="B11" s="12" t="s">
        <v>8</v>
      </c>
      <c r="C11" s="47">
        <f>Kengetallen!$C14</f>
        <v>1500</v>
      </c>
      <c r="D11" s="57" t="s">
        <v>9</v>
      </c>
    </row>
    <row r="12" spans="2:4" x14ac:dyDescent="0.2">
      <c r="B12" s="25"/>
      <c r="C12" s="48"/>
      <c r="D12" s="57"/>
    </row>
    <row r="13" spans="2:4" x14ac:dyDescent="0.2">
      <c r="B13" s="25" t="s">
        <v>5</v>
      </c>
      <c r="C13" s="11">
        <f>Kengetallen!$C9</f>
        <v>700</v>
      </c>
      <c r="D13" s="57" t="s">
        <v>23</v>
      </c>
    </row>
    <row r="14" spans="2:4" x14ac:dyDescent="0.2">
      <c r="B14" s="25" t="s">
        <v>31</v>
      </c>
      <c r="C14" s="45">
        <f>$C13*950</f>
        <v>665000</v>
      </c>
      <c r="D14" s="58" t="s">
        <v>7</v>
      </c>
    </row>
    <row r="15" spans="2:4" x14ac:dyDescent="0.2">
      <c r="B15" s="50"/>
      <c r="C15" s="49"/>
      <c r="D15" s="59"/>
    </row>
    <row r="16" spans="2:4" x14ac:dyDescent="0.2">
      <c r="B16" s="12" t="s">
        <v>27</v>
      </c>
      <c r="C16" s="47">
        <f>Kengetallen!$C17</f>
        <v>0.08</v>
      </c>
      <c r="D16" s="57" t="s">
        <v>6</v>
      </c>
    </row>
    <row r="17" spans="1:26" x14ac:dyDescent="0.2">
      <c r="B17" s="12" t="s">
        <v>10</v>
      </c>
      <c r="C17" s="51">
        <f>Kengetallen!$C18</f>
        <v>0.4</v>
      </c>
      <c r="D17" s="57" t="s">
        <v>9</v>
      </c>
    </row>
    <row r="18" spans="1:26" x14ac:dyDescent="0.2">
      <c r="B18" s="12" t="s">
        <v>11</v>
      </c>
      <c r="C18" s="51">
        <f>Kengetallen!$C19</f>
        <v>0.5</v>
      </c>
      <c r="D18" s="57" t="s">
        <v>22</v>
      </c>
    </row>
    <row r="19" spans="1:26" x14ac:dyDescent="0.2">
      <c r="B19" s="12" t="s">
        <v>13</v>
      </c>
      <c r="C19" s="52">
        <f>Kengetallen!$C20</f>
        <v>5.0000000000000001E-3</v>
      </c>
      <c r="D19" s="57" t="s">
        <v>9</v>
      </c>
    </row>
    <row r="20" spans="1:26" x14ac:dyDescent="0.2">
      <c r="B20" s="12"/>
      <c r="C20" s="52"/>
      <c r="D20" s="57"/>
    </row>
    <row r="21" spans="1:26" x14ac:dyDescent="0.2">
      <c r="B21" s="23" t="s">
        <v>18</v>
      </c>
      <c r="C21" s="22">
        <f>Kengetallen!$C23</f>
        <v>0.01</v>
      </c>
      <c r="D21" s="60" t="s">
        <v>9</v>
      </c>
    </row>
    <row r="22" spans="1:26" x14ac:dyDescent="0.2">
      <c r="B22" s="23" t="s">
        <v>32</v>
      </c>
      <c r="C22" s="22">
        <f>Kengetallen!$C24</f>
        <v>0.02</v>
      </c>
      <c r="D22" s="60" t="s">
        <v>9</v>
      </c>
    </row>
    <row r="23" spans="1:26" x14ac:dyDescent="0.2">
      <c r="B23" s="23"/>
      <c r="C23" s="23"/>
      <c r="D23" s="23"/>
    </row>
    <row r="24" spans="1:26" ht="18" x14ac:dyDescent="0.2">
      <c r="A24" s="5"/>
      <c r="B24" s="26" t="s">
        <v>29</v>
      </c>
      <c r="C24" s="77">
        <f>SUM(D35:R35)</f>
        <v>364139.76616273838</v>
      </c>
      <c r="D24" s="29"/>
    </row>
    <row r="25" spans="1:26" ht="18" x14ac:dyDescent="0.2">
      <c r="A25" s="5"/>
      <c r="B25" s="26" t="s">
        <v>28</v>
      </c>
      <c r="C25" s="53">
        <f>NPV(C22,C40:R40)</f>
        <v>248474.10094717218</v>
      </c>
      <c r="D25" s="29"/>
    </row>
    <row r="26" spans="1:26" ht="18" x14ac:dyDescent="0.2">
      <c r="A26" s="5"/>
      <c r="B26" s="61" t="s">
        <v>14</v>
      </c>
      <c r="C26" s="30">
        <f>IRR(C41:R41)</f>
        <v>-5.6601290686602579E-2</v>
      </c>
      <c r="D26" s="29"/>
    </row>
    <row r="27" spans="1:26" ht="18" x14ac:dyDescent="0.2">
      <c r="A27" s="5"/>
      <c r="B27" s="26" t="s">
        <v>20</v>
      </c>
      <c r="C27" s="29">
        <f>SUM(D42:R42)+1</f>
        <v>9</v>
      </c>
      <c r="D27" s="60" t="s">
        <v>21</v>
      </c>
    </row>
    <row r="29" spans="1:26" x14ac:dyDescent="0.2">
      <c r="B29" s="4" t="s">
        <v>12</v>
      </c>
      <c r="C29" s="4">
        <v>0</v>
      </c>
      <c r="D29" s="4">
        <v>0</v>
      </c>
      <c r="E29" s="4">
        <v>1</v>
      </c>
      <c r="F29" s="4">
        <v>2</v>
      </c>
      <c r="G29" s="4">
        <v>3</v>
      </c>
      <c r="H29" s="4">
        <v>4</v>
      </c>
      <c r="I29" s="4">
        <v>5</v>
      </c>
      <c r="J29" s="4">
        <v>6</v>
      </c>
      <c r="K29" s="4">
        <v>7</v>
      </c>
      <c r="L29" s="4">
        <v>8</v>
      </c>
      <c r="M29" s="4">
        <v>9</v>
      </c>
      <c r="N29" s="4">
        <v>10</v>
      </c>
      <c r="O29" s="4">
        <v>11</v>
      </c>
      <c r="P29" s="4">
        <v>12</v>
      </c>
      <c r="Q29" s="4">
        <v>13</v>
      </c>
      <c r="R29" s="4">
        <v>14</v>
      </c>
    </row>
    <row r="30" spans="1:26" x14ac:dyDescent="0.2">
      <c r="B30" s="62" t="s">
        <v>0</v>
      </c>
      <c r="C30" s="63">
        <v>0</v>
      </c>
      <c r="D30" s="63">
        <v>1</v>
      </c>
      <c r="E30" s="63">
        <v>2</v>
      </c>
      <c r="F30" s="63">
        <v>3</v>
      </c>
      <c r="G30" s="63">
        <v>4</v>
      </c>
      <c r="H30" s="63">
        <v>5</v>
      </c>
      <c r="I30" s="63">
        <v>6</v>
      </c>
      <c r="J30" s="63">
        <v>7</v>
      </c>
      <c r="K30" s="63">
        <v>8</v>
      </c>
      <c r="L30" s="63">
        <v>9</v>
      </c>
      <c r="M30" s="63">
        <v>10</v>
      </c>
      <c r="N30" s="63">
        <v>11</v>
      </c>
      <c r="O30" s="63">
        <v>12</v>
      </c>
      <c r="P30" s="63">
        <v>13</v>
      </c>
      <c r="Q30" s="63">
        <v>14</v>
      </c>
      <c r="R30" s="63">
        <v>15</v>
      </c>
      <c r="S30" s="43"/>
      <c r="T30" s="43"/>
      <c r="U30" s="43"/>
      <c r="V30" s="43"/>
      <c r="W30" s="43"/>
      <c r="X30" s="43"/>
      <c r="Y30" s="43"/>
      <c r="Z30" s="43"/>
    </row>
    <row r="31" spans="1:26" x14ac:dyDescent="0.2">
      <c r="B31" s="64" t="s">
        <v>15</v>
      </c>
      <c r="C31" s="57"/>
      <c r="D31" s="65">
        <f t="shared" ref="D31:R31" si="0">$C14*(1-$C19)^D29</f>
        <v>665000</v>
      </c>
      <c r="E31" s="65">
        <f t="shared" si="0"/>
        <v>661675</v>
      </c>
      <c r="F31" s="65">
        <f t="shared" si="0"/>
        <v>658366.625</v>
      </c>
      <c r="G31" s="65">
        <f t="shared" si="0"/>
        <v>655074.791875</v>
      </c>
      <c r="H31" s="65">
        <f t="shared" si="0"/>
        <v>651799.41791562503</v>
      </c>
      <c r="I31" s="65">
        <f t="shared" si="0"/>
        <v>648540.42082604696</v>
      </c>
      <c r="J31" s="65">
        <f t="shared" si="0"/>
        <v>645297.71872191667</v>
      </c>
      <c r="K31" s="65">
        <f t="shared" si="0"/>
        <v>642071.23012830713</v>
      </c>
      <c r="L31" s="65">
        <f t="shared" si="0"/>
        <v>638860.87397766556</v>
      </c>
      <c r="M31" s="65">
        <f t="shared" si="0"/>
        <v>635666.56960777717</v>
      </c>
      <c r="N31" s="65">
        <f t="shared" si="0"/>
        <v>632488.23675973841</v>
      </c>
      <c r="O31" s="65">
        <f t="shared" si="0"/>
        <v>629325.79557593958</v>
      </c>
      <c r="P31" s="65">
        <f t="shared" si="0"/>
        <v>626179.16659806005</v>
      </c>
      <c r="Q31" s="65">
        <f t="shared" si="0"/>
        <v>623048.27076506976</v>
      </c>
      <c r="R31" s="65">
        <f t="shared" si="0"/>
        <v>619933.02941124444</v>
      </c>
    </row>
    <row r="32" spans="1:26" x14ac:dyDescent="0.2">
      <c r="B32" s="64" t="s">
        <v>16</v>
      </c>
      <c r="C32" s="64"/>
      <c r="D32" s="66">
        <f t="shared" ref="D32:R32" si="1">(D31*$C16*$C17)*(1+$C21)^D29</f>
        <v>21280</v>
      </c>
      <c r="E32" s="66">
        <f t="shared" si="1"/>
        <v>21385.336000000003</v>
      </c>
      <c r="F32" s="66">
        <f t="shared" si="1"/>
        <v>21491.193413200002</v>
      </c>
      <c r="G32" s="66">
        <f t="shared" si="1"/>
        <v>21597.574820595342</v>
      </c>
      <c r="H32" s="66">
        <f t="shared" si="1"/>
        <v>21704.48281595729</v>
      </c>
      <c r="I32" s="66">
        <f t="shared" si="1"/>
        <v>21811.920005896278</v>
      </c>
      <c r="J32" s="66">
        <f t="shared" si="1"/>
        <v>21919.889009925468</v>
      </c>
      <c r="K32" s="66">
        <f t="shared" si="1"/>
        <v>22028.392460524596</v>
      </c>
      <c r="L32" s="66">
        <f t="shared" si="1"/>
        <v>22137.433003204194</v>
      </c>
      <c r="M32" s="66">
        <f t="shared" si="1"/>
        <v>22247.013296570054</v>
      </c>
      <c r="N32" s="66">
        <f t="shared" si="1"/>
        <v>22357.136012388084</v>
      </c>
      <c r="O32" s="66">
        <f t="shared" si="1"/>
        <v>22467.803835649396</v>
      </c>
      <c r="P32" s="66">
        <f t="shared" si="1"/>
        <v>22579.019464635865</v>
      </c>
      <c r="Q32" s="66">
        <f t="shared" si="1"/>
        <v>22690.785610985818</v>
      </c>
      <c r="R32" s="66">
        <f t="shared" si="1"/>
        <v>22803.104999760199</v>
      </c>
    </row>
    <row r="33" spans="2:18" x14ac:dyDescent="0.2">
      <c r="B33" s="70" t="s">
        <v>40</v>
      </c>
      <c r="C33" s="60"/>
      <c r="D33" s="67">
        <f>D31*$C17*($C3-$C4)</f>
        <v>5585.9999999999973</v>
      </c>
      <c r="E33" s="67">
        <f t="shared" ref="E33:R33" si="2">E31*$C17*($C3-$C4)</f>
        <v>5558.0699999999979</v>
      </c>
      <c r="F33" s="67">
        <f t="shared" si="2"/>
        <v>5530.2796499999977</v>
      </c>
      <c r="G33" s="67">
        <f t="shared" si="2"/>
        <v>5502.6282517499976</v>
      </c>
      <c r="H33" s="67">
        <f t="shared" si="2"/>
        <v>5475.1151104912487</v>
      </c>
      <c r="I33" s="67">
        <f t="shared" si="2"/>
        <v>5447.7395349387925</v>
      </c>
      <c r="J33" s="67">
        <f t="shared" si="2"/>
        <v>5420.5008372640978</v>
      </c>
      <c r="K33" s="67">
        <f t="shared" si="2"/>
        <v>5393.3983330777774</v>
      </c>
      <c r="L33" s="67">
        <f t="shared" si="2"/>
        <v>5366.431341412389</v>
      </c>
      <c r="M33" s="67">
        <f t="shared" si="2"/>
        <v>5339.5991847053265</v>
      </c>
      <c r="N33" s="67">
        <f t="shared" si="2"/>
        <v>5312.9011887818006</v>
      </c>
      <c r="O33" s="67">
        <f t="shared" si="2"/>
        <v>5286.3366828378903</v>
      </c>
      <c r="P33" s="67">
        <f t="shared" si="2"/>
        <v>5259.904999423703</v>
      </c>
      <c r="Q33" s="67">
        <f t="shared" si="2"/>
        <v>5233.6054744265839</v>
      </c>
      <c r="R33" s="67">
        <f t="shared" si="2"/>
        <v>5207.4374470544517</v>
      </c>
    </row>
    <row r="34" spans="2:18" x14ac:dyDescent="0.2">
      <c r="B34" s="70" t="s">
        <v>41</v>
      </c>
      <c r="C34" s="60"/>
      <c r="D34" s="67">
        <f>D31*(1-$C17)*($C3-$C5)</f>
        <v>19550.999999999996</v>
      </c>
      <c r="E34" s="67">
        <f t="shared" ref="E34:R34" si="3">E31*(1-$C17)*($C3-$C5)</f>
        <v>19453.244999999999</v>
      </c>
      <c r="F34" s="67">
        <f t="shared" si="3"/>
        <v>19355.978774999996</v>
      </c>
      <c r="G34" s="67">
        <f t="shared" si="3"/>
        <v>19259.198881124998</v>
      </c>
      <c r="H34" s="67">
        <f t="shared" si="3"/>
        <v>19162.902886719374</v>
      </c>
      <c r="I34" s="67">
        <f t="shared" si="3"/>
        <v>19067.088372285776</v>
      </c>
      <c r="J34" s="67">
        <f t="shared" si="3"/>
        <v>18971.752930424347</v>
      </c>
      <c r="K34" s="67">
        <f t="shared" si="3"/>
        <v>18876.894165772224</v>
      </c>
      <c r="L34" s="67">
        <f t="shared" si="3"/>
        <v>18782.509694943365</v>
      </c>
      <c r="M34" s="67">
        <f t="shared" si="3"/>
        <v>18688.597146468648</v>
      </c>
      <c r="N34" s="67">
        <f t="shared" si="3"/>
        <v>18595.154160736307</v>
      </c>
      <c r="O34" s="67">
        <f t="shared" si="3"/>
        <v>18502.178389932622</v>
      </c>
      <c r="P34" s="67">
        <f t="shared" si="3"/>
        <v>18409.667497982962</v>
      </c>
      <c r="Q34" s="67">
        <f t="shared" si="3"/>
        <v>18317.61916049305</v>
      </c>
      <c r="R34" s="67">
        <f t="shared" si="3"/>
        <v>18226.031064690582</v>
      </c>
    </row>
    <row r="35" spans="2:18" x14ac:dyDescent="0.2">
      <c r="B35" s="64" t="s">
        <v>44</v>
      </c>
      <c r="C35" s="57"/>
      <c r="D35" s="68">
        <f>D33+D34</f>
        <v>25136.999999999993</v>
      </c>
      <c r="E35" s="68">
        <f t="shared" ref="E35:R35" si="4">E33+E34</f>
        <v>25011.314999999995</v>
      </c>
      <c r="F35" s="68">
        <f t="shared" si="4"/>
        <v>24886.258424999993</v>
      </c>
      <c r="G35" s="68">
        <f t="shared" si="4"/>
        <v>24761.827132874994</v>
      </c>
      <c r="H35" s="68">
        <f t="shared" si="4"/>
        <v>24638.017997210623</v>
      </c>
      <c r="I35" s="68">
        <f t="shared" si="4"/>
        <v>24514.827907224568</v>
      </c>
      <c r="J35" s="68">
        <f t="shared" si="4"/>
        <v>24392.253767688446</v>
      </c>
      <c r="K35" s="68">
        <f t="shared" si="4"/>
        <v>24270.292498850002</v>
      </c>
      <c r="L35" s="68">
        <f t="shared" si="4"/>
        <v>24148.941036355754</v>
      </c>
      <c r="M35" s="68">
        <f t="shared" si="4"/>
        <v>24028.196331173975</v>
      </c>
      <c r="N35" s="68">
        <f t="shared" si="4"/>
        <v>23908.055349518108</v>
      </c>
      <c r="O35" s="68">
        <f t="shared" si="4"/>
        <v>23788.515072770511</v>
      </c>
      <c r="P35" s="68">
        <f t="shared" si="4"/>
        <v>23669.572497406665</v>
      </c>
      <c r="Q35" s="68">
        <f t="shared" si="4"/>
        <v>23551.224634919636</v>
      </c>
      <c r="R35" s="68">
        <f t="shared" si="4"/>
        <v>23433.468511745035</v>
      </c>
    </row>
    <row r="36" spans="2:18" x14ac:dyDescent="0.2">
      <c r="B36" s="64" t="s">
        <v>17</v>
      </c>
      <c r="C36" s="57"/>
      <c r="D36" s="66">
        <f t="shared" ref="D36:R36" si="5">(D31*$C16*$C18*(1-$C17)*(1+$C21)^D29)</f>
        <v>15960</v>
      </c>
      <c r="E36" s="66">
        <f t="shared" si="5"/>
        <v>16039.001999999999</v>
      </c>
      <c r="F36" s="66">
        <f t="shared" si="5"/>
        <v>16118.3950599</v>
      </c>
      <c r="G36" s="66">
        <f t="shared" si="5"/>
        <v>16198.181115446503</v>
      </c>
      <c r="H36" s="66">
        <f t="shared" si="5"/>
        <v>16278.362111967966</v>
      </c>
      <c r="I36" s="66">
        <f t="shared" si="5"/>
        <v>16358.940004422209</v>
      </c>
      <c r="J36" s="66">
        <f t="shared" si="5"/>
        <v>16439.916757444098</v>
      </c>
      <c r="K36" s="66">
        <f t="shared" si="5"/>
        <v>16521.294345393446</v>
      </c>
      <c r="L36" s="66">
        <f t="shared" si="5"/>
        <v>16603.074752403147</v>
      </c>
      <c r="M36" s="66">
        <f t="shared" si="5"/>
        <v>16685.259972427539</v>
      </c>
      <c r="N36" s="66">
        <f t="shared" si="5"/>
        <v>16767.852009291062</v>
      </c>
      <c r="O36" s="66">
        <f t="shared" si="5"/>
        <v>16850.852876737044</v>
      </c>
      <c r="P36" s="66">
        <f t="shared" si="5"/>
        <v>16934.264598476897</v>
      </c>
      <c r="Q36" s="66">
        <f t="shared" si="5"/>
        <v>17018.089208239358</v>
      </c>
      <c r="R36" s="66">
        <f t="shared" si="5"/>
        <v>17102.328749820146</v>
      </c>
    </row>
    <row r="37" spans="2:18" x14ac:dyDescent="0.2">
      <c r="B37" s="64" t="s">
        <v>42</v>
      </c>
      <c r="C37" s="57"/>
      <c r="D37" s="66">
        <f>D32+D35+D36</f>
        <v>62376.999999999993</v>
      </c>
      <c r="E37" s="66">
        <f t="shared" ref="E37:R37" si="6">E32+E35+E36</f>
        <v>62435.652999999998</v>
      </c>
      <c r="F37" s="66">
        <f t="shared" si="6"/>
        <v>62495.846898099997</v>
      </c>
      <c r="G37" s="66">
        <f t="shared" si="6"/>
        <v>62557.583068916843</v>
      </c>
      <c r="H37" s="66">
        <f t="shared" si="6"/>
        <v>62620.86292513588</v>
      </c>
      <c r="I37" s="66">
        <f t="shared" si="6"/>
        <v>62685.687917543051</v>
      </c>
      <c r="J37" s="66">
        <f t="shared" si="6"/>
        <v>62752.059535058012</v>
      </c>
      <c r="K37" s="66">
        <f t="shared" si="6"/>
        <v>62819.979304768043</v>
      </c>
      <c r="L37" s="66">
        <f t="shared" si="6"/>
        <v>62889.448791963092</v>
      </c>
      <c r="M37" s="66">
        <f t="shared" si="6"/>
        <v>62960.469600171564</v>
      </c>
      <c r="N37" s="66">
        <f t="shared" si="6"/>
        <v>63033.043371197258</v>
      </c>
      <c r="O37" s="66">
        <f t="shared" si="6"/>
        <v>63107.171785156956</v>
      </c>
      <c r="P37" s="66">
        <f t="shared" si="6"/>
        <v>63182.856560519424</v>
      </c>
      <c r="Q37" s="66">
        <f t="shared" si="6"/>
        <v>63260.099454144816</v>
      </c>
      <c r="R37" s="66">
        <f t="shared" si="6"/>
        <v>63338.902261325384</v>
      </c>
    </row>
    <row r="38" spans="2:18" x14ac:dyDescent="0.2">
      <c r="B38" s="64" t="s">
        <v>1</v>
      </c>
      <c r="C38" s="57"/>
      <c r="D38" s="66">
        <f t="shared" ref="D38:R38" si="7">$C11*(1+$C21)^D29</f>
        <v>1500</v>
      </c>
      <c r="E38" s="66">
        <f t="shared" si="7"/>
        <v>1515</v>
      </c>
      <c r="F38" s="66">
        <f t="shared" si="7"/>
        <v>1530.15</v>
      </c>
      <c r="G38" s="66">
        <f t="shared" si="7"/>
        <v>1545.4514999999999</v>
      </c>
      <c r="H38" s="66">
        <f t="shared" si="7"/>
        <v>1560.906015</v>
      </c>
      <c r="I38" s="66">
        <f t="shared" si="7"/>
        <v>1576.5150751499998</v>
      </c>
      <c r="J38" s="66">
        <f t="shared" si="7"/>
        <v>1592.2802259015002</v>
      </c>
      <c r="K38" s="66">
        <f t="shared" si="7"/>
        <v>1608.2030281605148</v>
      </c>
      <c r="L38" s="66">
        <f t="shared" si="7"/>
        <v>1624.2850584421203</v>
      </c>
      <c r="M38" s="66">
        <f t="shared" si="7"/>
        <v>1640.5279090265417</v>
      </c>
      <c r="N38" s="66">
        <f t="shared" si="7"/>
        <v>1656.9331881168071</v>
      </c>
      <c r="O38" s="66">
        <f t="shared" si="7"/>
        <v>1673.5025199979748</v>
      </c>
      <c r="P38" s="66">
        <f t="shared" si="7"/>
        <v>1690.2375451979547</v>
      </c>
      <c r="Q38" s="66">
        <f t="shared" si="7"/>
        <v>1707.1399206499343</v>
      </c>
      <c r="R38" s="66">
        <f t="shared" si="7"/>
        <v>1724.2113198564339</v>
      </c>
    </row>
    <row r="39" spans="2:18" x14ac:dyDescent="0.2">
      <c r="B39" s="64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2:18" x14ac:dyDescent="0.2">
      <c r="B40" s="64" t="s">
        <v>43</v>
      </c>
      <c r="C40" s="69">
        <f>-C10</f>
        <v>-533000</v>
      </c>
      <c r="D40" s="69">
        <f>D37-D38</f>
        <v>60876.999999999993</v>
      </c>
      <c r="E40" s="69">
        <f t="shared" ref="E40:R40" si="8">E37-E38</f>
        <v>60920.652999999998</v>
      </c>
      <c r="F40" s="69">
        <f t="shared" si="8"/>
        <v>60965.696898099995</v>
      </c>
      <c r="G40" s="69">
        <f t="shared" si="8"/>
        <v>61012.13156891684</v>
      </c>
      <c r="H40" s="69">
        <f t="shared" si="8"/>
        <v>61059.956910135879</v>
      </c>
      <c r="I40" s="69">
        <f t="shared" si="8"/>
        <v>61109.172842393054</v>
      </c>
      <c r="J40" s="69">
        <f t="shared" si="8"/>
        <v>61159.779309156511</v>
      </c>
      <c r="K40" s="69">
        <f t="shared" si="8"/>
        <v>61211.776276607532</v>
      </c>
      <c r="L40" s="69">
        <f t="shared" si="8"/>
        <v>61265.163733520974</v>
      </c>
      <c r="M40" s="69">
        <f t="shared" si="8"/>
        <v>61319.941691145024</v>
      </c>
      <c r="N40" s="69">
        <f t="shared" si="8"/>
        <v>61376.110183080455</v>
      </c>
      <c r="O40" s="69">
        <f t="shared" si="8"/>
        <v>61433.669265158984</v>
      </c>
      <c r="P40" s="69">
        <f t="shared" si="8"/>
        <v>61492.61901532147</v>
      </c>
      <c r="Q40" s="69">
        <f t="shared" si="8"/>
        <v>61552.959533494883</v>
      </c>
      <c r="R40" s="69">
        <f t="shared" si="8"/>
        <v>61614.690941468951</v>
      </c>
    </row>
    <row r="41" spans="2:18" x14ac:dyDescent="0.2">
      <c r="B41" s="64" t="s">
        <v>19</v>
      </c>
      <c r="C41" s="69">
        <f>C40</f>
        <v>-533000</v>
      </c>
      <c r="D41" s="69">
        <f>C41+D40</f>
        <v>-472123</v>
      </c>
      <c r="E41" s="69">
        <f>D41+E40</f>
        <v>-411202.34700000001</v>
      </c>
      <c r="F41" s="69">
        <f t="shared" ref="F41:R41" si="9">E41+F40</f>
        <v>-350236.65010189998</v>
      </c>
      <c r="G41" s="69">
        <f t="shared" si="9"/>
        <v>-289224.51853298314</v>
      </c>
      <c r="H41" s="69">
        <f t="shared" si="9"/>
        <v>-228164.56162284728</v>
      </c>
      <c r="I41" s="69">
        <f t="shared" si="9"/>
        <v>-167055.38878045423</v>
      </c>
      <c r="J41" s="69">
        <f t="shared" si="9"/>
        <v>-105895.60947129772</v>
      </c>
      <c r="K41" s="69">
        <f t="shared" si="9"/>
        <v>-44683.833194690189</v>
      </c>
      <c r="L41" s="69">
        <f t="shared" si="9"/>
        <v>16581.330538830785</v>
      </c>
      <c r="M41" s="69">
        <f t="shared" si="9"/>
        <v>77901.272229975817</v>
      </c>
      <c r="N41" s="69">
        <f t="shared" si="9"/>
        <v>139277.38241305627</v>
      </c>
      <c r="O41" s="69">
        <f t="shared" si="9"/>
        <v>200711.05167821527</v>
      </c>
      <c r="P41" s="69">
        <f t="shared" si="9"/>
        <v>262203.67069353675</v>
      </c>
      <c r="Q41" s="69">
        <f t="shared" si="9"/>
        <v>323756.63022703165</v>
      </c>
      <c r="R41" s="69">
        <f t="shared" si="9"/>
        <v>385371.32116850058</v>
      </c>
    </row>
    <row r="42" spans="2:18" x14ac:dyDescent="0.2">
      <c r="D42" s="4">
        <f>IF(D41&lt;0,1,0)</f>
        <v>1</v>
      </c>
      <c r="E42" s="4">
        <f t="shared" ref="E42:R42" si="10">IF(E41&lt;0,1,0)</f>
        <v>1</v>
      </c>
      <c r="F42" s="4">
        <f t="shared" si="10"/>
        <v>1</v>
      </c>
      <c r="G42" s="4">
        <f t="shared" si="10"/>
        <v>1</v>
      </c>
      <c r="H42" s="4">
        <f t="shared" si="10"/>
        <v>1</v>
      </c>
      <c r="I42" s="4">
        <f t="shared" si="10"/>
        <v>1</v>
      </c>
      <c r="J42" s="4">
        <f t="shared" si="10"/>
        <v>1</v>
      </c>
      <c r="K42" s="4">
        <f t="shared" si="10"/>
        <v>1</v>
      </c>
      <c r="L42" s="4">
        <f t="shared" si="10"/>
        <v>0</v>
      </c>
      <c r="M42" s="4">
        <f t="shared" si="10"/>
        <v>0</v>
      </c>
      <c r="N42" s="4">
        <f t="shared" si="10"/>
        <v>0</v>
      </c>
      <c r="O42" s="4">
        <f t="shared" si="10"/>
        <v>0</v>
      </c>
      <c r="P42" s="4">
        <f t="shared" si="10"/>
        <v>0</v>
      </c>
      <c r="Q42" s="4">
        <f t="shared" si="10"/>
        <v>0</v>
      </c>
      <c r="R42" s="4">
        <f t="shared" si="10"/>
        <v>0</v>
      </c>
    </row>
    <row r="44" spans="2:18" x14ac:dyDescent="0.2">
      <c r="C44" s="3"/>
    </row>
  </sheetData>
  <sheetProtection password="EDBC" sheet="1" objects="1" scenarios="1" selectLockedCells="1" selectUnlockedCells="1"/>
  <customSheetViews>
    <customSheetView guid="{95A8CE20-1E5A-F04B-B641-1D6E4283066B}">
      <selection activeCell="C7" sqref="C7"/>
      <pageMargins left="0.7" right="0.7" top="0.75" bottom="0.75" header="0.3" footer="0.3"/>
      <pageSetup paperSize="9" orientation="portrait" horizontalDpi="0" verticalDpi="0"/>
    </customSheetView>
  </customSheetView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4"/>
  <sheetViews>
    <sheetView zoomScaleNormal="90" zoomScalePageLayoutView="90" workbookViewId="0">
      <selection activeCell="C14" sqref="C14"/>
    </sheetView>
  </sheetViews>
  <sheetFormatPr baseColWidth="10" defaultRowHeight="16" x14ac:dyDescent="0.2"/>
  <cols>
    <col min="1" max="1" width="2.6640625" style="1" customWidth="1"/>
    <col min="2" max="2" width="38.6640625" style="1" customWidth="1"/>
    <col min="3" max="3" width="23" style="1" customWidth="1"/>
    <col min="4" max="19" width="12.83203125" style="1" customWidth="1"/>
    <col min="20" max="16384" width="10.83203125" style="1"/>
  </cols>
  <sheetData>
    <row r="1" spans="2:4" ht="25" x14ac:dyDescent="0.25">
      <c r="B1" s="40" t="s">
        <v>26</v>
      </c>
      <c r="C1" s="41"/>
      <c r="D1" s="42"/>
    </row>
    <row r="2" spans="2:4" x14ac:dyDescent="0.2">
      <c r="B2" s="6"/>
      <c r="C2" s="6"/>
    </row>
    <row r="3" spans="2:4" x14ac:dyDescent="0.2">
      <c r="B3" s="54" t="s">
        <v>24</v>
      </c>
      <c r="C3" s="28">
        <f>Kengetallen!$G19</f>
        <v>0.10100000000000001</v>
      </c>
      <c r="D3" s="55" t="s">
        <v>6</v>
      </c>
    </row>
    <row r="4" spans="2:4" x14ac:dyDescent="0.2">
      <c r="B4" s="23" t="s">
        <v>37</v>
      </c>
      <c r="C4" s="34">
        <f>Kengetallen!$G4</f>
        <v>6.9000000000000006E-2</v>
      </c>
      <c r="D4" s="55" t="s">
        <v>6</v>
      </c>
    </row>
    <row r="5" spans="2:4" x14ac:dyDescent="0.2">
      <c r="B5" s="23" t="s">
        <v>38</v>
      </c>
      <c r="C5" s="28">
        <f>Kengetallen!$G5</f>
        <v>4.1000000000000002E-2</v>
      </c>
      <c r="D5" s="55" t="s">
        <v>6</v>
      </c>
    </row>
    <row r="6" spans="2:4" x14ac:dyDescent="0.2">
      <c r="B6" s="15"/>
      <c r="C6" s="46"/>
      <c r="D6" s="56"/>
    </row>
    <row r="7" spans="2:4" x14ac:dyDescent="0.2">
      <c r="B7" s="15"/>
      <c r="C7" s="46"/>
      <c r="D7" s="56"/>
    </row>
    <row r="8" spans="2:4" x14ac:dyDescent="0.2">
      <c r="B8" s="25" t="s">
        <v>2</v>
      </c>
      <c r="C8" s="16">
        <f>Kengetallen!$C12</f>
        <v>533000</v>
      </c>
      <c r="D8" s="57" t="s">
        <v>30</v>
      </c>
    </row>
    <row r="9" spans="2:4" x14ac:dyDescent="0.2">
      <c r="B9" s="25" t="s">
        <v>3</v>
      </c>
      <c r="C9" s="16">
        <f>Kengetallen!$C13</f>
        <v>0</v>
      </c>
      <c r="D9" s="57" t="s">
        <v>30</v>
      </c>
    </row>
    <row r="10" spans="2:4" x14ac:dyDescent="0.2">
      <c r="B10" s="25" t="s">
        <v>4</v>
      </c>
      <c r="C10" s="35">
        <f>$C8+$C9</f>
        <v>533000</v>
      </c>
      <c r="D10" s="57" t="s">
        <v>30</v>
      </c>
    </row>
    <row r="11" spans="2:4" x14ac:dyDescent="0.2">
      <c r="B11" s="12" t="s">
        <v>8</v>
      </c>
      <c r="C11" s="47">
        <f>Kengetallen!$C14</f>
        <v>1500</v>
      </c>
      <c r="D11" s="57" t="s">
        <v>9</v>
      </c>
    </row>
    <row r="12" spans="2:4" x14ac:dyDescent="0.2">
      <c r="B12" s="25"/>
      <c r="C12" s="48"/>
      <c r="D12" s="57"/>
    </row>
    <row r="13" spans="2:4" x14ac:dyDescent="0.2">
      <c r="B13" s="25" t="s">
        <v>5</v>
      </c>
      <c r="C13" s="11">
        <f>Kengetallen!$C9</f>
        <v>700</v>
      </c>
      <c r="D13" s="57" t="s">
        <v>23</v>
      </c>
    </row>
    <row r="14" spans="2:4" x14ac:dyDescent="0.2">
      <c r="B14" s="25" t="s">
        <v>31</v>
      </c>
      <c r="C14" s="45">
        <f>$C13*950</f>
        <v>665000</v>
      </c>
      <c r="D14" s="58" t="s">
        <v>7</v>
      </c>
    </row>
    <row r="15" spans="2:4" x14ac:dyDescent="0.2">
      <c r="B15" s="50"/>
      <c r="C15" s="49"/>
      <c r="D15" s="59"/>
    </row>
    <row r="16" spans="2:4" x14ac:dyDescent="0.2">
      <c r="B16" s="12" t="s">
        <v>27</v>
      </c>
      <c r="C16" s="47">
        <f>Kengetallen!$C17</f>
        <v>0.08</v>
      </c>
      <c r="D16" s="57" t="s">
        <v>6</v>
      </c>
    </row>
    <row r="17" spans="1:26" x14ac:dyDescent="0.2">
      <c r="B17" s="12" t="s">
        <v>10</v>
      </c>
      <c r="C17" s="51">
        <f>Kengetallen!$C18</f>
        <v>0.4</v>
      </c>
      <c r="D17" s="57" t="s">
        <v>9</v>
      </c>
    </row>
    <row r="18" spans="1:26" x14ac:dyDescent="0.2">
      <c r="B18" s="12" t="s">
        <v>11</v>
      </c>
      <c r="C18" s="51">
        <f>Kengetallen!$C19</f>
        <v>0.5</v>
      </c>
      <c r="D18" s="57" t="s">
        <v>22</v>
      </c>
    </row>
    <row r="19" spans="1:26" x14ac:dyDescent="0.2">
      <c r="B19" s="12" t="s">
        <v>13</v>
      </c>
      <c r="C19" s="52">
        <f>Kengetallen!$C20</f>
        <v>5.0000000000000001E-3</v>
      </c>
      <c r="D19" s="57" t="s">
        <v>9</v>
      </c>
    </row>
    <row r="20" spans="1:26" x14ac:dyDescent="0.2">
      <c r="B20" s="12"/>
      <c r="C20" s="52"/>
      <c r="D20" s="57"/>
    </row>
    <row r="21" spans="1:26" x14ac:dyDescent="0.2">
      <c r="B21" s="23" t="s">
        <v>18</v>
      </c>
      <c r="C21" s="22">
        <f>Kengetallen!$C23</f>
        <v>0.01</v>
      </c>
      <c r="D21" s="60" t="s">
        <v>9</v>
      </c>
    </row>
    <row r="22" spans="1:26" x14ac:dyDescent="0.2">
      <c r="B22" s="23" t="s">
        <v>32</v>
      </c>
      <c r="C22" s="22">
        <f>Kengetallen!$C24</f>
        <v>0.02</v>
      </c>
      <c r="D22" s="60" t="s">
        <v>9</v>
      </c>
    </row>
    <row r="23" spans="1:26" x14ac:dyDescent="0.2">
      <c r="B23" s="23"/>
      <c r="C23" s="23"/>
      <c r="D23" s="23"/>
    </row>
    <row r="24" spans="1:26" ht="18" x14ac:dyDescent="0.2">
      <c r="A24" s="71"/>
      <c r="B24" s="26" t="s">
        <v>29</v>
      </c>
      <c r="C24" s="78">
        <f>SUM(D35:R35)</f>
        <v>470106.36478152475</v>
      </c>
      <c r="D24" s="29"/>
    </row>
    <row r="25" spans="1:26" ht="18" x14ac:dyDescent="0.2">
      <c r="A25" s="71"/>
      <c r="B25" s="26" t="s">
        <v>28</v>
      </c>
      <c r="C25" s="53">
        <f>NPV(C22,C40:R40)</f>
        <v>337631.78598390485</v>
      </c>
      <c r="D25" s="29"/>
    </row>
    <row r="26" spans="1:26" ht="18" x14ac:dyDescent="0.2">
      <c r="A26" s="71"/>
      <c r="B26" s="61" t="s">
        <v>14</v>
      </c>
      <c r="C26" s="30">
        <f>IRR(C41:R41)</f>
        <v>-1.4471643808987578E-2</v>
      </c>
      <c r="D26" s="29"/>
    </row>
    <row r="27" spans="1:26" ht="18" x14ac:dyDescent="0.2">
      <c r="A27" s="71"/>
      <c r="B27" s="26" t="s">
        <v>20</v>
      </c>
      <c r="C27" s="29">
        <f>SUM(D42:R42)+1</f>
        <v>8</v>
      </c>
      <c r="D27" s="60" t="s">
        <v>21</v>
      </c>
    </row>
    <row r="29" spans="1:26" x14ac:dyDescent="0.2">
      <c r="B29" s="4" t="s">
        <v>12</v>
      </c>
      <c r="C29" s="4">
        <v>0</v>
      </c>
      <c r="D29" s="4">
        <v>0</v>
      </c>
      <c r="E29" s="4">
        <v>1</v>
      </c>
      <c r="F29" s="4">
        <v>2</v>
      </c>
      <c r="G29" s="4">
        <v>3</v>
      </c>
      <c r="H29" s="4">
        <v>4</v>
      </c>
      <c r="I29" s="4">
        <v>5</v>
      </c>
      <c r="J29" s="4">
        <v>6</v>
      </c>
      <c r="K29" s="4">
        <v>7</v>
      </c>
      <c r="L29" s="4">
        <v>8</v>
      </c>
      <c r="M29" s="4">
        <v>9</v>
      </c>
      <c r="N29" s="4">
        <v>10</v>
      </c>
      <c r="O29" s="4">
        <v>11</v>
      </c>
      <c r="P29" s="4">
        <v>12</v>
      </c>
      <c r="Q29" s="4">
        <v>13</v>
      </c>
      <c r="R29" s="4">
        <v>14</v>
      </c>
    </row>
    <row r="30" spans="1:26" x14ac:dyDescent="0.2">
      <c r="B30" s="72" t="s">
        <v>0</v>
      </c>
      <c r="C30" s="73">
        <v>0</v>
      </c>
      <c r="D30" s="73">
        <v>1</v>
      </c>
      <c r="E30" s="73">
        <v>2</v>
      </c>
      <c r="F30" s="73">
        <v>3</v>
      </c>
      <c r="G30" s="73">
        <v>4</v>
      </c>
      <c r="H30" s="73">
        <v>5</v>
      </c>
      <c r="I30" s="73">
        <v>6</v>
      </c>
      <c r="J30" s="73">
        <v>7</v>
      </c>
      <c r="K30" s="73">
        <v>8</v>
      </c>
      <c r="L30" s="73">
        <v>9</v>
      </c>
      <c r="M30" s="73">
        <v>10</v>
      </c>
      <c r="N30" s="73">
        <v>11</v>
      </c>
      <c r="O30" s="73">
        <v>12</v>
      </c>
      <c r="P30" s="73">
        <v>13</v>
      </c>
      <c r="Q30" s="73">
        <v>14</v>
      </c>
      <c r="R30" s="73">
        <v>15</v>
      </c>
      <c r="S30" s="43"/>
      <c r="T30" s="43"/>
      <c r="U30" s="43"/>
      <c r="V30" s="43"/>
      <c r="W30" s="43"/>
      <c r="X30" s="43"/>
      <c r="Y30" s="43"/>
      <c r="Z30" s="43"/>
    </row>
    <row r="31" spans="1:26" x14ac:dyDescent="0.2">
      <c r="B31" s="64" t="s">
        <v>15</v>
      </c>
      <c r="C31" s="57"/>
      <c r="D31" s="65">
        <f t="shared" ref="D31:R31" si="0">$C14*(1-$C19)^D29</f>
        <v>665000</v>
      </c>
      <c r="E31" s="65">
        <f t="shared" si="0"/>
        <v>661675</v>
      </c>
      <c r="F31" s="65">
        <f t="shared" si="0"/>
        <v>658366.625</v>
      </c>
      <c r="G31" s="65">
        <f t="shared" si="0"/>
        <v>655074.791875</v>
      </c>
      <c r="H31" s="65">
        <f t="shared" si="0"/>
        <v>651799.41791562503</v>
      </c>
      <c r="I31" s="65">
        <f t="shared" si="0"/>
        <v>648540.42082604696</v>
      </c>
      <c r="J31" s="65">
        <f t="shared" si="0"/>
        <v>645297.71872191667</v>
      </c>
      <c r="K31" s="65">
        <f t="shared" si="0"/>
        <v>642071.23012830713</v>
      </c>
      <c r="L31" s="65">
        <f t="shared" si="0"/>
        <v>638860.87397766556</v>
      </c>
      <c r="M31" s="65">
        <f t="shared" si="0"/>
        <v>635666.56960777717</v>
      </c>
      <c r="N31" s="65">
        <f t="shared" si="0"/>
        <v>632488.23675973841</v>
      </c>
      <c r="O31" s="65">
        <f t="shared" si="0"/>
        <v>629325.79557593958</v>
      </c>
      <c r="P31" s="65">
        <f t="shared" si="0"/>
        <v>626179.16659806005</v>
      </c>
      <c r="Q31" s="65">
        <f t="shared" si="0"/>
        <v>623048.27076506976</v>
      </c>
      <c r="R31" s="65">
        <f t="shared" si="0"/>
        <v>619933.02941124444</v>
      </c>
    </row>
    <row r="32" spans="1:26" x14ac:dyDescent="0.2">
      <c r="B32" s="64" t="s">
        <v>16</v>
      </c>
      <c r="C32" s="64"/>
      <c r="D32" s="66">
        <f t="shared" ref="D32:R32" si="1">(D31*$C16*$C17)*(1+$C21)^D29</f>
        <v>21280</v>
      </c>
      <c r="E32" s="66">
        <f t="shared" si="1"/>
        <v>21385.336000000003</v>
      </c>
      <c r="F32" s="66">
        <f t="shared" si="1"/>
        <v>21491.193413200002</v>
      </c>
      <c r="G32" s="66">
        <f t="shared" si="1"/>
        <v>21597.574820595342</v>
      </c>
      <c r="H32" s="66">
        <f t="shared" si="1"/>
        <v>21704.48281595729</v>
      </c>
      <c r="I32" s="66">
        <f t="shared" si="1"/>
        <v>21811.920005896278</v>
      </c>
      <c r="J32" s="66">
        <f t="shared" si="1"/>
        <v>21919.889009925468</v>
      </c>
      <c r="K32" s="66">
        <f t="shared" si="1"/>
        <v>22028.392460524596</v>
      </c>
      <c r="L32" s="66">
        <f t="shared" si="1"/>
        <v>22137.433003204194</v>
      </c>
      <c r="M32" s="66">
        <f t="shared" si="1"/>
        <v>22247.013296570054</v>
      </c>
      <c r="N32" s="66">
        <f t="shared" si="1"/>
        <v>22357.136012388084</v>
      </c>
      <c r="O32" s="66">
        <f t="shared" si="1"/>
        <v>22467.803835649396</v>
      </c>
      <c r="P32" s="66">
        <f t="shared" si="1"/>
        <v>22579.019464635865</v>
      </c>
      <c r="Q32" s="66">
        <f t="shared" si="1"/>
        <v>22690.785610985818</v>
      </c>
      <c r="R32" s="66">
        <f t="shared" si="1"/>
        <v>22803.104999760199</v>
      </c>
    </row>
    <row r="33" spans="2:18" x14ac:dyDescent="0.2">
      <c r="B33" s="70" t="s">
        <v>40</v>
      </c>
      <c r="C33" s="60"/>
      <c r="D33" s="67">
        <f>D31*$C17*($C3-$C4)</f>
        <v>8512</v>
      </c>
      <c r="E33" s="67">
        <f t="shared" ref="E33:R33" si="2">E31*$C17*($C3-$C4)</f>
        <v>8469.44</v>
      </c>
      <c r="F33" s="67">
        <f t="shared" si="2"/>
        <v>8427.0928000000004</v>
      </c>
      <c r="G33" s="67">
        <f t="shared" si="2"/>
        <v>8384.9573359999995</v>
      </c>
      <c r="H33" s="67">
        <f t="shared" si="2"/>
        <v>8343.0325493200016</v>
      </c>
      <c r="I33" s="67">
        <f t="shared" si="2"/>
        <v>8301.3173865734007</v>
      </c>
      <c r="J33" s="67">
        <f t="shared" si="2"/>
        <v>8259.8107996405342</v>
      </c>
      <c r="K33" s="67">
        <f t="shared" si="2"/>
        <v>8218.5117456423322</v>
      </c>
      <c r="L33" s="67">
        <f t="shared" si="2"/>
        <v>8177.4191869141205</v>
      </c>
      <c r="M33" s="67">
        <f t="shared" si="2"/>
        <v>8136.5320909795482</v>
      </c>
      <c r="N33" s="67">
        <f t="shared" si="2"/>
        <v>8095.8494305246522</v>
      </c>
      <c r="O33" s="67">
        <f t="shared" si="2"/>
        <v>8055.370183372027</v>
      </c>
      <c r="P33" s="67">
        <f t="shared" si="2"/>
        <v>8015.0933324551697</v>
      </c>
      <c r="Q33" s="67">
        <f t="shared" si="2"/>
        <v>7975.0178657928927</v>
      </c>
      <c r="R33" s="67">
        <f t="shared" si="2"/>
        <v>7935.1427764639293</v>
      </c>
    </row>
    <row r="34" spans="2:18" x14ac:dyDescent="0.2">
      <c r="B34" s="70" t="s">
        <v>41</v>
      </c>
      <c r="C34" s="60"/>
      <c r="D34" s="67">
        <f>D31*(1-$C17)*($C3-$C5)</f>
        <v>23940.000000000004</v>
      </c>
      <c r="E34" s="67">
        <f t="shared" ref="E34:R34" si="3">E31*(1-$C17)*($C3-$C5)</f>
        <v>23820.300000000003</v>
      </c>
      <c r="F34" s="67">
        <f t="shared" si="3"/>
        <v>23701.198500000002</v>
      </c>
      <c r="G34" s="67">
        <f t="shared" si="3"/>
        <v>23582.6925075</v>
      </c>
      <c r="H34" s="67">
        <f t="shared" si="3"/>
        <v>23464.779044962503</v>
      </c>
      <c r="I34" s="67">
        <f t="shared" si="3"/>
        <v>23347.455149737689</v>
      </c>
      <c r="J34" s="67">
        <f t="shared" si="3"/>
        <v>23230.717873989001</v>
      </c>
      <c r="K34" s="67">
        <f t="shared" si="3"/>
        <v>23114.564284619057</v>
      </c>
      <c r="L34" s="67">
        <f t="shared" si="3"/>
        <v>22998.991463195962</v>
      </c>
      <c r="M34" s="67">
        <f t="shared" si="3"/>
        <v>22883.996505879979</v>
      </c>
      <c r="N34" s="67">
        <f t="shared" si="3"/>
        <v>22769.576523350581</v>
      </c>
      <c r="O34" s="67">
        <f t="shared" si="3"/>
        <v>22655.728640733829</v>
      </c>
      <c r="P34" s="67">
        <f t="shared" si="3"/>
        <v>22542.449997530162</v>
      </c>
      <c r="Q34" s="67">
        <f t="shared" si="3"/>
        <v>22429.737747542513</v>
      </c>
      <c r="R34" s="67">
        <f t="shared" si="3"/>
        <v>22317.589058804799</v>
      </c>
    </row>
    <row r="35" spans="2:18" x14ac:dyDescent="0.2">
      <c r="B35" s="64" t="s">
        <v>44</v>
      </c>
      <c r="C35" s="57"/>
      <c r="D35" s="68">
        <f>D33+D34</f>
        <v>32452.000000000004</v>
      </c>
      <c r="E35" s="68">
        <f t="shared" ref="E35:R35" si="4">E33+E34</f>
        <v>32289.740000000005</v>
      </c>
      <c r="F35" s="68">
        <f t="shared" si="4"/>
        <v>32128.291300000004</v>
      </c>
      <c r="G35" s="68">
        <f t="shared" si="4"/>
        <v>31967.649843499999</v>
      </c>
      <c r="H35" s="68">
        <f t="shared" si="4"/>
        <v>31807.811594282502</v>
      </c>
      <c r="I35" s="68">
        <f t="shared" si="4"/>
        <v>31648.772536311088</v>
      </c>
      <c r="J35" s="68">
        <f t="shared" si="4"/>
        <v>31490.528673629535</v>
      </c>
      <c r="K35" s="68">
        <f t="shared" si="4"/>
        <v>31333.076030261389</v>
      </c>
      <c r="L35" s="68">
        <f t="shared" si="4"/>
        <v>31176.410650110083</v>
      </c>
      <c r="M35" s="68">
        <f t="shared" si="4"/>
        <v>31020.528596859527</v>
      </c>
      <c r="N35" s="68">
        <f t="shared" si="4"/>
        <v>30865.425953875234</v>
      </c>
      <c r="O35" s="68">
        <f t="shared" si="4"/>
        <v>30711.098824105855</v>
      </c>
      <c r="P35" s="68">
        <f t="shared" si="4"/>
        <v>30557.543329985332</v>
      </c>
      <c r="Q35" s="68">
        <f t="shared" si="4"/>
        <v>30404.755613335405</v>
      </c>
      <c r="R35" s="68">
        <f t="shared" si="4"/>
        <v>30252.731835268729</v>
      </c>
    </row>
    <row r="36" spans="2:18" x14ac:dyDescent="0.2">
      <c r="B36" s="64" t="s">
        <v>17</v>
      </c>
      <c r="C36" s="57"/>
      <c r="D36" s="66">
        <f t="shared" ref="D36:R36" si="5">(D31*$C16*$C18*(1-$C17)*(1+$C21)^D29)</f>
        <v>15960</v>
      </c>
      <c r="E36" s="66">
        <f t="shared" si="5"/>
        <v>16039.001999999999</v>
      </c>
      <c r="F36" s="66">
        <f t="shared" si="5"/>
        <v>16118.3950599</v>
      </c>
      <c r="G36" s="66">
        <f t="shared" si="5"/>
        <v>16198.181115446503</v>
      </c>
      <c r="H36" s="66">
        <f t="shared" si="5"/>
        <v>16278.362111967966</v>
      </c>
      <c r="I36" s="66">
        <f t="shared" si="5"/>
        <v>16358.940004422209</v>
      </c>
      <c r="J36" s="66">
        <f t="shared" si="5"/>
        <v>16439.916757444098</v>
      </c>
      <c r="K36" s="66">
        <f t="shared" si="5"/>
        <v>16521.294345393446</v>
      </c>
      <c r="L36" s="66">
        <f t="shared" si="5"/>
        <v>16603.074752403147</v>
      </c>
      <c r="M36" s="66">
        <f t="shared" si="5"/>
        <v>16685.259972427539</v>
      </c>
      <c r="N36" s="66">
        <f t="shared" si="5"/>
        <v>16767.852009291062</v>
      </c>
      <c r="O36" s="66">
        <f t="shared" si="5"/>
        <v>16850.852876737044</v>
      </c>
      <c r="P36" s="66">
        <f t="shared" si="5"/>
        <v>16934.264598476897</v>
      </c>
      <c r="Q36" s="66">
        <f t="shared" si="5"/>
        <v>17018.089208239358</v>
      </c>
      <c r="R36" s="66">
        <f t="shared" si="5"/>
        <v>17102.328749820146</v>
      </c>
    </row>
    <row r="37" spans="2:18" x14ac:dyDescent="0.2">
      <c r="B37" s="64" t="s">
        <v>42</v>
      </c>
      <c r="C37" s="57"/>
      <c r="D37" s="66">
        <f>D32+D35+D36</f>
        <v>69692</v>
      </c>
      <c r="E37" s="66">
        <f t="shared" ref="E37:R37" si="6">E32+E35+E36</f>
        <v>69714.078000000009</v>
      </c>
      <c r="F37" s="66">
        <f t="shared" si="6"/>
        <v>69737.879773100009</v>
      </c>
      <c r="G37" s="66">
        <f t="shared" si="6"/>
        <v>69763.405779541848</v>
      </c>
      <c r="H37" s="66">
        <f t="shared" si="6"/>
        <v>69790.656522207748</v>
      </c>
      <c r="I37" s="66">
        <f t="shared" si="6"/>
        <v>69819.632546629582</v>
      </c>
      <c r="J37" s="66">
        <f t="shared" si="6"/>
        <v>69850.334440999097</v>
      </c>
      <c r="K37" s="66">
        <f t="shared" si="6"/>
        <v>69882.762836179434</v>
      </c>
      <c r="L37" s="66">
        <f t="shared" si="6"/>
        <v>69916.918405717428</v>
      </c>
      <c r="M37" s="66">
        <f t="shared" si="6"/>
        <v>69952.801865857124</v>
      </c>
      <c r="N37" s="66">
        <f t="shared" si="6"/>
        <v>69990.413975554373</v>
      </c>
      <c r="O37" s="66">
        <f t="shared" si="6"/>
        <v>70029.755536492303</v>
      </c>
      <c r="P37" s="66">
        <f t="shared" si="6"/>
        <v>70070.827393098094</v>
      </c>
      <c r="Q37" s="66">
        <f t="shared" si="6"/>
        <v>70113.630432560574</v>
      </c>
      <c r="R37" s="66">
        <f t="shared" si="6"/>
        <v>70158.165584849077</v>
      </c>
    </row>
    <row r="38" spans="2:18" x14ac:dyDescent="0.2">
      <c r="B38" s="64" t="s">
        <v>1</v>
      </c>
      <c r="C38" s="57"/>
      <c r="D38" s="66">
        <f t="shared" ref="D38:R38" si="7">$C11*(1+$C21)^D29</f>
        <v>1500</v>
      </c>
      <c r="E38" s="66">
        <f t="shared" si="7"/>
        <v>1515</v>
      </c>
      <c r="F38" s="66">
        <f t="shared" si="7"/>
        <v>1530.15</v>
      </c>
      <c r="G38" s="66">
        <f t="shared" si="7"/>
        <v>1545.4514999999999</v>
      </c>
      <c r="H38" s="66">
        <f t="shared" si="7"/>
        <v>1560.906015</v>
      </c>
      <c r="I38" s="66">
        <f t="shared" si="7"/>
        <v>1576.5150751499998</v>
      </c>
      <c r="J38" s="66">
        <f t="shared" si="7"/>
        <v>1592.2802259015002</v>
      </c>
      <c r="K38" s="66">
        <f t="shared" si="7"/>
        <v>1608.2030281605148</v>
      </c>
      <c r="L38" s="66">
        <f t="shared" si="7"/>
        <v>1624.2850584421203</v>
      </c>
      <c r="M38" s="66">
        <f t="shared" si="7"/>
        <v>1640.5279090265417</v>
      </c>
      <c r="N38" s="66">
        <f t="shared" si="7"/>
        <v>1656.9331881168071</v>
      </c>
      <c r="O38" s="66">
        <f t="shared" si="7"/>
        <v>1673.5025199979748</v>
      </c>
      <c r="P38" s="66">
        <f t="shared" si="7"/>
        <v>1690.2375451979547</v>
      </c>
      <c r="Q38" s="66">
        <f t="shared" si="7"/>
        <v>1707.1399206499343</v>
      </c>
      <c r="R38" s="66">
        <f t="shared" si="7"/>
        <v>1724.2113198564339</v>
      </c>
    </row>
    <row r="39" spans="2:18" x14ac:dyDescent="0.2">
      <c r="B39" s="64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2:18" x14ac:dyDescent="0.2">
      <c r="B40" s="64" t="s">
        <v>43</v>
      </c>
      <c r="C40" s="69">
        <f>-C10</f>
        <v>-533000</v>
      </c>
      <c r="D40" s="69">
        <f>D37-D38</f>
        <v>68192</v>
      </c>
      <c r="E40" s="69">
        <f t="shared" ref="E40:R40" si="8">E37-E38</f>
        <v>68199.078000000009</v>
      </c>
      <c r="F40" s="69">
        <f t="shared" si="8"/>
        <v>68207.729773100014</v>
      </c>
      <c r="G40" s="69">
        <f t="shared" si="8"/>
        <v>68217.954279541853</v>
      </c>
      <c r="H40" s="69">
        <f t="shared" si="8"/>
        <v>68229.750507207747</v>
      </c>
      <c r="I40" s="69">
        <f t="shared" si="8"/>
        <v>68243.117471479578</v>
      </c>
      <c r="J40" s="69">
        <f t="shared" si="8"/>
        <v>68258.054215097596</v>
      </c>
      <c r="K40" s="69">
        <f t="shared" si="8"/>
        <v>68274.559808018923</v>
      </c>
      <c r="L40" s="69">
        <f t="shared" si="8"/>
        <v>68292.633347275303</v>
      </c>
      <c r="M40" s="69">
        <f t="shared" si="8"/>
        <v>68312.273956830584</v>
      </c>
      <c r="N40" s="69">
        <f t="shared" si="8"/>
        <v>68333.480787437569</v>
      </c>
      <c r="O40" s="69">
        <f t="shared" si="8"/>
        <v>68356.253016494331</v>
      </c>
      <c r="P40" s="69">
        <f t="shared" si="8"/>
        <v>68380.589847900133</v>
      </c>
      <c r="Q40" s="69">
        <f t="shared" si="8"/>
        <v>68406.490511910641</v>
      </c>
      <c r="R40" s="69">
        <f t="shared" si="8"/>
        <v>68433.954264992644</v>
      </c>
    </row>
    <row r="41" spans="2:18" x14ac:dyDescent="0.2">
      <c r="B41" s="64" t="s">
        <v>19</v>
      </c>
      <c r="C41" s="69">
        <f>C40</f>
        <v>-533000</v>
      </c>
      <c r="D41" s="69">
        <f>C41+D40</f>
        <v>-464808</v>
      </c>
      <c r="E41" s="69">
        <f>D41+E40</f>
        <v>-396608.92200000002</v>
      </c>
      <c r="F41" s="69">
        <f t="shared" ref="F41:R41" si="9">E41+F40</f>
        <v>-328401.19222690002</v>
      </c>
      <c r="G41" s="69">
        <f t="shared" si="9"/>
        <v>-260183.23794735817</v>
      </c>
      <c r="H41" s="69">
        <f t="shared" si="9"/>
        <v>-191953.48744015041</v>
      </c>
      <c r="I41" s="69">
        <f t="shared" si="9"/>
        <v>-123710.36996867083</v>
      </c>
      <c r="J41" s="69">
        <f t="shared" si="9"/>
        <v>-55452.315753573232</v>
      </c>
      <c r="K41" s="69">
        <f t="shared" si="9"/>
        <v>12822.244054445691</v>
      </c>
      <c r="L41" s="69">
        <f t="shared" si="9"/>
        <v>81114.877401720994</v>
      </c>
      <c r="M41" s="69">
        <f t="shared" si="9"/>
        <v>149427.15135855158</v>
      </c>
      <c r="N41" s="69">
        <f t="shared" si="9"/>
        <v>217760.63214598916</v>
      </c>
      <c r="O41" s="69">
        <f t="shared" si="9"/>
        <v>286116.88516248349</v>
      </c>
      <c r="P41" s="69">
        <f t="shared" si="9"/>
        <v>354497.47501038364</v>
      </c>
      <c r="Q41" s="69">
        <f t="shared" si="9"/>
        <v>422903.96552229428</v>
      </c>
      <c r="R41" s="69">
        <f t="shared" si="9"/>
        <v>491337.9197872869</v>
      </c>
    </row>
    <row r="42" spans="2:18" x14ac:dyDescent="0.2">
      <c r="D42" s="4">
        <f>IF(D41&lt;0,1,0)</f>
        <v>1</v>
      </c>
      <c r="E42" s="4">
        <f t="shared" ref="E42:R42" si="10">IF(E41&lt;0,1,0)</f>
        <v>1</v>
      </c>
      <c r="F42" s="4">
        <f t="shared" si="10"/>
        <v>1</v>
      </c>
      <c r="G42" s="4">
        <f t="shared" si="10"/>
        <v>1</v>
      </c>
      <c r="H42" s="4">
        <f t="shared" si="10"/>
        <v>1</v>
      </c>
      <c r="I42" s="4">
        <f t="shared" si="10"/>
        <v>1</v>
      </c>
      <c r="J42" s="4">
        <f t="shared" si="10"/>
        <v>1</v>
      </c>
      <c r="K42" s="4">
        <f t="shared" si="10"/>
        <v>0</v>
      </c>
      <c r="L42" s="4">
        <f t="shared" si="10"/>
        <v>0</v>
      </c>
      <c r="M42" s="4">
        <f t="shared" si="10"/>
        <v>0</v>
      </c>
      <c r="N42" s="4">
        <f t="shared" si="10"/>
        <v>0</v>
      </c>
      <c r="O42" s="4">
        <f t="shared" si="10"/>
        <v>0</v>
      </c>
      <c r="P42" s="4">
        <f t="shared" si="10"/>
        <v>0</v>
      </c>
      <c r="Q42" s="4">
        <f t="shared" si="10"/>
        <v>0</v>
      </c>
      <c r="R42" s="4">
        <f t="shared" si="10"/>
        <v>0</v>
      </c>
    </row>
    <row r="44" spans="2:18" x14ac:dyDescent="0.2">
      <c r="C44" s="3"/>
    </row>
  </sheetData>
  <sheetProtection password="EDBC" sheet="1" objects="1" scenarios="1" selectLockedCells="1" selectUnlockedCells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Kengetallen</vt:lpstr>
      <vt:lpstr>Scenario_1</vt:lpstr>
      <vt:lpstr>Scenario_2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Straten, Corné van</cp:lastModifiedBy>
  <dcterms:created xsi:type="dcterms:W3CDTF">2017-06-23T09:27:08Z</dcterms:created>
  <dcterms:modified xsi:type="dcterms:W3CDTF">2019-01-29T10:52:54Z</dcterms:modified>
</cp:coreProperties>
</file>