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ThisWorkbook" defaultThemeVersion="124226"/>
  <bookViews>
    <workbookView xWindow="480" yWindow="480" windowWidth="15600" windowHeight="6855" activeTab="2"/>
  </bookViews>
  <sheets>
    <sheet name="Estimate" sheetId="1" r:id="rId1"/>
    <sheet name="Efforts per Feature Size" sheetId="3" r:id="rId2"/>
    <sheet name="Checklist" sheetId="4" r:id="rId3"/>
    <sheet name="Lookups" sheetId="5" state="hidden" r:id="rId4"/>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Estimate!$B$158:$K$158</definedName>
    <definedName name="Header_Row">Estimate!$B$10:$K$10</definedName>
    <definedName name="L_Buffer">'Efforts per Feature Size'!$D$85</definedName>
    <definedName name="L_Construction">'Efforts per Feature Size'!$F$142</definedName>
    <definedName name="L_Design">'Efforts per Feature Size'!$F$141</definedName>
    <definedName name="L_Likely">'Efforts per Feature Size'!$C$85</definedName>
    <definedName name="L_Max">'Efforts per Feature Size'!$E$85</definedName>
    <definedName name="L_Min">'Efforts per Feature Size'!$B$85</definedName>
    <definedName name="L_PERT">'Efforts per Feature Size'!$E$154</definedName>
    <definedName name="L_Requirements">'Efforts per Feature Size'!$F$140</definedName>
    <definedName name="L_Test">'Efforts per Feature Size'!$F$143</definedName>
    <definedName name="L_TopLeft">'Efforts per Feature Size'!$A$72</definedName>
    <definedName name="M_Adjustments">Lookups!$F$18:$F$27</definedName>
    <definedName name="M_Baseline">Lookups!$F$10:$F$16</definedName>
    <definedName name="M_Buffer">'Efforts per Feature Size'!$D$69</definedName>
    <definedName name="M_Construction">'Efforts per Feature Size'!$F$137</definedName>
    <definedName name="M_Design">'Efforts per Feature Size'!$F$136</definedName>
    <definedName name="M_Likely">'Efforts per Feature Size'!$C$69</definedName>
    <definedName name="M_Max">'Efforts per Feature Size'!$E$69</definedName>
    <definedName name="M_Min">'Efforts per Feature Size'!$B$69</definedName>
    <definedName name="M_PERT">'Efforts per Feature Size'!$D$154</definedName>
    <definedName name="M_Requirements">'Efforts per Feature Size'!$F$135</definedName>
    <definedName name="M_Test">'Efforts per Feature Size'!$F$138</definedName>
    <definedName name="M_TopLeft">'Efforts per Feature Size'!$A$56</definedName>
    <definedName name="Max_Range">Estimate!$L$3</definedName>
    <definedName name="Max_Sigmas">Estimate!$L$162</definedName>
    <definedName name="Min_Range">Estimate!$L$2</definedName>
    <definedName name="Min_Samples">Estimate!$L$5</definedName>
    <definedName name="Min_Sigmas">Estimate!$L$161</definedName>
    <definedName name="Optional_Feature_WBS_Tasks">Lookups!$H$10</definedName>
    <definedName name="PERT_Range">Estimate!$L$4</definedName>
    <definedName name="PERT_Sigma">Estimate!$L$159</definedName>
    <definedName name="PERT_Sigma2">Estimate!$L$158</definedName>
    <definedName name="PERT_Sum">Estimate!$I$158</definedName>
    <definedName name="PERT_Zmax">Estimate!#REF!</definedName>
    <definedName name="PERT_Zmin">Estimate!#REF!</definedName>
    <definedName name="_xlnm.Print_Titles" localSheetId="2">Checklist!$1:$2</definedName>
    <definedName name="_xlnm.Print_Titles" localSheetId="0">Estimate!$1:$4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'Efforts per Feature Size'!$D$53</definedName>
    <definedName name="S_Construction">'Efforts per Feature Size'!$F$132</definedName>
    <definedName name="S_Design">'Efforts per Feature Size'!$F$131</definedName>
    <definedName name="S_Likely">'Efforts per Feature Size'!$C$53</definedName>
    <definedName name="S_Max">'Efforts per Feature Size'!$E$53</definedName>
    <definedName name="S_Min">'Efforts per Feature Size'!$B$53</definedName>
    <definedName name="S_PERT">'Efforts per Feature Size'!$C$154</definedName>
    <definedName name="S_Requirements">'Efforts per Feature Size'!$F$130</definedName>
    <definedName name="S_Test">'Efforts per Feature Size'!$F$133</definedName>
    <definedName name="S_TopLeft">'Efforts per Feature Size'!$A$40</definedName>
    <definedName name="Section_Marks_Range">Estimate!$L$1</definedName>
    <definedName name="T_Adjustments">Lookups!$E$18:$E$27</definedName>
    <definedName name="T_Baseline">Lookups!$E$10:$E$16</definedName>
    <definedName name="Total_Build_Effort">Checklist!$D$41</definedName>
    <definedName name="Total_Design_Effort">Checklist!$D$40</definedName>
    <definedName name="Total_Impl_Effort">Checklist!$D$43</definedName>
    <definedName name="Total_Management_Effort">Checklist!$D$44</definedName>
    <definedName name="Total_Plan_Effort">Checklist!$D$38</definedName>
    <definedName name="Total_Specify_Effort">Checklist!$D$39</definedName>
    <definedName name="Total_Test_Effort">Checklist!$D$42</definedName>
    <definedName name="TShirt_Sizes">Lookups!$A$1:$A$7</definedName>
    <definedName name="XL_Buffer">'Efforts per Feature Size'!$D$101</definedName>
    <definedName name="XL_Construction">'Efforts per Feature Size'!$F$147</definedName>
    <definedName name="XL_Design">'Efforts per Feature Size'!$F$146</definedName>
    <definedName name="XL_Likely">'Efforts per Feature Size'!$C$101</definedName>
    <definedName name="XL_Max">'Efforts per Feature Size'!$E$101</definedName>
    <definedName name="XL_Min">'Efforts per Feature Size'!$B$101</definedName>
    <definedName name="XL_PERT">'Efforts per Feature Size'!$F$154</definedName>
    <definedName name="XL_Requirements">'Efforts per Feature Size'!$F$145</definedName>
    <definedName name="XL_Test">'Efforts per Feature Size'!$F$148</definedName>
    <definedName name="XL_TopLeft">'Efforts per Feature Size'!$A$88</definedName>
    <definedName name="XS_Buffer">'Efforts per Feature Size'!$D$37</definedName>
    <definedName name="XS_Construction">'Efforts per Feature Size'!$F$127</definedName>
    <definedName name="XS_Design">'Efforts per Feature Size'!$F$126</definedName>
    <definedName name="XS_Likely">'Efforts per Feature Size'!$C$37</definedName>
    <definedName name="XS_Max">'Efforts per Feature Size'!$E$37</definedName>
    <definedName name="XS_Min">'Efforts per Feature Size'!$B$37</definedName>
    <definedName name="XS_PERT">'Efforts per Feature Size'!$B$154</definedName>
    <definedName name="XS_Requirements">'Efforts per Feature Size'!$F$125</definedName>
    <definedName name="XS_Test">'Efforts per Feature Size'!$F$128</definedName>
    <definedName name="XS_TopLeft">'Efforts per Feature Size'!$A$24</definedName>
    <definedName name="XXL_Buffer">'Efforts per Feature Size'!$D$117</definedName>
    <definedName name="XXL_Construction">'Efforts per Feature Size'!$F$152</definedName>
    <definedName name="XXL_Design">'Efforts per Feature Size'!$F$151</definedName>
    <definedName name="XXL_Likely">'Efforts per Feature Size'!$C$117</definedName>
    <definedName name="XXL_Max">'Efforts per Feature Size'!$E$117</definedName>
    <definedName name="XXL_Min">'Efforts per Feature Size'!$B$117</definedName>
    <definedName name="XXL_PERT">'Efforts per Feature Size'!$H$154</definedName>
    <definedName name="XXL_Requirements">'Efforts per Feature Size'!$F$150</definedName>
    <definedName name="XXL_Test">'Efforts per Feature Size'!$F$153</definedName>
    <definedName name="XXL_TopLeft">'Efforts per Feature Size'!$A$104</definedName>
    <definedName name="XXS_Buffer">'Efforts per Feature Size'!$D$20</definedName>
    <definedName name="XXS_Construction">'Efforts per Feature Size'!$F$122</definedName>
    <definedName name="XXS_Design">'Efforts per Feature Size'!$F$121</definedName>
    <definedName name="XXS_Likely">'Efforts per Feature Size'!$C$20</definedName>
    <definedName name="XXS_Max">'Efforts per Feature Size'!$E$20</definedName>
    <definedName name="XXS_Min">'Efforts per Feature Size'!$B$20</definedName>
    <definedName name="XXS_PERT">'Efforts per Feature Size'!$G$154</definedName>
    <definedName name="XXS_Requirements">'Efforts per Feature Size'!$F$120</definedName>
    <definedName name="XXS_Test">'Efforts per Feature Size'!$F$123</definedName>
    <definedName name="XXS_TopLeft">'Efforts per Feature Size'!$A$7</definedName>
    <definedName name="XXS_WBS" localSheetId="1">OFFSET(XXS_TopLeft, 1, 0,  ROW(XXS_Min) - ROW(XXS_TopLeft) - 1,1)</definedName>
    <definedName name="Yes_No">Lookups!$H$3:$H$4</definedName>
    <definedName name="Yes_No_NA">Lookups!$H$3:$H$5</definedName>
  </definedNames>
  <calcPr calcId="145621"/>
</workbook>
</file>

<file path=xl/calcChain.xml><?xml version="1.0" encoding="utf-8"?>
<calcChain xmlns="http://schemas.openxmlformats.org/spreadsheetml/2006/main">
  <c r="H12" i="1" l="1"/>
  <c r="G64" i="1"/>
  <c r="F64" i="1"/>
  <c r="H64" i="1" s="1"/>
  <c r="E64" i="1"/>
  <c r="J10" i="1"/>
  <c r="F139" i="1"/>
  <c r="G139" i="1"/>
  <c r="E139" i="1"/>
  <c r="G138" i="1"/>
  <c r="E138" i="1"/>
  <c r="F138" i="1"/>
  <c r="F137" i="1"/>
  <c r="G137" i="1"/>
  <c r="E137" i="1"/>
  <c r="G136" i="1"/>
  <c r="F136" i="1"/>
  <c r="E136" i="1"/>
  <c r="F135" i="1"/>
  <c r="G135" i="1"/>
  <c r="E135" i="1"/>
  <c r="G134" i="1"/>
  <c r="E134" i="1"/>
  <c r="F134" i="1"/>
  <c r="F133" i="1"/>
  <c r="G133" i="1"/>
  <c r="E133" i="1"/>
  <c r="G132" i="1"/>
  <c r="F132" i="1"/>
  <c r="E132" i="1"/>
  <c r="G131" i="1"/>
  <c r="E131" i="1"/>
  <c r="F131" i="1"/>
  <c r="G130" i="1"/>
  <c r="F130" i="1"/>
  <c r="E130" i="1"/>
  <c r="F129" i="1"/>
  <c r="G129" i="1"/>
  <c r="E129" i="1"/>
  <c r="G128" i="1"/>
  <c r="F128" i="1"/>
  <c r="E128" i="1"/>
  <c r="F127" i="1"/>
  <c r="G127" i="1"/>
  <c r="E127" i="1"/>
  <c r="G126" i="1"/>
  <c r="F126" i="1"/>
  <c r="E126" i="1"/>
  <c r="F125" i="1"/>
  <c r="G125" i="1"/>
  <c r="E125" i="1"/>
  <c r="G124" i="1"/>
  <c r="F124" i="1"/>
  <c r="E124" i="1"/>
  <c r="F123" i="1"/>
  <c r="G123" i="1"/>
  <c r="E123" i="1"/>
  <c r="G122" i="1"/>
  <c r="F122" i="1"/>
  <c r="E122" i="1"/>
  <c r="F121" i="1"/>
  <c r="G121" i="1"/>
  <c r="E121" i="1"/>
  <c r="G120" i="1"/>
  <c r="F120" i="1"/>
  <c r="E120" i="1"/>
  <c r="F119" i="1"/>
  <c r="G119" i="1"/>
  <c r="E119" i="1"/>
  <c r="G118" i="1"/>
  <c r="E118" i="1"/>
  <c r="F118" i="1"/>
  <c r="F117" i="1"/>
  <c r="G117" i="1"/>
  <c r="E117" i="1"/>
  <c r="G116" i="1"/>
  <c r="F116" i="1"/>
  <c r="E116" i="1"/>
  <c r="G115" i="1"/>
  <c r="E115" i="1"/>
  <c r="F115" i="1"/>
  <c r="G114" i="1"/>
  <c r="F114" i="1"/>
  <c r="E114" i="1"/>
  <c r="F113" i="1"/>
  <c r="G113" i="1"/>
  <c r="E113" i="1"/>
  <c r="G112" i="1"/>
  <c r="F112" i="1"/>
  <c r="E112" i="1"/>
  <c r="F111" i="1"/>
  <c r="E111" i="1"/>
  <c r="G111" i="1"/>
  <c r="E110" i="1"/>
  <c r="F110" i="1"/>
  <c r="G110" i="1"/>
  <c r="F109" i="1"/>
  <c r="G109" i="1"/>
  <c r="E109" i="1"/>
  <c r="G108" i="1"/>
  <c r="F108" i="1"/>
  <c r="E108" i="1"/>
  <c r="F107" i="1"/>
  <c r="G107" i="1"/>
  <c r="E107" i="1"/>
  <c r="G106" i="1"/>
  <c r="F106" i="1"/>
  <c r="E106" i="1"/>
  <c r="F105" i="1"/>
  <c r="G105" i="1"/>
  <c r="E105" i="1"/>
  <c r="G104" i="1"/>
  <c r="F104" i="1"/>
  <c r="E104" i="1"/>
  <c r="F103" i="1"/>
  <c r="G103" i="1"/>
  <c r="E103" i="1"/>
  <c r="G102" i="1"/>
  <c r="E102" i="1"/>
  <c r="F102" i="1"/>
  <c r="F101" i="1"/>
  <c r="G101" i="1"/>
  <c r="E101" i="1"/>
  <c r="G100" i="1"/>
  <c r="F100" i="1"/>
  <c r="E100" i="1"/>
  <c r="F99" i="1"/>
  <c r="G99" i="1"/>
  <c r="E99" i="1"/>
  <c r="G98" i="1"/>
  <c r="F98" i="1"/>
  <c r="E98" i="1"/>
  <c r="F97" i="1"/>
  <c r="G97" i="1"/>
  <c r="E97" i="1"/>
  <c r="E96" i="1"/>
  <c r="F96" i="1"/>
  <c r="G96" i="1"/>
  <c r="F95" i="1"/>
  <c r="G95" i="1"/>
  <c r="E95" i="1"/>
  <c r="G94" i="1"/>
  <c r="F94" i="1"/>
  <c r="E94" i="1"/>
  <c r="F93" i="1"/>
  <c r="G93" i="1"/>
  <c r="E93" i="1"/>
  <c r="G92" i="1"/>
  <c r="F92" i="1"/>
  <c r="E92" i="1"/>
  <c r="F91" i="1"/>
  <c r="G91" i="1"/>
  <c r="E91" i="1"/>
  <c r="E90" i="1"/>
  <c r="F90" i="1"/>
  <c r="G90" i="1"/>
  <c r="F89" i="1"/>
  <c r="G89" i="1"/>
  <c r="E89" i="1"/>
  <c r="G88" i="1"/>
  <c r="F88" i="1"/>
  <c r="E88" i="1"/>
  <c r="F87" i="1"/>
  <c r="G87" i="1"/>
  <c r="E87" i="1"/>
  <c r="G86" i="1"/>
  <c r="E86" i="1"/>
  <c r="F86" i="1"/>
  <c r="F85" i="1"/>
  <c r="G85" i="1"/>
  <c r="E85" i="1"/>
  <c r="G84" i="1"/>
  <c r="F84" i="1"/>
  <c r="E84" i="1"/>
  <c r="F83" i="1"/>
  <c r="G83" i="1"/>
  <c r="E83" i="1"/>
  <c r="G82" i="1"/>
  <c r="F82" i="1"/>
  <c r="E82" i="1"/>
  <c r="F81" i="1"/>
  <c r="G81" i="1"/>
  <c r="E81" i="1"/>
  <c r="G80" i="1"/>
  <c r="F80" i="1"/>
  <c r="E80" i="1"/>
  <c r="F79" i="1"/>
  <c r="E79" i="1"/>
  <c r="G79" i="1"/>
  <c r="G78" i="1"/>
  <c r="F78" i="1"/>
  <c r="E78" i="1"/>
  <c r="F77" i="1"/>
  <c r="G77" i="1"/>
  <c r="E77" i="1"/>
  <c r="G76" i="1"/>
  <c r="F76" i="1"/>
  <c r="E76" i="1"/>
  <c r="F75" i="1"/>
  <c r="G75" i="1"/>
  <c r="E75" i="1"/>
  <c r="E74" i="1"/>
  <c r="F74" i="1"/>
  <c r="G74" i="1"/>
  <c r="F73" i="1"/>
  <c r="G73" i="1"/>
  <c r="E73" i="1"/>
  <c r="E72" i="1"/>
  <c r="F72" i="1"/>
  <c r="G72" i="1"/>
  <c r="F71" i="1"/>
  <c r="G71" i="1"/>
  <c r="E71" i="1"/>
  <c r="G70" i="1"/>
  <c r="F70" i="1"/>
  <c r="E70" i="1"/>
  <c r="G69" i="1"/>
  <c r="E69" i="1"/>
  <c r="F69" i="1"/>
  <c r="G68" i="1"/>
  <c r="E68" i="1"/>
  <c r="F68" i="1"/>
  <c r="F67" i="1"/>
  <c r="G67" i="1"/>
  <c r="E67" i="1"/>
  <c r="E66" i="1"/>
  <c r="F66" i="1"/>
  <c r="G66" i="1"/>
  <c r="F65" i="1"/>
  <c r="G65" i="1"/>
  <c r="E65" i="1"/>
  <c r="F63" i="1"/>
  <c r="G63" i="1"/>
  <c r="E63" i="1"/>
  <c r="E62" i="1"/>
  <c r="F62" i="1"/>
  <c r="G62" i="1"/>
  <c r="F61" i="1"/>
  <c r="G61" i="1"/>
  <c r="E61" i="1"/>
  <c r="G60" i="1"/>
  <c r="E60" i="1"/>
  <c r="F60" i="1"/>
  <c r="F59" i="1"/>
  <c r="G59" i="1"/>
  <c r="E59" i="1"/>
  <c r="G58" i="1"/>
  <c r="F58" i="1"/>
  <c r="E58" i="1"/>
  <c r="F57" i="1"/>
  <c r="G57" i="1"/>
  <c r="E57" i="1"/>
  <c r="E56" i="1"/>
  <c r="F56" i="1"/>
  <c r="G56" i="1"/>
  <c r="G55" i="1"/>
  <c r="E55" i="1"/>
  <c r="F55" i="1"/>
  <c r="G54" i="1"/>
  <c r="E54" i="1"/>
  <c r="F54" i="1"/>
  <c r="G51" i="1"/>
  <c r="E51" i="1"/>
  <c r="F51" i="1"/>
  <c r="F50" i="1"/>
  <c r="G50" i="1"/>
  <c r="E50" i="1"/>
  <c r="G47" i="1"/>
  <c r="F47" i="1"/>
  <c r="E47" i="1"/>
  <c r="F46" i="1"/>
  <c r="G46" i="1"/>
  <c r="E46" i="1"/>
  <c r="G44" i="1"/>
  <c r="E44" i="1"/>
  <c r="F44" i="1"/>
  <c r="G48" i="1"/>
  <c r="F48" i="1"/>
  <c r="E48" i="1"/>
  <c r="G49" i="1"/>
  <c r="E49" i="1"/>
  <c r="F49" i="1"/>
  <c r="F43" i="1"/>
  <c r="G43" i="1"/>
  <c r="E43" i="1"/>
  <c r="G42" i="1"/>
  <c r="F42" i="1"/>
  <c r="E42" i="1"/>
  <c r="F41" i="1"/>
  <c r="G41" i="1"/>
  <c r="E41" i="1"/>
  <c r="G39" i="1"/>
  <c r="E39" i="1"/>
  <c r="F39" i="1"/>
  <c r="F53" i="1"/>
  <c r="G53" i="1"/>
  <c r="E53" i="1"/>
  <c r="G52" i="1"/>
  <c r="E52" i="1"/>
  <c r="F52" i="1"/>
  <c r="G33" i="1"/>
  <c r="E140" i="1"/>
  <c r="F140" i="1"/>
  <c r="H113" i="1" l="1"/>
  <c r="H112" i="1"/>
  <c r="J112" i="1" s="1"/>
  <c r="H111" i="1"/>
  <c r="J111" i="1" s="1"/>
  <c r="H110" i="1"/>
  <c r="I110" i="1" s="1"/>
  <c r="H109" i="1"/>
  <c r="J109" i="1" s="1"/>
  <c r="H108" i="1"/>
  <c r="I108" i="1" s="1"/>
  <c r="H107" i="1"/>
  <c r="J107" i="1" s="1"/>
  <c r="H106" i="1"/>
  <c r="J106" i="1" s="1"/>
  <c r="H105" i="1"/>
  <c r="H104" i="1"/>
  <c r="I104" i="1" s="1"/>
  <c r="H103" i="1"/>
  <c r="J103" i="1" s="1"/>
  <c r="H102" i="1"/>
  <c r="J102" i="1" s="1"/>
  <c r="H101" i="1"/>
  <c r="H100" i="1"/>
  <c r="J100" i="1" s="1"/>
  <c r="H99" i="1"/>
  <c r="J99" i="1" s="1"/>
  <c r="H98" i="1"/>
  <c r="J98" i="1" s="1"/>
  <c r="H97" i="1"/>
  <c r="H96" i="1"/>
  <c r="I96" i="1" s="1"/>
  <c r="H95" i="1"/>
  <c r="I95" i="1" s="1"/>
  <c r="H94" i="1"/>
  <c r="J94" i="1" s="1"/>
  <c r="H93" i="1"/>
  <c r="J93" i="1" s="1"/>
  <c r="H92" i="1"/>
  <c r="J92" i="1" s="1"/>
  <c r="H91" i="1"/>
  <c r="J91" i="1" s="1"/>
  <c r="H90" i="1"/>
  <c r="I90" i="1" s="1"/>
  <c r="H89" i="1"/>
  <c r="H88" i="1"/>
  <c r="J88" i="1" s="1"/>
  <c r="H87" i="1"/>
  <c r="J87" i="1" s="1"/>
  <c r="H86" i="1"/>
  <c r="I86" i="1" s="1"/>
  <c r="H85" i="1"/>
  <c r="J85" i="1" s="1"/>
  <c r="H84" i="1"/>
  <c r="J84" i="1" s="1"/>
  <c r="H83" i="1"/>
  <c r="J83" i="1" s="1"/>
  <c r="H82" i="1"/>
  <c r="J82" i="1" s="1"/>
  <c r="H81" i="1"/>
  <c r="J81" i="1" s="1"/>
  <c r="H80" i="1"/>
  <c r="J80" i="1" s="1"/>
  <c r="H79" i="1"/>
  <c r="J79" i="1" s="1"/>
  <c r="H78" i="1"/>
  <c r="J78" i="1" s="1"/>
  <c r="H77" i="1"/>
  <c r="H76" i="1"/>
  <c r="J76" i="1" s="1"/>
  <c r="H75" i="1"/>
  <c r="J75" i="1" s="1"/>
  <c r="H74" i="1"/>
  <c r="I74" i="1" s="1"/>
  <c r="H73" i="1"/>
  <c r="J73" i="1" s="1"/>
  <c r="H72" i="1"/>
  <c r="J72" i="1" s="1"/>
  <c r="H71" i="1"/>
  <c r="J71" i="1" s="1"/>
  <c r="H70" i="1"/>
  <c r="J70" i="1" s="1"/>
  <c r="H69" i="1"/>
  <c r="H68" i="1"/>
  <c r="J68" i="1" s="1"/>
  <c r="H67" i="1"/>
  <c r="J67" i="1" s="1"/>
  <c r="H66" i="1"/>
  <c r="J66" i="1" s="1"/>
  <c r="H65" i="1"/>
  <c r="J65" i="1" s="1"/>
  <c r="H54" i="1"/>
  <c r="J54" i="1" s="1"/>
  <c r="H51" i="1"/>
  <c r="J51" i="1" s="1"/>
  <c r="H50" i="1"/>
  <c r="J50" i="1" s="1"/>
  <c r="H47" i="1"/>
  <c r="J47" i="1" s="1"/>
  <c r="H46" i="1"/>
  <c r="J46" i="1" s="1"/>
  <c r="H48" i="1"/>
  <c r="J48" i="1" s="1"/>
  <c r="H49" i="1"/>
  <c r="J49" i="1" s="1"/>
  <c r="H39" i="1"/>
  <c r="J39" i="1" s="1"/>
  <c r="J113" i="1"/>
  <c r="H124" i="1"/>
  <c r="J124" i="1" s="1"/>
  <c r="H125" i="1"/>
  <c r="I125" i="1" s="1"/>
  <c r="H126" i="1"/>
  <c r="J126" i="1" s="1"/>
  <c r="H127" i="1"/>
  <c r="I127" i="1" s="1"/>
  <c r="H128" i="1"/>
  <c r="J128" i="1" s="1"/>
  <c r="H129" i="1"/>
  <c r="I129" i="1" s="1"/>
  <c r="H130" i="1"/>
  <c r="J130" i="1" s="1"/>
  <c r="H131" i="1"/>
  <c r="I131" i="1" s="1"/>
  <c r="H132" i="1"/>
  <c r="J132" i="1" s="1"/>
  <c r="H133" i="1"/>
  <c r="I133" i="1" s="1"/>
  <c r="H134" i="1"/>
  <c r="J134" i="1" s="1"/>
  <c r="H135" i="1"/>
  <c r="I135" i="1" s="1"/>
  <c r="H136" i="1"/>
  <c r="J136" i="1" s="1"/>
  <c r="H137" i="1"/>
  <c r="I137" i="1" s="1"/>
  <c r="H138" i="1"/>
  <c r="J138" i="1" s="1"/>
  <c r="H139" i="1"/>
  <c r="I139" i="1" s="1"/>
  <c r="H114" i="1"/>
  <c r="J114" i="1" s="1"/>
  <c r="H115" i="1"/>
  <c r="I115" i="1" s="1"/>
  <c r="H116" i="1"/>
  <c r="J116" i="1" s="1"/>
  <c r="H117" i="1"/>
  <c r="I117" i="1" s="1"/>
  <c r="H118" i="1"/>
  <c r="J118" i="1" s="1"/>
  <c r="H119" i="1"/>
  <c r="I119" i="1" s="1"/>
  <c r="H120" i="1"/>
  <c r="J120" i="1" s="1"/>
  <c r="H121" i="1"/>
  <c r="I121" i="1" s="1"/>
  <c r="H122" i="1"/>
  <c r="J122" i="1" s="1"/>
  <c r="H123" i="1"/>
  <c r="I123" i="1" s="1"/>
  <c r="I109" i="1"/>
  <c r="I111" i="1"/>
  <c r="I113" i="1"/>
  <c r="J97" i="1"/>
  <c r="J101" i="1"/>
  <c r="J105" i="1"/>
  <c r="J96" i="1"/>
  <c r="J108" i="1"/>
  <c r="I97" i="1"/>
  <c r="I99" i="1"/>
  <c r="I101" i="1"/>
  <c r="I103" i="1"/>
  <c r="I105" i="1"/>
  <c r="I107" i="1"/>
  <c r="J89" i="1"/>
  <c r="I89" i="1"/>
  <c r="H53" i="1"/>
  <c r="J53" i="1" s="1"/>
  <c r="H52" i="1"/>
  <c r="J52" i="1" s="1"/>
  <c r="J74" i="1"/>
  <c r="J69" i="1"/>
  <c r="J77" i="1"/>
  <c r="I65" i="1"/>
  <c r="I67" i="1"/>
  <c r="I69" i="1"/>
  <c r="I71" i="1"/>
  <c r="I73" i="1"/>
  <c r="I75" i="1"/>
  <c r="I77" i="1"/>
  <c r="I79" i="1"/>
  <c r="I81" i="1"/>
  <c r="I83" i="1"/>
  <c r="J64" i="1"/>
  <c r="I64" i="1"/>
  <c r="H55" i="1"/>
  <c r="I55" i="1" s="1"/>
  <c r="H56" i="1"/>
  <c r="I56" i="1" s="1"/>
  <c r="H57" i="1"/>
  <c r="I57" i="1" s="1"/>
  <c r="H58" i="1"/>
  <c r="I58" i="1" s="1"/>
  <c r="H59" i="1"/>
  <c r="I59" i="1" s="1"/>
  <c r="H60" i="1"/>
  <c r="I60" i="1" s="1"/>
  <c r="H61" i="1"/>
  <c r="I61" i="1" s="1"/>
  <c r="H62" i="1"/>
  <c r="I62" i="1" s="1"/>
  <c r="H63" i="1"/>
  <c r="I63" i="1" s="1"/>
  <c r="H41" i="1"/>
  <c r="I41" i="1" s="1"/>
  <c r="H42" i="1"/>
  <c r="I42" i="1" s="1"/>
  <c r="H43" i="1"/>
  <c r="J43" i="1" s="1"/>
  <c r="H44" i="1"/>
  <c r="I44" i="1" s="1"/>
  <c r="H141" i="1"/>
  <c r="I141" i="1"/>
  <c r="J141" i="1"/>
  <c r="H142" i="1"/>
  <c r="I142" i="1" s="1"/>
  <c r="H143" i="1"/>
  <c r="I143" i="1" s="1"/>
  <c r="J143" i="1"/>
  <c r="H144" i="1"/>
  <c r="I144" i="1" s="1"/>
  <c r="J144" i="1"/>
  <c r="H145" i="1"/>
  <c r="I145" i="1"/>
  <c r="J145" i="1"/>
  <c r="F45" i="1"/>
  <c r="E45" i="1"/>
  <c r="G45" i="1"/>
  <c r="F40" i="1"/>
  <c r="E40" i="1"/>
  <c r="G40" i="1"/>
  <c r="G38" i="1"/>
  <c r="F38" i="1"/>
  <c r="E38" i="1"/>
  <c r="G37" i="1"/>
  <c r="F37" i="1"/>
  <c r="E37" i="1"/>
  <c r="G36" i="1"/>
  <c r="F36" i="1"/>
  <c r="E36" i="1"/>
  <c r="G35" i="1"/>
  <c r="F35" i="1"/>
  <c r="E35" i="1"/>
  <c r="F34" i="1"/>
  <c r="E34" i="1"/>
  <c r="G34" i="1"/>
  <c r="J90" i="1" l="1"/>
  <c r="J104" i="1"/>
  <c r="J110" i="1"/>
  <c r="I84" i="1"/>
  <c r="I82" i="1"/>
  <c r="I80" i="1"/>
  <c r="I78" i="1"/>
  <c r="I76" i="1"/>
  <c r="I72" i="1"/>
  <c r="I70" i="1"/>
  <c r="I68" i="1"/>
  <c r="I66" i="1"/>
  <c r="I92" i="1"/>
  <c r="I106" i="1"/>
  <c r="I102" i="1"/>
  <c r="I100" i="1"/>
  <c r="I98" i="1"/>
  <c r="I112" i="1"/>
  <c r="I48" i="1"/>
  <c r="I85" i="1"/>
  <c r="J95" i="1"/>
  <c r="J86" i="1"/>
  <c r="I94" i="1"/>
  <c r="I51" i="1"/>
  <c r="I91" i="1"/>
  <c r="I87" i="1"/>
  <c r="I93" i="1"/>
  <c r="I54" i="1"/>
  <c r="I49" i="1"/>
  <c r="I88" i="1"/>
  <c r="I47" i="1"/>
  <c r="I39" i="1"/>
  <c r="I50" i="1"/>
  <c r="I46" i="1"/>
  <c r="H40" i="1"/>
  <c r="I40" i="1" s="1"/>
  <c r="H38" i="1"/>
  <c r="I38" i="1" s="1"/>
  <c r="H36" i="1"/>
  <c r="I36" i="1" s="1"/>
  <c r="H35" i="1"/>
  <c r="J35" i="1" s="1"/>
  <c r="J133" i="1"/>
  <c r="J125" i="1"/>
  <c r="J137" i="1"/>
  <c r="J129" i="1"/>
  <c r="J139" i="1"/>
  <c r="J135" i="1"/>
  <c r="J131" i="1"/>
  <c r="J127" i="1"/>
  <c r="I138" i="1"/>
  <c r="I136" i="1"/>
  <c r="I134" i="1"/>
  <c r="I132" i="1"/>
  <c r="I130" i="1"/>
  <c r="I128" i="1"/>
  <c r="I126" i="1"/>
  <c r="I124" i="1"/>
  <c r="J123" i="1"/>
  <c r="J121" i="1"/>
  <c r="J119" i="1"/>
  <c r="J117" i="1"/>
  <c r="J115" i="1"/>
  <c r="I122" i="1"/>
  <c r="I120" i="1"/>
  <c r="I118" i="1"/>
  <c r="I116" i="1"/>
  <c r="I114" i="1"/>
  <c r="I52" i="1"/>
  <c r="I53" i="1"/>
  <c r="J61" i="1"/>
  <c r="J57" i="1"/>
  <c r="J63" i="1"/>
  <c r="J59" i="1"/>
  <c r="J55" i="1"/>
  <c r="J62" i="1"/>
  <c r="J60" i="1"/>
  <c r="J58" i="1"/>
  <c r="J56" i="1"/>
  <c r="H34" i="1"/>
  <c r="I34" i="1" s="1"/>
  <c r="J142" i="1"/>
  <c r="I43" i="1"/>
  <c r="J41" i="1"/>
  <c r="J44" i="1"/>
  <c r="J42" i="1"/>
  <c r="H37" i="1"/>
  <c r="I37" i="1" s="1"/>
  <c r="H45" i="1"/>
  <c r="I45" i="1" s="1"/>
  <c r="H17" i="1"/>
  <c r="J17" i="1" s="1"/>
  <c r="H18" i="1"/>
  <c r="J18" i="1" s="1"/>
  <c r="I35" i="1" l="1"/>
  <c r="J36" i="1"/>
  <c r="J40" i="1"/>
  <c r="J34" i="1"/>
  <c r="J38" i="1"/>
  <c r="J45" i="1"/>
  <c r="J37" i="1"/>
  <c r="I17" i="1"/>
  <c r="I18" i="1"/>
  <c r="H155" i="1" l="1"/>
  <c r="I155" i="1" l="1"/>
  <c r="J155" i="1"/>
  <c r="F149" i="3"/>
  <c r="E149" i="3"/>
  <c r="E108" i="3"/>
  <c r="E109" i="3"/>
  <c r="E105" i="3"/>
  <c r="E117" i="3" s="1"/>
  <c r="H154" i="3" s="1"/>
  <c r="E106" i="3"/>
  <c r="E107" i="3"/>
  <c r="E110" i="3"/>
  <c r="E111" i="3"/>
  <c r="E112" i="3"/>
  <c r="E113" i="3"/>
  <c r="E114" i="3"/>
  <c r="E115" i="3"/>
  <c r="E116" i="3"/>
  <c r="C149" i="3"/>
  <c r="B149" i="3"/>
  <c r="F119" i="3"/>
  <c r="B119" i="3"/>
  <c r="C119" i="3"/>
  <c r="E119" i="3"/>
  <c r="E8" i="3"/>
  <c r="H14" i="1"/>
  <c r="E9" i="3"/>
  <c r="E10" i="3"/>
  <c r="E14" i="3"/>
  <c r="E13" i="3"/>
  <c r="E15" i="3"/>
  <c r="E16" i="3"/>
  <c r="E18" i="3"/>
  <c r="E17" i="3"/>
  <c r="E11" i="3"/>
  <c r="E12" i="3"/>
  <c r="E19" i="3"/>
  <c r="H157" i="1"/>
  <c r="G37" i="4"/>
  <c r="B37" i="4"/>
  <c r="D37" i="4"/>
  <c r="J12" i="1"/>
  <c r="B117" i="3"/>
  <c r="C117" i="3"/>
  <c r="F144" i="3"/>
  <c r="B144" i="3"/>
  <c r="C144" i="3"/>
  <c r="E144" i="3"/>
  <c r="B20" i="3"/>
  <c r="C20" i="3"/>
  <c r="F124" i="3"/>
  <c r="B124" i="3"/>
  <c r="C124" i="3"/>
  <c r="E124" i="3"/>
  <c r="F129" i="3"/>
  <c r="B129" i="3"/>
  <c r="C129" i="3"/>
  <c r="E129" i="3"/>
  <c r="F134" i="3"/>
  <c r="B134" i="3"/>
  <c r="C134" i="3"/>
  <c r="E134" i="3"/>
  <c r="F139" i="3"/>
  <c r="B139" i="3"/>
  <c r="C139" i="3"/>
  <c r="E139" i="3"/>
  <c r="D117" i="3"/>
  <c r="H156" i="1"/>
  <c r="J156" i="1" s="1"/>
  <c r="H154" i="1"/>
  <c r="J154" i="1" s="1"/>
  <c r="H153" i="1"/>
  <c r="J153" i="1" s="1"/>
  <c r="H152" i="1"/>
  <c r="J152" i="1" s="1"/>
  <c r="H151" i="1"/>
  <c r="J151" i="1" s="1"/>
  <c r="H150" i="1"/>
  <c r="J150" i="1" s="1"/>
  <c r="H148" i="1"/>
  <c r="J148" i="1" s="1"/>
  <c r="H147" i="1"/>
  <c r="H24" i="1"/>
  <c r="J24" i="1" s="1"/>
  <c r="E59" i="3"/>
  <c r="H30" i="1"/>
  <c r="J30" i="1" s="1"/>
  <c r="H29" i="1"/>
  <c r="J29" i="1" s="1"/>
  <c r="H28" i="1"/>
  <c r="H27" i="1"/>
  <c r="J27" i="1" s="1"/>
  <c r="H26" i="1"/>
  <c r="J26" i="1" s="1"/>
  <c r="H25" i="1"/>
  <c r="J25" i="1" s="1"/>
  <c r="H15" i="1"/>
  <c r="J15" i="1" s="1"/>
  <c r="H23" i="1"/>
  <c r="J23" i="1" s="1"/>
  <c r="H22" i="1"/>
  <c r="J22" i="1" s="1"/>
  <c r="H13" i="1"/>
  <c r="J13" i="1" s="1"/>
  <c r="H16" i="1"/>
  <c r="J16" i="1" s="1"/>
  <c r="H19" i="1"/>
  <c r="J19" i="1" s="1"/>
  <c r="H20" i="1"/>
  <c r="J20" i="1" s="1"/>
  <c r="E25" i="3"/>
  <c r="E41" i="3"/>
  <c r="E57" i="3"/>
  <c r="E73" i="3"/>
  <c r="E89" i="3"/>
  <c r="E26" i="3"/>
  <c r="E27" i="3"/>
  <c r="E42" i="3"/>
  <c r="E43" i="3"/>
  <c r="E58" i="3"/>
  <c r="E74" i="3"/>
  <c r="E75" i="3"/>
  <c r="E90" i="3"/>
  <c r="E91" i="3"/>
  <c r="E30" i="3"/>
  <c r="E31" i="3"/>
  <c r="E32" i="3"/>
  <c r="E33" i="3"/>
  <c r="E35" i="3"/>
  <c r="E46" i="3"/>
  <c r="E47" i="3"/>
  <c r="E48" i="3"/>
  <c r="E49" i="3"/>
  <c r="E44" i="3"/>
  <c r="E45" i="3"/>
  <c r="E50" i="3"/>
  <c r="E51" i="3"/>
  <c r="E52" i="3"/>
  <c r="E62" i="3"/>
  <c r="E63" i="3"/>
  <c r="E64" i="3"/>
  <c r="E65" i="3"/>
  <c r="E60" i="3"/>
  <c r="E61" i="3"/>
  <c r="E66" i="3"/>
  <c r="E67" i="3"/>
  <c r="E68" i="3"/>
  <c r="E78" i="3"/>
  <c r="E79" i="3"/>
  <c r="E80" i="3"/>
  <c r="E81" i="3"/>
  <c r="E76" i="3"/>
  <c r="E77" i="3"/>
  <c r="E82" i="3"/>
  <c r="E83" i="3"/>
  <c r="E84" i="3"/>
  <c r="E94" i="3"/>
  <c r="E95" i="3"/>
  <c r="E96" i="3"/>
  <c r="E97" i="3"/>
  <c r="E92" i="3"/>
  <c r="E93" i="3"/>
  <c r="E98" i="3"/>
  <c r="E99" i="3"/>
  <c r="E100" i="3"/>
  <c r="I19" i="1"/>
  <c r="I25" i="1"/>
  <c r="I30" i="1"/>
  <c r="H146" i="1"/>
  <c r="I148" i="1"/>
  <c r="I153" i="1"/>
  <c r="I156" i="1"/>
  <c r="C11" i="5"/>
  <c r="D11" i="5" s="1"/>
  <c r="E11" i="5"/>
  <c r="F11" i="5"/>
  <c r="L4" i="1"/>
  <c r="L3" i="1"/>
  <c r="L2" i="1"/>
  <c r="L1" i="1"/>
  <c r="A4" i="4"/>
  <c r="A5" i="4" s="1"/>
  <c r="A6" i="4" s="1"/>
  <c r="A7" i="4" s="1"/>
  <c r="A8" i="4" s="1"/>
  <c r="A9" i="4" s="1"/>
  <c r="A10" i="4" s="1"/>
  <c r="A11" i="4" s="1"/>
  <c r="A12" i="4" s="1"/>
  <c r="A13" i="4" s="1"/>
  <c r="A14" i="4" s="1"/>
  <c r="A15" i="4" s="1"/>
  <c r="A16" i="4" s="1"/>
  <c r="E28" i="3"/>
  <c r="E29" i="3"/>
  <c r="E34" i="3"/>
  <c r="E36" i="3"/>
  <c r="C101" i="3"/>
  <c r="B101" i="3"/>
  <c r="C85" i="3"/>
  <c r="B85" i="3"/>
  <c r="C69" i="3"/>
  <c r="B69" i="3"/>
  <c r="C53" i="3"/>
  <c r="B53" i="3"/>
  <c r="C37" i="3"/>
  <c r="B37" i="3"/>
  <c r="E85" i="3"/>
  <c r="E33" i="1"/>
  <c r="F33" i="1"/>
  <c r="E32" i="1"/>
  <c r="G32" i="1"/>
  <c r="F32" i="1"/>
  <c r="H140" i="1"/>
  <c r="B122" i="3"/>
  <c r="C152" i="3"/>
  <c r="C131" i="3"/>
  <c r="E123" i="3"/>
  <c r="B123" i="3"/>
  <c r="B153" i="3"/>
  <c r="C137" i="3"/>
  <c r="B133" i="3"/>
  <c r="E142" i="3"/>
  <c r="C147" i="3"/>
  <c r="C123" i="3"/>
  <c r="E150" i="3"/>
  <c r="C151" i="3"/>
  <c r="B132" i="3"/>
  <c r="F21" i="1"/>
  <c r="B146" i="3"/>
  <c r="E131" i="3"/>
  <c r="E151" i="3"/>
  <c r="C122" i="3"/>
  <c r="E128" i="3"/>
  <c r="E141" i="3"/>
  <c r="E145" i="3"/>
  <c r="C142" i="3"/>
  <c r="B147" i="3"/>
  <c r="E149" i="1"/>
  <c r="C120" i="3"/>
  <c r="B135" i="3"/>
  <c r="B150" i="3"/>
  <c r="C143" i="3"/>
  <c r="B36" i="4"/>
  <c r="C153" i="3"/>
  <c r="C135" i="3"/>
  <c r="E125" i="3"/>
  <c r="C36" i="4"/>
  <c r="C141" i="3"/>
  <c r="E153" i="3"/>
  <c r="E21" i="1"/>
  <c r="B140" i="3"/>
  <c r="B121" i="3"/>
  <c r="E127" i="3"/>
  <c r="B131" i="3"/>
  <c r="E148" i="3"/>
  <c r="C138" i="3"/>
  <c r="E133" i="3"/>
  <c r="E152" i="3"/>
  <c r="F31" i="1"/>
  <c r="E130" i="3"/>
  <c r="E132" i="3"/>
  <c r="E138" i="3"/>
  <c r="C133" i="3"/>
  <c r="E31" i="1"/>
  <c r="B141" i="3"/>
  <c r="B138" i="3"/>
  <c r="C146" i="3"/>
  <c r="E140" i="3"/>
  <c r="E121" i="3"/>
  <c r="C148" i="3"/>
  <c r="F11" i="1"/>
  <c r="C130" i="3"/>
  <c r="H11" i="1"/>
  <c r="C125" i="3"/>
  <c r="B137" i="3"/>
  <c r="E136" i="3"/>
  <c r="C140" i="3"/>
  <c r="B136" i="3"/>
  <c r="B130" i="3"/>
  <c r="B152" i="3"/>
  <c r="E135" i="3"/>
  <c r="E143" i="3"/>
  <c r="F149" i="1"/>
  <c r="H21" i="1"/>
  <c r="E137" i="3"/>
  <c r="H149" i="1"/>
  <c r="B128" i="3"/>
  <c r="C132" i="3"/>
  <c r="C145" i="3"/>
  <c r="B148" i="3"/>
  <c r="C127" i="3"/>
  <c r="B145" i="3"/>
  <c r="E11" i="1"/>
  <c r="E101" i="3" l="1"/>
  <c r="D101" i="3" s="1"/>
  <c r="I154" i="1"/>
  <c r="E154" i="3"/>
  <c r="D85" i="3"/>
  <c r="E69" i="3"/>
  <c r="D154" i="3" s="1"/>
  <c r="E53" i="3"/>
  <c r="C154" i="3" s="1"/>
  <c r="E37" i="3"/>
  <c r="D37" i="3" s="1"/>
  <c r="E20" i="3"/>
  <c r="D20" i="3" s="1"/>
  <c r="J146" i="1"/>
  <c r="I146" i="1"/>
  <c r="I150" i="1"/>
  <c r="I28" i="1"/>
  <c r="J28" i="1"/>
  <c r="I157" i="1"/>
  <c r="J157" i="1"/>
  <c r="I23" i="1"/>
  <c r="I16" i="1"/>
  <c r="I147" i="1"/>
  <c r="J147" i="1"/>
  <c r="H33" i="1"/>
  <c r="J33" i="1" s="1"/>
  <c r="H32" i="1"/>
  <c r="J32" i="1" s="1"/>
  <c r="I26" i="1"/>
  <c r="I22" i="1"/>
  <c r="I24" i="1"/>
  <c r="I14" i="1"/>
  <c r="J14" i="1"/>
  <c r="I13" i="1"/>
  <c r="I151" i="1"/>
  <c r="I12" i="1"/>
  <c r="I152" i="1"/>
  <c r="A17" i="4"/>
  <c r="I29" i="1"/>
  <c r="I15" i="1"/>
  <c r="I27" i="1"/>
  <c r="I20" i="1"/>
  <c r="F153" i="3"/>
  <c r="H159" i="3" s="1"/>
  <c r="F137" i="3"/>
  <c r="F152" i="3"/>
  <c r="H158" i="3" s="1"/>
  <c r="F132" i="3"/>
  <c r="F141" i="3"/>
  <c r="F131" i="3"/>
  <c r="F145" i="3"/>
  <c r="F140" i="3"/>
  <c r="F156" i="3" s="1"/>
  <c r="F135" i="3"/>
  <c r="F130" i="3"/>
  <c r="F148" i="3"/>
  <c r="F138" i="3"/>
  <c r="F133" i="3"/>
  <c r="F123" i="3"/>
  <c r="D36" i="4"/>
  <c r="E36" i="4"/>
  <c r="I140" i="1"/>
  <c r="E122" i="3"/>
  <c r="B142" i="3"/>
  <c r="C44" i="4"/>
  <c r="C38" i="4"/>
  <c r="E120" i="3"/>
  <c r="E126" i="3"/>
  <c r="B127" i="3"/>
  <c r="C126" i="3"/>
  <c r="B151" i="3"/>
  <c r="B143" i="3"/>
  <c r="C43" i="4"/>
  <c r="B120" i="3"/>
  <c r="I149" i="1"/>
  <c r="H31" i="1"/>
  <c r="B126" i="3"/>
  <c r="B125" i="3"/>
  <c r="C40" i="4"/>
  <c r="I11" i="1"/>
  <c r="C42" i="4"/>
  <c r="C121" i="3"/>
  <c r="C128" i="3"/>
  <c r="I21" i="1"/>
  <c r="C136" i="3"/>
  <c r="E146" i="3"/>
  <c r="C39" i="4"/>
  <c r="E147" i="3"/>
  <c r="C150" i="3"/>
  <c r="F158" i="1"/>
  <c r="E158" i="1"/>
  <c r="L158" i="1" a="1"/>
  <c r="F154" i="3" l="1"/>
  <c r="G159" i="3" s="1"/>
  <c r="F157" i="3"/>
  <c r="D69" i="3"/>
  <c r="E156" i="3"/>
  <c r="E159" i="3"/>
  <c r="E158" i="3"/>
  <c r="D53" i="3"/>
  <c r="D156" i="3"/>
  <c r="D159" i="3"/>
  <c r="D157" i="3"/>
  <c r="D158" i="3"/>
  <c r="B154" i="3"/>
  <c r="I32" i="1"/>
  <c r="G154" i="3"/>
  <c r="I33" i="1"/>
  <c r="F150" i="3"/>
  <c r="H156" i="3" s="1"/>
  <c r="F120" i="3"/>
  <c r="F147" i="3"/>
  <c r="D43" i="4"/>
  <c r="F51" i="4" s="1"/>
  <c r="F143" i="3"/>
  <c r="F159" i="3" s="1"/>
  <c r="F146" i="3"/>
  <c r="G157" i="3" s="1"/>
  <c r="F151" i="3"/>
  <c r="H157" i="3" s="1"/>
  <c r="F136" i="3"/>
  <c r="E157" i="3" s="1"/>
  <c r="F127" i="3"/>
  <c r="B158" i="3" s="1"/>
  <c r="F128" i="3"/>
  <c r="F121" i="3"/>
  <c r="B157" i="3" s="1"/>
  <c r="F142" i="3"/>
  <c r="F158" i="3" s="1"/>
  <c r="F125" i="3"/>
  <c r="C156" i="3" s="1"/>
  <c r="F122" i="3"/>
  <c r="F126" i="3"/>
  <c r="C157" i="3" s="1"/>
  <c r="L158" i="1"/>
  <c r="L159" i="1" s="1"/>
  <c r="A18" i="4"/>
  <c r="A19" i="4" s="1"/>
  <c r="A20" i="4" s="1"/>
  <c r="A21" i="4" s="1"/>
  <c r="A22" i="4" s="1"/>
  <c r="A23" i="4" s="1"/>
  <c r="A24" i="4" s="1"/>
  <c r="A25" i="4" s="1"/>
  <c r="A26" i="4" s="1"/>
  <c r="A27" i="4" s="1"/>
  <c r="A28" i="4" s="1"/>
  <c r="A29" i="4" s="1"/>
  <c r="A30" i="4" s="1"/>
  <c r="A31" i="4" s="1"/>
  <c r="A32" i="4" s="1"/>
  <c r="A33" i="4" s="1"/>
  <c r="A34" i="4" s="1"/>
  <c r="A35" i="4" s="1"/>
  <c r="D38" i="4"/>
  <c r="D44" i="4"/>
  <c r="F52" i="4" s="1"/>
  <c r="H158" i="1"/>
  <c r="C41" i="4"/>
  <c r="I31" i="1"/>
  <c r="I158" i="1"/>
  <c r="E164" i="1"/>
  <c r="B39" i="4"/>
  <c r="B41" i="4"/>
  <c r="E165" i="1"/>
  <c r="E166" i="1"/>
  <c r="G156" i="3" l="1"/>
  <c r="G158" i="3"/>
  <c r="B159" i="3"/>
  <c r="C159" i="3"/>
  <c r="B156" i="3"/>
  <c r="C158" i="3"/>
  <c r="E162" i="1"/>
  <c r="G51" i="4"/>
  <c r="I51" i="4" s="1"/>
  <c r="E161" i="1"/>
  <c r="G46" i="4"/>
  <c r="I46" i="4" s="1"/>
  <c r="L161" i="1"/>
  <c r="F46" i="4"/>
  <c r="G52" i="4"/>
  <c r="I52" i="4" s="1"/>
  <c r="L160" i="1"/>
  <c r="L162" i="1"/>
  <c r="D41" i="4"/>
  <c r="D39" i="4"/>
  <c r="E163" i="1"/>
  <c r="B40" i="4"/>
  <c r="B42" i="4"/>
  <c r="D42" i="4" l="1"/>
  <c r="F50" i="4" s="1"/>
  <c r="D40" i="4"/>
  <c r="F48" i="4" s="1"/>
  <c r="F47" i="4"/>
  <c r="G47" i="4"/>
  <c r="I47" i="4" s="1"/>
  <c r="G49" i="4"/>
  <c r="I49" i="4" s="1"/>
  <c r="F49" i="4"/>
  <c r="G50" i="4" l="1"/>
  <c r="I50" i="4" s="1"/>
  <c r="G48" i="4"/>
  <c r="I48" i="4" s="1"/>
</calcChain>
</file>

<file path=xl/sharedStrings.xml><?xml version="1.0" encoding="utf-8"?>
<sst xmlns="http://schemas.openxmlformats.org/spreadsheetml/2006/main" count="820" uniqueCount="419">
  <si>
    <t>#</t>
  </si>
  <si>
    <t>PERT</t>
  </si>
  <si>
    <t>Product vision development</t>
  </si>
  <si>
    <t>Test strategy planning</t>
  </si>
  <si>
    <t>Development environment setup</t>
  </si>
  <si>
    <t>Testing environment setup</t>
  </si>
  <si>
    <t>Staging environment setup</t>
  </si>
  <si>
    <t>Installation package preparation</t>
  </si>
  <si>
    <t>Deployment to staging environment</t>
  </si>
  <si>
    <t>Deployment to production environment</t>
  </si>
  <si>
    <t>Acceptance testing support</t>
  </si>
  <si>
    <t>Configuration management</t>
  </si>
  <si>
    <t>Project management and communication</t>
  </si>
  <si>
    <t>Regression testing</t>
  </si>
  <si>
    <t>Release stabilization</t>
  </si>
  <si>
    <t>Includes regression testing efforts at the end of each sprint, including the release stabilization sprint</t>
  </si>
  <si>
    <t>SUMMARY:</t>
  </si>
  <si>
    <t>Project Duration</t>
  </si>
  <si>
    <t>TBD</t>
  </si>
  <si>
    <t>Programmers</t>
  </si>
  <si>
    <t>QA</t>
  </si>
  <si>
    <t>XX - YY business days</t>
  </si>
  <si>
    <t>Project Work Range</t>
  </si>
  <si>
    <t>Test case design</t>
  </si>
  <si>
    <t>Test data creation</t>
  </si>
  <si>
    <t>Requirements analysis and clarification</t>
  </si>
  <si>
    <t>Development</t>
  </si>
  <si>
    <t>Unit testing</t>
  </si>
  <si>
    <t>Peer code review</t>
  </si>
  <si>
    <t>Functional testing</t>
  </si>
  <si>
    <t>Defect correction</t>
  </si>
  <si>
    <t>Defect verification</t>
  </si>
  <si>
    <t>TOTAL</t>
  </si>
  <si>
    <t>User experience concept design</t>
  </si>
  <si>
    <t xml:space="preserve">The estimated duration in months is at least </t>
  </si>
  <si>
    <t>The estimators followed a structured process to estimate and describe the extent
of reuse, primarily by adopting 3rd party libraries. The measures of reuse distinguish between code that will be modified and code that will be integrated as-is.</t>
  </si>
  <si>
    <t>Project manager</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</si>
  <si>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</si>
  <si>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</si>
  <si>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</si>
  <si>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</si>
  <si>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</si>
  <si>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</si>
  <si>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</si>
  <si>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</si>
  <si>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</si>
  <si>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</si>
  <si>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</si>
  <si>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</si>
  <si>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</si>
  <si>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</si>
  <si>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</si>
  <si>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</si>
  <si>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</si>
  <si>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</si>
  <si>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</si>
  <si>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</si>
  <si>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</si>
  <si>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</si>
  <si>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</si>
  <si>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</si>
  <si>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</si>
  <si>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All the members of the estimation team have sufficient understanding of the project scope to meet the set forth estimation objectives. All open questions are specified as reasonable assumptions and/or accounted for as potential risks.</t>
  </si>
  <si>
    <t>GRAND TOTAL</t>
  </si>
  <si>
    <t>PRELIMINARY PROJECT ESTIMATE</t>
  </si>
  <si>
    <t>DESCRIPTION</t>
  </si>
  <si>
    <t>OPTIMISTIC</t>
  </si>
  <si>
    <t>MOST LIKELY</t>
  </si>
  <si>
    <t>BUFFER</t>
  </si>
  <si>
    <t>PESSIMISTIC</t>
  </si>
  <si>
    <t>COMMENTS</t>
  </si>
  <si>
    <t>"ITERATION ZERO"</t>
  </si>
  <si>
    <t>CONSTRUCTION</t>
  </si>
  <si>
    <t>STABILIZATION AND DELIVERY</t>
  </si>
  <si>
    <t>MANAGEMENT AND COMMUNICATION</t>
  </si>
  <si>
    <t>SIZE</t>
  </si>
  <si>
    <t>NOTE:</t>
  </si>
  <si>
    <t>ESTIMATED EFFORTS PER FEATURE SIZE: BOTTOM-UP APPROACH</t>
  </si>
  <si>
    <t>INSTRUCTIONS</t>
  </si>
  <si>
    <r>
      <t xml:space="preserve">This worksheet assumes proxy-based estimation based on the T-Shirt Sizes technique and contains a boilerplate WBS for each feature size. You need to pick a "reference" feature for each size and fill out the corresponding WBS section with effort estimates in man-hours (calibrated historical data are preferred, if available). </t>
    </r>
    <r>
      <rPr>
        <b/>
        <sz val="9"/>
        <color theme="1"/>
        <rFont val="Arial"/>
        <family val="2"/>
        <charset val="204"/>
      </rPr>
      <t>DO NOT</t>
    </r>
    <r>
      <rPr>
        <sz val="9"/>
        <color theme="1"/>
        <rFont val="Arial"/>
        <family val="2"/>
        <charset val="204"/>
      </rPr>
      <t xml:space="preserve"> round up these granular estimates to prevent "bloating" of the total figures, use of small fractions is OK here.
Once you complete your entry for a specific size, subtotals for the minimum, maximum and most likely values for this feature size become available in the Summary section below. You can then pick a feature size in the in-cell drop-down next to a feature line item on the Estimate worksheet and have the Optimistic, Most Likely, Buffer and Pessimistic values populated automatically.
</t>
    </r>
    <r>
      <rPr>
        <b/>
        <sz val="9"/>
        <color theme="1"/>
        <rFont val="Arial"/>
        <family val="2"/>
        <charset val="204"/>
      </rPr>
      <t>Make sure to adjust the WBS to fit the project specifics and the established DONE-DONE criteria.</t>
    </r>
  </si>
  <si>
    <t>TASK</t>
  </si>
  <si>
    <r>
      <t xml:space="preserve">The values in the "Optimistic" column do really represent the </t>
    </r>
    <r>
      <rPr>
        <b/>
        <sz val="9"/>
        <color theme="1"/>
        <rFont val="Arial"/>
        <family val="2"/>
        <charset val="204"/>
      </rPr>
      <t>best "sunny day"</t>
    </r>
    <r>
      <rPr>
        <sz val="9"/>
        <color theme="1"/>
        <rFont val="Arial"/>
        <family val="2"/>
        <charset val="204"/>
      </rPr>
      <t xml:space="preserve"> scenario. The values in the "Most Likely" column represent the </t>
    </r>
    <r>
      <rPr>
        <b/>
        <sz val="9"/>
        <color theme="1"/>
        <rFont val="Arial"/>
        <family val="2"/>
        <charset val="204"/>
      </rPr>
      <t>realistic</t>
    </r>
    <r>
      <rPr>
        <sz val="9"/>
        <color theme="1"/>
        <rFont val="Arial"/>
        <family val="2"/>
        <charset val="204"/>
      </rPr>
      <t xml:space="preserve"> scenario. The buffer percentage is used to calculate allowance for mitigating perceived risks.</t>
    </r>
  </si>
  <si>
    <t>The estimate objectives are known and clear to the estimation team.</t>
  </si>
  <si>
    <t>Operating systems, technology and programming language(s) have been clearly defined.</t>
  </si>
  <si>
    <t>A summary or list of significant deliverables (software and documentation) produced by the project has been defined.</t>
  </si>
  <si>
    <t>The estimation process was free from pressure that would bias the results.</t>
  </si>
  <si>
    <t>The estimators followed a structured process to estimate the software product.</t>
  </si>
  <si>
    <t>Chosen estimation techniques are applicable to the current stage of the project.</t>
  </si>
  <si>
    <t>Techniques based on counting and computation were given priority over expert judgment where possible.</t>
  </si>
  <si>
    <t>People who are going to do the work have been involved in creating the estimate (provided this was at all possible).</t>
  </si>
  <si>
    <t>Only the inputs to the estimate were negotiated, but not the outputs or the estimation process.</t>
  </si>
  <si>
    <t>The estimation team considered data from similar past projects , and adjustments were made when required to reflect the specifics of the software product being estimated.</t>
  </si>
  <si>
    <t>The estimate is double-checked for full traceability to the scope of the project.</t>
  </si>
  <si>
    <t>The estimate is double-checked for inclusion of all necessary software development activities prescribed by the applicable SDLC, not just coding and testing.</t>
  </si>
  <si>
    <t>Efforts such as QA, graphics design etc. have been estimated by experts in the respective functions.</t>
  </si>
  <si>
    <t>The estimate includes all involved hardware and software licensing costs or stares that such costs are not included.</t>
  </si>
  <si>
    <t>Project management efforts have been validated against the expected project duration.</t>
  </si>
  <si>
    <t>The estimate includes all involved travel costs or states that such costs are not included.</t>
  </si>
  <si>
    <t>The estimate includes efforts for project domain-specific trainings.</t>
  </si>
  <si>
    <r>
      <t xml:space="preserve">The estimate does </t>
    </r>
    <r>
      <rPr>
        <b/>
        <sz val="9"/>
        <color theme="1"/>
        <rFont val="Arial"/>
        <family val="2"/>
        <charset val="204"/>
      </rPr>
      <t>NOT</t>
    </r>
    <r>
      <rPr>
        <sz val="9"/>
        <color theme="1"/>
        <rFont val="Arial"/>
        <family val="2"/>
        <charset val="204"/>
      </rPr>
      <t xml:space="preserve"> include efforts for technology trainings.</t>
    </r>
  </si>
  <si>
    <t>The estimate's accuracy is achievable given the current stage of the project according to "The Cone of Uncertainty".</t>
  </si>
  <si>
    <t>The estimate is expressed as a range with precision that matches its accuracy.</t>
  </si>
  <si>
    <t>The productivity factor underlying the estimate is comparable to productivity actually experienced on past projects of similar sizes. If past productivity is unknown, an average developer's productivity is assumed.</t>
  </si>
  <si>
    <t>The estimate includes a nonzero allowance for the impact that project risks will have on effort and schedule.</t>
  </si>
  <si>
    <t>All assumptions made in support of the estimate are identified, documented, and explained.</t>
  </si>
  <si>
    <t>The estimate has been reviewed by an independent expert who did not participate in creating the estimate.</t>
  </si>
  <si>
    <t>No commitments are made until the estimate accuracy is sufficiently narrow (± 20%).</t>
  </si>
  <si>
    <t>ITEM</t>
  </si>
  <si>
    <t>THE CHECKLIST</t>
  </si>
  <si>
    <t>This estimate is based on our understanding of the requirements at this time and is subject to change if something new is learned during the course of this project, in particular upon the completion of the Requirements, Analysis and Design activities.</t>
  </si>
  <si>
    <t>Expected Project Work (50% Confidence)</t>
  </si>
  <si>
    <t>95% Confidence Range</t>
  </si>
  <si>
    <t>99.9% Confidence Range</t>
  </si>
  <si>
    <t>Confidence in the Entire Range</t>
  </si>
  <si>
    <t>90% Confidence Range</t>
  </si>
  <si>
    <t>R</t>
  </si>
  <si>
    <t>D</t>
  </si>
  <si>
    <t>T</t>
  </si>
  <si>
    <t>C</t>
  </si>
  <si>
    <t>I</t>
  </si>
  <si>
    <t>XS_Requirements</t>
  </si>
  <si>
    <t>XS_Design</t>
  </si>
  <si>
    <t>XS_Construction</t>
  </si>
  <si>
    <t>XS_Test</t>
  </si>
  <si>
    <t>S_Requirements</t>
  </si>
  <si>
    <t>S_Design</t>
  </si>
  <si>
    <t>S_Construction</t>
  </si>
  <si>
    <t>S_Test</t>
  </si>
  <si>
    <t>XS_CellRefs</t>
  </si>
  <si>
    <t>S_CellRefs</t>
  </si>
  <si>
    <t>M_Requirements</t>
  </si>
  <si>
    <t>M_Design</t>
  </si>
  <si>
    <t>M_Construction</t>
  </si>
  <si>
    <t>M_Test</t>
  </si>
  <si>
    <t>M_CellRefs</t>
  </si>
  <si>
    <t>L_CellRefs</t>
  </si>
  <si>
    <t>L_Requirements</t>
  </si>
  <si>
    <t>L_Design</t>
  </si>
  <si>
    <t>L_Construction</t>
  </si>
  <si>
    <t>L_Test</t>
  </si>
  <si>
    <t>XL_CellRefs</t>
  </si>
  <si>
    <t>XL_Requirements</t>
  </si>
  <si>
    <t>XL_Design</t>
  </si>
  <si>
    <t>XL_Construction</t>
  </si>
  <si>
    <t>XL_Test</t>
  </si>
  <si>
    <t>ACTIVITY EFFORT BREAKDOWN</t>
  </si>
  <si>
    <t>Design</t>
  </si>
  <si>
    <t>Management</t>
  </si>
  <si>
    <t>The actual effort breakdown percentage corresponds to the expected one for given application size and type.</t>
  </si>
  <si>
    <t>Business Systems</t>
  </si>
  <si>
    <t>Internal Intranet Systems</t>
  </si>
  <si>
    <t>Embedded Systems</t>
  </si>
  <si>
    <t>Telecommunications</t>
  </si>
  <si>
    <t>Device Drivers</t>
  </si>
  <si>
    <t>Systems Software</t>
  </si>
  <si>
    <t>Shrink-Wrap</t>
  </si>
  <si>
    <t>Scientific Systems</t>
  </si>
  <si>
    <t>Engineering Systems</t>
  </si>
  <si>
    <t>Public Internet Systems</t>
  </si>
  <si>
    <t>Ballpark project size, KSLOC:</t>
  </si>
  <si>
    <t>PROJECT PARAMETERS ENTRY</t>
  </si>
  <si>
    <t>Choose the best matching project type:</t>
  </si>
  <si>
    <t>Adjusting for:</t>
  </si>
  <si>
    <t>Advanced multi-site surveys application (MLR)</t>
  </si>
  <si>
    <t>Automated document archival solution (LTA)</t>
  </si>
  <si>
    <t>Simple data/format conversion solution (FSR)</t>
  </si>
  <si>
    <t>Web portal integrated with internal business system (PWP)</t>
  </si>
  <si>
    <t>DIFF</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</si>
  <si>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</si>
  <si>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</si>
  <si>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</si>
  <si>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</si>
  <si>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</si>
  <si>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</si>
  <si>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</si>
  <si>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</si>
  <si>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Middle- and low-level technical design</t>
  </si>
  <si>
    <t>Peer technical design review</t>
  </si>
  <si>
    <t>Highly customizable BI solution with interactive GUI (ACE)</t>
  </si>
  <si>
    <t>Yes</t>
  </si>
  <si>
    <t>No</t>
  </si>
  <si>
    <t>YES/NO</t>
  </si>
  <si>
    <t>The "Revision History" worksheet has been removed unless it contains the revision history of the estimate template itself.</t>
  </si>
  <si>
    <t>COMMITTABLE CONFIDENCE:</t>
  </si>
  <si>
    <t>Graphics design</t>
  </si>
  <si>
    <t>User interface testing</t>
  </si>
  <si>
    <t>Make sure to include time required not only to set up developers' workstations, but also for setting up any development server(s) and CI environment(s).</t>
  </si>
  <si>
    <t>Estimate effort required to carry out the standard CM activities (identification, control, status accounting and audits) at the level of formality appropriate for the project</t>
  </si>
  <si>
    <t>PIECE OF CAKE (XXS)</t>
  </si>
  <si>
    <t>AVERAGE (S)</t>
  </si>
  <si>
    <t>HARD (M)</t>
  </si>
  <si>
    <t>VERY DIFFICULT (L)</t>
  </si>
  <si>
    <t>EXTREME, BUT KNOWN (XL)</t>
  </si>
  <si>
    <t>EASY (XS)</t>
  </si>
  <si>
    <t>EXTREME AND UNKNOWN (XXL)</t>
  </si>
  <si>
    <t>XXS_CellRefs</t>
  </si>
  <si>
    <t>XXS_Requirements</t>
  </si>
  <si>
    <t>XXS_Design</t>
  </si>
  <si>
    <t>XXS_Construction</t>
  </si>
  <si>
    <t>XXS_Test</t>
  </si>
  <si>
    <t>XXS</t>
  </si>
  <si>
    <t>XXL_CellRefs</t>
  </si>
  <si>
    <t>XXL_Requirements</t>
  </si>
  <si>
    <t>XXL_Design</t>
  </si>
  <si>
    <t>XXL_Construction</t>
  </si>
  <si>
    <t>XXL_Test</t>
  </si>
  <si>
    <t>XXL</t>
  </si>
  <si>
    <t>P</t>
  </si>
  <si>
    <t>B</t>
  </si>
  <si>
    <t>Project-specific trainings for the project team</t>
  </si>
  <si>
    <t>Specify</t>
  </si>
  <si>
    <t>Testing by developer</t>
  </si>
  <si>
    <t>Build</t>
  </si>
  <si>
    <t>Test</t>
  </si>
  <si>
    <t>Plan</t>
  </si>
  <si>
    <t>Implement</t>
  </si>
  <si>
    <t>ACTUAL EFFORT BREAKDOWN</t>
  </si>
  <si>
    <t>MAN-HRS</t>
  </si>
  <si>
    <t>ACTUAL %</t>
  </si>
  <si>
    <t>EXPECTED %</t>
  </si>
  <si>
    <t>Project close-out</t>
  </si>
  <si>
    <t>Efforts required to finalize the project, write the project close-out report, hold a project retrospective/lessons learned meeting etc.</t>
  </si>
  <si>
    <t>N/A</t>
  </si>
  <si>
    <t>PLEASE PROVIDE COMMENTS FOR EVERY "NO" AND "N/A"</t>
  </si>
  <si>
    <t>XXL_Min</t>
  </si>
  <si>
    <t>XXL_Likely</t>
  </si>
  <si>
    <t>XXL_Buffer</t>
  </si>
  <si>
    <t>XXL_Max</t>
  </si>
  <si>
    <t>XXS_Min</t>
  </si>
  <si>
    <t>XXS_Likely</t>
  </si>
  <si>
    <t>XXS_Buffer</t>
  </si>
  <si>
    <t>XXS_Max</t>
  </si>
  <si>
    <r>
      <t xml:space="preserve">Assumes </t>
    </r>
    <r>
      <rPr>
        <b/>
        <sz val="10"/>
        <color theme="1"/>
        <rFont val="Arial"/>
        <family val="2"/>
        <charset val="204"/>
      </rPr>
      <t>manual</t>
    </r>
    <r>
      <rPr>
        <sz val="10"/>
        <color theme="1"/>
        <rFont val="Arial"/>
        <family val="2"/>
        <charset val="204"/>
      </rPr>
      <t xml:space="preserve"> assembly of the installation package, preparation of the installation instructions, and testing of the prepared package. In case when an automated installer is needed, remove this line item and estimate the installer as yet another feature in the "Construction" section.</t>
    </r>
  </si>
  <si>
    <t>PRE-STUDY / PREPARING COMMITTABLE PLAN</t>
  </si>
  <si>
    <t>Product requirements workshops</t>
  </si>
  <si>
    <t>Effort for creation of a brief vision statement: what business problem the product is going to solve, who will benefit from using the product etc.</t>
  </si>
  <si>
    <t>Product requirements specification and approval</t>
  </si>
  <si>
    <t>Management and communication during pre-study</t>
  </si>
  <si>
    <t>Project estimation and planning</t>
  </si>
  <si>
    <t>User interface prototyping workshops</t>
  </si>
  <si>
    <t>Iteration demos</t>
  </si>
  <si>
    <t>Product requirements clarifications and updates</t>
  </si>
  <si>
    <t>Iteration planning meetings</t>
  </si>
  <si>
    <t>Iteration retrospective meetings</t>
  </si>
  <si>
    <t>Change management</t>
  </si>
  <si>
    <t>Include efforts for change request analysis, impact analysis, estimation and communication with the customer related to change requests.</t>
  </si>
  <si>
    <r>
      <t xml:space="preserve">Include all PM and Team Lead's efforts here </t>
    </r>
    <r>
      <rPr>
        <b/>
        <sz val="9"/>
        <color theme="1"/>
        <rFont val="Arial"/>
        <family val="2"/>
        <charset val="204"/>
      </rPr>
      <t>except</t>
    </r>
    <r>
      <rPr>
        <sz val="9"/>
        <color theme="1"/>
        <rFont val="Arial"/>
        <family val="2"/>
        <charset val="204"/>
      </rPr>
      <t xml:space="preserve"> for management and communication efforts spent during the pre-study phase.</t>
    </r>
  </si>
  <si>
    <t>Technical supervision / review efforts have been added to the estimate of every task where they are required and can be "sold" to the customer.</t>
  </si>
  <si>
    <t>Activities aimed at preparing a committable estimate, schedule and Project Management Plan</t>
  </si>
  <si>
    <t>Drafting software architecture</t>
  </si>
  <si>
    <t>High-level architecture and system design</t>
  </si>
  <si>
    <t>Include all efforts to be spent on requirements clarification, elaborating details, updating requirements specifications, and on requirements-related communications with the customer here</t>
  </si>
  <si>
    <t>Daily progress &amp; status meetings</t>
  </si>
  <si>
    <t>I requested usability requirements and standards from the customer and added corresponding usability analysis, study and testing effort to the estimate. The effort was estimated by a Company's usability expert.</t>
  </si>
  <si>
    <r>
      <t xml:space="preserve">This line includes efforts </t>
    </r>
    <r>
      <rPr>
        <b/>
        <sz val="9"/>
        <color theme="9" tint="-0.249977111117893"/>
        <rFont val="Arial"/>
        <family val="2"/>
        <charset val="204"/>
      </rPr>
      <t>only</t>
    </r>
    <r>
      <rPr>
        <sz val="9"/>
        <color theme="9" tint="-0.249977111117893"/>
        <rFont val="Arial"/>
        <family val="2"/>
        <charset val="204"/>
      </rPr>
      <t xml:space="preserve"> for fixing a small amount of outstanding low-priority defects and "last minute" defects found during the final round(s) of regression testing. Effort for all other defect correction work must be included into Section 3.</t>
    </r>
  </si>
  <si>
    <r>
      <rPr>
        <b/>
        <sz val="9"/>
        <color theme="1"/>
        <rFont val="Arial"/>
        <family val="2"/>
        <charset val="204"/>
      </rPr>
      <t>REVIEWED BY</t>
    </r>
    <r>
      <rPr>
        <sz val="9"/>
        <color theme="1"/>
        <rFont val="Arial"/>
        <family val="2"/>
        <charset val="204"/>
      </rPr>
      <t>: &lt;Name - Position&gt;</t>
    </r>
  </si>
  <si>
    <t>News from my communities (new album shared)
Invitation accept notifications (events, communities)</t>
  </si>
  <si>
    <t>Dashboad new actions</t>
  </si>
  <si>
    <t>User name "Welcome message" customizable from back-office</t>
  </si>
  <si>
    <t>Add contacts</t>
  </si>
  <si>
    <t xml:space="preserve">Full (Gmail, yahoo, hotmail, manual) / invitation process to become "Friend" + When you write an email address it put it as tag bellow the input field (like gmail), then you can add another email address in empty field again and so on. </t>
  </si>
  <si>
    <t>Add to group</t>
  </si>
  <si>
    <t>End Friend a relation (Remove a friend)</t>
  </si>
  <si>
    <t>View groups (Multi-pages mgt)</t>
  </si>
  <si>
    <t>Add a group</t>
  </si>
  <si>
    <t>Delete a group</t>
  </si>
  <si>
    <t>Modify a group</t>
  </si>
  <si>
    <t>Rename a group</t>
  </si>
  <si>
    <t>Uploads in background</t>
  </si>
  <si>
    <t>Make uploads in background, so that if user is uploading many pictures, he can do other things in parallel</t>
  </si>
  <si>
    <t>My subscription promotional popup</t>
  </si>
  <si>
    <t>Offering and Pricelist integration via Back-office</t>
  </si>
  <si>
    <t>My subscription Status (Service/Expiration date/Management)</t>
  </si>
  <si>
    <t>My invoices</t>
  </si>
  <si>
    <t>Subscription / Online payment / Online invoice</t>
  </si>
  <si>
    <t>Settings: Friends Comments</t>
  </si>
  <si>
    <t>Enhanced Middle-Footer Marketing page back-office creation</t>
  </si>
  <si>
    <t>Enhance Middle-footer to create different Framed-in Marketing pages in the back-office and call them from the Middle-Footer configuration. Have the capability in Framed-in Page to create a button with a name and a link (ex: Try for Free LINKAVIE Enterprise)</t>
  </si>
  <si>
    <t>Tags management</t>
  </si>
  <si>
    <t>Tags and SEARCH on tags (Wikipedia like) of contents based on tags + Tag management on Pictures, documents, videos (Vault), page, chapters, albums</t>
  </si>
  <si>
    <t>Search a group</t>
  </si>
  <si>
    <t>Video Vault</t>
  </si>
  <si>
    <t>Videos implementation, max video size accepted for upload 2GB, with sharing settings, (include item description edit) with view filtering + Add video block to Digital Album (Video from vault or youtube video with thumbnail with short description)</t>
  </si>
  <si>
    <t>Documents Vault</t>
  </si>
  <si>
    <t>Documents implementation, including item description edit, sharing settings, (seperated from Multimedia vault) with subfolders tags / Filter show per date or name + Add documents to Digital album document blocks</t>
  </si>
  <si>
    <t>Vault reorganization (custom view) + Vault views</t>
  </si>
  <si>
    <t>Be able to move (draging with mouse to other position) a selection of pictures (resp videos) to have a new organization than the default one (Custom view) / Manage different views by Tags, date ascending, descending (default), name, customized</t>
  </si>
  <si>
    <t>Videos blocks integration into pages</t>
  </si>
  <si>
    <t>Documents block integration</t>
  </si>
  <si>
    <t>5 Additional themes for Digital albums =&gt; 8 same themes (3 from alpha 2 + 5 new ones) for Printable books</t>
  </si>
  <si>
    <t>A Community manager is able to define/import its own templates themes for his community. Quick guideline to provide</t>
  </si>
  <si>
    <t>Delete an album</t>
  </si>
  <si>
    <t>Add/delete comments</t>
  </si>
  <si>
    <t>Text block enhancement</t>
  </si>
  <si>
    <t>Smart integration text/picture + text/image links, other page links etc..</t>
  </si>
  <si>
    <t>Synchronize a Friend page/chapter or entire album</t>
  </si>
  <si>
    <t xml:space="preserve">Friend to Friend page/chapter replication or entire album replication </t>
  </si>
  <si>
    <t>Share a page/chapter/album within Linkavie</t>
  </si>
  <si>
    <t>Sharing settings management to integrate "allow share" and "Allow sync"</t>
  </si>
  <si>
    <t>Manage links between "My Life album" and "Personal albums" and differentiate from "other albums" type</t>
  </si>
  <si>
    <t>Create a printable Photo book (automatic) and save it to the Library</t>
  </si>
  <si>
    <t>Define/change shelf position</t>
  </si>
  <si>
    <t>Edit a Photo book</t>
  </si>
  <si>
    <t>Share a Photobook</t>
  </si>
  <si>
    <t>Order a Printable Album</t>
  </si>
  <si>
    <t>Create an event full process (Personal + Common events)</t>
  </si>
  <si>
    <t>including payment process for extending common event period, including event UI navigation, default event settings, user permissions per role (Owner, contributor, friend)</t>
  </si>
  <si>
    <t>Event settings feature</t>
  </si>
  <si>
    <t>settings setup, extending a common event</t>
  </si>
  <si>
    <t>Contributors management: Adding/ending contributors</t>
  </si>
  <si>
    <t>Event storage management</t>
  </si>
  <si>
    <t>Event vault integration</t>
  </si>
  <si>
    <t>with vault features per role, storage management etc..</t>
  </si>
  <si>
    <t>Event Digital album integration</t>
  </si>
  <si>
    <t>with  features per role, including adding comments.</t>
  </si>
  <si>
    <t>Share an event (Event owner) / Invitation process</t>
  </si>
  <si>
    <t>Access an event (Vault, Album, photobook) after invitation</t>
  </si>
  <si>
    <t xml:space="preserve">with the rigth user features set per role, add comments </t>
  </si>
  <si>
    <t>Generate/Modify Photo book (by owner only) integration within event</t>
  </si>
  <si>
    <t>Order Photo book (by owner only) integration within event</t>
  </si>
  <si>
    <t>Synchronize an event</t>
  </si>
  <si>
    <t>Re-integration into personal space (Vault, album, library, photobook), managing album and photobook broadcating control with newly sharing rights</t>
  </si>
  <si>
    <t>Extending a common event</t>
  </si>
  <si>
    <t>Closing an event</t>
  </si>
  <si>
    <t>including automatic closing for a common event expiration, managing event expiration alerts</t>
  </si>
  <si>
    <t>Mobile event Back-office event code generation</t>
  </si>
  <si>
    <t>Folder settings "Mobile event folder"</t>
  </si>
  <si>
    <t>Event settings: Mobile event</t>
  </si>
  <si>
    <t>API / Communication of site with Mobile App</t>
  </si>
  <si>
    <t>My communities page</t>
  </si>
  <si>
    <t>create new community button, list communities, links to community pages under actions button - Navigation level</t>
  </si>
  <si>
    <t>Organization community license management, customer and payment back-office management</t>
  </si>
  <si>
    <t>Create a community full process</t>
  </si>
  <si>
    <t>Trial or with license code, including community UI navigation, default community settings, user permissions per roles (Manager, contributor, album owner, member)</t>
  </si>
  <si>
    <t>Community account</t>
  </si>
  <si>
    <t>Status, invoice with back-office orders/payment management</t>
  </si>
  <si>
    <t>Renewing / upgrading Community account</t>
  </si>
  <si>
    <t>Public access to a community</t>
  </si>
  <si>
    <t xml:space="preserve"> via iframed link with parameters (Public community or user name/pwd, show/hide logo)</t>
  </si>
  <si>
    <t xml:space="preserve">Community  settings </t>
  </si>
  <si>
    <t>Delete a community</t>
  </si>
  <si>
    <t>Cleanup + email notifications</t>
  </si>
  <si>
    <t>Community contacts page</t>
  </si>
  <si>
    <t>Search community member + Filter view</t>
  </si>
  <si>
    <t xml:space="preserve"> Show contacts with roles etc… + Invite button - Navigation level, Inviting method 1 (import users or manual emails), Inviting method 2 (Generate URL)</t>
  </si>
  <si>
    <t>ending roles, changing role</t>
  </si>
  <si>
    <t>My Communities page</t>
  </si>
  <si>
    <t>Change/end my role, transfer Manager role</t>
  </si>
  <si>
    <t>Community users rights management</t>
  </si>
  <si>
    <t xml:space="preserve"> with vault features per role, storage management etc..</t>
  </si>
  <si>
    <t>Community Digital album with Album level settings</t>
  </si>
  <si>
    <t>invite, end/change role</t>
  </si>
  <si>
    <t>Community Album level contact management</t>
  </si>
  <si>
    <t>Community vault integration</t>
  </si>
  <si>
    <t>Share a community album</t>
  </si>
  <si>
    <t xml:space="preserve"> (community manager or album owner) / Invitation process, integrating on top community members.</t>
  </si>
  <si>
    <t>Synchronize a community album</t>
  </si>
  <si>
    <t xml:space="preserve"> or photo book into personal space with broadcating control depending of sharing rights</t>
  </si>
  <si>
    <t>Community owner or album owner can select contents and change the sharing settings for the selected items in regards to the members or contributors.</t>
  </si>
  <si>
    <t>Community Confidentiality / Sharing settings</t>
  </si>
  <si>
    <t>Community Library</t>
  </si>
  <si>
    <t>Generate/Modify Photo book (by owner only) integration within community</t>
  </si>
  <si>
    <t>with  features per role, including adding comments</t>
  </si>
  <si>
    <t>Community Digital album integration</t>
  </si>
  <si>
    <t>Order Photo book (when shared by owner) integration within community</t>
  </si>
  <si>
    <t>Community Content moderation / Manage page updates moderation</t>
  </si>
  <si>
    <t>Community Comments moderation</t>
  </si>
  <si>
    <t>Search of user or community according to authorizations setup by subscribers</t>
  </si>
  <si>
    <t>Landing page SEARCH</t>
  </si>
  <si>
    <t>Landing page Request to setup a Relationship (auth required)</t>
  </si>
  <si>
    <t>Landing page Access a Friend Life Album (auth required)</t>
  </si>
  <si>
    <t>Landing page Request to become member of a community (auth required)</t>
  </si>
  <si>
    <t>Landing Page Direct access</t>
  </si>
  <si>
    <t xml:space="preserve"> to a Public Community Life Album or Public content of a community (No auth required)</t>
  </si>
  <si>
    <t>Direct access to a Private Community Life Album (Auth required)</t>
  </si>
  <si>
    <t>Back-office enhancement for B2C subscriptions</t>
  </si>
  <si>
    <t xml:space="preserve"> From user list: 
 - edit expiration date
 - Edit user total storage capacity
 - Search/filter view feature (per keyword typed)
- Orders management in Back-office
</t>
  </si>
  <si>
    <t>Back-office enhancement for events</t>
  </si>
  <si>
    <t>Event back-office management</t>
  </si>
  <si>
    <t>Back-office enhancement for Communities</t>
  </si>
  <si>
    <t>Community back-office management</t>
  </si>
  <si>
    <t>Reports: registration month after month</t>
  </si>
  <si>
    <t>Reports: total storage month after month</t>
  </si>
  <si>
    <t>Reports: registration growth analysis (New users vs invited users)</t>
  </si>
  <si>
    <t>Reports: logins and visualize this "3D" report</t>
  </si>
  <si>
    <t>Reports: upload pictures per new user groups</t>
  </si>
  <si>
    <t>Reports: create page per new user groups</t>
  </si>
  <si>
    <t>Change update the Service packs definitions</t>
  </si>
  <si>
    <t>duration / storage capacity / price</t>
  </si>
  <si>
    <t>Tracked registration links</t>
  </si>
  <si>
    <t>Be able to generate different registration links (per partner for instance) and be able to track registrations and Business per specific registration links.</t>
  </si>
  <si>
    <t>Delete a user</t>
  </si>
  <si>
    <t>properly deletes all contents, DB links to other users, events, communities, except if manager of a community</t>
  </si>
  <si>
    <t>Add/Delete a community</t>
  </si>
  <si>
    <t>properly deletes all contents, DB, links to other users and manages emails notifications</t>
  </si>
  <si>
    <t>Edit any profile fields of community (service, expiration date, storage capacity etc...) or settings of a community</t>
  </si>
  <si>
    <t>Adds management in back-office for free users</t>
  </si>
  <si>
    <t>Incentive tool</t>
  </si>
  <si>
    <t>Storage capacity used</t>
  </si>
  <si>
    <t>Total, average per user (split between photos, videos, musics, documents) and per community + Filter per user profiles (Free, paid users, per service pack).</t>
  </si>
  <si>
    <t>Split of service subscriptions per user types</t>
  </si>
  <si>
    <t>(Free users, servic packs): Total amount or on a selected period</t>
  </si>
  <si>
    <t>List + email of free users</t>
  </si>
  <si>
    <t>using the service since more than x months (x can be defined)</t>
  </si>
  <si>
    <t>Dashboards of renewals that should come on a coming period</t>
  </si>
  <si>
    <t>to be defined (filter = Next month, next quarter), shows/filterautomatic and non automatic renewals. For users and Communities</t>
  </si>
  <si>
    <t xml:space="preserve">LINKAVIE https support after login </t>
  </si>
  <si>
    <t>Documents &amp; user passwords encryption</t>
  </si>
  <si>
    <t>#LA002</t>
  </si>
  <si>
    <t>AS OF 20140402</t>
  </si>
  <si>
    <t>LinkAvie</t>
  </si>
  <si>
    <r>
      <rPr>
        <b/>
        <sz val="9"/>
        <color theme="1"/>
        <rFont val="Arial"/>
        <family val="2"/>
        <charset val="204"/>
      </rPr>
      <t>PREPARED FOR</t>
    </r>
    <r>
      <rPr>
        <sz val="9"/>
        <color theme="1"/>
        <rFont val="Arial"/>
        <family val="2"/>
        <charset val="204"/>
      </rPr>
      <t>:Thomas Luquet</t>
    </r>
  </si>
  <si>
    <r>
      <rPr>
        <b/>
        <sz val="9"/>
        <color theme="1"/>
        <rFont val="Arial"/>
        <family val="2"/>
        <charset val="204"/>
      </rPr>
      <t>PREPARED BY</t>
    </r>
    <r>
      <rPr>
        <sz val="9"/>
        <color theme="1"/>
        <rFont val="Arial"/>
        <family val="2"/>
        <charset val="204"/>
      </rPr>
      <t>: &lt;Mikhail Korovkin - TechLead&gt;</t>
    </r>
  </si>
  <si>
    <t>Not all details, but general idea</t>
  </si>
  <si>
    <t>First try</t>
  </si>
  <si>
    <t>Some fields are non needed</t>
  </si>
  <si>
    <t>They already has a lot of tasks</t>
  </si>
  <si>
    <t>First estimate example in new format. Should be double-checked on each stage.</t>
  </si>
  <si>
    <t>Too bad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</si>
</sst>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р_._-;\-* #,##0.00_р_._-;_-* &quot;-&quot;??_р_._-;_-@_-"/>
    <numFmt numFmtId="164" formatCode="0.0"/>
    <numFmt numFmtId="165" formatCode="_-* #,##0.00\ &quot;€&quot;_-;\-* #,##0.00\ &quot;€&quot;_-;_-* &quot;-&quot;??\ &quot;€&quot;_-;_-@_-"/>
    <numFmt numFmtId="166" formatCode="_-* #,##0.00\ [$€]_-;\-* #,##0.00\ [$€]_-;_-* &quot;-&quot;??\ [$€]_-;_-@_-"/>
    <numFmt numFmtId="167" formatCode="_-* #,##0.00\ _F_-;\-* #,##0.00\ _F_-;_-* &quot;-&quot;??\ _F_-;_-@_-"/>
  </numFmts>
  <fonts count="33"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sz val="10"/>
      <color theme="1"/>
      <name val="Calibri"/>
      <family val="2"/>
      <scheme val="minor"/>
    </font>
    <font>
      <sz val="11"/>
      <color theme="1"/>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sz val="10"/>
      <color theme="1"/>
      <name val="Arial"/>
      <family val="2"/>
      <charset val="204"/>
    </font>
    <font>
      <b/>
      <sz val="10"/>
      <color theme="1"/>
      <name val="Arial"/>
      <family val="2"/>
      <charset val="204"/>
    </font>
    <font>
      <b/>
      <sz val="10"/>
      <color theme="0"/>
      <name val="Arial"/>
      <family val="2"/>
      <charset val="204"/>
    </font>
    <font>
      <b/>
      <sz val="9"/>
      <color theme="0"/>
      <name val="Arial"/>
      <family val="2"/>
      <charset val="204"/>
    </font>
    <font>
      <b/>
      <sz val="9"/>
      <color theme="1"/>
      <name val="Arial"/>
      <family val="2"/>
      <charset val="204"/>
    </font>
    <font>
      <sz val="9"/>
      <color theme="1"/>
      <name val="Arial"/>
      <family val="2"/>
      <charset val="204"/>
    </font>
    <font>
      <sz val="9"/>
      <color rgb="FFCC071E"/>
      <name val="Arial"/>
      <family val="2"/>
      <charset val="204"/>
    </font>
    <font>
      <b/>
      <sz val="11"/>
      <color rgb="FFCC071E"/>
      <name val="Arial"/>
      <family val="2"/>
      <charset val="204"/>
    </font>
    <font>
      <b/>
      <sz val="13"/>
      <name val="Arial"/>
      <family val="2"/>
      <charset val="204"/>
    </font>
    <font>
      <sz val="8"/>
      <name val="Arial"/>
      <family val="2"/>
      <charset val="204"/>
    </font>
    <font>
      <sz val="10"/>
      <color theme="0" tint="-0.499984740745262"/>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9" tint="-0.249977111117893"/>
      <name val="Arial"/>
      <family val="2"/>
      <charset val="204"/>
    </font>
    <font>
      <b/>
      <sz val="9"/>
      <color theme="9" tint="-0.249977111117893"/>
      <name val="Arial"/>
      <family val="2"/>
      <charset val="204"/>
    </font>
    <font>
      <sz val="10"/>
      <color theme="9" tint="-0.249977111117893"/>
      <name val="Arial"/>
      <family val="2"/>
      <charset val="204"/>
    </font>
    <font>
      <sz val="10"/>
      <color theme="9" tint="-0.249977111117893"/>
      <name val="Calibri"/>
      <family val="2"/>
      <scheme val="minor"/>
    </font>
    <font>
      <b/>
      <sz val="11"/>
      <color theme="6" tint="-0.249977111117893"/>
      <name val="Arial"/>
      <family val="2"/>
      <charset val="204"/>
    </font>
    <font>
      <sz val="10"/>
      <name val="Arial"/>
      <family val="2"/>
    </font>
    <font>
      <sz val="12"/>
      <color theme="1"/>
      <name val="Calibri"/>
      <family val="2"/>
      <scheme val="minor"/>
    </font>
    <font>
      <u/>
      <sz val="12"/>
      <color theme="10"/>
      <name val="Calibri"/>
      <family val="2"/>
      <scheme val="minor"/>
    </font>
    <font>
      <sz val="10"/>
      <name val="Arial"/>
      <family val="2"/>
      <charset val="1"/>
    </font>
  </fonts>
  <fills count="6">
    <fill>
      <patternFill patternType="none"/>
    </fill>
    <fill>
      <patternFill patternType="gray125"/>
    </fill>
    <fill>
      <patternFill patternType="solid">
        <fgColor theme="4"/>
      </patternFill>
    </fill>
    <fill>
      <patternFill patternType="solid">
        <fgColor indexed="9"/>
        <bgColor indexed="64"/>
      </patternFill>
    </fill>
    <fill>
      <patternFill patternType="solid">
        <fgColor theme="1"/>
        <bgColor indexed="64"/>
      </patternFill>
    </fill>
    <fill>
      <patternFill patternType="solid">
        <fgColor rgb="FFE5E5E5"/>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hair">
        <color theme="0" tint="-0.14996795556505021"/>
      </top>
      <bottom/>
      <diagonal/>
    </border>
    <border>
      <left/>
      <right/>
      <top style="hair">
        <color theme="0" tint="-0.14996795556505021"/>
      </top>
      <bottom style="hair">
        <color theme="0" tint="-0.14993743705557422"/>
      </bottom>
      <diagonal/>
    </border>
    <border>
      <left/>
      <right/>
      <top style="hair">
        <color theme="0" tint="-0.14993743705557422"/>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hair">
        <color theme="0"/>
      </left>
      <right/>
      <top/>
      <bottom style="hair">
        <color theme="0" tint="-0.14996795556505021"/>
      </bottom>
      <diagonal/>
    </border>
    <border>
      <left style="hair">
        <color theme="0"/>
      </left>
      <right/>
      <top style="hair">
        <color theme="0" tint="-0.14996795556505021"/>
      </top>
      <bottom style="hair">
        <color theme="0" tint="-0.14996795556505021"/>
      </bottom>
      <diagonal/>
    </border>
    <border>
      <left style="hair">
        <color theme="0"/>
      </left>
      <right/>
      <top style="hair">
        <color theme="0" tint="-0.14996795556505021"/>
      </top>
      <bottom style="hair">
        <color theme="0" tint="-0.14993743705557422"/>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style="thin">
        <color indexed="64"/>
      </right>
      <top style="thin">
        <color indexed="64"/>
      </top>
      <bottom/>
      <diagonal/>
    </border>
    <border diagonalUp="1" diagonalDown="1">
      <left/>
      <right/>
      <top style="hair">
        <color theme="0" tint="-0.14996795556505021"/>
      </top>
      <bottom style="hair">
        <color theme="0" tint="-0.14996795556505021"/>
      </bottom>
      <diagonal style="hair">
        <color theme="0" tint="-0.14993743705557422"/>
      </diagonal>
    </border>
    <border>
      <left/>
      <right/>
      <top/>
      <bottom style="thick">
        <color theme="6" tint="-0.249977111117893"/>
      </bottom>
      <diagonal/>
    </border>
    <border>
      <left/>
      <right style="thin">
        <color theme="0" tint="-0.249977111117893"/>
      </right>
      <top/>
      <bottom/>
      <diagonal/>
    </border>
  </borders>
  <cellStyleXfs count="1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22" fillId="0" borderId="0" applyNumberForma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3" fillId="0" borderId="0" applyNumberFormat="0" applyFill="0" applyBorder="0" applyAlignment="0" applyProtection="0"/>
    <xf numFmtId="0" fontId="29" fillId="0" borderId="0"/>
    <xf numFmtId="0" fontId="5" fillId="0" borderId="0"/>
    <xf numFmtId="166" fontId="29" fillId="0" borderId="0" applyFont="0" applyFill="0" applyBorder="0" applyAlignment="0" applyProtection="0"/>
    <xf numFmtId="165" fontId="29" fillId="0" borderId="0" applyFont="0" applyFill="0" applyBorder="0" applyAlignment="0" applyProtection="0"/>
    <xf numFmtId="167" fontId="29" fillId="0" borderId="0" applyFont="0" applyFill="0" applyBorder="0" applyAlignment="0" applyProtection="0"/>
    <xf numFmtId="9" fontId="29" fillId="0" borderId="0" applyFont="0" applyFill="0" applyBorder="0" applyAlignment="0" applyProtection="0"/>
    <xf numFmtId="0" fontId="30" fillId="0" borderId="0"/>
    <xf numFmtId="0" fontId="31" fillId="0" borderId="0" applyNumberFormat="0" applyFill="0" applyBorder="0" applyAlignment="0" applyProtection="0"/>
    <xf numFmtId="0" fontId="32" fillId="0" borderId="0"/>
  </cellStyleXfs>
  <cellXfs count="193">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4" fillId="0" borderId="0" xfId="0" applyFont="1" applyProtection="1">
      <protection locked="0"/>
    </xf>
    <xf numFmtId="0" fontId="0" fillId="0" borderId="0" xfId="0" applyProtection="1">
      <protection locked="0"/>
    </xf>
    <xf numFmtId="0" fontId="4" fillId="0" borderId="0" xfId="0" applyFont="1" applyAlignment="1" applyProtection="1">
      <alignment vertical="top"/>
      <protection locked="0"/>
    </xf>
    <xf numFmtId="0" fontId="0" fillId="0" borderId="0" xfId="0" applyAlignment="1" applyProtection="1">
      <alignment horizontal="left" vertical="top"/>
      <protection locked="0"/>
    </xf>
    <xf numFmtId="0" fontId="0" fillId="0" borderId="0" xfId="0" applyAlignment="1" applyProtection="1">
      <alignment vertical="top"/>
      <protection locked="0"/>
    </xf>
    <xf numFmtId="0" fontId="0" fillId="0" borderId="0" xfId="0" applyAlignment="1" applyProtection="1">
      <alignment horizontal="left"/>
      <protection locked="0"/>
    </xf>
    <xf numFmtId="0" fontId="0" fillId="0" borderId="0" xfId="0" applyBorder="1" applyProtection="1">
      <protection locked="0"/>
    </xf>
    <xf numFmtId="4" fontId="8" fillId="0" borderId="0" xfId="2" applyNumberFormat="1"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9" fillId="0" borderId="0" xfId="0" applyFont="1" applyBorder="1" applyAlignment="1" applyProtection="1">
      <alignment horizontal="right" vertical="center"/>
      <protection locked="0"/>
    </xf>
    <xf numFmtId="0" fontId="13" fillId="4" borderId="3" xfId="3" applyFont="1" applyFill="1" applyBorder="1" applyProtection="1">
      <protection locked="0"/>
    </xf>
    <xf numFmtId="0" fontId="13" fillId="4" borderId="4" xfId="3" applyFont="1" applyFill="1" applyBorder="1" applyProtection="1">
      <protection locked="0"/>
    </xf>
    <xf numFmtId="0" fontId="13" fillId="4" borderId="5" xfId="3" applyFont="1" applyFill="1" applyBorder="1" applyProtection="1">
      <protection locked="0"/>
    </xf>
    <xf numFmtId="0" fontId="14" fillId="5" borderId="0" xfId="0" applyFont="1" applyFill="1" applyAlignment="1" applyProtection="1">
      <alignment vertical="top"/>
      <protection locked="0"/>
    </xf>
    <xf numFmtId="9" fontId="14" fillId="5" borderId="0" xfId="0" applyNumberFormat="1" applyFont="1" applyFill="1" applyAlignment="1" applyProtection="1">
      <alignment horizontal="right" vertical="top"/>
      <protection locked="0"/>
    </xf>
    <xf numFmtId="164" fontId="14" fillId="5" borderId="0" xfId="0" applyNumberFormat="1" applyFont="1" applyFill="1" applyAlignment="1" applyProtection="1">
      <alignment vertical="top"/>
      <protection locked="0"/>
    </xf>
    <xf numFmtId="0" fontId="15" fillId="5" borderId="0" xfId="0" applyFont="1" applyFill="1" applyAlignment="1" applyProtection="1">
      <alignment vertical="top" wrapText="1"/>
      <protection locked="0"/>
    </xf>
    <xf numFmtId="0" fontId="14" fillId="5" borderId="0" xfId="0" applyFont="1" applyFill="1" applyAlignment="1" applyProtection="1">
      <alignment vertical="center" textRotation="90"/>
      <protection locked="0"/>
    </xf>
    <xf numFmtId="9" fontId="15" fillId="5" borderId="0" xfId="0" applyNumberFormat="1" applyFont="1" applyFill="1" applyAlignment="1" applyProtection="1">
      <alignment horizontal="right" vertical="top"/>
      <protection locked="0"/>
    </xf>
    <xf numFmtId="0" fontId="9" fillId="0" borderId="0" xfId="0" applyFont="1" applyBorder="1" applyAlignment="1" applyProtection="1">
      <alignment vertical="center"/>
      <protection locked="0"/>
    </xf>
    <xf numFmtId="0" fontId="15" fillId="0" borderId="0" xfId="0" applyFont="1" applyBorder="1" applyAlignment="1" applyProtection="1">
      <alignment vertical="top"/>
      <protection locked="0"/>
    </xf>
    <xf numFmtId="0" fontId="15" fillId="0" borderId="0" xfId="0" applyFont="1" applyBorder="1" applyAlignment="1" applyProtection="1">
      <alignment horizontal="right" vertical="top"/>
      <protection locked="0"/>
    </xf>
    <xf numFmtId="0" fontId="11" fillId="5" borderId="0" xfId="0" applyFont="1" applyFill="1" applyProtection="1">
      <protection locked="0"/>
    </xf>
    <xf numFmtId="9" fontId="11" fillId="5" borderId="0" xfId="0" applyNumberFormat="1" applyFont="1" applyFill="1" applyAlignment="1" applyProtection="1">
      <alignment horizontal="right"/>
      <protection locked="0"/>
    </xf>
    <xf numFmtId="0" fontId="17" fillId="0" borderId="0" xfId="2" applyFont="1" applyBorder="1" applyAlignment="1" applyProtection="1">
      <alignment vertical="center"/>
      <protection locked="0"/>
    </xf>
    <xf numFmtId="0" fontId="15" fillId="0" borderId="6" xfId="0" applyFont="1" applyBorder="1" applyAlignment="1" applyProtection="1">
      <alignment horizontal="left" vertical="top"/>
      <protection locked="0"/>
    </xf>
    <xf numFmtId="9" fontId="15" fillId="0" borderId="6" xfId="0" applyNumberFormat="1" applyFont="1" applyBorder="1" applyAlignment="1" applyProtection="1">
      <alignment horizontal="right" vertical="top"/>
      <protection locked="0"/>
    </xf>
    <xf numFmtId="164" fontId="15" fillId="0" borderId="6" xfId="0" applyNumberFormat="1" applyFont="1" applyBorder="1" applyAlignment="1" applyProtection="1">
      <alignment horizontal="left" vertical="top"/>
      <protection locked="0"/>
    </xf>
    <xf numFmtId="0" fontId="15" fillId="0" borderId="6" xfId="0" applyFont="1" applyBorder="1" applyAlignment="1" applyProtection="1">
      <alignment horizontal="left" vertical="top" wrapText="1"/>
      <protection locked="0"/>
    </xf>
    <xf numFmtId="0" fontId="15" fillId="0" borderId="7" xfId="0" applyFont="1" applyBorder="1" applyAlignment="1" applyProtection="1">
      <alignment horizontal="left" vertical="top"/>
      <protection locked="0"/>
    </xf>
    <xf numFmtId="9" fontId="15" fillId="0" borderId="7" xfId="0" applyNumberFormat="1" applyFont="1" applyBorder="1" applyAlignment="1" applyProtection="1">
      <alignment horizontal="right" vertical="top"/>
      <protection locked="0"/>
    </xf>
    <xf numFmtId="164" fontId="15" fillId="0" borderId="7" xfId="0" applyNumberFormat="1" applyFont="1" applyBorder="1" applyAlignment="1" applyProtection="1">
      <alignment horizontal="left" vertical="top"/>
      <protection locked="0"/>
    </xf>
    <xf numFmtId="0" fontId="15" fillId="0" borderId="7" xfId="0" applyFont="1" applyBorder="1" applyAlignment="1" applyProtection="1">
      <alignment horizontal="left" vertical="top" wrapText="1"/>
      <protection locked="0"/>
    </xf>
    <xf numFmtId="0" fontId="15" fillId="0" borderId="8" xfId="0" applyFont="1" applyBorder="1" applyAlignment="1" applyProtection="1">
      <alignment horizontal="left" vertical="top"/>
      <protection locked="0"/>
    </xf>
    <xf numFmtId="9" fontId="15" fillId="0" borderId="8" xfId="0" applyNumberFormat="1" applyFont="1" applyBorder="1" applyAlignment="1" applyProtection="1">
      <alignment horizontal="right" vertical="top"/>
      <protection locked="0"/>
    </xf>
    <xf numFmtId="164" fontId="15" fillId="0" borderId="8" xfId="0" applyNumberFormat="1" applyFont="1" applyBorder="1" applyAlignment="1" applyProtection="1">
      <alignment horizontal="left" vertical="top"/>
      <protection locked="0"/>
    </xf>
    <xf numFmtId="0" fontId="15" fillId="0" borderId="6" xfId="0" applyFont="1" applyBorder="1" applyAlignment="1" applyProtection="1">
      <alignment vertical="top"/>
      <protection locked="0"/>
    </xf>
    <xf numFmtId="0" fontId="15" fillId="0" borderId="6" xfId="0" applyFont="1" applyBorder="1" applyAlignment="1" applyProtection="1">
      <alignment vertical="top" wrapText="1"/>
      <protection locked="0"/>
    </xf>
    <xf numFmtId="0" fontId="15" fillId="0" borderId="7" xfId="0" applyFont="1" applyBorder="1" applyAlignment="1" applyProtection="1">
      <alignment vertical="top"/>
      <protection locked="0"/>
    </xf>
    <xf numFmtId="0" fontId="15" fillId="0" borderId="7" xfId="0" applyFont="1" applyBorder="1" applyAlignment="1" applyProtection="1">
      <alignment vertical="top" wrapText="1"/>
      <protection locked="0"/>
    </xf>
    <xf numFmtId="0" fontId="15" fillId="0" borderId="8" xfId="0" applyFont="1" applyBorder="1" applyAlignment="1" applyProtection="1">
      <alignment vertical="top"/>
      <protection locked="0"/>
    </xf>
    <xf numFmtId="0" fontId="15" fillId="0" borderId="8" xfId="0" applyFont="1" applyBorder="1" applyAlignment="1" applyProtection="1">
      <alignment vertical="top" wrapText="1"/>
      <protection locked="0"/>
    </xf>
    <xf numFmtId="0" fontId="10" fillId="0" borderId="7" xfId="0" applyFont="1" applyBorder="1" applyAlignment="1" applyProtection="1">
      <alignment vertical="top" wrapText="1"/>
      <protection locked="0"/>
    </xf>
    <xf numFmtId="0" fontId="9" fillId="0" borderId="7" xfId="0" applyFont="1" applyBorder="1" applyProtection="1">
      <protection locked="0"/>
    </xf>
    <xf numFmtId="0" fontId="10" fillId="0" borderId="7" xfId="0" applyFont="1" applyBorder="1" applyProtection="1">
      <protection locked="0"/>
    </xf>
    <xf numFmtId="0" fontId="9" fillId="0" borderId="8" xfId="0" applyFont="1" applyBorder="1" applyProtection="1">
      <protection locked="0"/>
    </xf>
    <xf numFmtId="0" fontId="10" fillId="0" borderId="6" xfId="0" applyFont="1" applyBorder="1" applyProtection="1">
      <protection locked="0"/>
    </xf>
    <xf numFmtId="0" fontId="10" fillId="0" borderId="8" xfId="0" applyFont="1" applyBorder="1" applyProtection="1">
      <protection locked="0"/>
    </xf>
    <xf numFmtId="0" fontId="16" fillId="0" borderId="6" xfId="0" applyFont="1" applyBorder="1" applyAlignment="1">
      <alignment horizontal="right" vertical="top"/>
    </xf>
    <xf numFmtId="0" fontId="16" fillId="0" borderId="7" xfId="0" applyFont="1" applyBorder="1" applyAlignment="1">
      <alignment horizontal="right" vertical="top"/>
    </xf>
    <xf numFmtId="0" fontId="16" fillId="0" borderId="7" xfId="0" applyFont="1" applyBorder="1" applyAlignment="1">
      <alignment horizontal="right" vertical="center"/>
    </xf>
    <xf numFmtId="0" fontId="16" fillId="0" borderId="9" xfId="0" applyFont="1" applyBorder="1" applyAlignment="1">
      <alignment horizontal="right" vertical="top"/>
    </xf>
    <xf numFmtId="0" fontId="15" fillId="0" borderId="7" xfId="0" applyFont="1" applyBorder="1" applyProtection="1">
      <protection locked="0"/>
    </xf>
    <xf numFmtId="0" fontId="10" fillId="0" borderId="6" xfId="6" applyNumberFormat="1" applyFont="1" applyBorder="1" applyProtection="1">
      <protection locked="0"/>
    </xf>
    <xf numFmtId="9" fontId="10" fillId="0" borderId="6" xfId="5" applyFont="1" applyBorder="1" applyProtection="1">
      <protection locked="0"/>
    </xf>
    <xf numFmtId="9" fontId="10" fillId="0" borderId="7" xfId="5" applyFont="1" applyBorder="1" applyProtection="1">
      <protection locked="0"/>
    </xf>
    <xf numFmtId="9" fontId="10" fillId="0" borderId="8" xfId="5" applyFont="1" applyBorder="1" applyProtection="1">
      <protection locked="0"/>
    </xf>
    <xf numFmtId="1" fontId="14" fillId="5" borderId="0" xfId="0" applyNumberFormat="1" applyFont="1" applyFill="1" applyAlignment="1" applyProtection="1">
      <alignment vertical="top"/>
      <protection locked="0"/>
    </xf>
    <xf numFmtId="0" fontId="15" fillId="0" borderId="0" xfId="0" applyFont="1" applyAlignment="1" applyProtection="1">
      <alignment horizontal="left"/>
      <protection locked="0"/>
    </xf>
    <xf numFmtId="0" fontId="15" fillId="0" borderId="0" xfId="0" applyFont="1" applyBorder="1" applyAlignment="1" applyProtection="1">
      <alignment horizontal="left" vertical="top"/>
      <protection locked="0"/>
    </xf>
    <xf numFmtId="9" fontId="15" fillId="0" borderId="0" xfId="0" applyNumberFormat="1" applyFont="1" applyBorder="1" applyAlignment="1" applyProtection="1">
      <alignment horizontal="right" vertical="top"/>
      <protection locked="0"/>
    </xf>
    <xf numFmtId="164" fontId="15" fillId="0" borderId="0" xfId="0" applyNumberFormat="1" applyFont="1" applyBorder="1" applyAlignment="1" applyProtection="1">
      <alignment horizontal="left" vertical="top"/>
      <protection locked="0"/>
    </xf>
    <xf numFmtId="0" fontId="15" fillId="0" borderId="0" xfId="0" applyFont="1" applyBorder="1" applyAlignment="1" applyProtection="1">
      <alignment horizontal="left" vertical="top" wrapText="1"/>
      <protection locked="0"/>
    </xf>
    <xf numFmtId="0" fontId="9" fillId="0" borderId="0" xfId="0" applyFont="1" applyBorder="1" applyAlignment="1" applyProtection="1">
      <alignment vertical="top"/>
      <protection locked="0"/>
    </xf>
    <xf numFmtId="0" fontId="15" fillId="0" borderId="8" xfId="0" applyFont="1" applyBorder="1" applyProtection="1">
      <protection locked="0"/>
    </xf>
    <xf numFmtId="0" fontId="15" fillId="0" borderId="0" xfId="0" applyFont="1" applyAlignment="1" applyProtection="1">
      <alignment horizontal="left" vertical="top"/>
      <protection locked="0"/>
    </xf>
    <xf numFmtId="0" fontId="15" fillId="0" borderId="0" xfId="0" applyFont="1" applyProtection="1">
      <protection locked="0"/>
    </xf>
    <xf numFmtId="0" fontId="19" fillId="0" borderId="6" xfId="0" applyFont="1" applyBorder="1" applyAlignment="1" applyProtection="1">
      <alignment horizontal="left" vertical="top"/>
      <protection locked="0"/>
    </xf>
    <xf numFmtId="0" fontId="10" fillId="0" borderId="0" xfId="0" applyFont="1" applyFill="1" applyBorder="1" applyProtection="1">
      <protection locked="0"/>
    </xf>
    <xf numFmtId="0" fontId="10" fillId="0" borderId="7" xfId="0" applyNumberFormat="1" applyFont="1" applyBorder="1" applyProtection="1">
      <protection locked="0"/>
    </xf>
    <xf numFmtId="0" fontId="10" fillId="0" borderId="8" xfId="0" applyNumberFormat="1" applyFont="1" applyBorder="1" applyProtection="1">
      <protection locked="0"/>
    </xf>
    <xf numFmtId="9" fontId="10" fillId="0" borderId="0" xfId="0" applyNumberFormat="1" applyFont="1"/>
    <xf numFmtId="0" fontId="14" fillId="5" borderId="5" xfId="0" applyFont="1" applyFill="1" applyBorder="1" applyAlignment="1" applyProtection="1">
      <alignment horizontal="right" vertical="top"/>
      <protection locked="0"/>
    </xf>
    <xf numFmtId="0" fontId="0" fillId="0" borderId="11" xfId="0" applyBorder="1"/>
    <xf numFmtId="0" fontId="21" fillId="0" borderId="11" xfId="0" applyFont="1" applyBorder="1"/>
    <xf numFmtId="0" fontId="0" fillId="0" borderId="0" xfId="0" applyBorder="1"/>
    <xf numFmtId="0" fontId="0" fillId="0" borderId="11" xfId="0" applyBorder="1" applyAlignment="1">
      <alignment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0" xfId="0" applyBorder="1" applyAlignment="1">
      <alignment vertical="center"/>
    </xf>
    <xf numFmtId="0" fontId="0" fillId="0" borderId="0" xfId="0" applyFill="1" applyBorder="1"/>
    <xf numFmtId="0" fontId="15" fillId="0" borderId="6" xfId="0" applyFont="1" applyBorder="1" applyAlignment="1">
      <alignment vertical="top" wrapText="1"/>
    </xf>
    <xf numFmtId="0" fontId="15" fillId="0" borderId="0" xfId="0" applyFont="1" applyBorder="1" applyAlignment="1">
      <alignment vertical="top" wrapText="1"/>
    </xf>
    <xf numFmtId="0" fontId="9" fillId="0" borderId="0" xfId="0" applyFont="1" applyBorder="1" applyAlignment="1" applyProtection="1">
      <alignment vertical="center"/>
      <protection locked="0"/>
    </xf>
    <xf numFmtId="0" fontId="13" fillId="4" borderId="5" xfId="3" applyFont="1" applyFill="1" applyBorder="1" applyProtection="1">
      <protection locked="0"/>
    </xf>
    <xf numFmtId="0" fontId="14" fillId="5" borderId="5" xfId="0" applyFont="1" applyFill="1" applyBorder="1" applyAlignment="1" applyProtection="1">
      <alignment vertical="top"/>
      <protection locked="0"/>
    </xf>
    <xf numFmtId="0" fontId="14" fillId="5" borderId="0" xfId="0" applyFont="1" applyFill="1" applyBorder="1" applyAlignment="1" applyProtection="1">
      <alignment vertical="top"/>
      <protection locked="0"/>
    </xf>
    <xf numFmtId="9" fontId="10" fillId="0" borderId="0" xfId="0" applyNumberFormat="1" applyFont="1" applyBorder="1" applyAlignment="1">
      <alignment horizontal="right"/>
    </xf>
    <xf numFmtId="9" fontId="20" fillId="0" borderId="0" xfId="0" applyNumberFormat="1" applyFont="1" applyBorder="1" applyAlignment="1">
      <alignment horizontal="right"/>
    </xf>
    <xf numFmtId="0" fontId="13" fillId="4" borderId="26" xfId="0" applyFont="1" applyFill="1" applyBorder="1"/>
    <xf numFmtId="164" fontId="15" fillId="0" borderId="0" xfId="0" applyNumberFormat="1" applyFont="1" applyAlignment="1" applyProtection="1">
      <alignment horizontal="left" vertical="top"/>
      <protection locked="0"/>
    </xf>
    <xf numFmtId="0" fontId="0" fillId="0" borderId="28" xfId="0" applyFill="1" applyBorder="1"/>
    <xf numFmtId="0" fontId="0" fillId="0" borderId="16" xfId="0" applyFill="1" applyBorder="1"/>
    <xf numFmtId="9" fontId="0" fillId="0" borderId="19" xfId="0" quotePrefix="1" applyNumberFormat="1" applyFill="1" applyBorder="1"/>
    <xf numFmtId="9" fontId="0" fillId="0" borderId="20" xfId="0" quotePrefix="1" applyNumberFormat="1" applyFill="1" applyBorder="1"/>
    <xf numFmtId="2" fontId="0" fillId="0" borderId="0" xfId="0" applyNumberFormat="1"/>
    <xf numFmtId="0" fontId="15" fillId="0" borderId="7" xfId="0" applyFont="1" applyBorder="1" applyAlignment="1" applyProtection="1">
      <alignment vertical="top" wrapText="1"/>
      <protection locked="0"/>
    </xf>
    <xf numFmtId="0" fontId="15" fillId="0" borderId="6" xfId="0" applyFont="1" applyBorder="1" applyAlignment="1">
      <alignment vertical="top" wrapText="1"/>
    </xf>
    <xf numFmtId="0" fontId="0" fillId="0" borderId="17" xfId="0" applyFill="1" applyBorder="1"/>
    <xf numFmtId="0" fontId="14" fillId="5" borderId="0" xfId="0" applyFont="1" applyFill="1" applyBorder="1" applyAlignment="1" applyProtection="1">
      <alignment horizontal="left" vertical="top"/>
      <protection locked="0"/>
    </xf>
    <xf numFmtId="0" fontId="14" fillId="5" borderId="0" xfId="0" applyFont="1" applyFill="1" applyBorder="1" applyAlignment="1" applyProtection="1">
      <alignment horizontal="right" vertical="top"/>
      <protection locked="0"/>
    </xf>
    <xf numFmtId="9" fontId="0" fillId="0" borderId="0" xfId="5" applyNumberFormat="1" applyFont="1"/>
    <xf numFmtId="0" fontId="0" fillId="0" borderId="28" xfId="0" applyBorder="1"/>
    <xf numFmtId="0" fontId="0" fillId="0" borderId="14" xfId="0" applyFill="1" applyBorder="1"/>
    <xf numFmtId="0" fontId="0" fillId="0" borderId="12" xfId="0" applyFill="1" applyBorder="1"/>
    <xf numFmtId="0" fontId="0" fillId="0" borderId="15" xfId="0" applyFill="1" applyBorder="1"/>
    <xf numFmtId="164" fontId="10" fillId="0" borderId="0" xfId="0" applyNumberFormat="1" applyFont="1" applyBorder="1" applyAlignment="1">
      <alignment horizontal="right" vertical="top"/>
    </xf>
    <xf numFmtId="0" fontId="19" fillId="0" borderId="29" xfId="0" applyFont="1" applyBorder="1" applyAlignment="1" applyProtection="1">
      <alignment horizontal="left" vertical="top"/>
      <protection locked="0"/>
    </xf>
    <xf numFmtId="0" fontId="10" fillId="0" borderId="8" xfId="0" applyFont="1" applyBorder="1" applyAlignment="1" applyProtection="1">
      <alignment vertical="top" wrapText="1"/>
      <protection locked="0"/>
    </xf>
    <xf numFmtId="0" fontId="15" fillId="0" borderId="6" xfId="0" applyFont="1" applyBorder="1" applyAlignment="1">
      <alignment vertical="top" wrapText="1"/>
    </xf>
    <xf numFmtId="0" fontId="15" fillId="0" borderId="6" xfId="0" applyFont="1" applyBorder="1" applyAlignment="1">
      <alignment vertical="top" wrapText="1"/>
    </xf>
    <xf numFmtId="0" fontId="15" fillId="0" borderId="6" xfId="0" applyFont="1" applyBorder="1" applyAlignment="1" applyProtection="1">
      <alignment horizontal="right" vertical="top"/>
      <protection locked="0"/>
    </xf>
    <xf numFmtId="0" fontId="15" fillId="0" borderId="7" xfId="0" applyFont="1" applyBorder="1" applyAlignment="1" applyProtection="1">
      <alignment horizontal="right" vertical="top"/>
      <protection locked="0"/>
    </xf>
    <xf numFmtId="0" fontId="15" fillId="0" borderId="8" xfId="0" applyFont="1" applyBorder="1" applyAlignment="1" applyProtection="1">
      <alignment horizontal="right" vertical="top"/>
      <protection locked="0"/>
    </xf>
    <xf numFmtId="0" fontId="14" fillId="5" borderId="0" xfId="0" applyFont="1" applyFill="1" applyAlignment="1" applyProtection="1">
      <alignment vertical="top"/>
      <protection locked="0"/>
    </xf>
    <xf numFmtId="0" fontId="15" fillId="0" borderId="0" xfId="0" applyFont="1" applyBorder="1" applyAlignment="1" applyProtection="1">
      <alignment horizontal="left" vertical="top" indent="1"/>
      <protection locked="0"/>
    </xf>
    <xf numFmtId="0" fontId="15" fillId="0" borderId="6" xfId="0" applyFont="1" applyBorder="1" applyAlignment="1" applyProtection="1">
      <alignment horizontal="left" vertical="top" indent="1"/>
      <protection locked="0"/>
    </xf>
    <xf numFmtId="0" fontId="15" fillId="0" borderId="7" xfId="0" applyFont="1" applyBorder="1" applyAlignment="1" applyProtection="1">
      <alignment horizontal="left" vertical="top" indent="1"/>
      <protection locked="0"/>
    </xf>
    <xf numFmtId="0" fontId="15" fillId="0" borderId="8" xfId="0" applyFont="1" applyBorder="1" applyAlignment="1" applyProtection="1">
      <alignment horizontal="left" vertical="top" indent="1"/>
      <protection locked="0"/>
    </xf>
    <xf numFmtId="0" fontId="15" fillId="0" borderId="7" xfId="0" applyFont="1" applyBorder="1" applyAlignment="1" applyProtection="1">
      <alignment vertical="top" wrapText="1"/>
      <protection locked="0"/>
    </xf>
    <xf numFmtId="0" fontId="15" fillId="0" borderId="6" xfId="0" applyFont="1" applyBorder="1" applyAlignment="1" applyProtection="1">
      <alignment vertical="top" wrapText="1"/>
      <protection locked="0"/>
    </xf>
    <xf numFmtId="0" fontId="7" fillId="0" borderId="30" xfId="0" applyFont="1" applyBorder="1" applyAlignment="1" applyProtection="1">
      <alignment horizontal="right" vertical="center"/>
      <protection locked="0"/>
    </xf>
    <xf numFmtId="9" fontId="15" fillId="0" borderId="0" xfId="0" applyNumberFormat="1" applyFont="1" applyBorder="1" applyAlignment="1" applyProtection="1">
      <alignment horizontal="left"/>
      <protection locked="0"/>
    </xf>
    <xf numFmtId="0" fontId="24" fillId="0" borderId="7" xfId="0" applyFont="1" applyBorder="1" applyAlignment="1" applyProtection="1">
      <alignment vertical="top" wrapText="1"/>
      <protection locked="0"/>
    </xf>
    <xf numFmtId="0" fontId="15" fillId="0" borderId="8" xfId="0" applyFont="1" applyBorder="1" applyAlignment="1" applyProtection="1">
      <alignment horizontal="left" vertical="top" indent="1"/>
      <protection locked="0"/>
    </xf>
    <xf numFmtId="0" fontId="10" fillId="0" borderId="7" xfId="0" applyFont="1" applyBorder="1" applyAlignment="1" applyProtection="1">
      <alignment horizontal="left" vertical="top" indent="1"/>
      <protection locked="0"/>
    </xf>
    <xf numFmtId="0" fontId="15" fillId="0" borderId="0" xfId="0" applyFont="1" applyBorder="1" applyAlignment="1" applyProtection="1">
      <alignment horizontal="left" vertical="top" indent="1"/>
      <protection locked="0"/>
    </xf>
    <xf numFmtId="0" fontId="26" fillId="3" borderId="0" xfId="0" applyFont="1" applyFill="1" applyBorder="1" applyAlignment="1" applyProtection="1">
      <alignment vertical="top" wrapText="1"/>
      <protection locked="0"/>
    </xf>
    <xf numFmtId="0" fontId="27" fillId="0" borderId="0" xfId="0" applyFont="1" applyBorder="1" applyAlignment="1">
      <alignment vertical="top" wrapText="1"/>
    </xf>
    <xf numFmtId="0" fontId="12" fillId="4" borderId="0" xfId="0" applyFont="1" applyFill="1" applyProtection="1">
      <protection locked="0"/>
    </xf>
    <xf numFmtId="0" fontId="10" fillId="0" borderId="8" xfId="0" applyFont="1" applyBorder="1" applyAlignment="1" applyProtection="1">
      <alignment horizontal="left" vertical="top" indent="1"/>
      <protection locked="0"/>
    </xf>
    <xf numFmtId="0" fontId="14" fillId="5" borderId="0" xfId="0" applyFont="1" applyFill="1" applyAlignment="1" applyProtection="1">
      <alignment vertical="top"/>
      <protection locked="0"/>
    </xf>
    <xf numFmtId="0" fontId="9" fillId="0" borderId="0" xfId="0" applyFont="1" applyBorder="1" applyAlignment="1" applyProtection="1">
      <alignment horizontal="right" vertical="center"/>
      <protection locked="0"/>
    </xf>
    <xf numFmtId="0" fontId="9" fillId="0" borderId="0" xfId="0" applyFont="1" applyBorder="1" applyAlignment="1" applyProtection="1">
      <alignment vertical="center"/>
      <protection locked="0"/>
    </xf>
    <xf numFmtId="0" fontId="13" fillId="4" borderId="5" xfId="3" applyFont="1" applyFill="1" applyBorder="1" applyProtection="1">
      <protection locked="0"/>
    </xf>
    <xf numFmtId="0" fontId="13" fillId="4" borderId="3" xfId="3" applyFont="1" applyFill="1" applyBorder="1" applyProtection="1">
      <protection locked="0"/>
    </xf>
    <xf numFmtId="0" fontId="15" fillId="0" borderId="6" xfId="0" applyFont="1" applyBorder="1" applyAlignment="1" applyProtection="1">
      <alignment horizontal="left" vertical="top" indent="1"/>
      <protection locked="0"/>
    </xf>
    <xf numFmtId="0" fontId="15" fillId="0" borderId="7" xfId="0" applyFont="1" applyBorder="1" applyAlignment="1" applyProtection="1">
      <alignment horizontal="left" vertical="top" indent="1"/>
      <protection locked="0"/>
    </xf>
    <xf numFmtId="0" fontId="15" fillId="0" borderId="0" xfId="0" applyFont="1" applyBorder="1" applyAlignment="1" applyProtection="1">
      <alignment horizontal="left"/>
      <protection locked="0"/>
    </xf>
    <xf numFmtId="0" fontId="15" fillId="0" borderId="31" xfId="0" applyFont="1" applyBorder="1" applyAlignment="1" applyProtection="1">
      <alignment horizontal="left"/>
      <protection locked="0"/>
    </xf>
    <xf numFmtId="0" fontId="10" fillId="0" borderId="6" xfId="0" applyFont="1" applyBorder="1" applyAlignment="1" applyProtection="1">
      <alignment horizontal="left" vertical="top" indent="1"/>
      <protection locked="0"/>
    </xf>
    <xf numFmtId="0" fontId="0" fillId="0" borderId="0" xfId="0" applyBorder="1" applyAlignment="1" applyProtection="1">
      <protection locked="0"/>
    </xf>
    <xf numFmtId="0" fontId="0" fillId="0" borderId="0" xfId="0" applyAlignment="1"/>
    <xf numFmtId="0" fontId="7" fillId="0" borderId="30" xfId="0" applyFont="1" applyBorder="1" applyAlignment="1" applyProtection="1">
      <alignment horizontal="right" vertical="center"/>
      <protection locked="0"/>
    </xf>
    <xf numFmtId="4" fontId="6" fillId="0" borderId="30" xfId="1" applyNumberFormat="1" applyFont="1" applyBorder="1" applyAlignment="1" applyProtection="1">
      <alignment vertical="center"/>
      <protection locked="0"/>
    </xf>
    <xf numFmtId="0" fontId="14" fillId="0" borderId="0" xfId="0" applyFont="1" applyBorder="1" applyAlignment="1" applyProtection="1">
      <alignment horizontal="left"/>
      <protection locked="0"/>
    </xf>
    <xf numFmtId="0" fontId="28" fillId="0" borderId="0" xfId="2" applyFont="1" applyBorder="1" applyAlignment="1" applyProtection="1">
      <alignment vertical="center"/>
      <protection locked="0"/>
    </xf>
    <xf numFmtId="0" fontId="18" fillId="0" borderId="0" xfId="1" applyFont="1" applyBorder="1" applyAlignment="1" applyProtection="1">
      <protection locked="0"/>
    </xf>
    <xf numFmtId="0" fontId="15" fillId="0" borderId="0" xfId="0" applyFont="1" applyBorder="1" applyAlignment="1" applyProtection="1">
      <alignment vertical="top" wrapText="1"/>
      <protection locked="0"/>
    </xf>
    <xf numFmtId="0" fontId="15" fillId="0" borderId="22" xfId="0" applyFont="1" applyBorder="1" applyAlignment="1">
      <alignment vertical="top" wrapText="1"/>
    </xf>
    <xf numFmtId="0" fontId="15" fillId="0" borderId="7" xfId="0" applyFont="1" applyBorder="1" applyAlignment="1">
      <alignment vertical="top" wrapText="1"/>
    </xf>
    <xf numFmtId="0" fontId="15" fillId="0" borderId="7" xfId="0" applyFont="1" applyBorder="1" applyAlignment="1" applyProtection="1">
      <alignment vertical="top" wrapText="1"/>
      <protection locked="0"/>
    </xf>
    <xf numFmtId="0" fontId="14" fillId="0" borderId="5" xfId="0" applyFont="1" applyBorder="1"/>
    <xf numFmtId="0" fontId="14" fillId="0" borderId="0" xfId="0" applyFont="1" applyBorder="1"/>
    <xf numFmtId="0" fontId="10" fillId="0" borderId="5" xfId="0" applyFont="1" applyBorder="1"/>
    <xf numFmtId="0" fontId="10" fillId="0" borderId="0" xfId="0" applyFont="1" applyBorder="1"/>
    <xf numFmtId="0" fontId="10" fillId="0" borderId="0" xfId="0" applyFont="1" applyBorder="1" applyAlignment="1">
      <alignment horizontal="right"/>
    </xf>
    <xf numFmtId="0" fontId="15" fillId="0" borderId="9" xfId="0" applyFont="1" applyBorder="1" applyAlignment="1" applyProtection="1">
      <alignment vertical="top" wrapText="1"/>
      <protection locked="0"/>
    </xf>
    <xf numFmtId="0" fontId="15" fillId="0" borderId="6" xfId="0" applyFont="1" applyBorder="1" applyAlignment="1" applyProtection="1">
      <alignment vertical="top" wrapText="1"/>
      <protection locked="0"/>
    </xf>
    <xf numFmtId="0" fontId="0" fillId="0" borderId="5" xfId="0" applyBorder="1" applyAlignment="1">
      <alignment horizontal="center"/>
    </xf>
    <xf numFmtId="0" fontId="0" fillId="0" borderId="0" xfId="0" applyBorder="1" applyAlignment="1">
      <alignment horizontal="center"/>
    </xf>
    <xf numFmtId="0" fontId="15" fillId="0" borderId="23" xfId="0" applyFont="1" applyBorder="1" applyAlignment="1">
      <alignment vertical="top" wrapText="1"/>
    </xf>
    <xf numFmtId="0" fontId="15" fillId="0" borderId="9" xfId="0" applyFont="1" applyBorder="1" applyAlignment="1">
      <alignment vertical="top" wrapText="1"/>
    </xf>
    <xf numFmtId="0" fontId="13" fillId="4" borderId="25" xfId="0" applyFont="1" applyFill="1" applyBorder="1"/>
    <xf numFmtId="0" fontId="13" fillId="4" borderId="26" xfId="0" applyFont="1" applyFill="1" applyBorder="1"/>
    <xf numFmtId="0" fontId="15" fillId="0" borderId="22" xfId="0" applyFont="1" applyBorder="1" applyAlignment="1">
      <alignment vertical="center" wrapText="1"/>
    </xf>
    <xf numFmtId="0" fontId="15" fillId="0" borderId="7" xfId="0" applyFont="1" applyBorder="1" applyAlignment="1">
      <alignment vertical="center" wrapText="1"/>
    </xf>
    <xf numFmtId="0" fontId="13" fillId="4" borderId="27" xfId="0" applyFont="1" applyFill="1" applyBorder="1" applyAlignment="1">
      <alignment horizontal="right"/>
    </xf>
    <xf numFmtId="0" fontId="0" fillId="0" borderId="24" xfId="0" applyBorder="1" applyAlignment="1">
      <alignment horizontal="right"/>
    </xf>
    <xf numFmtId="0" fontId="18" fillId="0" borderId="0" xfId="1" applyFont="1" applyBorder="1" applyAlignment="1" applyProtection="1">
      <alignment vertical="top"/>
      <protection locked="0"/>
    </xf>
    <xf numFmtId="0" fontId="15" fillId="0" borderId="21" xfId="0" applyFont="1" applyBorder="1" applyAlignment="1">
      <alignment vertical="top" wrapText="1"/>
    </xf>
    <xf numFmtId="0" fontId="15" fillId="0" borderId="6" xfId="0" applyFont="1" applyBorder="1" applyAlignment="1">
      <alignment vertical="top" wrapText="1"/>
    </xf>
    <xf numFmtId="0" fontId="15" fillId="0" borderId="22" xfId="0" quotePrefix="1" applyFont="1" applyBorder="1" applyAlignment="1">
      <alignment vertical="top" wrapText="1"/>
    </xf>
    <xf numFmtId="0" fontId="15" fillId="0" borderId="8" xfId="0" applyFont="1" applyBorder="1" applyAlignment="1">
      <alignment horizontal="left" vertical="top" wrapText="1"/>
    </xf>
    <xf numFmtId="0" fontId="15" fillId="0" borderId="0" xfId="0" applyFont="1" applyBorder="1" applyAlignment="1">
      <alignment horizontal="left" vertical="top" wrapText="1"/>
    </xf>
    <xf numFmtId="0" fontId="14" fillId="5" borderId="0" xfId="0" applyFont="1" applyFill="1" applyBorder="1" applyAlignment="1" applyProtection="1">
      <alignment horizontal="right" vertical="top"/>
      <protection locked="0"/>
    </xf>
    <xf numFmtId="0" fontId="16" fillId="0" borderId="10" xfId="0" applyFont="1" applyBorder="1" applyAlignment="1">
      <alignment horizontal="right" vertical="top"/>
    </xf>
    <xf numFmtId="0" fontId="16" fillId="0" borderId="0" xfId="0" applyFont="1" applyBorder="1" applyAlignment="1">
      <alignment horizontal="right" vertical="top"/>
    </xf>
    <xf numFmtId="0" fontId="10" fillId="0" borderId="5" xfId="0" applyFont="1" applyBorder="1" applyAlignment="1">
      <alignment horizontal="left"/>
    </xf>
    <xf numFmtId="0" fontId="10" fillId="0" borderId="0" xfId="0" applyFont="1" applyBorder="1" applyAlignment="1">
      <alignment horizontal="left"/>
    </xf>
    <xf numFmtId="0" fontId="15" fillId="0" borderId="7" xfId="0" applyFont="1" applyBorder="1" applyAlignment="1" applyProtection="1">
      <alignment vertical="center" wrapText="1"/>
      <protection locked="0"/>
    </xf>
    <xf numFmtId="0" fontId="15" fillId="0" borderId="0" xfId="0" applyFont="1" applyBorder="1" applyAlignment="1" applyProtection="1">
      <alignment horizontal="left" vertical="top" wrapText="1" indent="1"/>
      <protection locked="0"/>
    </xf>
  </cellXfs>
  <cellStyles count="17">
    <cellStyle name="Accent1" xfId="3" builtinId="29"/>
    <cellStyle name="Comma" xfId="6" builtinId="3"/>
    <cellStyle name="Euro" xfId="10"/>
    <cellStyle name="Euro 2" xfId="11"/>
    <cellStyle name="Followed Hyperlink" xfId="7" builtinId="9" customBuiltin="1"/>
    <cellStyle name="Heading 1" xfId="1" builtinId="16"/>
    <cellStyle name="Heading 2" xfId="2" builtinId="17"/>
    <cellStyle name="Hyperlink" xfId="4" builtinId="8" customBuiltin="1"/>
    <cellStyle name="Lien hypertexte 2" xfId="15"/>
    <cellStyle name="Milliers 2" xfId="12"/>
    <cellStyle name="Normal" xfId="0" builtinId="0"/>
    <cellStyle name="Normal 2" xfId="9"/>
    <cellStyle name="Normal 3" xfId="14"/>
    <cellStyle name="Normal 4" xfId="8"/>
    <cellStyle name="Percent" xfId="5" builtinId="5"/>
    <cellStyle name="Pourcentage 2" xfId="13"/>
    <cellStyle name="Обычный 3" xfId="16"/>
  </cellStyles>
  <dxfs count="7">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1" tint="0.499984740745262"/>
        </patternFill>
      </fill>
      <border>
        <left style="thin">
          <color rgb="FFCC071E"/>
        </left>
        <right style="thin">
          <color rgb="FFCC071E"/>
        </right>
        <top style="thin">
          <color rgb="FFCC071E"/>
        </top>
        <bottom style="thin">
          <color rgb="FFCC071E"/>
        </bottom>
        <vertical/>
        <horizontal/>
      </border>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1" tint="0.499984740745262"/>
        </patternFill>
      </fill>
      <border>
        <left style="thin">
          <color rgb="FFCC071E"/>
        </left>
        <right style="thin">
          <color rgb="FFCC071E"/>
        </right>
        <top style="thin">
          <color rgb="FFCC071E"/>
        </top>
        <bottom style="thin">
          <color rgb="FFCC071E"/>
        </bottom>
        <vertical/>
        <horizontal/>
      </border>
    </dxf>
    <dxf>
      <font>
        <color theme="0"/>
      </font>
      <fill>
        <patternFill>
          <bgColor theme="9" tint="-0.24994659260841701"/>
        </patternFill>
      </fill>
      <border>
        <left style="thin">
          <color theme="0"/>
        </left>
        <right style="thin">
          <color theme="0"/>
        </right>
        <top style="thin">
          <color theme="0"/>
        </top>
        <bottom style="thin">
          <color theme="0"/>
        </bottom>
      </border>
    </dxf>
  </dxfs>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1123949</xdr:colOff>
      <xdr:row>0</xdr:row>
      <xdr:rowOff>495061</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43024" cy="495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215041</xdr:colOff>
      <xdr:row>29</xdr:row>
      <xdr:rowOff>34611</xdr:rowOff>
    </xdr:from>
    <xdr:ext cx="1655037" cy="297325"/>
    <xdr:sp macro="" textlink="">
      <xdr:nvSpPr>
        <xdr:cNvPr id="2" name="TextBox 1"/>
        <xdr:cNvSpPr txBox="1"/>
      </xdr:nvSpPr>
      <xdr:spPr>
        <a:xfrm>
          <a:off x="2567716" y="8330886"/>
          <a:ext cx="1655037" cy="297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2.0∗ </a:t>
          </a:r>
          <a:r>
            <a:rPr lang="en-US" sz="1100" b="0" i="0">
              <a:solidFill>
                <a:schemeClr val="tx1"/>
              </a:solidFill>
              <a:effectLst/>
              <a:latin typeface="Cambria Math"/>
              <a:ea typeface="+mn-ea"/>
              <a:cs typeface="+mn-cs"/>
            </a:rPr>
            <a:t>∛𝑆𝑡𝑎𝑓𝑓𝑀𝑜𝑛𝑡ℎ𝑠 </a:t>
          </a:r>
          <a:r>
            <a:rPr lang="en-US" sz="1100" b="0" i="0">
              <a:latin typeface="Cambria Math"/>
            </a:rPr>
            <a:t>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M174"/>
  <sheetViews>
    <sheetView topLeftCell="A67" zoomScaleNormal="100" zoomScaleSheetLayoutView="130" workbookViewId="0">
      <selection activeCell="B8" sqref="B8:D8"/>
    </sheetView>
  </sheetViews>
  <sheetFormatPr defaultRowHeight="15" outlineLevelRow="1" x14ac:dyDescent="0.25"/>
  <cols>
    <col min="1" max="1" width="1.85546875" customWidth="1"/>
    <col min="2" max="2" width="3.28515625" customWidth="1"/>
    <col min="3" max="3" width="55.28515625" customWidth="1"/>
    <col min="4" max="4" width="4.85546875" customWidth="1"/>
    <col min="5" max="5" width="10.7109375" customWidth="1"/>
    <col min="6" max="6" width="11.85546875" customWidth="1"/>
    <col min="7" max="7" width="7.42578125" customWidth="1"/>
    <col min="8" max="8" width="11.7109375" customWidth="1"/>
    <col min="9" max="9" width="6.7109375" customWidth="1"/>
    <col min="10" max="10" width="6.5703125" customWidth="1"/>
    <col min="11" max="11" width="37.28515625" customWidth="1"/>
    <col min="12" max="12" width="11.7109375" hidden="1" customWidth="1"/>
    <col min="13" max="13" width="12.85546875" bestFit="1" customWidth="1"/>
    <col min="14" max="14" width="14.7109375" customWidth="1"/>
  </cols>
  <sheetData>
    <row r="1" spans="1:13" ht="39" customHeight="1" x14ac:dyDescent="0.25">
      <c r="A1" s="5"/>
      <c r="B1" s="152"/>
      <c r="C1" s="153"/>
      <c r="D1" s="153"/>
      <c r="E1" s="153"/>
      <c r="F1" s="153"/>
      <c r="G1" s="153"/>
      <c r="H1" s="153"/>
      <c r="I1" s="153"/>
      <c r="J1" s="153"/>
      <c r="K1" s="153"/>
      <c r="L1" s="70" t="str">
        <f>"B11:B" &amp; (ROW(PERT_Sum) - 1)</f>
        <v>B11:B157</v>
      </c>
      <c r="M1" s="5"/>
    </row>
    <row r="2" spans="1:13" ht="29.25" customHeight="1" thickBot="1" x14ac:dyDescent="0.3">
      <c r="A2" s="5"/>
      <c r="B2" s="155" t="s">
        <v>64</v>
      </c>
      <c r="C2" s="155"/>
      <c r="D2" s="155"/>
      <c r="E2" s="155"/>
      <c r="F2" s="155"/>
      <c r="G2" s="155"/>
      <c r="H2" s="132"/>
      <c r="I2" s="154" t="s">
        <v>408</v>
      </c>
      <c r="J2" s="154"/>
      <c r="K2" s="154"/>
      <c r="L2" s="70" t="str">
        <f>"E11:E" &amp; (ROW(PERT_Sum) - 1)</f>
        <v>E11:E157</v>
      </c>
      <c r="M2" s="5"/>
    </row>
    <row r="3" spans="1:13" ht="27" customHeight="1" thickTop="1" x14ac:dyDescent="0.25">
      <c r="A3" s="5"/>
      <c r="B3" s="11" t="s">
        <v>410</v>
      </c>
      <c r="C3" s="12"/>
      <c r="D3" s="12"/>
      <c r="E3" s="13"/>
      <c r="F3" s="143" t="s">
        <v>409</v>
      </c>
      <c r="G3" s="144"/>
      <c r="H3" s="144"/>
      <c r="I3" s="144"/>
      <c r="J3" s="144"/>
      <c r="K3" s="144"/>
      <c r="L3" s="70" t="str">
        <f>"H11:H" &amp; (ROW(PERT_Sum) - 1)</f>
        <v>H11:H157</v>
      </c>
      <c r="M3" s="5"/>
    </row>
    <row r="4" spans="1:13" ht="10.5" customHeight="1" x14ac:dyDescent="0.25">
      <c r="A4" s="5"/>
      <c r="B4" s="11"/>
      <c r="C4" s="12"/>
      <c r="D4" s="12"/>
      <c r="E4" s="13"/>
      <c r="F4" s="13"/>
      <c r="G4" s="23"/>
      <c r="H4" s="23"/>
      <c r="I4" s="23"/>
      <c r="J4" s="94"/>
      <c r="K4" s="23"/>
      <c r="L4" s="70" t="str">
        <f>"I11:I" &amp; (ROW(PERT_Sum) - 1)</f>
        <v>I11:I157</v>
      </c>
      <c r="M4" s="5"/>
    </row>
    <row r="5" spans="1:13" s="1" customFormat="1" x14ac:dyDescent="0.25">
      <c r="A5" s="9"/>
      <c r="B5" s="149" t="s">
        <v>411</v>
      </c>
      <c r="C5" s="149"/>
      <c r="D5" s="149"/>
      <c r="E5" s="149"/>
      <c r="F5" s="149"/>
      <c r="G5" s="149"/>
      <c r="H5" s="149"/>
      <c r="I5" s="149"/>
      <c r="J5" s="150"/>
      <c r="K5"/>
      <c r="L5" s="9">
        <v>10</v>
      </c>
      <c r="M5" s="9"/>
    </row>
    <row r="6" spans="1:13" s="1" customFormat="1" ht="15" customHeight="1" x14ac:dyDescent="0.25">
      <c r="A6" s="9"/>
      <c r="B6" s="149" t="s">
        <v>412</v>
      </c>
      <c r="C6" s="149"/>
      <c r="D6" s="149"/>
      <c r="E6" s="149"/>
      <c r="F6" s="149"/>
      <c r="G6" s="149"/>
      <c r="H6" s="149"/>
      <c r="I6" s="149"/>
      <c r="J6" s="150"/>
      <c r="K6"/>
      <c r="L6" s="9"/>
      <c r="M6" s="9"/>
    </row>
    <row r="7" spans="1:13" s="1" customFormat="1" x14ac:dyDescent="0.25">
      <c r="A7" s="9"/>
      <c r="B7" s="149" t="s">
        <v>255</v>
      </c>
      <c r="C7" s="149"/>
      <c r="D7" s="149"/>
      <c r="E7" s="149"/>
      <c r="F7" s="149"/>
      <c r="G7" s="149"/>
      <c r="H7" s="149"/>
      <c r="I7" s="149"/>
      <c r="J7" s="150"/>
      <c r="K7"/>
      <c r="L7" s="9"/>
      <c r="M7" s="9"/>
    </row>
    <row r="8" spans="1:13" s="1" customFormat="1" x14ac:dyDescent="0.25">
      <c r="A8" s="9"/>
      <c r="B8" s="156" t="s">
        <v>183</v>
      </c>
      <c r="C8" s="156"/>
      <c r="D8" s="156"/>
      <c r="E8" s="133">
        <v>0.99</v>
      </c>
      <c r="F8" s="149"/>
      <c r="G8" s="149"/>
      <c r="H8" s="149"/>
      <c r="I8" s="149"/>
      <c r="J8" s="150"/>
      <c r="K8"/>
      <c r="L8" s="9"/>
      <c r="M8" s="9"/>
    </row>
    <row r="9" spans="1:13" ht="15.75" customHeight="1" x14ac:dyDescent="0.25">
      <c r="A9" s="5"/>
      <c r="B9" s="5"/>
      <c r="C9" s="5"/>
      <c r="D9" s="5"/>
      <c r="E9" s="5"/>
      <c r="F9" s="5"/>
      <c r="G9" s="5"/>
      <c r="H9" s="5"/>
      <c r="I9" s="5"/>
      <c r="J9" s="5"/>
      <c r="L9" s="5"/>
      <c r="M9" s="5"/>
    </row>
    <row r="10" spans="1:13" x14ac:dyDescent="0.25">
      <c r="A10" s="5"/>
      <c r="B10" s="14" t="s">
        <v>0</v>
      </c>
      <c r="C10" s="145" t="s">
        <v>65</v>
      </c>
      <c r="D10" s="146"/>
      <c r="E10" s="15" t="s">
        <v>66</v>
      </c>
      <c r="F10" s="15" t="s">
        <v>67</v>
      </c>
      <c r="G10" s="15" t="s">
        <v>68</v>
      </c>
      <c r="H10" s="15" t="s">
        <v>69</v>
      </c>
      <c r="I10" s="15" t="s">
        <v>1</v>
      </c>
      <c r="J10" s="95" t="str">
        <f>TEXT($E$8, "0%")</f>
        <v>99%</v>
      </c>
      <c r="K10" s="16" t="s">
        <v>70</v>
      </c>
      <c r="L10" s="4"/>
      <c r="M10" s="5"/>
    </row>
    <row r="11" spans="1:13" s="2" customFormat="1" x14ac:dyDescent="0.25">
      <c r="A11" s="8"/>
      <c r="B11" s="17">
        <v>1</v>
      </c>
      <c r="C11" s="142" t="s">
        <v>233</v>
      </c>
      <c r="D11" s="142"/>
      <c r="E11" s="17">
        <f ca="1">SUBTOTAL(9, INDIRECT("E" &amp; (ROW()+1) &amp; ":E" &amp; TEXT(MATCH($B11+1,$B:$B, 0)-1, "0")))</f>
        <v>14</v>
      </c>
      <c r="F11" s="17">
        <f ca="1">SUBTOTAL(9, INDIRECT("F" &amp; (ROW()+1) &amp; ":F" &amp; TEXT(MATCH($B11+1,$B:$B, 0)-1, "0")))</f>
        <v>18</v>
      </c>
      <c r="G11" s="18"/>
      <c r="H11" s="17">
        <f ca="1">SUBTOTAL(9, INDIRECT("H" &amp; (ROW()+1) &amp; ":H" &amp; TEXT(MATCH($B11+1,$B:$B, 0)-1, "0")))</f>
        <v>21.6</v>
      </c>
      <c r="I11" s="19">
        <f ca="1">SUBTOTAL(9, INDIRECT("I" &amp; (ROW()+1) &amp; ":I" &amp; TEXT(MATCH($B11+1,$B:$B, 0)-1, "0")))</f>
        <v>17.933333333333334</v>
      </c>
      <c r="J11" s="19"/>
      <c r="K11" s="20"/>
      <c r="L11" s="6"/>
      <c r="M11" s="8"/>
    </row>
    <row r="12" spans="1:13" s="3" customFormat="1" ht="48" outlineLevel="1" x14ac:dyDescent="0.25">
      <c r="A12" s="7"/>
      <c r="B12" s="71" t="s">
        <v>38</v>
      </c>
      <c r="C12" s="147" t="s">
        <v>2</v>
      </c>
      <c r="D12" s="147"/>
      <c r="E12" s="122">
        <v>0</v>
      </c>
      <c r="F12" s="122">
        <v>0</v>
      </c>
      <c r="G12" s="30">
        <v>0</v>
      </c>
      <c r="H12" s="29">
        <f>IF(ISNUMBER(F12), IF(ISNUMBER(G12), F12+(G12*F12), F12), "N/A")</f>
        <v>0</v>
      </c>
      <c r="I12" s="31">
        <f t="shared" ref="I12:I18" si="0">IF(AND(ISNUMBER(E12), ISNUMBER(F12),ISNUMBER(H12)), (E12+4*F12+H12)/6, "N/A")</f>
        <v>0</v>
      </c>
      <c r="J12" s="31">
        <f>IF(AND(ISNUMBER(E12), ISNUMBER(F12),ISNUMBER(H12)), IF(AND(E12=F12,F12=H12,E12=H12), F12, ROUND(_xlfn.BETA.INV($E$8,((4*F12+H12-5*E12)/(H12-E12)), ((5*H12-E12-4*F12)/(H12-E12)), E12, H12), 1)), "N/A")</f>
        <v>0</v>
      </c>
      <c r="K12" s="32" t="s">
        <v>235</v>
      </c>
      <c r="L12" s="101"/>
      <c r="M12" s="7"/>
    </row>
    <row r="13" spans="1:13" s="3" customFormat="1" outlineLevel="1" x14ac:dyDescent="0.25">
      <c r="A13" s="7"/>
      <c r="B13" s="71" t="s">
        <v>38</v>
      </c>
      <c r="C13" s="148" t="s">
        <v>234</v>
      </c>
      <c r="D13" s="148"/>
      <c r="E13" s="122"/>
      <c r="F13" s="122"/>
      <c r="G13" s="30"/>
      <c r="H13" s="33" t="str">
        <f t="shared" ref="H12:H13" si="1">IF(ISNUMBER(F13), IF(ISNUMBER(G13), F13+(G13*F13), F13), "N/A")</f>
        <v>N/A</v>
      </c>
      <c r="I13" s="35" t="str">
        <f t="shared" si="0"/>
        <v>N/A</v>
      </c>
      <c r="J13" s="31" t="str">
        <f t="shared" ref="J13:J157" si="2">IF(AND(ISNUMBER(E13), ISNUMBER(F13),ISNUMBER(H13)), IF(AND(E13=F13,F13=H13,E13=H13), F13, ROUND(_xlfn.BETA.INV($E$8,((4*F13+H13-5*E13)/(H13-E13)), ((5*H13-E13-4*F13)/(H13-E13)), E13, H13), 1)), "N/A")</f>
        <v>N/A</v>
      </c>
      <c r="K13" s="36"/>
      <c r="L13" s="69"/>
      <c r="M13" s="7"/>
    </row>
    <row r="14" spans="1:13" s="3" customFormat="1" outlineLevel="1" x14ac:dyDescent="0.25">
      <c r="A14" s="7"/>
      <c r="B14" s="71" t="s">
        <v>116</v>
      </c>
      <c r="C14" s="148" t="s">
        <v>239</v>
      </c>
      <c r="D14" s="148"/>
      <c r="E14" s="122"/>
      <c r="F14" s="122"/>
      <c r="G14" s="30"/>
      <c r="H14" s="33" t="str">
        <f>IF(ISNUMBER(F14), IF(ISNUMBER(G14), F14+(G14*F14), F14), "N/A")</f>
        <v>N/A</v>
      </c>
      <c r="I14" s="35" t="str">
        <f t="shared" si="0"/>
        <v>N/A</v>
      </c>
      <c r="J14" s="31" t="str">
        <f t="shared" si="2"/>
        <v>N/A</v>
      </c>
      <c r="K14" s="36"/>
      <c r="L14" s="69"/>
      <c r="M14" s="7"/>
    </row>
    <row r="15" spans="1:13" s="2" customFormat="1" outlineLevel="1" x14ac:dyDescent="0.25">
      <c r="A15" s="8"/>
      <c r="B15" s="71" t="s">
        <v>116</v>
      </c>
      <c r="C15" s="148" t="s">
        <v>33</v>
      </c>
      <c r="D15" s="148"/>
      <c r="E15" s="122"/>
      <c r="F15" s="122"/>
      <c r="G15" s="30"/>
      <c r="H15" s="33" t="str">
        <f>IF(ISNUMBER(F15), IF(ISNUMBER(G15), F15+(G15*F15), F15), "N/A")</f>
        <v>N/A</v>
      </c>
      <c r="I15" s="35" t="str">
        <f t="shared" si="0"/>
        <v>N/A</v>
      </c>
      <c r="J15" s="31" t="str">
        <f t="shared" si="2"/>
        <v>N/A</v>
      </c>
      <c r="K15" s="43"/>
      <c r="L15" s="69"/>
      <c r="M15" s="8"/>
    </row>
    <row r="16" spans="1:13" s="3" customFormat="1" ht="28.5" customHeight="1" outlineLevel="1" x14ac:dyDescent="0.25">
      <c r="A16" s="7"/>
      <c r="B16" s="71" t="s">
        <v>38</v>
      </c>
      <c r="C16" s="148" t="s">
        <v>236</v>
      </c>
      <c r="D16" s="148"/>
      <c r="E16" s="122">
        <v>8</v>
      </c>
      <c r="F16" s="122">
        <v>10</v>
      </c>
      <c r="G16" s="30">
        <v>0.2</v>
      </c>
      <c r="H16" s="33">
        <f>IF(ISNUMBER(F16), IF(ISNUMBER(G16), F16+(G16*F16), F16), "N/A")</f>
        <v>12</v>
      </c>
      <c r="I16" s="35">
        <f t="shared" si="0"/>
        <v>10</v>
      </c>
      <c r="J16" s="31">
        <f t="shared" si="2"/>
        <v>11.6</v>
      </c>
      <c r="K16" s="36"/>
      <c r="L16" s="69"/>
      <c r="M16" s="7"/>
    </row>
    <row r="17" spans="1:13" s="3" customFormat="1" ht="28.5" customHeight="1" outlineLevel="1" x14ac:dyDescent="0.25">
      <c r="A17" s="7"/>
      <c r="B17" s="71" t="s">
        <v>38</v>
      </c>
      <c r="C17" s="135" t="s">
        <v>249</v>
      </c>
      <c r="D17" s="135"/>
      <c r="E17" s="25">
        <v>0</v>
      </c>
      <c r="F17" s="25">
        <v>0</v>
      </c>
      <c r="G17" s="64">
        <v>0</v>
      </c>
      <c r="H17" s="37">
        <f>IF(ISNUMBER(F17), IF(ISNUMBER(G17), F17+(G17*F17), F17), "N/A")</f>
        <v>0</v>
      </c>
      <c r="I17" s="39">
        <f t="shared" si="0"/>
        <v>0</v>
      </c>
      <c r="J17" s="31">
        <f t="shared" si="2"/>
        <v>0</v>
      </c>
      <c r="K17" s="66"/>
      <c r="L17" s="69"/>
      <c r="M17" s="7"/>
    </row>
    <row r="18" spans="1:13" s="3" customFormat="1" ht="36" outlineLevel="1" x14ac:dyDescent="0.25">
      <c r="A18" s="7"/>
      <c r="B18" s="71" t="s">
        <v>207</v>
      </c>
      <c r="C18" s="137" t="s">
        <v>238</v>
      </c>
      <c r="D18" s="137"/>
      <c r="E18" s="25">
        <v>6</v>
      </c>
      <c r="F18" s="25">
        <v>8</v>
      </c>
      <c r="G18" s="64">
        <v>0.2</v>
      </c>
      <c r="H18" s="37">
        <f>IF(ISNUMBER(F18), IF(ISNUMBER(G18), F18+(G18*F18), F18), "N/A")</f>
        <v>9.6</v>
      </c>
      <c r="I18" s="39">
        <f t="shared" si="0"/>
        <v>7.9333333333333336</v>
      </c>
      <c r="J18" s="31">
        <f t="shared" si="2"/>
        <v>9.3000000000000007</v>
      </c>
      <c r="K18" s="66" t="s">
        <v>248</v>
      </c>
      <c r="L18" s="69"/>
      <c r="M18" s="7"/>
    </row>
    <row r="19" spans="1:13" s="3" customFormat="1" outlineLevel="1" x14ac:dyDescent="0.25">
      <c r="A19" s="7"/>
      <c r="B19" s="71" t="s">
        <v>39</v>
      </c>
      <c r="C19" s="137" t="s">
        <v>237</v>
      </c>
      <c r="D19" s="137"/>
      <c r="E19" s="25"/>
      <c r="F19" s="25"/>
      <c r="G19" s="64"/>
      <c r="H19" s="37" t="str">
        <f t="shared" ref="H19" si="3">IF(ISNUMBER(F19), IF(ISNUMBER(G19), F19+(G19*F19), F19), "N/A")</f>
        <v>N/A</v>
      </c>
      <c r="I19" s="39" t="str">
        <f t="shared" ref="I19" si="4">IF(AND(ISNUMBER(E19), ISNUMBER(F19),ISNUMBER(H19)), (E19+4*F19+H19)/6, "N/A")</f>
        <v>N/A</v>
      </c>
      <c r="J19" s="31" t="str">
        <f t="shared" si="2"/>
        <v>N/A</v>
      </c>
      <c r="K19" s="66"/>
      <c r="L19" s="69"/>
      <c r="M19" s="7"/>
    </row>
    <row r="20" spans="1:13" s="3" customFormat="1" outlineLevel="1" x14ac:dyDescent="0.25">
      <c r="A20" s="7"/>
      <c r="B20" s="71"/>
      <c r="C20" s="137"/>
      <c r="D20" s="137"/>
      <c r="E20" s="25"/>
      <c r="F20" s="25"/>
      <c r="G20" s="64"/>
      <c r="H20" s="63" t="str">
        <f>IF(ISNUMBER(F20), IF(ISNUMBER(G20), F20+(G20*F20), F20), "N/A")</f>
        <v>N/A</v>
      </c>
      <c r="I20" s="65" t="str">
        <f>IF(AND(ISNUMBER(E20), ISNUMBER(F20),ISNUMBER(H20)), (E20+4*F20+H20)/6, "N/A")</f>
        <v>N/A</v>
      </c>
      <c r="J20" s="31" t="str">
        <f t="shared" si="2"/>
        <v>N/A</v>
      </c>
      <c r="K20" s="66"/>
      <c r="L20" s="69"/>
      <c r="M20" s="7"/>
    </row>
    <row r="21" spans="1:13" s="2" customFormat="1" x14ac:dyDescent="0.25">
      <c r="A21" s="8"/>
      <c r="B21" s="17">
        <v>2</v>
      </c>
      <c r="C21" s="142" t="s">
        <v>71</v>
      </c>
      <c r="D21" s="142"/>
      <c r="E21" s="17">
        <f ca="1">SUBTOTAL(9, INDIRECT("E" &amp; (ROW()+1) &amp; ":E" &amp; TEXT(MATCH($B21+1,$B:$B, 0)-1, "0")))</f>
        <v>8</v>
      </c>
      <c r="F21" s="17">
        <f ca="1">SUBTOTAL(9, INDIRECT("F" &amp; (ROW()+1) &amp; ":F" &amp; TEXT(MATCH($B21+1,$B:$B, 0)-1, "0")))</f>
        <v>12</v>
      </c>
      <c r="G21" s="18"/>
      <c r="H21" s="17">
        <f ca="1">SUBTOTAL(9, INDIRECT("H" &amp; (ROW()+1) &amp; ":H" &amp; TEXT(MATCH($B21+1,$B:$B, 0)-1, "0")))</f>
        <v>14.4</v>
      </c>
      <c r="I21" s="19">
        <f ca="1">SUBTOTAL(9, INDIRECT("I" &amp; (ROW()+1) &amp; ":I" &amp; TEXT(MATCH($B21+1,$B:$B, 0)-1, "0")))</f>
        <v>11.733333333333334</v>
      </c>
      <c r="J21" s="19"/>
      <c r="K21" s="20"/>
      <c r="L21" s="69"/>
      <c r="M21" s="8"/>
    </row>
    <row r="22" spans="1:13" s="2" customFormat="1" outlineLevel="1" x14ac:dyDescent="0.25">
      <c r="A22" s="8"/>
      <c r="B22" s="71" t="s">
        <v>38</v>
      </c>
      <c r="C22" s="147" t="s">
        <v>250</v>
      </c>
      <c r="D22" s="147"/>
      <c r="E22" s="122">
        <v>0</v>
      </c>
      <c r="F22" s="122">
        <v>0</v>
      </c>
      <c r="G22" s="30">
        <v>0</v>
      </c>
      <c r="H22" s="29">
        <f t="shared" ref="H22:H28" si="5">IF(ISNUMBER(F22), IF(ISNUMBER(G22), F22+(G22*F22), F22), "N/A")</f>
        <v>0</v>
      </c>
      <c r="I22" s="31">
        <f t="shared" ref="I22:I28" si="6">IF(AND(ISNUMBER(E22), ISNUMBER(F22),ISNUMBER(H22)), (E22+4*F22+H22)/6, "N/A")</f>
        <v>0</v>
      </c>
      <c r="J22" s="31">
        <f t="shared" si="2"/>
        <v>0</v>
      </c>
      <c r="K22" s="41"/>
      <c r="L22" s="69"/>
      <c r="M22" s="8"/>
    </row>
    <row r="23" spans="1:13" s="2" customFormat="1" outlineLevel="1" x14ac:dyDescent="0.25">
      <c r="A23" s="8"/>
      <c r="B23" s="71" t="s">
        <v>117</v>
      </c>
      <c r="C23" s="148" t="s">
        <v>3</v>
      </c>
      <c r="D23" s="148"/>
      <c r="E23" s="123"/>
      <c r="F23" s="123"/>
      <c r="G23" s="34"/>
      <c r="H23" s="33" t="str">
        <f t="shared" si="5"/>
        <v>N/A</v>
      </c>
      <c r="I23" s="35" t="str">
        <f t="shared" si="6"/>
        <v>N/A</v>
      </c>
      <c r="J23" s="31" t="str">
        <f t="shared" si="2"/>
        <v>N/A</v>
      </c>
      <c r="K23" s="43"/>
      <c r="L23" s="69"/>
      <c r="M23" s="8"/>
    </row>
    <row r="24" spans="1:13" s="2" customFormat="1" outlineLevel="1" x14ac:dyDescent="0.25">
      <c r="A24" s="8"/>
      <c r="B24" s="118"/>
      <c r="C24" s="148" t="s">
        <v>184</v>
      </c>
      <c r="D24" s="148"/>
      <c r="E24" s="123"/>
      <c r="F24" s="123"/>
      <c r="G24" s="34"/>
      <c r="H24" s="33" t="str">
        <f t="shared" ref="H24" si="7">IF(ISNUMBER(F24), IF(ISNUMBER(G24), F24+(G24*F24), F24), "N/A")</f>
        <v>N/A</v>
      </c>
      <c r="I24" s="35" t="str">
        <f t="shared" ref="I24" si="8">IF(AND(ISNUMBER(E24), ISNUMBER(F24),ISNUMBER(H24)), (E24+4*F24+H24)/6, "N/A")</f>
        <v>N/A</v>
      </c>
      <c r="J24" s="31" t="str">
        <f t="shared" si="2"/>
        <v>N/A</v>
      </c>
      <c r="K24" s="107"/>
      <c r="L24" s="69"/>
      <c r="M24" s="8"/>
    </row>
    <row r="25" spans="1:13" s="2" customFormat="1" ht="48" outlineLevel="1" x14ac:dyDescent="0.25">
      <c r="A25" s="8"/>
      <c r="B25" s="71" t="s">
        <v>208</v>
      </c>
      <c r="C25" s="148" t="s">
        <v>4</v>
      </c>
      <c r="D25" s="148"/>
      <c r="E25" s="123">
        <v>8</v>
      </c>
      <c r="F25" s="123">
        <v>12</v>
      </c>
      <c r="G25" s="34">
        <v>0.2</v>
      </c>
      <c r="H25" s="33">
        <f t="shared" si="5"/>
        <v>14.4</v>
      </c>
      <c r="I25" s="35">
        <f t="shared" si="6"/>
        <v>11.733333333333334</v>
      </c>
      <c r="J25" s="31">
        <f t="shared" si="2"/>
        <v>14</v>
      </c>
      <c r="K25" s="43" t="s">
        <v>186</v>
      </c>
      <c r="L25" s="69"/>
      <c r="M25" s="8"/>
    </row>
    <row r="26" spans="1:13" s="2" customFormat="1" outlineLevel="1" x14ac:dyDescent="0.25">
      <c r="A26" s="8"/>
      <c r="B26" s="71" t="s">
        <v>117</v>
      </c>
      <c r="C26" s="148" t="s">
        <v>5</v>
      </c>
      <c r="D26" s="148"/>
      <c r="E26" s="123">
        <v>0</v>
      </c>
      <c r="F26" s="123">
        <v>0</v>
      </c>
      <c r="G26" s="34">
        <v>0</v>
      </c>
      <c r="H26" s="33">
        <f t="shared" si="5"/>
        <v>0</v>
      </c>
      <c r="I26" s="35">
        <f t="shared" si="6"/>
        <v>0</v>
      </c>
      <c r="J26" s="31">
        <f t="shared" si="2"/>
        <v>0</v>
      </c>
      <c r="K26" s="43"/>
      <c r="L26" s="69"/>
      <c r="M26" s="8"/>
    </row>
    <row r="27" spans="1:13" s="2" customFormat="1" outlineLevel="1" x14ac:dyDescent="0.25">
      <c r="A27" s="8"/>
      <c r="B27" s="71" t="s">
        <v>117</v>
      </c>
      <c r="C27" s="148" t="s">
        <v>6</v>
      </c>
      <c r="D27" s="148"/>
      <c r="E27" s="123">
        <v>0</v>
      </c>
      <c r="F27" s="123">
        <v>0</v>
      </c>
      <c r="G27" s="34">
        <v>0</v>
      </c>
      <c r="H27" s="42">
        <f t="shared" si="5"/>
        <v>0</v>
      </c>
      <c r="I27" s="35">
        <f t="shared" si="6"/>
        <v>0</v>
      </c>
      <c r="J27" s="31">
        <f t="shared" si="2"/>
        <v>0</v>
      </c>
      <c r="K27" s="43"/>
      <c r="L27" s="69"/>
      <c r="M27" s="8"/>
    </row>
    <row r="28" spans="1:13" s="2" customFormat="1" outlineLevel="1" x14ac:dyDescent="0.25">
      <c r="A28" s="8"/>
      <c r="B28" s="118"/>
      <c r="C28" s="135" t="s">
        <v>209</v>
      </c>
      <c r="D28" s="135"/>
      <c r="E28" s="124"/>
      <c r="F28" s="124"/>
      <c r="G28" s="38"/>
      <c r="H28" s="44" t="str">
        <f t="shared" si="5"/>
        <v>N/A</v>
      </c>
      <c r="I28" s="39" t="str">
        <f t="shared" si="6"/>
        <v>N/A</v>
      </c>
      <c r="J28" s="31" t="str">
        <f t="shared" si="2"/>
        <v>N/A</v>
      </c>
      <c r="K28" s="45"/>
      <c r="L28" s="69"/>
      <c r="M28" s="8"/>
    </row>
    <row r="29" spans="1:13" s="2" customFormat="1" outlineLevel="1" x14ac:dyDescent="0.25">
      <c r="A29" s="8"/>
      <c r="B29" s="67"/>
      <c r="C29" s="137"/>
      <c r="D29" s="137"/>
      <c r="E29" s="25"/>
      <c r="F29" s="25"/>
      <c r="G29" s="64"/>
      <c r="H29" s="44" t="str">
        <f t="shared" ref="H29:H30" si="9">IF(ISNUMBER(F29), IF(ISNUMBER(G29), F29+(G29*F29), F29), "N/A")</f>
        <v>N/A</v>
      </c>
      <c r="I29" s="39" t="str">
        <f t="shared" ref="I29:I30" si="10">IF(AND(ISNUMBER(E29), ISNUMBER(F29),ISNUMBER(H29)), (E29+4*F29+H29)/6, "N/A")</f>
        <v>N/A</v>
      </c>
      <c r="J29" s="31" t="str">
        <f t="shared" si="2"/>
        <v>N/A</v>
      </c>
      <c r="K29" s="45"/>
      <c r="L29" s="69"/>
      <c r="M29" s="8"/>
    </row>
    <row r="30" spans="1:13" s="2" customFormat="1" outlineLevel="1" x14ac:dyDescent="0.25">
      <c r="A30" s="8"/>
      <c r="B30" s="67"/>
      <c r="C30" s="137"/>
      <c r="D30" s="137"/>
      <c r="E30" s="25"/>
      <c r="F30" s="25"/>
      <c r="G30" s="64"/>
      <c r="H30" s="44" t="str">
        <f t="shared" si="9"/>
        <v>N/A</v>
      </c>
      <c r="I30" s="39" t="str">
        <f t="shared" si="10"/>
        <v>N/A</v>
      </c>
      <c r="J30" s="31" t="str">
        <f t="shared" si="2"/>
        <v>N/A</v>
      </c>
      <c r="K30" s="45"/>
      <c r="L30" s="69"/>
      <c r="M30" s="8"/>
    </row>
    <row r="31" spans="1:13" s="2" customFormat="1" ht="24" x14ac:dyDescent="0.25">
      <c r="A31" s="8"/>
      <c r="B31" s="17">
        <v>3</v>
      </c>
      <c r="C31" s="125" t="s">
        <v>72</v>
      </c>
      <c r="D31" s="21" t="s">
        <v>75</v>
      </c>
      <c r="E31" s="17">
        <f ca="1">SUBTOTAL(9, INDIRECT("E" &amp; (ROW()+1) &amp; ":E" &amp; TEXT(MATCH($B31+1,$B:$B, 0)-1, "0")))</f>
        <v>958.59999999999889</v>
      </c>
      <c r="F31" s="17">
        <f ca="1">SUBTOTAL(9, INDIRECT("F" &amp; (ROW()+1) &amp; ":F" &amp; TEXT(MATCH($B31+1,$B:$B, 0)-1, "0")))</f>
        <v>1378.7999999999988</v>
      </c>
      <c r="G31" s="22"/>
      <c r="H31" s="17">
        <f ca="1">SUBTOTAL(9, INDIRECT("H" &amp; (ROW()+1) &amp; ":H" &amp; TEXT(MATCH($B31+1,$B:$B, 0)-1, "0")))</f>
        <v>1620.2125000000026</v>
      </c>
      <c r="I31" s="19">
        <f ca="1">SUBTOTAL(9, INDIRECT("I" &amp; (ROW()+1) &amp; ":I" &amp; TEXT(MATCH($B31+1,$B:$B, 0)-1, "0")))</f>
        <v>1349.0020833333313</v>
      </c>
      <c r="J31" s="19"/>
      <c r="K31" s="20"/>
      <c r="L31" s="69"/>
      <c r="M31" s="8"/>
    </row>
    <row r="32" spans="1:13" s="2" customFormat="1" ht="48" outlineLevel="1" x14ac:dyDescent="0.25">
      <c r="A32" s="8"/>
      <c r="B32" s="40"/>
      <c r="C32" s="127" t="s">
        <v>257</v>
      </c>
      <c r="D32" s="29" t="s">
        <v>38</v>
      </c>
      <c r="E32" s="40">
        <f t="shared" ref="E32:E139" ca="1" si="11">IF(NOT(ISBLANK($D32)),INDIRECT(LOOKUP($D32, TShirt_Sizes, Range_Names_Min)),"Size?")</f>
        <v>7.25</v>
      </c>
      <c r="F32" s="40">
        <f t="shared" ref="F32:F139" ca="1" si="12">IF(NOT(ISBLANK($D32)),INDIRECT(LOOKUP($D32,TShirt_Sizes, Range_Names_Likely)),"Size?")</f>
        <v>10.100000000000001</v>
      </c>
      <c r="G32" s="30">
        <f t="shared" ref="G32:G139" ca="1" si="13">IF(NOT(ISBLANK($D32)),INDIRECT(LOOKUP($D32, TShirt_Sizes, Range_Names_Buffer)),"Size?")</f>
        <v>0.13985148514851481</v>
      </c>
      <c r="H32" s="40">
        <f ca="1">IF(ISNUMBER(F32), IF(ISNUMBER(G32), F32+(G32*F32), F32), "N/A")</f>
        <v>11.512500000000001</v>
      </c>
      <c r="I32" s="31">
        <f ca="1">IF(AND(ISNUMBER(E32), ISNUMBER(F32),ISNUMBER(H32)), (E32+4*F32+H32)/6, "N/A")</f>
        <v>9.8604166666666675</v>
      </c>
      <c r="J32" s="31">
        <f t="shared" ca="1" si="2"/>
        <v>11.3</v>
      </c>
      <c r="K32" s="130" t="s">
        <v>256</v>
      </c>
      <c r="L32" s="69"/>
      <c r="M32" s="8"/>
    </row>
    <row r="33" spans="1:13" s="2" customFormat="1" outlineLevel="1" x14ac:dyDescent="0.25">
      <c r="A33" s="8"/>
      <c r="B33" s="42"/>
      <c r="C33" s="128" t="s">
        <v>258</v>
      </c>
      <c r="D33" s="29" t="s">
        <v>37</v>
      </c>
      <c r="E33" s="40">
        <f t="shared" ca="1" si="11"/>
        <v>3.0500000000000003</v>
      </c>
      <c r="F33" s="40">
        <f t="shared" ca="1" si="12"/>
        <v>4.3</v>
      </c>
      <c r="G33" s="30">
        <f ca="1">IF(NOT(ISBLANK($D33)),INDIRECT(LOOKUP($D33, TShirt_Sizes, Range_Names_Buffer)),"Size?")</f>
        <v>0.12325581395348822</v>
      </c>
      <c r="H33" s="42">
        <f t="shared" ref="H33:H35" ca="1" si="14">IF(ISNUMBER(F33), IF(ISNUMBER(G33), F33+(G33*F33), F33), "N/A")</f>
        <v>4.8299999999999992</v>
      </c>
      <c r="I33" s="35">
        <f t="shared" ref="I33:I35" ca="1" si="15">IF(AND(ISNUMBER(E33), ISNUMBER(F33),ISNUMBER(H33)), (E33+4*F33+H33)/6, "N/A")</f>
        <v>4.18</v>
      </c>
      <c r="J33" s="31">
        <f t="shared" ca="1" si="2"/>
        <v>4.8</v>
      </c>
      <c r="K33" s="130"/>
      <c r="L33" s="69"/>
      <c r="M33" s="8"/>
    </row>
    <row r="34" spans="1:13" s="2" customFormat="1" ht="72" outlineLevel="1" x14ac:dyDescent="0.25">
      <c r="A34" s="8"/>
      <c r="B34" s="42"/>
      <c r="C34" s="128" t="s">
        <v>259</v>
      </c>
      <c r="D34" s="29" t="s">
        <v>38</v>
      </c>
      <c r="E34" s="40">
        <f t="shared" ca="1" si="11"/>
        <v>7.25</v>
      </c>
      <c r="F34" s="40">
        <f t="shared" ca="1" si="12"/>
        <v>10.100000000000001</v>
      </c>
      <c r="G34" s="30">
        <f t="shared" ca="1" si="13"/>
        <v>0.13985148514851481</v>
      </c>
      <c r="H34" s="42">
        <f t="shared" ca="1" si="14"/>
        <v>11.512500000000001</v>
      </c>
      <c r="I34" s="35">
        <f t="shared" ca="1" si="15"/>
        <v>9.8604166666666675</v>
      </c>
      <c r="J34" s="31">
        <f t="shared" ca="1" si="2"/>
        <v>11.3</v>
      </c>
      <c r="K34" s="130" t="s">
        <v>260</v>
      </c>
      <c r="L34" s="69"/>
      <c r="M34" s="8"/>
    </row>
    <row r="35" spans="1:13" s="2" customFormat="1" outlineLevel="1" x14ac:dyDescent="0.25">
      <c r="A35" s="8"/>
      <c r="B35" s="44"/>
      <c r="C35" s="129" t="s">
        <v>261</v>
      </c>
      <c r="D35" s="29" t="s">
        <v>37</v>
      </c>
      <c r="E35" s="40">
        <f t="shared" ca="1" si="11"/>
        <v>3.0500000000000003</v>
      </c>
      <c r="F35" s="40">
        <f t="shared" ca="1" si="12"/>
        <v>4.3</v>
      </c>
      <c r="G35" s="30">
        <f t="shared" ca="1" si="13"/>
        <v>0.12325581395348822</v>
      </c>
      <c r="H35" s="44">
        <f t="shared" ca="1" si="14"/>
        <v>4.8299999999999992</v>
      </c>
      <c r="I35" s="39">
        <f t="shared" ca="1" si="15"/>
        <v>4.18</v>
      </c>
      <c r="J35" s="31">
        <f t="shared" ca="1" si="2"/>
        <v>4.8</v>
      </c>
      <c r="K35" s="45"/>
      <c r="L35" s="69"/>
      <c r="M35" s="8"/>
    </row>
    <row r="36" spans="1:13" s="2" customFormat="1" outlineLevel="1" x14ac:dyDescent="0.25">
      <c r="A36" s="8"/>
      <c r="B36" s="24"/>
      <c r="C36" s="126" t="s">
        <v>262</v>
      </c>
      <c r="D36" s="29" t="s">
        <v>200</v>
      </c>
      <c r="E36" s="40">
        <f t="shared" ca="1" si="11"/>
        <v>1.5999999999999999</v>
      </c>
      <c r="F36" s="40">
        <f t="shared" ca="1" si="12"/>
        <v>2.4</v>
      </c>
      <c r="G36" s="30">
        <f t="shared" ca="1" si="13"/>
        <v>0.10000000000000028</v>
      </c>
      <c r="H36" s="44">
        <f t="shared" ref="H36:H45" ca="1" si="16">IF(ISNUMBER(F36), IF(ISNUMBER(G36), F36+(G36*F36), F36), "N/A")</f>
        <v>2.6400000000000006</v>
      </c>
      <c r="I36" s="39">
        <f t="shared" ref="I36:I45" ca="1" si="17">IF(AND(ISNUMBER(E36), ISNUMBER(F36),ISNUMBER(H36)), (E36+4*F36+H36)/6, "N/A")</f>
        <v>2.3066666666666666</v>
      </c>
      <c r="J36" s="31">
        <f t="shared" ca="1" si="2"/>
        <v>2.6</v>
      </c>
      <c r="K36" s="45"/>
      <c r="L36" s="69"/>
      <c r="M36" s="8"/>
    </row>
    <row r="37" spans="1:13" s="2" customFormat="1" outlineLevel="1" x14ac:dyDescent="0.25">
      <c r="A37" s="8"/>
      <c r="B37" s="24"/>
      <c r="C37" s="126" t="s">
        <v>263</v>
      </c>
      <c r="D37" s="63" t="s">
        <v>38</v>
      </c>
      <c r="E37" s="40">
        <f t="shared" ca="1" si="11"/>
        <v>7.25</v>
      </c>
      <c r="F37" s="40">
        <f t="shared" ca="1" si="12"/>
        <v>10.100000000000001</v>
      </c>
      <c r="G37" s="30">
        <f t="shared" ca="1" si="13"/>
        <v>0.13985148514851481</v>
      </c>
      <c r="H37" s="44">
        <f t="shared" ca="1" si="16"/>
        <v>11.512500000000001</v>
      </c>
      <c r="I37" s="39">
        <f t="shared" ca="1" si="17"/>
        <v>9.8604166666666675</v>
      </c>
      <c r="J37" s="31">
        <f t="shared" ca="1" si="2"/>
        <v>11.3</v>
      </c>
      <c r="K37" s="45"/>
      <c r="L37" s="69"/>
      <c r="M37" s="8"/>
    </row>
    <row r="38" spans="1:13" s="2" customFormat="1" outlineLevel="1" x14ac:dyDescent="0.25">
      <c r="A38" s="8"/>
      <c r="B38" s="24"/>
      <c r="C38" s="126" t="s">
        <v>264</v>
      </c>
      <c r="D38" s="63" t="s">
        <v>38</v>
      </c>
      <c r="E38" s="40">
        <f t="shared" ca="1" si="11"/>
        <v>7.25</v>
      </c>
      <c r="F38" s="40">
        <f t="shared" ca="1" si="12"/>
        <v>10.100000000000001</v>
      </c>
      <c r="G38" s="30">
        <f t="shared" ca="1" si="13"/>
        <v>0.13985148514851481</v>
      </c>
      <c r="H38" s="44">
        <f t="shared" ca="1" si="16"/>
        <v>11.512500000000001</v>
      </c>
      <c r="I38" s="39">
        <f t="shared" ca="1" si="17"/>
        <v>9.8604166666666675</v>
      </c>
      <c r="J38" s="31">
        <f t="shared" ca="1" si="2"/>
        <v>11.3</v>
      </c>
      <c r="K38" s="45"/>
      <c r="L38" s="69"/>
      <c r="M38" s="8"/>
    </row>
    <row r="39" spans="1:13" s="2" customFormat="1" outlineLevel="1" x14ac:dyDescent="0.25">
      <c r="A39" s="8"/>
      <c r="B39" s="24"/>
      <c r="C39" s="126" t="s">
        <v>280</v>
      </c>
      <c r="D39" s="63" t="s">
        <v>37</v>
      </c>
      <c r="E39" s="40">
        <f t="shared" ca="1" si="11"/>
        <v>3.0500000000000003</v>
      </c>
      <c r="F39" s="40">
        <f t="shared" ca="1" si="12"/>
        <v>4.3</v>
      </c>
      <c r="G39" s="30">
        <f t="shared" ca="1" si="13"/>
        <v>0.12325581395348822</v>
      </c>
      <c r="H39" s="44">
        <f t="shared" ref="H39" ca="1" si="18">IF(ISNUMBER(F39), IF(ISNUMBER(G39), F39+(G39*F39), F39), "N/A")</f>
        <v>4.8299999999999992</v>
      </c>
      <c r="I39" s="39">
        <f t="shared" ref="I39" ca="1" si="19">IF(AND(ISNUMBER(E39), ISNUMBER(F39),ISNUMBER(H39)), (E39+4*F39+H39)/6, "N/A")</f>
        <v>4.18</v>
      </c>
      <c r="J39" s="31">
        <f t="shared" ref="J39" ca="1" si="20">IF(AND(ISNUMBER(E39), ISNUMBER(F39),ISNUMBER(H39)), IF(AND(E39=F39,F39=H39,E39=H39), F39, ROUND(_xlfn.BETA.INV($E$8,((4*F39+H39-5*E39)/(H39-E39)), ((5*H39-E39-4*F39)/(H39-E39)), E39, H39), 1)), "N/A")</f>
        <v>4.8</v>
      </c>
      <c r="K39" s="45"/>
      <c r="L39" s="69"/>
      <c r="M39" s="8"/>
    </row>
    <row r="40" spans="1:13" s="2" customFormat="1" outlineLevel="1" x14ac:dyDescent="0.25">
      <c r="A40" s="8"/>
      <c r="B40" s="24"/>
      <c r="C40" s="126" t="s">
        <v>265</v>
      </c>
      <c r="D40" s="63" t="s">
        <v>200</v>
      </c>
      <c r="E40" s="40">
        <f t="shared" ca="1" si="11"/>
        <v>1.5999999999999999</v>
      </c>
      <c r="F40" s="40">
        <f t="shared" ca="1" si="12"/>
        <v>2.4</v>
      </c>
      <c r="G40" s="30">
        <f t="shared" ca="1" si="13"/>
        <v>0.10000000000000028</v>
      </c>
      <c r="H40" s="44">
        <f t="shared" ca="1" si="16"/>
        <v>2.6400000000000006</v>
      </c>
      <c r="I40" s="39">
        <f t="shared" ca="1" si="17"/>
        <v>2.3066666666666666</v>
      </c>
      <c r="J40" s="31">
        <f t="shared" ca="1" si="2"/>
        <v>2.6</v>
      </c>
      <c r="K40" s="45"/>
      <c r="L40" s="69"/>
      <c r="M40" s="8"/>
    </row>
    <row r="41" spans="1:13" s="2" customFormat="1" outlineLevel="1" x14ac:dyDescent="0.25">
      <c r="A41" s="8"/>
      <c r="B41" s="24"/>
      <c r="C41" s="126" t="s">
        <v>266</v>
      </c>
      <c r="D41" s="29" t="s">
        <v>37</v>
      </c>
      <c r="E41" s="40">
        <f t="shared" ca="1" si="11"/>
        <v>3.0500000000000003</v>
      </c>
      <c r="F41" s="40">
        <f t="shared" ca="1" si="12"/>
        <v>4.3</v>
      </c>
      <c r="G41" s="30">
        <f t="shared" ca="1" si="13"/>
        <v>0.12325581395348822</v>
      </c>
      <c r="H41" s="44">
        <f t="shared" ref="H41:H44" ca="1" si="21">IF(ISNUMBER(F41), IF(ISNUMBER(G41), F41+(G41*F41), F41), "N/A")</f>
        <v>4.8299999999999992</v>
      </c>
      <c r="I41" s="39">
        <f t="shared" ref="I41:I44" ca="1" si="22">IF(AND(ISNUMBER(E41), ISNUMBER(F41),ISNUMBER(H41)), (E41+4*F41+H41)/6, "N/A")</f>
        <v>4.18</v>
      </c>
      <c r="J41" s="31">
        <f t="shared" ref="J41:J44" ca="1" si="23">IF(AND(ISNUMBER(E41), ISNUMBER(F41),ISNUMBER(H41)), IF(AND(E41=F41,F41=H41,E41=H41), F41, ROUND(_xlfn.BETA.INV($E$8,((4*F41+H41-5*E41)/(H41-E41)), ((5*H41-E41-4*F41)/(H41-E41)), E41, H41), 1)), "N/A")</f>
        <v>4.8</v>
      </c>
      <c r="K41" s="45"/>
      <c r="L41" s="69"/>
      <c r="M41" s="8"/>
    </row>
    <row r="42" spans="1:13" s="2" customFormat="1" outlineLevel="1" x14ac:dyDescent="0.25">
      <c r="A42" s="8"/>
      <c r="B42" s="24"/>
      <c r="C42" s="126" t="s">
        <v>267</v>
      </c>
      <c r="D42" s="63" t="s">
        <v>200</v>
      </c>
      <c r="E42" s="40">
        <f t="shared" ca="1" si="11"/>
        <v>1.5999999999999999</v>
      </c>
      <c r="F42" s="40">
        <f t="shared" ca="1" si="12"/>
        <v>2.4</v>
      </c>
      <c r="G42" s="30">
        <f t="shared" ca="1" si="13"/>
        <v>0.10000000000000028</v>
      </c>
      <c r="H42" s="44">
        <f t="shared" ca="1" si="21"/>
        <v>2.6400000000000006</v>
      </c>
      <c r="I42" s="39">
        <f t="shared" ca="1" si="22"/>
        <v>2.3066666666666666</v>
      </c>
      <c r="J42" s="31">
        <f t="shared" ca="1" si="23"/>
        <v>2.6</v>
      </c>
      <c r="K42" s="45"/>
      <c r="L42" s="69"/>
      <c r="M42" s="8"/>
    </row>
    <row r="43" spans="1:13" s="2" customFormat="1" outlineLevel="1" x14ac:dyDescent="0.25">
      <c r="A43" s="8"/>
      <c r="B43" s="24"/>
      <c r="C43" s="126" t="s">
        <v>270</v>
      </c>
      <c r="D43" s="63" t="s">
        <v>200</v>
      </c>
      <c r="E43" s="40">
        <f t="shared" ca="1" si="11"/>
        <v>1.5999999999999999</v>
      </c>
      <c r="F43" s="40">
        <f t="shared" ca="1" si="12"/>
        <v>2.4</v>
      </c>
      <c r="G43" s="30">
        <f t="shared" ca="1" si="13"/>
        <v>0.10000000000000028</v>
      </c>
      <c r="H43" s="44">
        <f t="shared" ca="1" si="21"/>
        <v>2.6400000000000006</v>
      </c>
      <c r="I43" s="39">
        <f t="shared" ca="1" si="22"/>
        <v>2.3066666666666666</v>
      </c>
      <c r="J43" s="31">
        <f t="shared" ca="1" si="23"/>
        <v>2.6</v>
      </c>
      <c r="K43" s="45"/>
      <c r="L43" s="69"/>
      <c r="M43" s="8"/>
    </row>
    <row r="44" spans="1:13" s="2" customFormat="1" outlineLevel="1" x14ac:dyDescent="0.25">
      <c r="A44" s="8"/>
      <c r="B44" s="24"/>
      <c r="C44" s="126" t="s">
        <v>271</v>
      </c>
      <c r="D44" s="63" t="s">
        <v>39</v>
      </c>
      <c r="E44" s="40">
        <f t="shared" ca="1" si="11"/>
        <v>13.3</v>
      </c>
      <c r="F44" s="40">
        <f t="shared" ca="1" si="12"/>
        <v>20</v>
      </c>
      <c r="G44" s="30">
        <f t="shared" ca="1" si="13"/>
        <v>0.17624999999999993</v>
      </c>
      <c r="H44" s="44">
        <f t="shared" ca="1" si="21"/>
        <v>23.524999999999999</v>
      </c>
      <c r="I44" s="39">
        <f t="shared" ca="1" si="22"/>
        <v>19.470833333333331</v>
      </c>
      <c r="J44" s="31">
        <f t="shared" ca="1" si="23"/>
        <v>23</v>
      </c>
      <c r="K44" s="45"/>
      <c r="L44" s="69"/>
      <c r="M44" s="8"/>
    </row>
    <row r="45" spans="1:13" s="2" customFormat="1" outlineLevel="1" x14ac:dyDescent="0.25">
      <c r="A45" s="8"/>
      <c r="B45" s="24"/>
      <c r="C45" s="126" t="s">
        <v>272</v>
      </c>
      <c r="D45" s="63" t="s">
        <v>37</v>
      </c>
      <c r="E45" s="40">
        <f t="shared" ca="1" si="11"/>
        <v>3.0500000000000003</v>
      </c>
      <c r="F45" s="40">
        <f t="shared" ca="1" si="12"/>
        <v>4.3</v>
      </c>
      <c r="G45" s="30">
        <f t="shared" ca="1" si="13"/>
        <v>0.12325581395348822</v>
      </c>
      <c r="H45" s="44">
        <f t="shared" ca="1" si="16"/>
        <v>4.8299999999999992</v>
      </c>
      <c r="I45" s="39">
        <f t="shared" ca="1" si="17"/>
        <v>4.18</v>
      </c>
      <c r="J45" s="31">
        <f t="shared" ca="1" si="2"/>
        <v>4.8</v>
      </c>
      <c r="K45" s="45"/>
      <c r="L45" s="69"/>
      <c r="M45" s="8"/>
    </row>
    <row r="46" spans="1:13" s="2" customFormat="1" outlineLevel="1" x14ac:dyDescent="0.25">
      <c r="A46" s="8"/>
      <c r="B46" s="24"/>
      <c r="C46" s="126" t="s">
        <v>273</v>
      </c>
      <c r="D46" s="29" t="s">
        <v>37</v>
      </c>
      <c r="E46" s="40">
        <f t="shared" ca="1" si="11"/>
        <v>3.0500000000000003</v>
      </c>
      <c r="F46" s="40">
        <f t="shared" ca="1" si="12"/>
        <v>4.3</v>
      </c>
      <c r="G46" s="30">
        <f t="shared" ca="1" si="13"/>
        <v>0.12325581395348822</v>
      </c>
      <c r="H46" s="44">
        <f t="shared" ref="H46:H55" ca="1" si="24">IF(ISNUMBER(F46), IF(ISNUMBER(G46), F46+(G46*F46), F46), "N/A")</f>
        <v>4.8299999999999992</v>
      </c>
      <c r="I46" s="39">
        <f t="shared" ref="I46:I55" ca="1" si="25">IF(AND(ISNUMBER(E46), ISNUMBER(F46),ISNUMBER(H46)), (E46+4*F46+H46)/6, "N/A")</f>
        <v>4.18</v>
      </c>
      <c r="J46" s="31">
        <f t="shared" ref="J46:J55" ca="1" si="26">IF(AND(ISNUMBER(E46), ISNUMBER(F46),ISNUMBER(H46)), IF(AND(E46=F46,F46=H46,E46=H46), F46, ROUND(_xlfn.BETA.INV($E$8,((4*F46+H46-5*E46)/(H46-E46)), ((5*H46-E46-4*F46)/(H46-E46)), E46, H46), 1)), "N/A")</f>
        <v>4.8</v>
      </c>
      <c r="K46" s="45"/>
      <c r="L46" s="69"/>
      <c r="M46" s="8"/>
    </row>
    <row r="47" spans="1:13" s="2" customFormat="1" outlineLevel="1" x14ac:dyDescent="0.25">
      <c r="A47" s="8"/>
      <c r="B47" s="24"/>
      <c r="C47" s="126" t="s">
        <v>274</v>
      </c>
      <c r="D47" s="63" t="s">
        <v>39</v>
      </c>
      <c r="E47" s="40">
        <f t="shared" ca="1" si="11"/>
        <v>13.3</v>
      </c>
      <c r="F47" s="40">
        <f t="shared" ca="1" si="12"/>
        <v>20</v>
      </c>
      <c r="G47" s="30">
        <f t="shared" ca="1" si="13"/>
        <v>0.17624999999999993</v>
      </c>
      <c r="H47" s="44">
        <f t="shared" ca="1" si="24"/>
        <v>23.524999999999999</v>
      </c>
      <c r="I47" s="39">
        <f t="shared" ca="1" si="25"/>
        <v>19.470833333333331</v>
      </c>
      <c r="J47" s="31">
        <f t="shared" ca="1" si="26"/>
        <v>23</v>
      </c>
      <c r="K47" s="45"/>
      <c r="L47" s="69"/>
      <c r="M47" s="8"/>
    </row>
    <row r="48" spans="1:13" s="2" customFormat="1" outlineLevel="1" x14ac:dyDescent="0.25">
      <c r="A48" s="8"/>
      <c r="B48" s="24"/>
      <c r="C48" s="126" t="s">
        <v>275</v>
      </c>
      <c r="D48" s="63" t="s">
        <v>38</v>
      </c>
      <c r="E48" s="40">
        <f t="shared" ca="1" si="11"/>
        <v>7.25</v>
      </c>
      <c r="F48" s="40">
        <f t="shared" ca="1" si="12"/>
        <v>10.100000000000001</v>
      </c>
      <c r="G48" s="30">
        <f t="shared" ca="1" si="13"/>
        <v>0.13985148514851481</v>
      </c>
      <c r="H48" s="44">
        <f t="shared" ca="1" si="24"/>
        <v>11.512500000000001</v>
      </c>
      <c r="I48" s="39">
        <f t="shared" ca="1" si="25"/>
        <v>9.8604166666666675</v>
      </c>
      <c r="J48" s="31">
        <f t="shared" ca="1" si="26"/>
        <v>11.3</v>
      </c>
      <c r="K48" s="45"/>
      <c r="L48" s="69"/>
      <c r="M48" s="8"/>
    </row>
    <row r="49" spans="1:13" s="2" customFormat="1" ht="36" outlineLevel="1" x14ac:dyDescent="0.25">
      <c r="A49" s="8"/>
      <c r="B49" s="24"/>
      <c r="C49" s="126" t="s">
        <v>268</v>
      </c>
      <c r="D49" s="63" t="s">
        <v>39</v>
      </c>
      <c r="E49" s="40">
        <f t="shared" ca="1" si="11"/>
        <v>13.3</v>
      </c>
      <c r="F49" s="40">
        <f t="shared" ca="1" si="12"/>
        <v>20</v>
      </c>
      <c r="G49" s="30">
        <f t="shared" ca="1" si="13"/>
        <v>0.17624999999999993</v>
      </c>
      <c r="H49" s="44">
        <f t="shared" ca="1" si="24"/>
        <v>23.524999999999999</v>
      </c>
      <c r="I49" s="39">
        <f t="shared" ca="1" si="25"/>
        <v>19.470833333333331</v>
      </c>
      <c r="J49" s="31">
        <f t="shared" ca="1" si="26"/>
        <v>23</v>
      </c>
      <c r="K49" s="45" t="s">
        <v>269</v>
      </c>
      <c r="L49" s="69"/>
      <c r="M49" s="8"/>
    </row>
    <row r="50" spans="1:13" s="2" customFormat="1" ht="72" outlineLevel="1" x14ac:dyDescent="0.25">
      <c r="A50" s="8"/>
      <c r="B50" s="24"/>
      <c r="C50" s="126" t="s">
        <v>276</v>
      </c>
      <c r="D50" s="29" t="s">
        <v>39</v>
      </c>
      <c r="E50" s="40">
        <f t="shared" ca="1" si="11"/>
        <v>13.3</v>
      </c>
      <c r="F50" s="40">
        <f t="shared" ca="1" si="12"/>
        <v>20</v>
      </c>
      <c r="G50" s="30">
        <f t="shared" ca="1" si="13"/>
        <v>0.17624999999999993</v>
      </c>
      <c r="H50" s="44">
        <f t="shared" ca="1" si="24"/>
        <v>23.524999999999999</v>
      </c>
      <c r="I50" s="39">
        <f t="shared" ca="1" si="25"/>
        <v>19.470833333333331</v>
      </c>
      <c r="J50" s="31">
        <f t="shared" ca="1" si="26"/>
        <v>23</v>
      </c>
      <c r="K50" s="45" t="s">
        <v>277</v>
      </c>
      <c r="L50" s="69"/>
      <c r="M50" s="8"/>
    </row>
    <row r="51" spans="1:13" s="2" customFormat="1" ht="48" outlineLevel="1" x14ac:dyDescent="0.25">
      <c r="A51" s="8"/>
      <c r="B51" s="24"/>
      <c r="C51" s="126" t="s">
        <v>278</v>
      </c>
      <c r="D51" s="63" t="s">
        <v>39</v>
      </c>
      <c r="E51" s="40">
        <f t="shared" ca="1" si="11"/>
        <v>13.3</v>
      </c>
      <c r="F51" s="40">
        <f t="shared" ca="1" si="12"/>
        <v>20</v>
      </c>
      <c r="G51" s="30">
        <f t="shared" ca="1" si="13"/>
        <v>0.17624999999999993</v>
      </c>
      <c r="H51" s="44">
        <f t="shared" ca="1" si="24"/>
        <v>23.524999999999999</v>
      </c>
      <c r="I51" s="39">
        <f t="shared" ca="1" si="25"/>
        <v>19.470833333333331</v>
      </c>
      <c r="J51" s="31">
        <f t="shared" ca="1" si="26"/>
        <v>23</v>
      </c>
      <c r="K51" s="45" t="s">
        <v>279</v>
      </c>
      <c r="L51" s="69"/>
      <c r="M51" s="8"/>
    </row>
    <row r="52" spans="1:13" s="2" customFormat="1" ht="72" outlineLevel="1" x14ac:dyDescent="0.25">
      <c r="A52" s="8"/>
      <c r="B52" s="24"/>
      <c r="C52" s="126" t="s">
        <v>281</v>
      </c>
      <c r="D52" s="63" t="s">
        <v>41</v>
      </c>
      <c r="E52" s="40">
        <f t="shared" ca="1" si="11"/>
        <v>38.299999999999997</v>
      </c>
      <c r="F52" s="40">
        <f t="shared" ca="1" si="12"/>
        <v>52.2</v>
      </c>
      <c r="G52" s="30">
        <f t="shared" ca="1" si="13"/>
        <v>0.25249042145593853</v>
      </c>
      <c r="H52" s="44">
        <f t="shared" ca="1" si="24"/>
        <v>65.38</v>
      </c>
      <c r="I52" s="39">
        <f t="shared" ca="1" si="25"/>
        <v>52.080000000000005</v>
      </c>
      <c r="J52" s="31">
        <f t="shared" ca="1" si="26"/>
        <v>62.7</v>
      </c>
      <c r="K52" s="45" t="s">
        <v>282</v>
      </c>
      <c r="L52" s="69"/>
      <c r="M52" s="8"/>
    </row>
    <row r="53" spans="1:13" s="2" customFormat="1" ht="60" outlineLevel="1" x14ac:dyDescent="0.25">
      <c r="A53" s="8"/>
      <c r="B53" s="24"/>
      <c r="C53" s="126" t="s">
        <v>283</v>
      </c>
      <c r="D53" s="63" t="s">
        <v>41</v>
      </c>
      <c r="E53" s="40">
        <f t="shared" ca="1" si="11"/>
        <v>38.299999999999997</v>
      </c>
      <c r="F53" s="40">
        <f t="shared" ca="1" si="12"/>
        <v>52.2</v>
      </c>
      <c r="G53" s="30">
        <f t="shared" ca="1" si="13"/>
        <v>0.25249042145593853</v>
      </c>
      <c r="H53" s="44">
        <f t="shared" ca="1" si="24"/>
        <v>65.38</v>
      </c>
      <c r="I53" s="39">
        <f t="shared" ca="1" si="25"/>
        <v>52.080000000000005</v>
      </c>
      <c r="J53" s="31">
        <f t="shared" ca="1" si="26"/>
        <v>62.7</v>
      </c>
      <c r="K53" s="45" t="s">
        <v>284</v>
      </c>
      <c r="L53" s="69"/>
      <c r="M53" s="8"/>
    </row>
    <row r="54" spans="1:13" s="2" customFormat="1" ht="72" outlineLevel="1" x14ac:dyDescent="0.25">
      <c r="A54" s="8"/>
      <c r="B54" s="24"/>
      <c r="C54" s="126" t="s">
        <v>285</v>
      </c>
      <c r="D54" s="63" t="s">
        <v>38</v>
      </c>
      <c r="E54" s="40">
        <f t="shared" ca="1" si="11"/>
        <v>7.25</v>
      </c>
      <c r="F54" s="40">
        <f t="shared" ca="1" si="12"/>
        <v>10.100000000000001</v>
      </c>
      <c r="G54" s="30">
        <f t="shared" ca="1" si="13"/>
        <v>0.13985148514851481</v>
      </c>
      <c r="H54" s="44">
        <f t="shared" ca="1" si="24"/>
        <v>11.512500000000001</v>
      </c>
      <c r="I54" s="39">
        <f t="shared" ca="1" si="25"/>
        <v>9.8604166666666675</v>
      </c>
      <c r="J54" s="31">
        <f t="shared" ca="1" si="26"/>
        <v>11.3</v>
      </c>
      <c r="K54" s="45" t="s">
        <v>286</v>
      </c>
      <c r="L54" s="69"/>
      <c r="M54" s="8"/>
    </row>
    <row r="55" spans="1:13" s="2" customFormat="1" outlineLevel="1" x14ac:dyDescent="0.25">
      <c r="A55" s="8"/>
      <c r="B55" s="24"/>
      <c r="C55" s="126" t="s">
        <v>287</v>
      </c>
      <c r="D55" s="63" t="s">
        <v>38</v>
      </c>
      <c r="E55" s="40">
        <f t="shared" ca="1" si="11"/>
        <v>7.25</v>
      </c>
      <c r="F55" s="40">
        <f t="shared" ca="1" si="12"/>
        <v>10.100000000000001</v>
      </c>
      <c r="G55" s="30">
        <f t="shared" ca="1" si="13"/>
        <v>0.13985148514851481</v>
      </c>
      <c r="H55" s="44">
        <f t="shared" ca="1" si="24"/>
        <v>11.512500000000001</v>
      </c>
      <c r="I55" s="39">
        <f t="shared" ca="1" si="25"/>
        <v>9.8604166666666675</v>
      </c>
      <c r="J55" s="31">
        <f t="shared" ca="1" si="26"/>
        <v>11.3</v>
      </c>
      <c r="K55" s="45"/>
      <c r="L55" s="69"/>
      <c r="M55" s="8"/>
    </row>
    <row r="56" spans="1:13" s="2" customFormat="1" outlineLevel="1" x14ac:dyDescent="0.25">
      <c r="A56" s="8"/>
      <c r="B56" s="24"/>
      <c r="C56" s="126" t="s">
        <v>288</v>
      </c>
      <c r="D56" s="29" t="s">
        <v>38</v>
      </c>
      <c r="E56" s="40">
        <f t="shared" ca="1" si="11"/>
        <v>7.25</v>
      </c>
      <c r="F56" s="40">
        <f t="shared" ca="1" si="12"/>
        <v>10.100000000000001</v>
      </c>
      <c r="G56" s="30">
        <f t="shared" ca="1" si="13"/>
        <v>0.13985148514851481</v>
      </c>
      <c r="H56" s="44">
        <f t="shared" ref="H56:H75" ca="1" si="27">IF(ISNUMBER(F56), IF(ISNUMBER(G56), F56+(G56*F56), F56), "N/A")</f>
        <v>11.512500000000001</v>
      </c>
      <c r="I56" s="39">
        <f t="shared" ref="I56:I75" ca="1" si="28">IF(AND(ISNUMBER(E56), ISNUMBER(F56),ISNUMBER(H56)), (E56+4*F56+H56)/6, "N/A")</f>
        <v>9.8604166666666675</v>
      </c>
      <c r="J56" s="31">
        <f t="shared" ref="J56:J75" ca="1" si="29">IF(AND(ISNUMBER(E56), ISNUMBER(F56),ISNUMBER(H56)), IF(AND(E56=F56,F56=H56,E56=H56), F56, ROUND(_xlfn.BETA.INV($E$8,((4*F56+H56-5*E56)/(H56-E56)), ((5*H56-E56-4*F56)/(H56-E56)), E56, H56), 1)), "N/A")</f>
        <v>11.3</v>
      </c>
      <c r="K56" s="45"/>
      <c r="L56" s="69"/>
      <c r="M56" s="8"/>
    </row>
    <row r="57" spans="1:13" s="2" customFormat="1" ht="24" outlineLevel="1" x14ac:dyDescent="0.25">
      <c r="A57" s="8"/>
      <c r="B57" s="24"/>
      <c r="C57" s="192" t="s">
        <v>289</v>
      </c>
      <c r="D57" s="63" t="s">
        <v>38</v>
      </c>
      <c r="E57" s="40">
        <f t="shared" ca="1" si="11"/>
        <v>7.25</v>
      </c>
      <c r="F57" s="40">
        <f t="shared" ca="1" si="12"/>
        <v>10.100000000000001</v>
      </c>
      <c r="G57" s="30">
        <f t="shared" ca="1" si="13"/>
        <v>0.13985148514851481</v>
      </c>
      <c r="H57" s="44">
        <f t="shared" ca="1" si="27"/>
        <v>11.512500000000001</v>
      </c>
      <c r="I57" s="39">
        <f t="shared" ca="1" si="28"/>
        <v>9.8604166666666675</v>
      </c>
      <c r="J57" s="31">
        <f t="shared" ca="1" si="29"/>
        <v>11.3</v>
      </c>
      <c r="K57" s="45"/>
      <c r="L57" s="69"/>
      <c r="M57" s="8"/>
    </row>
    <row r="58" spans="1:13" s="2" customFormat="1" ht="24" outlineLevel="1" x14ac:dyDescent="0.25">
      <c r="A58" s="8"/>
      <c r="B58" s="24"/>
      <c r="C58" s="192" t="s">
        <v>290</v>
      </c>
      <c r="D58" s="63" t="s">
        <v>39</v>
      </c>
      <c r="E58" s="40">
        <f t="shared" ca="1" si="11"/>
        <v>13.3</v>
      </c>
      <c r="F58" s="40">
        <f t="shared" ca="1" si="12"/>
        <v>20</v>
      </c>
      <c r="G58" s="30">
        <f t="shared" ca="1" si="13"/>
        <v>0.17624999999999993</v>
      </c>
      <c r="H58" s="44">
        <f t="shared" ca="1" si="27"/>
        <v>23.524999999999999</v>
      </c>
      <c r="I58" s="39">
        <f t="shared" ca="1" si="28"/>
        <v>19.470833333333331</v>
      </c>
      <c r="J58" s="31">
        <f t="shared" ca="1" si="29"/>
        <v>23</v>
      </c>
      <c r="K58" s="45"/>
      <c r="L58" s="69"/>
      <c r="M58" s="8"/>
    </row>
    <row r="59" spans="1:13" s="2" customFormat="1" outlineLevel="1" x14ac:dyDescent="0.25">
      <c r="A59" s="8"/>
      <c r="B59" s="24"/>
      <c r="C59" s="126" t="s">
        <v>291</v>
      </c>
      <c r="D59" s="63" t="s">
        <v>37</v>
      </c>
      <c r="E59" s="40">
        <f t="shared" ca="1" si="11"/>
        <v>3.0500000000000003</v>
      </c>
      <c r="F59" s="40">
        <f t="shared" ca="1" si="12"/>
        <v>4.3</v>
      </c>
      <c r="G59" s="30">
        <f t="shared" ca="1" si="13"/>
        <v>0.12325581395348822</v>
      </c>
      <c r="H59" s="44">
        <f t="shared" ca="1" si="27"/>
        <v>4.8299999999999992</v>
      </c>
      <c r="I59" s="39">
        <f t="shared" ca="1" si="28"/>
        <v>4.18</v>
      </c>
      <c r="J59" s="31">
        <f t="shared" ca="1" si="29"/>
        <v>4.8</v>
      </c>
      <c r="K59" s="45"/>
      <c r="L59" s="69"/>
      <c r="M59" s="8"/>
    </row>
    <row r="60" spans="1:13" s="2" customFormat="1" outlineLevel="1" x14ac:dyDescent="0.25">
      <c r="A60" s="8"/>
      <c r="B60" s="24"/>
      <c r="C60" s="126" t="s">
        <v>292</v>
      </c>
      <c r="D60" s="29" t="s">
        <v>38</v>
      </c>
      <c r="E60" s="40">
        <f t="shared" ca="1" si="11"/>
        <v>7.25</v>
      </c>
      <c r="F60" s="40">
        <f t="shared" ca="1" si="12"/>
        <v>10.100000000000001</v>
      </c>
      <c r="G60" s="30">
        <f t="shared" ca="1" si="13"/>
        <v>0.13985148514851481</v>
      </c>
      <c r="H60" s="44">
        <f t="shared" ca="1" si="27"/>
        <v>11.512500000000001</v>
      </c>
      <c r="I60" s="39">
        <f t="shared" ca="1" si="28"/>
        <v>9.8604166666666675</v>
      </c>
      <c r="J60" s="31">
        <f t="shared" ca="1" si="29"/>
        <v>11.3</v>
      </c>
      <c r="K60" s="45"/>
      <c r="L60" s="69"/>
      <c r="M60" s="8"/>
    </row>
    <row r="61" spans="1:13" s="2" customFormat="1" ht="24" outlineLevel="1" x14ac:dyDescent="0.25">
      <c r="A61" s="8"/>
      <c r="B61" s="24"/>
      <c r="C61" s="126" t="s">
        <v>293</v>
      </c>
      <c r="D61" s="63" t="s">
        <v>39</v>
      </c>
      <c r="E61" s="40">
        <f t="shared" ca="1" si="11"/>
        <v>13.3</v>
      </c>
      <c r="F61" s="40">
        <f t="shared" ca="1" si="12"/>
        <v>20</v>
      </c>
      <c r="G61" s="30">
        <f t="shared" ca="1" si="13"/>
        <v>0.17624999999999993</v>
      </c>
      <c r="H61" s="44">
        <f t="shared" ca="1" si="27"/>
        <v>23.524999999999999</v>
      </c>
      <c r="I61" s="39">
        <f t="shared" ca="1" si="28"/>
        <v>19.470833333333331</v>
      </c>
      <c r="J61" s="31">
        <f t="shared" ca="1" si="29"/>
        <v>23</v>
      </c>
      <c r="K61" s="45" t="s">
        <v>294</v>
      </c>
      <c r="L61" s="69"/>
      <c r="M61" s="8"/>
    </row>
    <row r="62" spans="1:13" s="2" customFormat="1" ht="24" outlineLevel="1" x14ac:dyDescent="0.25">
      <c r="A62" s="8"/>
      <c r="B62" s="24"/>
      <c r="C62" s="126" t="s">
        <v>295</v>
      </c>
      <c r="D62" s="63" t="s">
        <v>39</v>
      </c>
      <c r="E62" s="40">
        <f t="shared" ca="1" si="11"/>
        <v>13.3</v>
      </c>
      <c r="F62" s="40">
        <f t="shared" ca="1" si="12"/>
        <v>20</v>
      </c>
      <c r="G62" s="30">
        <f t="shared" ca="1" si="13"/>
        <v>0.17624999999999993</v>
      </c>
      <c r="H62" s="44">
        <f t="shared" ca="1" si="27"/>
        <v>23.524999999999999</v>
      </c>
      <c r="I62" s="39">
        <f t="shared" ca="1" si="28"/>
        <v>19.470833333333331</v>
      </c>
      <c r="J62" s="31">
        <f t="shared" ca="1" si="29"/>
        <v>23</v>
      </c>
      <c r="K62" s="45" t="s">
        <v>296</v>
      </c>
      <c r="L62" s="69"/>
      <c r="M62" s="8"/>
    </row>
    <row r="63" spans="1:13" s="2" customFormat="1" ht="24" outlineLevel="1" x14ac:dyDescent="0.25">
      <c r="A63" s="8"/>
      <c r="B63" s="24"/>
      <c r="C63" s="126" t="s">
        <v>297</v>
      </c>
      <c r="D63" s="63" t="s">
        <v>38</v>
      </c>
      <c r="E63" s="40">
        <f t="shared" ca="1" si="11"/>
        <v>7.25</v>
      </c>
      <c r="F63" s="40">
        <f t="shared" ca="1" si="12"/>
        <v>10.100000000000001</v>
      </c>
      <c r="G63" s="30">
        <f t="shared" ca="1" si="13"/>
        <v>0.13985148514851481</v>
      </c>
      <c r="H63" s="44">
        <f t="shared" ca="1" si="27"/>
        <v>11.512500000000001</v>
      </c>
      <c r="I63" s="39">
        <f t="shared" ca="1" si="28"/>
        <v>9.8604166666666675</v>
      </c>
      <c r="J63" s="31">
        <f t="shared" ca="1" si="29"/>
        <v>11.3</v>
      </c>
      <c r="K63" s="45" t="s">
        <v>298</v>
      </c>
      <c r="L63" s="69"/>
      <c r="M63" s="8"/>
    </row>
    <row r="64" spans="1:13" s="2" customFormat="1" ht="24" outlineLevel="1" x14ac:dyDescent="0.25">
      <c r="A64" s="8"/>
      <c r="B64" s="24"/>
      <c r="C64" s="192" t="s">
        <v>299</v>
      </c>
      <c r="D64" s="63"/>
      <c r="E64" s="40" t="str">
        <f t="shared" ca="1" si="11"/>
        <v>Size?</v>
      </c>
      <c r="F64" s="40" t="str">
        <f t="shared" ca="1" si="12"/>
        <v>Size?</v>
      </c>
      <c r="G64" s="30" t="str">
        <f t="shared" ca="1" si="13"/>
        <v>Size?</v>
      </c>
      <c r="H64" s="44" t="str">
        <f t="shared" ca="1" si="27"/>
        <v>N/A</v>
      </c>
      <c r="I64" s="39" t="str">
        <f t="shared" ca="1" si="28"/>
        <v>N/A</v>
      </c>
      <c r="J64" s="31" t="str">
        <f t="shared" ca="1" si="29"/>
        <v>N/A</v>
      </c>
      <c r="K64" s="45"/>
      <c r="L64" s="69"/>
      <c r="M64" s="8"/>
    </row>
    <row r="65" spans="1:13" s="2" customFormat="1" ht="24" outlineLevel="1" x14ac:dyDescent="0.25">
      <c r="A65" s="8"/>
      <c r="B65" s="24"/>
      <c r="C65" s="192" t="s">
        <v>300</v>
      </c>
      <c r="D65" s="63" t="s">
        <v>41</v>
      </c>
      <c r="E65" s="40">
        <f t="shared" ca="1" si="11"/>
        <v>38.299999999999997</v>
      </c>
      <c r="F65" s="40">
        <f t="shared" ca="1" si="12"/>
        <v>52.2</v>
      </c>
      <c r="G65" s="30">
        <f t="shared" ca="1" si="13"/>
        <v>0.25249042145593853</v>
      </c>
      <c r="H65" s="44">
        <f t="shared" ca="1" si="27"/>
        <v>65.38</v>
      </c>
      <c r="I65" s="39">
        <f t="shared" ca="1" si="28"/>
        <v>52.080000000000005</v>
      </c>
      <c r="J65" s="31">
        <f t="shared" ca="1" si="29"/>
        <v>62.7</v>
      </c>
      <c r="K65" s="45"/>
      <c r="L65" s="69"/>
      <c r="M65" s="8"/>
    </row>
    <row r="66" spans="1:13" s="2" customFormat="1" outlineLevel="1" x14ac:dyDescent="0.25">
      <c r="A66" s="8"/>
      <c r="B66" s="24"/>
      <c r="C66" s="126" t="s">
        <v>301</v>
      </c>
      <c r="D66" s="29" t="s">
        <v>37</v>
      </c>
      <c r="E66" s="40">
        <f t="shared" ca="1" si="11"/>
        <v>3.0500000000000003</v>
      </c>
      <c r="F66" s="40">
        <f t="shared" ca="1" si="12"/>
        <v>4.3</v>
      </c>
      <c r="G66" s="30">
        <f t="shared" ca="1" si="13"/>
        <v>0.12325581395348822</v>
      </c>
      <c r="H66" s="44">
        <f t="shared" ca="1" si="27"/>
        <v>4.8299999999999992</v>
      </c>
      <c r="I66" s="39">
        <f t="shared" ca="1" si="28"/>
        <v>4.18</v>
      </c>
      <c r="J66" s="31">
        <f t="shared" ca="1" si="29"/>
        <v>4.8</v>
      </c>
      <c r="K66" s="45"/>
      <c r="L66" s="69"/>
      <c r="M66" s="8"/>
    </row>
    <row r="67" spans="1:13" s="2" customFormat="1" outlineLevel="1" x14ac:dyDescent="0.25">
      <c r="A67" s="8"/>
      <c r="B67" s="24"/>
      <c r="C67" s="126" t="s">
        <v>302</v>
      </c>
      <c r="D67" s="63" t="s">
        <v>38</v>
      </c>
      <c r="E67" s="40">
        <f t="shared" ca="1" si="11"/>
        <v>7.25</v>
      </c>
      <c r="F67" s="40">
        <f t="shared" ca="1" si="12"/>
        <v>10.100000000000001</v>
      </c>
      <c r="G67" s="30">
        <f t="shared" ca="1" si="13"/>
        <v>0.13985148514851481</v>
      </c>
      <c r="H67" s="44">
        <f t="shared" ca="1" si="27"/>
        <v>11.512500000000001</v>
      </c>
      <c r="I67" s="39">
        <f t="shared" ca="1" si="28"/>
        <v>9.8604166666666675</v>
      </c>
      <c r="J67" s="31">
        <f t="shared" ca="1" si="29"/>
        <v>11.3</v>
      </c>
      <c r="K67" s="45"/>
      <c r="L67" s="69"/>
      <c r="M67" s="8"/>
    </row>
    <row r="68" spans="1:13" s="2" customFormat="1" outlineLevel="1" x14ac:dyDescent="0.25">
      <c r="A68" s="8"/>
      <c r="B68" s="24"/>
      <c r="C68" s="126" t="s">
        <v>303</v>
      </c>
      <c r="D68" s="63" t="s">
        <v>38</v>
      </c>
      <c r="E68" s="40">
        <f t="shared" ca="1" si="11"/>
        <v>7.25</v>
      </c>
      <c r="F68" s="40">
        <f t="shared" ca="1" si="12"/>
        <v>10.100000000000001</v>
      </c>
      <c r="G68" s="30">
        <f t="shared" ca="1" si="13"/>
        <v>0.13985148514851481</v>
      </c>
      <c r="H68" s="44">
        <f t="shared" ca="1" si="27"/>
        <v>11.512500000000001</v>
      </c>
      <c r="I68" s="39">
        <f t="shared" ca="1" si="28"/>
        <v>9.8604166666666675</v>
      </c>
      <c r="J68" s="31">
        <f t="shared" ca="1" si="29"/>
        <v>11.3</v>
      </c>
      <c r="K68" s="45"/>
      <c r="L68" s="69"/>
      <c r="M68" s="8"/>
    </row>
    <row r="69" spans="1:13" s="2" customFormat="1" outlineLevel="1" x14ac:dyDescent="0.25">
      <c r="A69" s="8"/>
      <c r="B69" s="24"/>
      <c r="C69" s="126" t="s">
        <v>304</v>
      </c>
      <c r="D69" s="63" t="s">
        <v>39</v>
      </c>
      <c r="E69" s="40">
        <f t="shared" ca="1" si="11"/>
        <v>13.3</v>
      </c>
      <c r="F69" s="40">
        <f t="shared" ca="1" si="12"/>
        <v>20</v>
      </c>
      <c r="G69" s="30">
        <f t="shared" ca="1" si="13"/>
        <v>0.17624999999999993</v>
      </c>
      <c r="H69" s="44">
        <f t="shared" ca="1" si="27"/>
        <v>23.524999999999999</v>
      </c>
      <c r="I69" s="39">
        <f t="shared" ca="1" si="28"/>
        <v>19.470833333333331</v>
      </c>
      <c r="J69" s="31">
        <f t="shared" ca="1" si="29"/>
        <v>23</v>
      </c>
      <c r="K69" s="45"/>
      <c r="L69" s="69"/>
      <c r="M69" s="8"/>
    </row>
    <row r="70" spans="1:13" s="2" customFormat="1" ht="60" outlineLevel="1" x14ac:dyDescent="0.25">
      <c r="A70" s="8"/>
      <c r="B70" s="24"/>
      <c r="C70" s="126" t="s">
        <v>305</v>
      </c>
      <c r="D70" s="29" t="s">
        <v>41</v>
      </c>
      <c r="E70" s="40">
        <f t="shared" ca="1" si="11"/>
        <v>38.299999999999997</v>
      </c>
      <c r="F70" s="40">
        <f t="shared" ca="1" si="12"/>
        <v>52.2</v>
      </c>
      <c r="G70" s="30">
        <f t="shared" ca="1" si="13"/>
        <v>0.25249042145593853</v>
      </c>
      <c r="H70" s="44">
        <f t="shared" ca="1" si="27"/>
        <v>65.38</v>
      </c>
      <c r="I70" s="39">
        <f t="shared" ca="1" si="28"/>
        <v>52.080000000000005</v>
      </c>
      <c r="J70" s="31">
        <f t="shared" ca="1" si="29"/>
        <v>62.7</v>
      </c>
      <c r="K70" s="45" t="s">
        <v>306</v>
      </c>
      <c r="L70" s="69"/>
      <c r="M70" s="8"/>
    </row>
    <row r="71" spans="1:13" s="2" customFormat="1" outlineLevel="1" x14ac:dyDescent="0.25">
      <c r="A71" s="8"/>
      <c r="B71" s="24"/>
      <c r="C71" s="126" t="s">
        <v>307</v>
      </c>
      <c r="D71" s="63" t="s">
        <v>38</v>
      </c>
      <c r="E71" s="40">
        <f t="shared" ca="1" si="11"/>
        <v>7.25</v>
      </c>
      <c r="F71" s="40">
        <f t="shared" ca="1" si="12"/>
        <v>10.100000000000001</v>
      </c>
      <c r="G71" s="30">
        <f t="shared" ca="1" si="13"/>
        <v>0.13985148514851481</v>
      </c>
      <c r="H71" s="44">
        <f t="shared" ca="1" si="27"/>
        <v>11.512500000000001</v>
      </c>
      <c r="I71" s="39">
        <f t="shared" ca="1" si="28"/>
        <v>9.8604166666666675</v>
      </c>
      <c r="J71" s="31">
        <f t="shared" ca="1" si="29"/>
        <v>11.3</v>
      </c>
      <c r="K71" s="45" t="s">
        <v>308</v>
      </c>
      <c r="L71" s="69"/>
      <c r="M71" s="8"/>
    </row>
    <row r="72" spans="1:13" s="2" customFormat="1" outlineLevel="1" x14ac:dyDescent="0.25">
      <c r="A72" s="8"/>
      <c r="B72" s="24"/>
      <c r="C72" s="126" t="s">
        <v>309</v>
      </c>
      <c r="D72" s="63" t="s">
        <v>38</v>
      </c>
      <c r="E72" s="40">
        <f t="shared" ca="1" si="11"/>
        <v>7.25</v>
      </c>
      <c r="F72" s="40">
        <f t="shared" ca="1" si="12"/>
        <v>10.100000000000001</v>
      </c>
      <c r="G72" s="30">
        <f t="shared" ca="1" si="13"/>
        <v>0.13985148514851481</v>
      </c>
      <c r="H72" s="44">
        <f t="shared" ca="1" si="27"/>
        <v>11.512500000000001</v>
      </c>
      <c r="I72" s="39">
        <f t="shared" ca="1" si="28"/>
        <v>9.8604166666666675</v>
      </c>
      <c r="J72" s="31">
        <f t="shared" ca="1" si="29"/>
        <v>11.3</v>
      </c>
      <c r="K72" s="45"/>
      <c r="L72" s="69"/>
      <c r="M72" s="8"/>
    </row>
    <row r="73" spans="1:13" s="2" customFormat="1" outlineLevel="1" x14ac:dyDescent="0.25">
      <c r="A73" s="8"/>
      <c r="B73" s="24"/>
      <c r="C73" s="126" t="s">
        <v>310</v>
      </c>
      <c r="D73" s="63" t="s">
        <v>38</v>
      </c>
      <c r="E73" s="40">
        <f t="shared" ca="1" si="11"/>
        <v>7.25</v>
      </c>
      <c r="F73" s="40">
        <f t="shared" ca="1" si="12"/>
        <v>10.100000000000001</v>
      </c>
      <c r="G73" s="30">
        <f t="shared" ca="1" si="13"/>
        <v>0.13985148514851481</v>
      </c>
      <c r="H73" s="44">
        <f t="shared" ca="1" si="27"/>
        <v>11.512500000000001</v>
      </c>
      <c r="I73" s="39">
        <f t="shared" ca="1" si="28"/>
        <v>9.8604166666666675</v>
      </c>
      <c r="J73" s="31">
        <f t="shared" ca="1" si="29"/>
        <v>11.3</v>
      </c>
      <c r="K73" s="45"/>
      <c r="L73" s="69"/>
      <c r="M73" s="8"/>
    </row>
    <row r="74" spans="1:13" s="2" customFormat="1" ht="24" outlineLevel="1" x14ac:dyDescent="0.25">
      <c r="A74" s="8"/>
      <c r="B74" s="24"/>
      <c r="C74" s="126" t="s">
        <v>311</v>
      </c>
      <c r="D74" s="63" t="s">
        <v>38</v>
      </c>
      <c r="E74" s="40">
        <f t="shared" ca="1" si="11"/>
        <v>7.25</v>
      </c>
      <c r="F74" s="40">
        <f t="shared" ca="1" si="12"/>
        <v>10.100000000000001</v>
      </c>
      <c r="G74" s="30">
        <f t="shared" ca="1" si="13"/>
        <v>0.13985148514851481</v>
      </c>
      <c r="H74" s="44">
        <f t="shared" ca="1" si="27"/>
        <v>11.512500000000001</v>
      </c>
      <c r="I74" s="39">
        <f t="shared" ca="1" si="28"/>
        <v>9.8604166666666675</v>
      </c>
      <c r="J74" s="31">
        <f t="shared" ca="1" si="29"/>
        <v>11.3</v>
      </c>
      <c r="K74" s="45" t="s">
        <v>312</v>
      </c>
      <c r="L74" s="69"/>
      <c r="M74" s="8"/>
    </row>
    <row r="75" spans="1:13" s="2" customFormat="1" outlineLevel="1" x14ac:dyDescent="0.25">
      <c r="A75" s="8"/>
      <c r="B75" s="24"/>
      <c r="C75" s="126" t="s">
        <v>313</v>
      </c>
      <c r="D75" s="63" t="s">
        <v>38</v>
      </c>
      <c r="E75" s="40">
        <f t="shared" ca="1" si="11"/>
        <v>7.25</v>
      </c>
      <c r="F75" s="40">
        <f t="shared" ca="1" si="12"/>
        <v>10.100000000000001</v>
      </c>
      <c r="G75" s="30">
        <f t="shared" ca="1" si="13"/>
        <v>0.13985148514851481</v>
      </c>
      <c r="H75" s="44">
        <f t="shared" ca="1" si="27"/>
        <v>11.512500000000001</v>
      </c>
      <c r="I75" s="39">
        <f t="shared" ca="1" si="28"/>
        <v>9.8604166666666675</v>
      </c>
      <c r="J75" s="31">
        <f t="shared" ca="1" si="29"/>
        <v>11.3</v>
      </c>
      <c r="K75" s="45" t="s">
        <v>314</v>
      </c>
      <c r="L75" s="69"/>
      <c r="M75" s="8"/>
    </row>
    <row r="76" spans="1:13" s="2" customFormat="1" outlineLevel="1" x14ac:dyDescent="0.25">
      <c r="A76" s="8"/>
      <c r="B76" s="24"/>
      <c r="C76" s="126" t="s">
        <v>315</v>
      </c>
      <c r="D76" s="29" t="s">
        <v>37</v>
      </c>
      <c r="E76" s="40">
        <f t="shared" ca="1" si="11"/>
        <v>3.0500000000000003</v>
      </c>
      <c r="F76" s="40">
        <f t="shared" ca="1" si="12"/>
        <v>4.3</v>
      </c>
      <c r="G76" s="30">
        <f t="shared" ca="1" si="13"/>
        <v>0.12325581395348822</v>
      </c>
      <c r="H76" s="44">
        <f t="shared" ref="H76:H84" ca="1" si="30">IF(ISNUMBER(F76), IF(ISNUMBER(G76), F76+(G76*F76), F76), "N/A")</f>
        <v>4.8299999999999992</v>
      </c>
      <c r="I76" s="39">
        <f t="shared" ref="I76:I84" ca="1" si="31">IF(AND(ISNUMBER(E76), ISNUMBER(F76),ISNUMBER(H76)), (E76+4*F76+H76)/6, "N/A")</f>
        <v>4.18</v>
      </c>
      <c r="J76" s="31">
        <f t="shared" ref="J76:J84" ca="1" si="32">IF(AND(ISNUMBER(E76), ISNUMBER(F76),ISNUMBER(H76)), IF(AND(E76=F76,F76=H76,E76=H76), F76, ROUND(_xlfn.BETA.INV($E$8,((4*F76+H76-5*E76)/(H76-E76)), ((5*H76-E76-4*F76)/(H76-E76)), E76, H76), 1)), "N/A")</f>
        <v>4.8</v>
      </c>
      <c r="K76" s="45"/>
      <c r="L76" s="69"/>
      <c r="M76" s="8"/>
    </row>
    <row r="77" spans="1:13" s="2" customFormat="1" ht="24" outlineLevel="1" x14ac:dyDescent="0.25">
      <c r="A77" s="8"/>
      <c r="B77" s="24"/>
      <c r="C77" s="126" t="s">
        <v>316</v>
      </c>
      <c r="D77" s="63" t="s">
        <v>37</v>
      </c>
      <c r="E77" s="40">
        <f t="shared" ca="1" si="11"/>
        <v>3.0500000000000003</v>
      </c>
      <c r="F77" s="40">
        <f t="shared" ca="1" si="12"/>
        <v>4.3</v>
      </c>
      <c r="G77" s="30">
        <f t="shared" ca="1" si="13"/>
        <v>0.12325581395348822</v>
      </c>
      <c r="H77" s="44">
        <f t="shared" ca="1" si="30"/>
        <v>4.8299999999999992</v>
      </c>
      <c r="I77" s="39">
        <f t="shared" ca="1" si="31"/>
        <v>4.18</v>
      </c>
      <c r="J77" s="31">
        <f t="shared" ca="1" si="32"/>
        <v>4.8</v>
      </c>
      <c r="K77" s="45" t="s">
        <v>317</v>
      </c>
      <c r="L77" s="69"/>
      <c r="M77" s="8"/>
    </row>
    <row r="78" spans="1:13" s="2" customFormat="1" outlineLevel="1" x14ac:dyDescent="0.25">
      <c r="A78" s="8"/>
      <c r="B78" s="24"/>
      <c r="C78" s="126" t="s">
        <v>318</v>
      </c>
      <c r="D78" s="63" t="s">
        <v>38</v>
      </c>
      <c r="E78" s="40">
        <f t="shared" ca="1" si="11"/>
        <v>7.25</v>
      </c>
      <c r="F78" s="40">
        <f t="shared" ca="1" si="12"/>
        <v>10.100000000000001</v>
      </c>
      <c r="G78" s="30">
        <f t="shared" ca="1" si="13"/>
        <v>0.13985148514851481</v>
      </c>
      <c r="H78" s="44">
        <f t="shared" ca="1" si="30"/>
        <v>11.512500000000001</v>
      </c>
      <c r="I78" s="39">
        <f t="shared" ca="1" si="31"/>
        <v>9.8604166666666675</v>
      </c>
      <c r="J78" s="31">
        <f t="shared" ca="1" si="32"/>
        <v>11.3</v>
      </c>
      <c r="K78" s="45"/>
      <c r="L78" s="69"/>
      <c r="M78" s="8"/>
    </row>
    <row r="79" spans="1:13" s="2" customFormat="1" outlineLevel="1" x14ac:dyDescent="0.25">
      <c r="A79" s="8"/>
      <c r="B79" s="24"/>
      <c r="C79" s="126" t="s">
        <v>319</v>
      </c>
      <c r="D79" s="63" t="s">
        <v>37</v>
      </c>
      <c r="E79" s="40">
        <f t="shared" ca="1" si="11"/>
        <v>3.0500000000000003</v>
      </c>
      <c r="F79" s="40">
        <f t="shared" ca="1" si="12"/>
        <v>4.3</v>
      </c>
      <c r="G79" s="30">
        <f t="shared" ca="1" si="13"/>
        <v>0.12325581395348822</v>
      </c>
      <c r="H79" s="44">
        <f t="shared" ca="1" si="30"/>
        <v>4.8299999999999992</v>
      </c>
      <c r="I79" s="39">
        <f t="shared" ca="1" si="31"/>
        <v>4.18</v>
      </c>
      <c r="J79" s="31">
        <f t="shared" ca="1" si="32"/>
        <v>4.8</v>
      </c>
      <c r="K79" s="45"/>
      <c r="L79" s="69"/>
      <c r="M79" s="8"/>
    </row>
    <row r="80" spans="1:13" s="2" customFormat="1" ht="48" outlineLevel="1" x14ac:dyDescent="0.25">
      <c r="A80" s="8"/>
      <c r="B80" s="24"/>
      <c r="C80" s="126" t="s">
        <v>320</v>
      </c>
      <c r="D80" s="29" t="s">
        <v>37</v>
      </c>
      <c r="E80" s="40">
        <f t="shared" ca="1" si="11"/>
        <v>3.0500000000000003</v>
      </c>
      <c r="F80" s="40">
        <f t="shared" ca="1" si="12"/>
        <v>4.3</v>
      </c>
      <c r="G80" s="30">
        <f t="shared" ca="1" si="13"/>
        <v>0.12325581395348822</v>
      </c>
      <c r="H80" s="44">
        <f t="shared" ca="1" si="30"/>
        <v>4.8299999999999992</v>
      </c>
      <c r="I80" s="39">
        <f t="shared" ca="1" si="31"/>
        <v>4.18</v>
      </c>
      <c r="J80" s="31">
        <f t="shared" ca="1" si="32"/>
        <v>4.8</v>
      </c>
      <c r="K80" s="45" t="s">
        <v>321</v>
      </c>
      <c r="L80" s="69"/>
      <c r="M80" s="8"/>
    </row>
    <row r="81" spans="1:13" s="2" customFormat="1" outlineLevel="1" x14ac:dyDescent="0.25">
      <c r="A81" s="8"/>
      <c r="B81" s="24"/>
      <c r="C81" s="126" t="s">
        <v>322</v>
      </c>
      <c r="D81" s="63" t="s">
        <v>37</v>
      </c>
      <c r="E81" s="40">
        <f t="shared" ca="1" si="11"/>
        <v>3.0500000000000003</v>
      </c>
      <c r="F81" s="40">
        <f t="shared" ca="1" si="12"/>
        <v>4.3</v>
      </c>
      <c r="G81" s="30">
        <f t="shared" ca="1" si="13"/>
        <v>0.12325581395348822</v>
      </c>
      <c r="H81" s="44">
        <f t="shared" ca="1" si="30"/>
        <v>4.8299999999999992</v>
      </c>
      <c r="I81" s="39">
        <f t="shared" ca="1" si="31"/>
        <v>4.18</v>
      </c>
      <c r="J81" s="31">
        <f t="shared" ca="1" si="32"/>
        <v>4.8</v>
      </c>
      <c r="K81" s="45"/>
      <c r="L81" s="69"/>
      <c r="M81" s="8"/>
    </row>
    <row r="82" spans="1:13" s="2" customFormat="1" ht="36" outlineLevel="1" x14ac:dyDescent="0.25">
      <c r="A82" s="8"/>
      <c r="B82" s="24"/>
      <c r="C82" s="126" t="s">
        <v>323</v>
      </c>
      <c r="D82" s="63" t="s">
        <v>200</v>
      </c>
      <c r="E82" s="40">
        <f t="shared" ca="1" si="11"/>
        <v>1.5999999999999999</v>
      </c>
      <c r="F82" s="40">
        <f t="shared" ca="1" si="12"/>
        <v>2.4</v>
      </c>
      <c r="G82" s="30">
        <f t="shared" ca="1" si="13"/>
        <v>0.10000000000000028</v>
      </c>
      <c r="H82" s="44">
        <f t="shared" ca="1" si="30"/>
        <v>2.6400000000000006</v>
      </c>
      <c r="I82" s="39">
        <f t="shared" ca="1" si="31"/>
        <v>2.3066666666666666</v>
      </c>
      <c r="J82" s="31">
        <f t="shared" ca="1" si="32"/>
        <v>2.6</v>
      </c>
      <c r="K82" s="45" t="s">
        <v>324</v>
      </c>
      <c r="L82" s="69"/>
      <c r="M82" s="8"/>
    </row>
    <row r="83" spans="1:13" s="2" customFormat="1" outlineLevel="1" x14ac:dyDescent="0.25">
      <c r="A83" s="8"/>
      <c r="B83" s="24"/>
      <c r="C83" s="126" t="s">
        <v>325</v>
      </c>
      <c r="D83" s="63" t="s">
        <v>37</v>
      </c>
      <c r="E83" s="40">
        <f t="shared" ca="1" si="11"/>
        <v>3.0500000000000003</v>
      </c>
      <c r="F83" s="40">
        <f t="shared" ca="1" si="12"/>
        <v>4.3</v>
      </c>
      <c r="G83" s="30">
        <f t="shared" ca="1" si="13"/>
        <v>0.12325581395348822</v>
      </c>
      <c r="H83" s="44">
        <f t="shared" ca="1" si="30"/>
        <v>4.8299999999999992</v>
      </c>
      <c r="I83" s="39">
        <f t="shared" ca="1" si="31"/>
        <v>4.18</v>
      </c>
      <c r="J83" s="31">
        <f t="shared" ca="1" si="32"/>
        <v>4.8</v>
      </c>
      <c r="K83" s="45"/>
      <c r="L83" s="69"/>
      <c r="M83" s="8"/>
    </row>
    <row r="84" spans="1:13" s="2" customFormat="1" outlineLevel="1" x14ac:dyDescent="0.25">
      <c r="A84" s="8"/>
      <c r="B84" s="24"/>
      <c r="C84" s="126" t="s">
        <v>326</v>
      </c>
      <c r="D84" s="63" t="s">
        <v>37</v>
      </c>
      <c r="E84" s="40">
        <f t="shared" ca="1" si="11"/>
        <v>3.0500000000000003</v>
      </c>
      <c r="F84" s="40">
        <f t="shared" ca="1" si="12"/>
        <v>4.3</v>
      </c>
      <c r="G84" s="30">
        <f t="shared" ca="1" si="13"/>
        <v>0.12325581395348822</v>
      </c>
      <c r="H84" s="44">
        <f t="shared" ca="1" si="30"/>
        <v>4.8299999999999992</v>
      </c>
      <c r="I84" s="39">
        <f t="shared" ca="1" si="31"/>
        <v>4.18</v>
      </c>
      <c r="J84" s="31">
        <f t="shared" ca="1" si="32"/>
        <v>4.8</v>
      </c>
      <c r="K84" s="45"/>
      <c r="L84" s="69"/>
      <c r="M84" s="8"/>
    </row>
    <row r="85" spans="1:13" s="2" customFormat="1" outlineLevel="1" x14ac:dyDescent="0.25">
      <c r="A85" s="8"/>
      <c r="B85" s="24"/>
      <c r="C85" s="126" t="s">
        <v>327</v>
      </c>
      <c r="D85" s="63" t="s">
        <v>37</v>
      </c>
      <c r="E85" s="40">
        <f t="shared" ca="1" si="11"/>
        <v>3.0500000000000003</v>
      </c>
      <c r="F85" s="40">
        <f t="shared" ca="1" si="12"/>
        <v>4.3</v>
      </c>
      <c r="G85" s="30">
        <f t="shared" ca="1" si="13"/>
        <v>0.12325581395348822</v>
      </c>
      <c r="H85" s="44">
        <f t="shared" ref="H85:H100" ca="1" si="33">IF(ISNUMBER(F85), IF(ISNUMBER(G85), F85+(G85*F85), F85), "N/A")</f>
        <v>4.8299999999999992</v>
      </c>
      <c r="I85" s="39">
        <f t="shared" ref="I85:I100" ca="1" si="34">IF(AND(ISNUMBER(E85), ISNUMBER(F85),ISNUMBER(H85)), (E85+4*F85+H85)/6, "N/A")</f>
        <v>4.18</v>
      </c>
      <c r="J85" s="31">
        <f t="shared" ref="J85:J100" ca="1" si="35">IF(AND(ISNUMBER(E85), ISNUMBER(F85),ISNUMBER(H85)), IF(AND(E85=F85,F85=H85,E85=H85), F85, ROUND(_xlfn.BETA.INV($E$8,((4*F85+H85-5*E85)/(H85-E85)), ((5*H85-E85-4*F85)/(H85-E85)), E85, H85), 1)), "N/A")</f>
        <v>4.8</v>
      </c>
      <c r="K85" s="45"/>
      <c r="L85" s="69"/>
      <c r="M85" s="8"/>
    </row>
    <row r="86" spans="1:13" s="2" customFormat="1" outlineLevel="1" x14ac:dyDescent="0.25">
      <c r="A86" s="8"/>
      <c r="B86" s="24"/>
      <c r="C86" s="126" t="s">
        <v>328</v>
      </c>
      <c r="D86" s="63" t="s">
        <v>40</v>
      </c>
      <c r="E86" s="40">
        <f t="shared" ca="1" si="11"/>
        <v>22.7</v>
      </c>
      <c r="F86" s="40">
        <f t="shared" ca="1" si="12"/>
        <v>33.9</v>
      </c>
      <c r="G86" s="30">
        <f t="shared" ca="1" si="13"/>
        <v>0.24439528023598833</v>
      </c>
      <c r="H86" s="44">
        <f t="shared" ca="1" si="33"/>
        <v>42.185000000000002</v>
      </c>
      <c r="I86" s="39">
        <f t="shared" ca="1" si="34"/>
        <v>33.414166666666667</v>
      </c>
      <c r="J86" s="31">
        <f t="shared" ca="1" si="35"/>
        <v>40.6</v>
      </c>
      <c r="K86" s="45"/>
      <c r="L86" s="69"/>
      <c r="M86" s="8"/>
    </row>
    <row r="87" spans="1:13" s="2" customFormat="1" ht="36" outlineLevel="1" x14ac:dyDescent="0.25">
      <c r="A87" s="8"/>
      <c r="B87" s="24"/>
      <c r="C87" s="126" t="s">
        <v>329</v>
      </c>
      <c r="D87" s="63" t="s">
        <v>38</v>
      </c>
      <c r="E87" s="40">
        <f t="shared" ca="1" si="11"/>
        <v>7.25</v>
      </c>
      <c r="F87" s="40">
        <f t="shared" ca="1" si="12"/>
        <v>10.100000000000001</v>
      </c>
      <c r="G87" s="30">
        <f t="shared" ca="1" si="13"/>
        <v>0.13985148514851481</v>
      </c>
      <c r="H87" s="44">
        <f t="shared" ca="1" si="33"/>
        <v>11.512500000000001</v>
      </c>
      <c r="I87" s="39">
        <f t="shared" ca="1" si="34"/>
        <v>9.8604166666666675</v>
      </c>
      <c r="J87" s="31">
        <f t="shared" ca="1" si="35"/>
        <v>11.3</v>
      </c>
      <c r="K87" s="45" t="s">
        <v>330</v>
      </c>
      <c r="L87" s="69"/>
      <c r="M87" s="8"/>
    </row>
    <row r="88" spans="1:13" s="2" customFormat="1" ht="24" outlineLevel="1" x14ac:dyDescent="0.25">
      <c r="A88" s="8"/>
      <c r="B88" s="24"/>
      <c r="C88" s="192" t="s">
        <v>331</v>
      </c>
      <c r="D88" s="29" t="s">
        <v>38</v>
      </c>
      <c r="E88" s="40">
        <f t="shared" ca="1" si="11"/>
        <v>7.25</v>
      </c>
      <c r="F88" s="40">
        <f t="shared" ca="1" si="12"/>
        <v>10.100000000000001</v>
      </c>
      <c r="G88" s="30">
        <f t="shared" ca="1" si="13"/>
        <v>0.13985148514851481</v>
      </c>
      <c r="H88" s="44">
        <f t="shared" ca="1" si="33"/>
        <v>11.512500000000001</v>
      </c>
      <c r="I88" s="39">
        <f t="shared" ca="1" si="34"/>
        <v>9.8604166666666675</v>
      </c>
      <c r="J88" s="31">
        <f t="shared" ca="1" si="35"/>
        <v>11.3</v>
      </c>
      <c r="K88" s="45"/>
      <c r="L88" s="69"/>
      <c r="M88" s="8"/>
    </row>
    <row r="89" spans="1:13" s="2" customFormat="1" ht="60" outlineLevel="1" x14ac:dyDescent="0.25">
      <c r="A89" s="8"/>
      <c r="B89" s="24"/>
      <c r="C89" s="126" t="s">
        <v>332</v>
      </c>
      <c r="D89" s="63" t="s">
        <v>38</v>
      </c>
      <c r="E89" s="40">
        <f t="shared" ca="1" si="11"/>
        <v>7.25</v>
      </c>
      <c r="F89" s="40">
        <f t="shared" ca="1" si="12"/>
        <v>10.100000000000001</v>
      </c>
      <c r="G89" s="30">
        <f t="shared" ca="1" si="13"/>
        <v>0.13985148514851481</v>
      </c>
      <c r="H89" s="44">
        <f t="shared" ca="1" si="33"/>
        <v>11.512500000000001</v>
      </c>
      <c r="I89" s="39">
        <f t="shared" ca="1" si="34"/>
        <v>9.8604166666666675</v>
      </c>
      <c r="J89" s="31">
        <f t="shared" ca="1" si="35"/>
        <v>11.3</v>
      </c>
      <c r="K89" s="45" t="s">
        <v>333</v>
      </c>
      <c r="L89" s="69"/>
      <c r="M89" s="8"/>
    </row>
    <row r="90" spans="1:13" s="2" customFormat="1" ht="24" outlineLevel="1" x14ac:dyDescent="0.25">
      <c r="A90" s="8"/>
      <c r="B90" s="24"/>
      <c r="C90" s="126" t="s">
        <v>334</v>
      </c>
      <c r="D90" s="63" t="s">
        <v>39</v>
      </c>
      <c r="E90" s="40">
        <f t="shared" ca="1" si="11"/>
        <v>13.3</v>
      </c>
      <c r="F90" s="40">
        <f t="shared" ca="1" si="12"/>
        <v>20</v>
      </c>
      <c r="G90" s="30">
        <f t="shared" ca="1" si="13"/>
        <v>0.17624999999999993</v>
      </c>
      <c r="H90" s="44">
        <f t="shared" ca="1" si="33"/>
        <v>23.524999999999999</v>
      </c>
      <c r="I90" s="39">
        <f t="shared" ca="1" si="34"/>
        <v>19.470833333333331</v>
      </c>
      <c r="J90" s="31">
        <f t="shared" ca="1" si="35"/>
        <v>23</v>
      </c>
      <c r="K90" s="45" t="s">
        <v>335</v>
      </c>
      <c r="L90" s="69"/>
      <c r="M90" s="8"/>
    </row>
    <row r="91" spans="1:13" s="2" customFormat="1" outlineLevel="1" x14ac:dyDescent="0.25">
      <c r="A91" s="8"/>
      <c r="B91" s="24"/>
      <c r="C91" s="126" t="s">
        <v>336</v>
      </c>
      <c r="D91" s="63" t="s">
        <v>37</v>
      </c>
      <c r="E91" s="40">
        <f t="shared" ca="1" si="11"/>
        <v>3.0500000000000003</v>
      </c>
      <c r="F91" s="40">
        <f t="shared" ca="1" si="12"/>
        <v>4.3</v>
      </c>
      <c r="G91" s="30">
        <f t="shared" ca="1" si="13"/>
        <v>0.12325581395348822</v>
      </c>
      <c r="H91" s="44">
        <f t="shared" ca="1" si="33"/>
        <v>4.8299999999999992</v>
      </c>
      <c r="I91" s="39">
        <f t="shared" ca="1" si="34"/>
        <v>4.18</v>
      </c>
      <c r="J91" s="31">
        <f t="shared" ca="1" si="35"/>
        <v>4.8</v>
      </c>
      <c r="K91" s="45"/>
      <c r="L91" s="69"/>
      <c r="M91" s="8"/>
    </row>
    <row r="92" spans="1:13" s="2" customFormat="1" ht="36" outlineLevel="1" x14ac:dyDescent="0.25">
      <c r="A92" s="8"/>
      <c r="B92" s="24"/>
      <c r="C92" s="126" t="s">
        <v>337</v>
      </c>
      <c r="D92" s="63" t="s">
        <v>37</v>
      </c>
      <c r="E92" s="40">
        <f t="shared" ca="1" si="11"/>
        <v>3.0500000000000003</v>
      </c>
      <c r="F92" s="40">
        <f t="shared" ca="1" si="12"/>
        <v>4.3</v>
      </c>
      <c r="G92" s="30">
        <f t="shared" ca="1" si="13"/>
        <v>0.12325581395348822</v>
      </c>
      <c r="H92" s="44">
        <f t="shared" ca="1" si="33"/>
        <v>4.8299999999999992</v>
      </c>
      <c r="I92" s="39">
        <f t="shared" ca="1" si="34"/>
        <v>4.18</v>
      </c>
      <c r="J92" s="31">
        <f t="shared" ca="1" si="35"/>
        <v>4.8</v>
      </c>
      <c r="K92" s="45" t="s">
        <v>338</v>
      </c>
      <c r="L92" s="69"/>
      <c r="M92" s="8"/>
    </row>
    <row r="93" spans="1:13" s="2" customFormat="1" outlineLevel="1" x14ac:dyDescent="0.25">
      <c r="A93" s="8"/>
      <c r="B93" s="24"/>
      <c r="C93" s="126" t="s">
        <v>339</v>
      </c>
      <c r="D93" s="63" t="s">
        <v>38</v>
      </c>
      <c r="E93" s="40">
        <f t="shared" ca="1" si="11"/>
        <v>7.25</v>
      </c>
      <c r="F93" s="40">
        <f t="shared" ca="1" si="12"/>
        <v>10.100000000000001</v>
      </c>
      <c r="G93" s="30">
        <f t="shared" ca="1" si="13"/>
        <v>0.13985148514851481</v>
      </c>
      <c r="H93" s="44">
        <f t="shared" ca="1" si="33"/>
        <v>11.512500000000001</v>
      </c>
      <c r="I93" s="39">
        <f t="shared" ca="1" si="34"/>
        <v>9.8604166666666675</v>
      </c>
      <c r="J93" s="31">
        <f t="shared" ca="1" si="35"/>
        <v>11.3</v>
      </c>
      <c r="K93" s="45"/>
      <c r="L93" s="69"/>
      <c r="M93" s="8"/>
    </row>
    <row r="94" spans="1:13" s="2" customFormat="1" outlineLevel="1" x14ac:dyDescent="0.25">
      <c r="A94" s="8"/>
      <c r="B94" s="24"/>
      <c r="C94" s="126" t="s">
        <v>340</v>
      </c>
      <c r="D94" s="63" t="s">
        <v>37</v>
      </c>
      <c r="E94" s="40">
        <f t="shared" ca="1" si="11"/>
        <v>3.0500000000000003</v>
      </c>
      <c r="F94" s="40">
        <f t="shared" ca="1" si="12"/>
        <v>4.3</v>
      </c>
      <c r="G94" s="30">
        <f t="shared" ca="1" si="13"/>
        <v>0.12325581395348822</v>
      </c>
      <c r="H94" s="44">
        <f t="shared" ca="1" si="33"/>
        <v>4.8299999999999992</v>
      </c>
      <c r="I94" s="39">
        <f t="shared" ca="1" si="34"/>
        <v>4.18</v>
      </c>
      <c r="J94" s="31">
        <f t="shared" ca="1" si="35"/>
        <v>4.8</v>
      </c>
      <c r="K94" s="45" t="s">
        <v>341</v>
      </c>
      <c r="L94" s="69"/>
      <c r="M94" s="8"/>
    </row>
    <row r="95" spans="1:13" s="2" customFormat="1" ht="48" outlineLevel="1" x14ac:dyDescent="0.25">
      <c r="A95" s="8"/>
      <c r="B95" s="24"/>
      <c r="C95" s="126" t="s">
        <v>342</v>
      </c>
      <c r="D95" s="63" t="s">
        <v>39</v>
      </c>
      <c r="E95" s="40">
        <f t="shared" ca="1" si="11"/>
        <v>13.3</v>
      </c>
      <c r="F95" s="40">
        <f t="shared" ca="1" si="12"/>
        <v>20</v>
      </c>
      <c r="G95" s="30">
        <f t="shared" ca="1" si="13"/>
        <v>0.17624999999999993</v>
      </c>
      <c r="H95" s="44">
        <f t="shared" ca="1" si="33"/>
        <v>23.524999999999999</v>
      </c>
      <c r="I95" s="39">
        <f t="shared" ca="1" si="34"/>
        <v>19.470833333333331</v>
      </c>
      <c r="J95" s="31">
        <f t="shared" ca="1" si="35"/>
        <v>23</v>
      </c>
      <c r="K95" s="45" t="s">
        <v>344</v>
      </c>
      <c r="L95" s="69"/>
      <c r="M95" s="8"/>
    </row>
    <row r="96" spans="1:13" s="2" customFormat="1" outlineLevel="1" x14ac:dyDescent="0.25">
      <c r="A96" s="8"/>
      <c r="B96" s="24"/>
      <c r="C96" s="126" t="s">
        <v>342</v>
      </c>
      <c r="D96" s="29" t="s">
        <v>37</v>
      </c>
      <c r="E96" s="40">
        <f t="shared" ca="1" si="11"/>
        <v>3.0500000000000003</v>
      </c>
      <c r="F96" s="40">
        <f t="shared" ca="1" si="12"/>
        <v>4.3</v>
      </c>
      <c r="G96" s="30">
        <f t="shared" ca="1" si="13"/>
        <v>0.12325581395348822</v>
      </c>
      <c r="H96" s="44">
        <f t="shared" ca="1" si="33"/>
        <v>4.8299999999999992</v>
      </c>
      <c r="I96" s="39">
        <f t="shared" ca="1" si="34"/>
        <v>4.18</v>
      </c>
      <c r="J96" s="31">
        <f t="shared" ca="1" si="35"/>
        <v>4.8</v>
      </c>
      <c r="K96" s="45" t="s">
        <v>343</v>
      </c>
      <c r="L96" s="69"/>
      <c r="M96" s="8"/>
    </row>
    <row r="97" spans="1:13" s="2" customFormat="1" outlineLevel="1" x14ac:dyDescent="0.25">
      <c r="A97" s="8"/>
      <c r="B97" s="24"/>
      <c r="C97" s="126" t="s">
        <v>342</v>
      </c>
      <c r="D97" s="63" t="s">
        <v>37</v>
      </c>
      <c r="E97" s="40">
        <f t="shared" ca="1" si="11"/>
        <v>3.0500000000000003</v>
      </c>
      <c r="F97" s="40">
        <f t="shared" ca="1" si="12"/>
        <v>4.3</v>
      </c>
      <c r="G97" s="30">
        <f t="shared" ca="1" si="13"/>
        <v>0.12325581395348822</v>
      </c>
      <c r="H97" s="44">
        <f t="shared" ca="1" si="33"/>
        <v>4.8299999999999992</v>
      </c>
      <c r="I97" s="39">
        <f t="shared" ca="1" si="34"/>
        <v>4.18</v>
      </c>
      <c r="J97" s="31">
        <f t="shared" ca="1" si="35"/>
        <v>4.8</v>
      </c>
      <c r="K97" s="45" t="s">
        <v>345</v>
      </c>
      <c r="L97" s="69"/>
      <c r="M97" s="8"/>
    </row>
    <row r="98" spans="1:13" s="2" customFormat="1" outlineLevel="1" x14ac:dyDescent="0.25">
      <c r="A98" s="8"/>
      <c r="B98" s="24"/>
      <c r="C98" s="126" t="s">
        <v>346</v>
      </c>
      <c r="D98" s="63" t="s">
        <v>38</v>
      </c>
      <c r="E98" s="40">
        <f t="shared" ca="1" si="11"/>
        <v>7.25</v>
      </c>
      <c r="F98" s="40">
        <f t="shared" ca="1" si="12"/>
        <v>10.100000000000001</v>
      </c>
      <c r="G98" s="30">
        <f t="shared" ca="1" si="13"/>
        <v>0.13985148514851481</v>
      </c>
      <c r="H98" s="44">
        <f t="shared" ca="1" si="33"/>
        <v>11.512500000000001</v>
      </c>
      <c r="I98" s="39">
        <f t="shared" ca="1" si="34"/>
        <v>9.8604166666666675</v>
      </c>
      <c r="J98" s="31">
        <f t="shared" ca="1" si="35"/>
        <v>11.3</v>
      </c>
      <c r="K98" s="45" t="s">
        <v>347</v>
      </c>
      <c r="L98" s="69"/>
      <c r="M98" s="8"/>
    </row>
    <row r="99" spans="1:13" s="2" customFormat="1" outlineLevel="1" x14ac:dyDescent="0.25">
      <c r="A99" s="8"/>
      <c r="B99" s="24"/>
      <c r="C99" s="126" t="s">
        <v>348</v>
      </c>
      <c r="D99" s="63" t="s">
        <v>38</v>
      </c>
      <c r="E99" s="40">
        <f t="shared" ca="1" si="11"/>
        <v>7.25</v>
      </c>
      <c r="F99" s="40">
        <f t="shared" ca="1" si="12"/>
        <v>10.100000000000001</v>
      </c>
      <c r="G99" s="30">
        <f t="shared" ca="1" si="13"/>
        <v>0.13985148514851481</v>
      </c>
      <c r="H99" s="44">
        <f t="shared" ca="1" si="33"/>
        <v>11.512500000000001</v>
      </c>
      <c r="I99" s="39">
        <f t="shared" ca="1" si="34"/>
        <v>9.8604166666666675</v>
      </c>
      <c r="J99" s="31">
        <f t="shared" ca="1" si="35"/>
        <v>11.3</v>
      </c>
      <c r="K99" s="45"/>
      <c r="L99" s="69"/>
      <c r="M99" s="8"/>
    </row>
    <row r="100" spans="1:13" s="2" customFormat="1" outlineLevel="1" x14ac:dyDescent="0.25">
      <c r="A100" s="8"/>
      <c r="B100" s="24"/>
      <c r="C100" s="126" t="s">
        <v>353</v>
      </c>
      <c r="D100" s="63" t="s">
        <v>39</v>
      </c>
      <c r="E100" s="40">
        <f t="shared" ca="1" si="11"/>
        <v>13.3</v>
      </c>
      <c r="F100" s="40">
        <f t="shared" ca="1" si="12"/>
        <v>20</v>
      </c>
      <c r="G100" s="30">
        <f t="shared" ca="1" si="13"/>
        <v>0.17624999999999993</v>
      </c>
      <c r="H100" s="44">
        <f t="shared" ca="1" si="33"/>
        <v>23.524999999999999</v>
      </c>
      <c r="I100" s="39">
        <f t="shared" ca="1" si="34"/>
        <v>19.470833333333331</v>
      </c>
      <c r="J100" s="31">
        <f t="shared" ca="1" si="35"/>
        <v>23</v>
      </c>
      <c r="K100" s="45" t="s">
        <v>349</v>
      </c>
      <c r="L100" s="69"/>
      <c r="M100" s="8"/>
    </row>
    <row r="101" spans="1:13" s="2" customFormat="1" outlineLevel="1" x14ac:dyDescent="0.25">
      <c r="A101" s="8"/>
      <c r="B101" s="24"/>
      <c r="C101" s="126" t="s">
        <v>350</v>
      </c>
      <c r="D101" s="63" t="s">
        <v>37</v>
      </c>
      <c r="E101" s="40">
        <f t="shared" ca="1" si="11"/>
        <v>3.0500000000000003</v>
      </c>
      <c r="F101" s="40">
        <f t="shared" ca="1" si="12"/>
        <v>4.3</v>
      </c>
      <c r="G101" s="30">
        <f t="shared" ca="1" si="13"/>
        <v>0.12325581395348822</v>
      </c>
      <c r="H101" s="44">
        <f t="shared" ref="H101:H108" ca="1" si="36">IF(ISNUMBER(F101), IF(ISNUMBER(G101), F101+(G101*F101), F101), "N/A")</f>
        <v>4.8299999999999992</v>
      </c>
      <c r="I101" s="39">
        <f t="shared" ref="I101:I108" ca="1" si="37">IF(AND(ISNUMBER(E101), ISNUMBER(F101),ISNUMBER(H101)), (E101+4*F101+H101)/6, "N/A")</f>
        <v>4.18</v>
      </c>
      <c r="J101" s="31">
        <f t="shared" ref="J101:J108" ca="1" si="38">IF(AND(ISNUMBER(E101), ISNUMBER(F101),ISNUMBER(H101)), IF(AND(E101=F101,F101=H101,E101=H101), F101, ROUND(_xlfn.BETA.INV($E$8,((4*F101+H101-5*E101)/(H101-E101)), ((5*H101-E101-4*F101)/(H101-E101)), E101, H101), 1)), "N/A")</f>
        <v>4.8</v>
      </c>
      <c r="K101" s="45"/>
      <c r="L101" s="69"/>
      <c r="M101" s="8"/>
    </row>
    <row r="102" spans="1:13" s="2" customFormat="1" outlineLevel="1" x14ac:dyDescent="0.25">
      <c r="A102" s="8"/>
      <c r="B102" s="24"/>
      <c r="C102" s="126" t="s">
        <v>352</v>
      </c>
      <c r="D102" s="63" t="s">
        <v>39</v>
      </c>
      <c r="E102" s="40">
        <f t="shared" ca="1" si="11"/>
        <v>13.3</v>
      </c>
      <c r="F102" s="40">
        <f t="shared" ca="1" si="12"/>
        <v>20</v>
      </c>
      <c r="G102" s="30">
        <f t="shared" ca="1" si="13"/>
        <v>0.17624999999999993</v>
      </c>
      <c r="H102" s="44">
        <f t="shared" ca="1" si="36"/>
        <v>23.524999999999999</v>
      </c>
      <c r="I102" s="39">
        <f t="shared" ca="1" si="37"/>
        <v>19.470833333333331</v>
      </c>
      <c r="J102" s="31">
        <f t="shared" ca="1" si="38"/>
        <v>23</v>
      </c>
      <c r="K102" s="45" t="s">
        <v>351</v>
      </c>
      <c r="L102" s="69"/>
      <c r="M102" s="8"/>
    </row>
    <row r="103" spans="1:13" s="2" customFormat="1" ht="24" outlineLevel="1" x14ac:dyDescent="0.25">
      <c r="A103" s="8"/>
      <c r="B103" s="24"/>
      <c r="C103" s="192" t="s">
        <v>363</v>
      </c>
      <c r="D103" s="63" t="s">
        <v>39</v>
      </c>
      <c r="E103" s="40">
        <f t="shared" ca="1" si="11"/>
        <v>13.3</v>
      </c>
      <c r="F103" s="40">
        <f t="shared" ca="1" si="12"/>
        <v>20</v>
      </c>
      <c r="G103" s="30">
        <f t="shared" ca="1" si="13"/>
        <v>0.17624999999999993</v>
      </c>
      <c r="H103" s="44">
        <f t="shared" ca="1" si="36"/>
        <v>23.524999999999999</v>
      </c>
      <c r="I103" s="39">
        <f t="shared" ca="1" si="37"/>
        <v>19.470833333333331</v>
      </c>
      <c r="J103" s="31">
        <f t="shared" ca="1" si="38"/>
        <v>23</v>
      </c>
      <c r="K103" s="45" t="s">
        <v>362</v>
      </c>
      <c r="L103" s="69"/>
      <c r="M103" s="8"/>
    </row>
    <row r="104" spans="1:13" s="2" customFormat="1" ht="36" outlineLevel="1" x14ac:dyDescent="0.25">
      <c r="A104" s="8"/>
      <c r="B104" s="24"/>
      <c r="C104" s="126" t="s">
        <v>354</v>
      </c>
      <c r="D104" s="29" t="s">
        <v>37</v>
      </c>
      <c r="E104" s="40">
        <f t="shared" ca="1" si="11"/>
        <v>3.0500000000000003</v>
      </c>
      <c r="F104" s="40">
        <f t="shared" ca="1" si="12"/>
        <v>4.3</v>
      </c>
      <c r="G104" s="30">
        <f t="shared" ca="1" si="13"/>
        <v>0.12325581395348822</v>
      </c>
      <c r="H104" s="44">
        <f t="shared" ca="1" si="36"/>
        <v>4.8299999999999992</v>
      </c>
      <c r="I104" s="39">
        <f t="shared" ca="1" si="37"/>
        <v>4.18</v>
      </c>
      <c r="J104" s="31">
        <f t="shared" ca="1" si="38"/>
        <v>4.8</v>
      </c>
      <c r="K104" s="45" t="s">
        <v>355</v>
      </c>
      <c r="L104" s="69"/>
      <c r="M104" s="8"/>
    </row>
    <row r="105" spans="1:13" s="2" customFormat="1" ht="36" outlineLevel="1" x14ac:dyDescent="0.25">
      <c r="A105" s="8"/>
      <c r="B105" s="24"/>
      <c r="C105" s="126" t="s">
        <v>356</v>
      </c>
      <c r="D105" s="63" t="s">
        <v>37</v>
      </c>
      <c r="E105" s="40">
        <f t="shared" ca="1" si="11"/>
        <v>3.0500000000000003</v>
      </c>
      <c r="F105" s="40">
        <f t="shared" ca="1" si="12"/>
        <v>4.3</v>
      </c>
      <c r="G105" s="30">
        <f t="shared" ca="1" si="13"/>
        <v>0.12325581395348822</v>
      </c>
      <c r="H105" s="44">
        <f t="shared" ca="1" si="36"/>
        <v>4.8299999999999992</v>
      </c>
      <c r="I105" s="39">
        <f t="shared" ca="1" si="37"/>
        <v>4.18</v>
      </c>
      <c r="J105" s="31">
        <f t="shared" ca="1" si="38"/>
        <v>4.8</v>
      </c>
      <c r="K105" s="45" t="s">
        <v>357</v>
      </c>
      <c r="L105" s="69"/>
      <c r="M105" s="8"/>
    </row>
    <row r="106" spans="1:13" s="2" customFormat="1" ht="48" outlineLevel="1" x14ac:dyDescent="0.25">
      <c r="A106" s="8"/>
      <c r="B106" s="24"/>
      <c r="C106" s="126" t="s">
        <v>359</v>
      </c>
      <c r="D106" s="63" t="s">
        <v>38</v>
      </c>
      <c r="E106" s="40">
        <f t="shared" ca="1" si="11"/>
        <v>7.25</v>
      </c>
      <c r="F106" s="40">
        <f t="shared" ca="1" si="12"/>
        <v>10.100000000000001</v>
      </c>
      <c r="G106" s="30">
        <f t="shared" ca="1" si="13"/>
        <v>0.13985148514851481</v>
      </c>
      <c r="H106" s="44">
        <f t="shared" ca="1" si="36"/>
        <v>11.512500000000001</v>
      </c>
      <c r="I106" s="39">
        <f t="shared" ca="1" si="37"/>
        <v>9.8604166666666675</v>
      </c>
      <c r="J106" s="31">
        <f t="shared" ca="1" si="38"/>
        <v>11.3</v>
      </c>
      <c r="K106" s="45" t="s">
        <v>358</v>
      </c>
      <c r="L106" s="69"/>
      <c r="M106" s="8"/>
    </row>
    <row r="107" spans="1:13" s="2" customFormat="1" outlineLevel="1" x14ac:dyDescent="0.25">
      <c r="A107" s="8"/>
      <c r="B107" s="24"/>
      <c r="C107" s="126" t="s">
        <v>360</v>
      </c>
      <c r="D107" s="63" t="s">
        <v>39</v>
      </c>
      <c r="E107" s="40">
        <f t="shared" ca="1" si="11"/>
        <v>13.3</v>
      </c>
      <c r="F107" s="40">
        <f t="shared" ca="1" si="12"/>
        <v>20</v>
      </c>
      <c r="G107" s="30">
        <f t="shared" ca="1" si="13"/>
        <v>0.17624999999999993</v>
      </c>
      <c r="H107" s="44">
        <f t="shared" ca="1" si="36"/>
        <v>23.524999999999999</v>
      </c>
      <c r="I107" s="39">
        <f t="shared" ca="1" si="37"/>
        <v>19.470833333333331</v>
      </c>
      <c r="J107" s="31">
        <f t="shared" ca="1" si="38"/>
        <v>23</v>
      </c>
      <c r="K107" s="45"/>
      <c r="L107" s="69"/>
      <c r="M107" s="8"/>
    </row>
    <row r="108" spans="1:13" s="2" customFormat="1" outlineLevel="1" x14ac:dyDescent="0.25">
      <c r="A108" s="8"/>
      <c r="B108" s="24"/>
      <c r="C108" s="126" t="s">
        <v>361</v>
      </c>
      <c r="D108" s="63" t="s">
        <v>38</v>
      </c>
      <c r="E108" s="40">
        <f t="shared" ca="1" si="11"/>
        <v>7.25</v>
      </c>
      <c r="F108" s="40">
        <f t="shared" ca="1" si="12"/>
        <v>10.100000000000001</v>
      </c>
      <c r="G108" s="30">
        <f t="shared" ca="1" si="13"/>
        <v>0.13985148514851481</v>
      </c>
      <c r="H108" s="44">
        <f t="shared" ca="1" si="36"/>
        <v>11.512500000000001</v>
      </c>
      <c r="I108" s="39">
        <f t="shared" ca="1" si="37"/>
        <v>9.8604166666666675</v>
      </c>
      <c r="J108" s="31">
        <f t="shared" ca="1" si="38"/>
        <v>11.3</v>
      </c>
      <c r="K108" s="45"/>
      <c r="L108" s="69"/>
      <c r="M108" s="8"/>
    </row>
    <row r="109" spans="1:13" s="2" customFormat="1" outlineLevel="1" x14ac:dyDescent="0.25">
      <c r="A109" s="8"/>
      <c r="B109" s="24"/>
      <c r="C109" s="126" t="s">
        <v>364</v>
      </c>
      <c r="D109" s="29" t="s">
        <v>38</v>
      </c>
      <c r="E109" s="40">
        <f t="shared" ca="1" si="11"/>
        <v>7.25</v>
      </c>
      <c r="F109" s="40">
        <f t="shared" ca="1" si="12"/>
        <v>10.100000000000001</v>
      </c>
      <c r="G109" s="30">
        <f t="shared" ca="1" si="13"/>
        <v>0.13985148514851481</v>
      </c>
      <c r="H109" s="44">
        <f t="shared" ref="H109:H118" ca="1" si="39">IF(ISNUMBER(F109), IF(ISNUMBER(G109), F109+(G109*F109), F109), "N/A")</f>
        <v>11.512500000000001</v>
      </c>
      <c r="I109" s="39">
        <f t="shared" ref="I109:I118" ca="1" si="40">IF(AND(ISNUMBER(E109), ISNUMBER(F109),ISNUMBER(H109)), (E109+4*F109+H109)/6, "N/A")</f>
        <v>9.8604166666666675</v>
      </c>
      <c r="J109" s="31">
        <f t="shared" ref="J109:J118" ca="1" si="41">IF(AND(ISNUMBER(E109), ISNUMBER(F109),ISNUMBER(H109)), IF(AND(E109=F109,F109=H109,E109=H109), F109, ROUND(_xlfn.BETA.INV($E$8,((4*F109+H109-5*E109)/(H109-E109)), ((5*H109-E109-4*F109)/(H109-E109)), E109, H109), 1)), "N/A")</f>
        <v>11.3</v>
      </c>
      <c r="K109" s="45"/>
      <c r="L109" s="69"/>
      <c r="M109" s="8"/>
    </row>
    <row r="110" spans="1:13" s="2" customFormat="1" outlineLevel="1" x14ac:dyDescent="0.25">
      <c r="A110" s="8"/>
      <c r="B110" s="24"/>
      <c r="C110" s="126" t="s">
        <v>365</v>
      </c>
      <c r="D110" s="63" t="s">
        <v>39</v>
      </c>
      <c r="E110" s="40">
        <f t="shared" ca="1" si="11"/>
        <v>13.3</v>
      </c>
      <c r="F110" s="40">
        <f t="shared" ca="1" si="12"/>
        <v>20</v>
      </c>
      <c r="G110" s="30">
        <f t="shared" ca="1" si="13"/>
        <v>0.17624999999999993</v>
      </c>
      <c r="H110" s="44">
        <f t="shared" ca="1" si="39"/>
        <v>23.524999999999999</v>
      </c>
      <c r="I110" s="39">
        <f t="shared" ca="1" si="40"/>
        <v>19.470833333333331</v>
      </c>
      <c r="J110" s="31">
        <f t="shared" ca="1" si="41"/>
        <v>23</v>
      </c>
      <c r="K110" s="45"/>
      <c r="L110" s="69"/>
      <c r="M110" s="8"/>
    </row>
    <row r="111" spans="1:13" s="2" customFormat="1" outlineLevel="1" x14ac:dyDescent="0.25">
      <c r="A111" s="8"/>
      <c r="B111" s="24"/>
      <c r="C111" s="126" t="s">
        <v>366</v>
      </c>
      <c r="D111" s="63" t="s">
        <v>38</v>
      </c>
      <c r="E111" s="40">
        <f t="shared" ca="1" si="11"/>
        <v>7.25</v>
      </c>
      <c r="F111" s="40">
        <f t="shared" ca="1" si="12"/>
        <v>10.100000000000001</v>
      </c>
      <c r="G111" s="30">
        <f t="shared" ca="1" si="13"/>
        <v>0.13985148514851481</v>
      </c>
      <c r="H111" s="44">
        <f t="shared" ca="1" si="39"/>
        <v>11.512500000000001</v>
      </c>
      <c r="I111" s="39">
        <f t="shared" ca="1" si="40"/>
        <v>9.8604166666666675</v>
      </c>
      <c r="J111" s="31">
        <f t="shared" ca="1" si="41"/>
        <v>11.3</v>
      </c>
      <c r="K111" s="45"/>
      <c r="L111" s="69"/>
      <c r="M111" s="8"/>
    </row>
    <row r="112" spans="1:13" s="2" customFormat="1" ht="24" outlineLevel="1" x14ac:dyDescent="0.25">
      <c r="A112" s="8"/>
      <c r="B112" s="24"/>
      <c r="C112" s="126" t="s">
        <v>368</v>
      </c>
      <c r="D112" s="63" t="s">
        <v>39</v>
      </c>
      <c r="E112" s="40">
        <f t="shared" ca="1" si="11"/>
        <v>13.3</v>
      </c>
      <c r="F112" s="40">
        <f t="shared" ca="1" si="12"/>
        <v>20</v>
      </c>
      <c r="G112" s="30">
        <f t="shared" ca="1" si="13"/>
        <v>0.17624999999999993</v>
      </c>
      <c r="H112" s="44">
        <f t="shared" ca="1" si="39"/>
        <v>23.524999999999999</v>
      </c>
      <c r="I112" s="39">
        <f t="shared" ca="1" si="40"/>
        <v>19.470833333333331</v>
      </c>
      <c r="J112" s="31">
        <f t="shared" ca="1" si="41"/>
        <v>23</v>
      </c>
      <c r="K112" s="45" t="s">
        <v>367</v>
      </c>
      <c r="L112" s="69"/>
      <c r="M112" s="8"/>
    </row>
    <row r="113" spans="1:13" s="2" customFormat="1" outlineLevel="1" x14ac:dyDescent="0.25">
      <c r="A113" s="8"/>
      <c r="B113" s="24"/>
      <c r="C113" s="126" t="s">
        <v>369</v>
      </c>
      <c r="D113" s="63" t="s">
        <v>37</v>
      </c>
      <c r="E113" s="40">
        <f t="shared" ca="1" si="11"/>
        <v>3.0500000000000003</v>
      </c>
      <c r="F113" s="40">
        <f t="shared" ca="1" si="12"/>
        <v>4.3</v>
      </c>
      <c r="G113" s="30">
        <f t="shared" ca="1" si="13"/>
        <v>0.12325581395348822</v>
      </c>
      <c r="H113" s="44">
        <f t="shared" ca="1" si="39"/>
        <v>4.8299999999999992</v>
      </c>
      <c r="I113" s="39">
        <f t="shared" ca="1" si="40"/>
        <v>4.18</v>
      </c>
      <c r="J113" s="31">
        <f t="shared" ca="1" si="41"/>
        <v>4.8</v>
      </c>
      <c r="K113" s="45"/>
      <c r="L113" s="69"/>
      <c r="M113" s="8"/>
    </row>
    <row r="114" spans="1:13" s="2" customFormat="1" outlineLevel="1" x14ac:dyDescent="0.25">
      <c r="A114" s="8"/>
      <c r="B114" s="24"/>
      <c r="C114" s="126" t="s">
        <v>370</v>
      </c>
      <c r="D114" s="29" t="s">
        <v>37</v>
      </c>
      <c r="E114" s="40">
        <f t="shared" ca="1" si="11"/>
        <v>3.0500000000000003</v>
      </c>
      <c r="F114" s="40">
        <f t="shared" ca="1" si="12"/>
        <v>4.3</v>
      </c>
      <c r="G114" s="30">
        <f t="shared" ca="1" si="13"/>
        <v>0.12325581395348822</v>
      </c>
      <c r="H114" s="44">
        <f t="shared" ca="1" si="39"/>
        <v>4.8299999999999992</v>
      </c>
      <c r="I114" s="39">
        <f t="shared" ca="1" si="40"/>
        <v>4.18</v>
      </c>
      <c r="J114" s="31">
        <f t="shared" ca="1" si="41"/>
        <v>4.8</v>
      </c>
      <c r="K114" s="45"/>
      <c r="L114" s="69"/>
      <c r="M114" s="8"/>
    </row>
    <row r="115" spans="1:13" s="2" customFormat="1" outlineLevel="1" x14ac:dyDescent="0.25">
      <c r="A115" s="8"/>
      <c r="B115" s="24"/>
      <c r="C115" s="126" t="s">
        <v>371</v>
      </c>
      <c r="D115" s="63" t="s">
        <v>37</v>
      </c>
      <c r="E115" s="40">
        <f t="shared" ca="1" si="11"/>
        <v>3.0500000000000003</v>
      </c>
      <c r="F115" s="40">
        <f t="shared" ca="1" si="12"/>
        <v>4.3</v>
      </c>
      <c r="G115" s="30">
        <f t="shared" ca="1" si="13"/>
        <v>0.12325581395348822</v>
      </c>
      <c r="H115" s="44">
        <f t="shared" ca="1" si="39"/>
        <v>4.8299999999999992</v>
      </c>
      <c r="I115" s="39">
        <f t="shared" ca="1" si="40"/>
        <v>4.18</v>
      </c>
      <c r="J115" s="31">
        <f t="shared" ca="1" si="41"/>
        <v>4.8</v>
      </c>
      <c r="K115" s="45"/>
      <c r="L115" s="69"/>
      <c r="M115" s="8"/>
    </row>
    <row r="116" spans="1:13" s="2" customFormat="1" ht="24" outlineLevel="1" x14ac:dyDescent="0.25">
      <c r="A116" s="8"/>
      <c r="B116" s="24"/>
      <c r="C116" s="126" t="s">
        <v>372</v>
      </c>
      <c r="D116" s="63" t="s">
        <v>38</v>
      </c>
      <c r="E116" s="40">
        <f t="shared" ca="1" si="11"/>
        <v>7.25</v>
      </c>
      <c r="F116" s="40">
        <f t="shared" ca="1" si="12"/>
        <v>10.100000000000001</v>
      </c>
      <c r="G116" s="30">
        <f t="shared" ca="1" si="13"/>
        <v>0.13985148514851481</v>
      </c>
      <c r="H116" s="44">
        <f t="shared" ca="1" si="39"/>
        <v>11.512500000000001</v>
      </c>
      <c r="I116" s="39">
        <f t="shared" ca="1" si="40"/>
        <v>9.8604166666666675</v>
      </c>
      <c r="J116" s="31">
        <f t="shared" ca="1" si="41"/>
        <v>11.3</v>
      </c>
      <c r="K116" s="45" t="s">
        <v>373</v>
      </c>
      <c r="L116" s="69"/>
      <c r="M116" s="8"/>
    </row>
    <row r="117" spans="1:13" s="2" customFormat="1" ht="24" outlineLevel="1" x14ac:dyDescent="0.25">
      <c r="A117" s="8"/>
      <c r="B117" s="24"/>
      <c r="C117" s="126" t="s">
        <v>372</v>
      </c>
      <c r="D117" s="63" t="s">
        <v>38</v>
      </c>
      <c r="E117" s="40">
        <f t="shared" ca="1" si="11"/>
        <v>7.25</v>
      </c>
      <c r="F117" s="40">
        <f t="shared" ca="1" si="12"/>
        <v>10.100000000000001</v>
      </c>
      <c r="G117" s="30">
        <f t="shared" ca="1" si="13"/>
        <v>0.13985148514851481</v>
      </c>
      <c r="H117" s="44">
        <f t="shared" ca="1" si="39"/>
        <v>11.512500000000001</v>
      </c>
      <c r="I117" s="39">
        <f t="shared" ca="1" si="40"/>
        <v>9.8604166666666675</v>
      </c>
      <c r="J117" s="31">
        <f t="shared" ca="1" si="41"/>
        <v>11.3</v>
      </c>
      <c r="K117" s="45" t="s">
        <v>374</v>
      </c>
      <c r="L117" s="69"/>
      <c r="M117" s="8"/>
    </row>
    <row r="118" spans="1:13" s="2" customFormat="1" ht="84" outlineLevel="1" x14ac:dyDescent="0.25">
      <c r="A118" s="8"/>
      <c r="B118" s="24"/>
      <c r="C118" s="126" t="s">
        <v>375</v>
      </c>
      <c r="D118" s="63" t="s">
        <v>39</v>
      </c>
      <c r="E118" s="40">
        <f t="shared" ca="1" si="11"/>
        <v>13.3</v>
      </c>
      <c r="F118" s="40">
        <f t="shared" ca="1" si="12"/>
        <v>20</v>
      </c>
      <c r="G118" s="30">
        <f t="shared" ca="1" si="13"/>
        <v>0.17624999999999993</v>
      </c>
      <c r="H118" s="44">
        <f t="shared" ca="1" si="39"/>
        <v>23.524999999999999</v>
      </c>
      <c r="I118" s="39">
        <f t="shared" ca="1" si="40"/>
        <v>19.470833333333331</v>
      </c>
      <c r="J118" s="31">
        <f t="shared" ca="1" si="41"/>
        <v>23</v>
      </c>
      <c r="K118" s="45" t="s">
        <v>376</v>
      </c>
      <c r="L118" s="69"/>
      <c r="M118" s="8"/>
    </row>
    <row r="119" spans="1:13" s="2" customFormat="1" outlineLevel="1" x14ac:dyDescent="0.25">
      <c r="A119" s="8"/>
      <c r="B119" s="24"/>
      <c r="C119" s="126" t="s">
        <v>377</v>
      </c>
      <c r="D119" s="29" t="s">
        <v>39</v>
      </c>
      <c r="E119" s="40">
        <f t="shared" ca="1" si="11"/>
        <v>13.3</v>
      </c>
      <c r="F119" s="40">
        <f t="shared" ca="1" si="12"/>
        <v>20</v>
      </c>
      <c r="G119" s="30">
        <f t="shared" ca="1" si="13"/>
        <v>0.17624999999999993</v>
      </c>
      <c r="H119" s="44">
        <f t="shared" ref="H119:H138" ca="1" si="42">IF(ISNUMBER(F119), IF(ISNUMBER(G119), F119+(G119*F119), F119), "N/A")</f>
        <v>23.524999999999999</v>
      </c>
      <c r="I119" s="39">
        <f t="shared" ref="I119:I138" ca="1" si="43">IF(AND(ISNUMBER(E119), ISNUMBER(F119),ISNUMBER(H119)), (E119+4*F119+H119)/6, "N/A")</f>
        <v>19.470833333333331</v>
      </c>
      <c r="J119" s="31">
        <f t="shared" ref="J119:J138" ca="1" si="44">IF(AND(ISNUMBER(E119), ISNUMBER(F119),ISNUMBER(H119)), IF(AND(E119=F119,F119=H119,E119=H119), F119, ROUND(_xlfn.BETA.INV($E$8,((4*F119+H119-5*E119)/(H119-E119)), ((5*H119-E119-4*F119)/(H119-E119)), E119, H119), 1)), "N/A")</f>
        <v>23</v>
      </c>
      <c r="K119" s="45" t="s">
        <v>378</v>
      </c>
      <c r="L119" s="69"/>
      <c r="M119" s="8"/>
    </row>
    <row r="120" spans="1:13" s="2" customFormat="1" outlineLevel="1" x14ac:dyDescent="0.25">
      <c r="A120" s="8"/>
      <c r="B120" s="24"/>
      <c r="C120" s="126" t="s">
        <v>379</v>
      </c>
      <c r="D120" s="63" t="s">
        <v>39</v>
      </c>
      <c r="E120" s="40">
        <f t="shared" ca="1" si="11"/>
        <v>13.3</v>
      </c>
      <c r="F120" s="40">
        <f t="shared" ca="1" si="12"/>
        <v>20</v>
      </c>
      <c r="G120" s="30">
        <f t="shared" ca="1" si="13"/>
        <v>0.17624999999999993</v>
      </c>
      <c r="H120" s="44">
        <f t="shared" ca="1" si="42"/>
        <v>23.524999999999999</v>
      </c>
      <c r="I120" s="39">
        <f t="shared" ca="1" si="43"/>
        <v>19.470833333333331</v>
      </c>
      <c r="J120" s="31">
        <f t="shared" ca="1" si="44"/>
        <v>23</v>
      </c>
      <c r="K120" s="45" t="s">
        <v>380</v>
      </c>
      <c r="L120" s="69"/>
      <c r="M120" s="8"/>
    </row>
    <row r="121" spans="1:13" s="2" customFormat="1" outlineLevel="1" x14ac:dyDescent="0.25">
      <c r="A121" s="8"/>
      <c r="B121" s="24"/>
      <c r="C121" s="126" t="s">
        <v>381</v>
      </c>
      <c r="D121" s="63" t="s">
        <v>38</v>
      </c>
      <c r="E121" s="40">
        <f t="shared" ca="1" si="11"/>
        <v>7.25</v>
      </c>
      <c r="F121" s="40">
        <f t="shared" ca="1" si="12"/>
        <v>10.100000000000001</v>
      </c>
      <c r="G121" s="30">
        <f t="shared" ca="1" si="13"/>
        <v>0.13985148514851481</v>
      </c>
      <c r="H121" s="44">
        <f t="shared" ca="1" si="42"/>
        <v>11.512500000000001</v>
      </c>
      <c r="I121" s="39">
        <f t="shared" ca="1" si="43"/>
        <v>9.8604166666666675</v>
      </c>
      <c r="J121" s="31">
        <f t="shared" ca="1" si="44"/>
        <v>11.3</v>
      </c>
      <c r="K121" s="45"/>
      <c r="L121" s="69"/>
      <c r="M121" s="8"/>
    </row>
    <row r="122" spans="1:13" s="2" customFormat="1" outlineLevel="1" x14ac:dyDescent="0.25">
      <c r="A122" s="8"/>
      <c r="B122" s="24"/>
      <c r="C122" s="126" t="s">
        <v>382</v>
      </c>
      <c r="D122" s="63" t="s">
        <v>38</v>
      </c>
      <c r="E122" s="40">
        <f t="shared" ca="1" si="11"/>
        <v>7.25</v>
      </c>
      <c r="F122" s="40">
        <f t="shared" ca="1" si="12"/>
        <v>10.100000000000001</v>
      </c>
      <c r="G122" s="30">
        <f t="shared" ca="1" si="13"/>
        <v>0.13985148514851481</v>
      </c>
      <c r="H122" s="44">
        <f t="shared" ca="1" si="42"/>
        <v>11.512500000000001</v>
      </c>
      <c r="I122" s="39">
        <f t="shared" ca="1" si="43"/>
        <v>9.8604166666666675</v>
      </c>
      <c r="J122" s="31">
        <f t="shared" ca="1" si="44"/>
        <v>11.3</v>
      </c>
      <c r="K122" s="45"/>
      <c r="L122" s="69"/>
      <c r="M122" s="8"/>
    </row>
    <row r="123" spans="1:13" s="2" customFormat="1" outlineLevel="1" x14ac:dyDescent="0.25">
      <c r="A123" s="8"/>
      <c r="B123" s="24"/>
      <c r="C123" s="126" t="s">
        <v>383</v>
      </c>
      <c r="D123" s="63" t="s">
        <v>38</v>
      </c>
      <c r="E123" s="40">
        <f t="shared" ca="1" si="11"/>
        <v>7.25</v>
      </c>
      <c r="F123" s="40">
        <f t="shared" ca="1" si="12"/>
        <v>10.100000000000001</v>
      </c>
      <c r="G123" s="30">
        <f t="shared" ca="1" si="13"/>
        <v>0.13985148514851481</v>
      </c>
      <c r="H123" s="44">
        <f t="shared" ca="1" si="42"/>
        <v>11.512500000000001</v>
      </c>
      <c r="I123" s="39">
        <f t="shared" ca="1" si="43"/>
        <v>9.8604166666666675</v>
      </c>
      <c r="J123" s="31">
        <f t="shared" ca="1" si="44"/>
        <v>11.3</v>
      </c>
      <c r="K123" s="45"/>
      <c r="L123" s="69"/>
      <c r="M123" s="8"/>
    </row>
    <row r="124" spans="1:13" s="2" customFormat="1" outlineLevel="1" x14ac:dyDescent="0.25">
      <c r="A124" s="8"/>
      <c r="B124" s="24"/>
      <c r="C124" s="126" t="s">
        <v>384</v>
      </c>
      <c r="D124" s="29" t="s">
        <v>38</v>
      </c>
      <c r="E124" s="40">
        <f t="shared" ca="1" si="11"/>
        <v>7.25</v>
      </c>
      <c r="F124" s="40">
        <f t="shared" ca="1" si="12"/>
        <v>10.100000000000001</v>
      </c>
      <c r="G124" s="30">
        <f t="shared" ca="1" si="13"/>
        <v>0.13985148514851481</v>
      </c>
      <c r="H124" s="44">
        <f t="shared" ca="1" si="42"/>
        <v>11.512500000000001</v>
      </c>
      <c r="I124" s="39">
        <f t="shared" ca="1" si="43"/>
        <v>9.8604166666666675</v>
      </c>
      <c r="J124" s="31">
        <f t="shared" ca="1" si="44"/>
        <v>11.3</v>
      </c>
      <c r="K124" s="45"/>
      <c r="L124" s="69"/>
      <c r="M124" s="8"/>
    </row>
    <row r="125" spans="1:13" s="2" customFormat="1" outlineLevel="1" x14ac:dyDescent="0.25">
      <c r="A125" s="8"/>
      <c r="B125" s="24"/>
      <c r="C125" s="126" t="s">
        <v>385</v>
      </c>
      <c r="D125" s="63" t="s">
        <v>38</v>
      </c>
      <c r="E125" s="40">
        <f t="shared" ca="1" si="11"/>
        <v>7.25</v>
      </c>
      <c r="F125" s="40">
        <f t="shared" ca="1" si="12"/>
        <v>10.100000000000001</v>
      </c>
      <c r="G125" s="30">
        <f t="shared" ca="1" si="13"/>
        <v>0.13985148514851481</v>
      </c>
      <c r="H125" s="44">
        <f t="shared" ca="1" si="42"/>
        <v>11.512500000000001</v>
      </c>
      <c r="I125" s="39">
        <f t="shared" ca="1" si="43"/>
        <v>9.8604166666666675</v>
      </c>
      <c r="J125" s="31">
        <f t="shared" ca="1" si="44"/>
        <v>11.3</v>
      </c>
      <c r="K125" s="45"/>
      <c r="L125" s="69"/>
      <c r="M125" s="8"/>
    </row>
    <row r="126" spans="1:13" s="2" customFormat="1" outlineLevel="1" x14ac:dyDescent="0.25">
      <c r="A126" s="8"/>
      <c r="B126" s="24"/>
      <c r="C126" s="126" t="s">
        <v>386</v>
      </c>
      <c r="D126" s="63" t="s">
        <v>38</v>
      </c>
      <c r="E126" s="40">
        <f t="shared" ca="1" si="11"/>
        <v>7.25</v>
      </c>
      <c r="F126" s="40">
        <f t="shared" ca="1" si="12"/>
        <v>10.100000000000001</v>
      </c>
      <c r="G126" s="30">
        <f t="shared" ca="1" si="13"/>
        <v>0.13985148514851481</v>
      </c>
      <c r="H126" s="44">
        <f t="shared" ca="1" si="42"/>
        <v>11.512500000000001</v>
      </c>
      <c r="I126" s="39">
        <f t="shared" ca="1" si="43"/>
        <v>9.8604166666666675</v>
      </c>
      <c r="J126" s="31">
        <f t="shared" ca="1" si="44"/>
        <v>11.3</v>
      </c>
      <c r="K126" s="45"/>
      <c r="L126" s="69"/>
      <c r="M126" s="8"/>
    </row>
    <row r="127" spans="1:13" s="2" customFormat="1" outlineLevel="1" x14ac:dyDescent="0.25">
      <c r="A127" s="8"/>
      <c r="B127" s="24"/>
      <c r="C127" s="126" t="s">
        <v>387</v>
      </c>
      <c r="D127" s="63" t="s">
        <v>39</v>
      </c>
      <c r="E127" s="40">
        <f t="shared" ca="1" si="11"/>
        <v>13.3</v>
      </c>
      <c r="F127" s="40">
        <f t="shared" ca="1" si="12"/>
        <v>20</v>
      </c>
      <c r="G127" s="30">
        <f t="shared" ca="1" si="13"/>
        <v>0.17624999999999993</v>
      </c>
      <c r="H127" s="44">
        <f t="shared" ca="1" si="42"/>
        <v>23.524999999999999</v>
      </c>
      <c r="I127" s="39">
        <f t="shared" ca="1" si="43"/>
        <v>19.470833333333331</v>
      </c>
      <c r="J127" s="31">
        <f t="shared" ca="1" si="44"/>
        <v>23</v>
      </c>
      <c r="K127" s="45" t="s">
        <v>388</v>
      </c>
      <c r="L127" s="69"/>
      <c r="M127" s="8"/>
    </row>
    <row r="128" spans="1:13" s="2" customFormat="1" ht="48" outlineLevel="1" x14ac:dyDescent="0.25">
      <c r="A128" s="8"/>
      <c r="B128" s="24"/>
      <c r="C128" s="126" t="s">
        <v>389</v>
      </c>
      <c r="D128" s="63" t="s">
        <v>39</v>
      </c>
      <c r="E128" s="40">
        <f t="shared" ca="1" si="11"/>
        <v>13.3</v>
      </c>
      <c r="F128" s="40">
        <f t="shared" ca="1" si="12"/>
        <v>20</v>
      </c>
      <c r="G128" s="30">
        <f t="shared" ca="1" si="13"/>
        <v>0.17624999999999993</v>
      </c>
      <c r="H128" s="44">
        <f t="shared" ca="1" si="42"/>
        <v>23.524999999999999</v>
      </c>
      <c r="I128" s="39">
        <f t="shared" ca="1" si="43"/>
        <v>19.470833333333331</v>
      </c>
      <c r="J128" s="31">
        <f t="shared" ca="1" si="44"/>
        <v>23</v>
      </c>
      <c r="K128" s="45" t="s">
        <v>390</v>
      </c>
      <c r="L128" s="69"/>
      <c r="M128" s="8"/>
    </row>
    <row r="129" spans="1:13" s="2" customFormat="1" ht="36" outlineLevel="1" x14ac:dyDescent="0.25">
      <c r="A129" s="8"/>
      <c r="B129" s="24"/>
      <c r="C129" s="126" t="s">
        <v>391</v>
      </c>
      <c r="D129" s="29" t="s">
        <v>38</v>
      </c>
      <c r="E129" s="40">
        <f t="shared" ca="1" si="11"/>
        <v>7.25</v>
      </c>
      <c r="F129" s="40">
        <f t="shared" ca="1" si="12"/>
        <v>10.100000000000001</v>
      </c>
      <c r="G129" s="30">
        <f t="shared" ca="1" si="13"/>
        <v>0.13985148514851481</v>
      </c>
      <c r="H129" s="44">
        <f t="shared" ca="1" si="42"/>
        <v>11.512500000000001</v>
      </c>
      <c r="I129" s="39">
        <f t="shared" ca="1" si="43"/>
        <v>9.8604166666666675</v>
      </c>
      <c r="J129" s="31">
        <f t="shared" ca="1" si="44"/>
        <v>11.3</v>
      </c>
      <c r="K129" s="45" t="s">
        <v>392</v>
      </c>
      <c r="L129" s="69"/>
      <c r="M129" s="8"/>
    </row>
    <row r="130" spans="1:13" s="2" customFormat="1" ht="36" outlineLevel="1" x14ac:dyDescent="0.25">
      <c r="A130" s="8"/>
      <c r="B130" s="24"/>
      <c r="C130" s="126" t="s">
        <v>393</v>
      </c>
      <c r="D130" s="63" t="s">
        <v>39</v>
      </c>
      <c r="E130" s="40">
        <f t="shared" ca="1" si="11"/>
        <v>13.3</v>
      </c>
      <c r="F130" s="40">
        <f t="shared" ca="1" si="12"/>
        <v>20</v>
      </c>
      <c r="G130" s="30">
        <f t="shared" ca="1" si="13"/>
        <v>0.17624999999999993</v>
      </c>
      <c r="H130" s="44">
        <f t="shared" ca="1" si="42"/>
        <v>23.524999999999999</v>
      </c>
      <c r="I130" s="39">
        <f t="shared" ca="1" si="43"/>
        <v>19.470833333333331</v>
      </c>
      <c r="J130" s="31">
        <f t="shared" ca="1" si="44"/>
        <v>23</v>
      </c>
      <c r="K130" s="45" t="s">
        <v>394</v>
      </c>
      <c r="L130" s="69"/>
      <c r="M130" s="8"/>
    </row>
    <row r="131" spans="1:13" s="2" customFormat="1" ht="24" outlineLevel="1" x14ac:dyDescent="0.25">
      <c r="A131" s="8"/>
      <c r="B131" s="24"/>
      <c r="C131" s="192" t="s">
        <v>395</v>
      </c>
      <c r="D131" s="63" t="s">
        <v>38</v>
      </c>
      <c r="E131" s="40">
        <f t="shared" ca="1" si="11"/>
        <v>7.25</v>
      </c>
      <c r="F131" s="40">
        <f t="shared" ca="1" si="12"/>
        <v>10.100000000000001</v>
      </c>
      <c r="G131" s="30">
        <f t="shared" ca="1" si="13"/>
        <v>0.13985148514851481</v>
      </c>
      <c r="H131" s="44">
        <f t="shared" ca="1" si="42"/>
        <v>11.512500000000001</v>
      </c>
      <c r="I131" s="39">
        <f t="shared" ca="1" si="43"/>
        <v>9.8604166666666675</v>
      </c>
      <c r="J131" s="31">
        <f t="shared" ca="1" si="44"/>
        <v>11.3</v>
      </c>
      <c r="K131" s="45"/>
      <c r="L131" s="69"/>
      <c r="M131" s="8"/>
    </row>
    <row r="132" spans="1:13" s="2" customFormat="1" outlineLevel="1" x14ac:dyDescent="0.25">
      <c r="A132" s="8"/>
      <c r="B132" s="24"/>
      <c r="C132" s="126" t="s">
        <v>396</v>
      </c>
      <c r="D132" s="63" t="s">
        <v>39</v>
      </c>
      <c r="E132" s="40">
        <f t="shared" ca="1" si="11"/>
        <v>13.3</v>
      </c>
      <c r="F132" s="40">
        <f t="shared" ca="1" si="12"/>
        <v>20</v>
      </c>
      <c r="G132" s="30">
        <f t="shared" ca="1" si="13"/>
        <v>0.17624999999999993</v>
      </c>
      <c r="H132" s="44">
        <f t="shared" ca="1" si="42"/>
        <v>23.524999999999999</v>
      </c>
      <c r="I132" s="39">
        <f t="shared" ca="1" si="43"/>
        <v>19.470833333333331</v>
      </c>
      <c r="J132" s="31">
        <f t="shared" ca="1" si="44"/>
        <v>23</v>
      </c>
      <c r="K132" s="45"/>
      <c r="L132" s="69"/>
      <c r="M132" s="8"/>
    </row>
    <row r="133" spans="1:13" s="2" customFormat="1" outlineLevel="1" x14ac:dyDescent="0.25">
      <c r="A133" s="8"/>
      <c r="B133" s="24"/>
      <c r="C133" s="126" t="s">
        <v>397</v>
      </c>
      <c r="D133" s="63" t="s">
        <v>40</v>
      </c>
      <c r="E133" s="40">
        <f t="shared" ca="1" si="11"/>
        <v>22.7</v>
      </c>
      <c r="F133" s="40">
        <f t="shared" ca="1" si="12"/>
        <v>33.9</v>
      </c>
      <c r="G133" s="30">
        <f t="shared" ca="1" si="13"/>
        <v>0.24439528023598833</v>
      </c>
      <c r="H133" s="44">
        <f t="shared" ca="1" si="42"/>
        <v>42.185000000000002</v>
      </c>
      <c r="I133" s="39">
        <f t="shared" ca="1" si="43"/>
        <v>33.414166666666667</v>
      </c>
      <c r="J133" s="31">
        <f t="shared" ca="1" si="44"/>
        <v>40.6</v>
      </c>
      <c r="K133" s="45"/>
      <c r="L133" s="69"/>
      <c r="M133" s="8"/>
    </row>
    <row r="134" spans="1:13" s="2" customFormat="1" ht="48" outlineLevel="1" x14ac:dyDescent="0.25">
      <c r="A134" s="8"/>
      <c r="B134" s="24"/>
      <c r="C134" s="126" t="s">
        <v>398</v>
      </c>
      <c r="D134" s="29" t="s">
        <v>39</v>
      </c>
      <c r="E134" s="40">
        <f t="shared" ca="1" si="11"/>
        <v>13.3</v>
      </c>
      <c r="F134" s="40">
        <f t="shared" ca="1" si="12"/>
        <v>20</v>
      </c>
      <c r="G134" s="30">
        <f t="shared" ca="1" si="13"/>
        <v>0.17624999999999993</v>
      </c>
      <c r="H134" s="44">
        <f t="shared" ca="1" si="42"/>
        <v>23.524999999999999</v>
      </c>
      <c r="I134" s="39">
        <f t="shared" ca="1" si="43"/>
        <v>19.470833333333331</v>
      </c>
      <c r="J134" s="31">
        <f t="shared" ca="1" si="44"/>
        <v>23</v>
      </c>
      <c r="K134" s="45" t="s">
        <v>399</v>
      </c>
      <c r="L134" s="69"/>
      <c r="M134" s="8"/>
    </row>
    <row r="135" spans="1:13" s="2" customFormat="1" ht="24" outlineLevel="1" x14ac:dyDescent="0.25">
      <c r="A135" s="8"/>
      <c r="B135" s="24"/>
      <c r="C135" s="126" t="s">
        <v>400</v>
      </c>
      <c r="D135" s="63" t="s">
        <v>39</v>
      </c>
      <c r="E135" s="40">
        <f t="shared" ca="1" si="11"/>
        <v>13.3</v>
      </c>
      <c r="F135" s="40">
        <f t="shared" ca="1" si="12"/>
        <v>20</v>
      </c>
      <c r="G135" s="30">
        <f t="shared" ca="1" si="13"/>
        <v>0.17624999999999993</v>
      </c>
      <c r="H135" s="44">
        <f t="shared" ca="1" si="42"/>
        <v>23.524999999999999</v>
      </c>
      <c r="I135" s="39">
        <f t="shared" ca="1" si="43"/>
        <v>19.470833333333331</v>
      </c>
      <c r="J135" s="31">
        <f t="shared" ca="1" si="44"/>
        <v>23</v>
      </c>
      <c r="K135" s="45" t="s">
        <v>401</v>
      </c>
      <c r="L135" s="69"/>
      <c r="M135" s="8"/>
    </row>
    <row r="136" spans="1:13" s="2" customFormat="1" ht="24" outlineLevel="1" x14ac:dyDescent="0.25">
      <c r="A136" s="8"/>
      <c r="B136" s="24"/>
      <c r="C136" s="126" t="s">
        <v>402</v>
      </c>
      <c r="D136" s="63" t="s">
        <v>38</v>
      </c>
      <c r="E136" s="40">
        <f t="shared" ca="1" si="11"/>
        <v>7.25</v>
      </c>
      <c r="F136" s="40">
        <f t="shared" ca="1" si="12"/>
        <v>10.100000000000001</v>
      </c>
      <c r="G136" s="30">
        <f t="shared" ca="1" si="13"/>
        <v>0.13985148514851481</v>
      </c>
      <c r="H136" s="44">
        <f t="shared" ca="1" si="42"/>
        <v>11.512500000000001</v>
      </c>
      <c r="I136" s="39">
        <f t="shared" ca="1" si="43"/>
        <v>9.8604166666666675</v>
      </c>
      <c r="J136" s="31">
        <f t="shared" ca="1" si="44"/>
        <v>11.3</v>
      </c>
      <c r="K136" s="45" t="s">
        <v>403</v>
      </c>
      <c r="L136" s="69"/>
      <c r="M136" s="8"/>
    </row>
    <row r="137" spans="1:13" s="2" customFormat="1" ht="48" outlineLevel="1" x14ac:dyDescent="0.25">
      <c r="A137" s="8"/>
      <c r="B137" s="24"/>
      <c r="C137" s="126" t="s">
        <v>404</v>
      </c>
      <c r="D137" s="63" t="s">
        <v>38</v>
      </c>
      <c r="E137" s="40">
        <f t="shared" ca="1" si="11"/>
        <v>7.25</v>
      </c>
      <c r="F137" s="40">
        <f t="shared" ca="1" si="12"/>
        <v>10.100000000000001</v>
      </c>
      <c r="G137" s="30">
        <f t="shared" ca="1" si="13"/>
        <v>0.13985148514851481</v>
      </c>
      <c r="H137" s="44">
        <f t="shared" ca="1" si="42"/>
        <v>11.512500000000001</v>
      </c>
      <c r="I137" s="39">
        <f t="shared" ca="1" si="43"/>
        <v>9.8604166666666675</v>
      </c>
      <c r="J137" s="31">
        <f t="shared" ca="1" si="44"/>
        <v>11.3</v>
      </c>
      <c r="K137" s="45" t="s">
        <v>405</v>
      </c>
      <c r="L137" s="69"/>
      <c r="M137" s="8"/>
    </row>
    <row r="138" spans="1:13" s="2" customFormat="1" outlineLevel="1" x14ac:dyDescent="0.25">
      <c r="A138" s="8"/>
      <c r="B138" s="24"/>
      <c r="C138" s="126" t="s">
        <v>406</v>
      </c>
      <c r="D138" s="63" t="s">
        <v>39</v>
      </c>
      <c r="E138" s="40">
        <f t="shared" ca="1" si="11"/>
        <v>13.3</v>
      </c>
      <c r="F138" s="40">
        <f t="shared" ca="1" si="12"/>
        <v>20</v>
      </c>
      <c r="G138" s="30">
        <f t="shared" ca="1" si="13"/>
        <v>0.17624999999999993</v>
      </c>
      <c r="H138" s="44">
        <f t="shared" ca="1" si="42"/>
        <v>23.524999999999999</v>
      </c>
      <c r="I138" s="39">
        <f t="shared" ca="1" si="43"/>
        <v>19.470833333333331</v>
      </c>
      <c r="J138" s="31">
        <f t="shared" ca="1" si="44"/>
        <v>23</v>
      </c>
      <c r="K138" s="45"/>
      <c r="L138" s="69"/>
      <c r="M138" s="8"/>
    </row>
    <row r="139" spans="1:13" s="2" customFormat="1" outlineLevel="1" x14ac:dyDescent="0.25">
      <c r="A139" s="8"/>
      <c r="B139" s="24"/>
      <c r="C139" s="126" t="s">
        <v>407</v>
      </c>
      <c r="D139" s="29" t="s">
        <v>39</v>
      </c>
      <c r="E139" s="40">
        <f t="shared" ca="1" si="11"/>
        <v>13.3</v>
      </c>
      <c r="F139" s="40">
        <f t="shared" ca="1" si="12"/>
        <v>20</v>
      </c>
      <c r="G139" s="30">
        <f t="shared" ca="1" si="13"/>
        <v>0.17624999999999993</v>
      </c>
      <c r="H139" s="44">
        <f t="shared" ref="H139" ca="1" si="45">IF(ISNUMBER(F139), IF(ISNUMBER(G139), F139+(G139*F139), F139), "N/A")</f>
        <v>23.524999999999999</v>
      </c>
      <c r="I139" s="39">
        <f t="shared" ref="I139" ca="1" si="46">IF(AND(ISNUMBER(E139), ISNUMBER(F139),ISNUMBER(H139)), (E139+4*F139+H139)/6, "N/A")</f>
        <v>19.470833333333331</v>
      </c>
      <c r="J139" s="31">
        <f t="shared" ref="J139" ca="1" si="47">IF(AND(ISNUMBER(E139), ISNUMBER(F139),ISNUMBER(H139)), IF(AND(E139=F139,F139=H139,E139=H139), F139, ROUND(_xlfn.BETA.INV($E$8,((4*F139+H139-5*E139)/(H139-E139)), ((5*H139-E139-4*F139)/(H139-E139)), E139, H139), 1)), "N/A")</f>
        <v>23</v>
      </c>
      <c r="K139" s="45"/>
      <c r="L139" s="69"/>
      <c r="M139" s="8"/>
    </row>
    <row r="140" spans="1:13" s="2" customFormat="1" x14ac:dyDescent="0.25">
      <c r="A140" s="8"/>
      <c r="B140" s="125">
        <v>4</v>
      </c>
      <c r="C140" s="142" t="s">
        <v>73</v>
      </c>
      <c r="D140" s="142"/>
      <c r="E140" s="125">
        <f ca="1">SUBTOTAL(9, INDIRECT("E" &amp; (ROW()+1) &amp; ":E" &amp; TEXT(MATCH($B140+1,$B:$B, 0)-1, "0")))</f>
        <v>0</v>
      </c>
      <c r="F140" s="125">
        <f ca="1">SUBTOTAL(9, INDIRECT("F" &amp; (ROW()+1) &amp; ":F" &amp; TEXT(MATCH($B140+1,$B:$B, 0)-1, "0")))</f>
        <v>0</v>
      </c>
      <c r="G140" s="18"/>
      <c r="H140" s="125">
        <f ca="1">SUBTOTAL(9, INDIRECT("H" &amp; (ROW()+1) &amp; ":H" &amp; TEXT(MATCH($B140+1,$B:$B, 0)-1, "0")))</f>
        <v>0</v>
      </c>
      <c r="I140" s="19">
        <f ca="1">SUBTOTAL(9, INDIRECT("I" &amp; (ROW()+1) &amp; ":I" &amp; TEXT(MATCH($B140+1,$B:$B, 0)-1, "0")))</f>
        <v>0</v>
      </c>
      <c r="J140" s="19"/>
      <c r="K140" s="20"/>
      <c r="L140" s="69"/>
      <c r="M140" s="8"/>
    </row>
    <row r="141" spans="1:13" s="2" customFormat="1" ht="36" outlineLevel="1" x14ac:dyDescent="0.25">
      <c r="A141" s="8"/>
      <c r="B141" s="71" t="s">
        <v>117</v>
      </c>
      <c r="C141" s="151" t="s">
        <v>13</v>
      </c>
      <c r="D141" s="151"/>
      <c r="E141" s="40"/>
      <c r="F141" s="40"/>
      <c r="G141" s="30"/>
      <c r="H141" s="40" t="str">
        <f t="shared" ref="H141:H148" si="48">IF(ISNUMBER(F141), IF(ISNUMBER(G141), F141+(G141*F141), F141), "N/A")</f>
        <v>N/A</v>
      </c>
      <c r="I141" s="31" t="str">
        <f t="shared" ref="I141:I148" si="49">IF(AND(ISNUMBER(E141), ISNUMBER(F141),ISNUMBER(H141)), (E141+4*F141+H141)/6, "N/A")</f>
        <v>N/A</v>
      </c>
      <c r="J141" s="31" t="str">
        <f t="shared" si="2"/>
        <v>N/A</v>
      </c>
      <c r="K141" s="131" t="s">
        <v>15</v>
      </c>
      <c r="L141" s="69"/>
      <c r="M141" s="8"/>
    </row>
    <row r="142" spans="1:13" s="2" customFormat="1" outlineLevel="1" x14ac:dyDescent="0.25">
      <c r="A142" s="8"/>
      <c r="B142" s="71" t="s">
        <v>117</v>
      </c>
      <c r="C142" s="136" t="s">
        <v>185</v>
      </c>
      <c r="D142" s="136"/>
      <c r="E142" s="40"/>
      <c r="F142" s="40"/>
      <c r="G142" s="30"/>
      <c r="H142" s="40" t="str">
        <f t="shared" ref="H142" si="50">IF(ISNUMBER(F142), IF(ISNUMBER(G142), F142+(G142*F142), F142), "N/A")</f>
        <v>N/A</v>
      </c>
      <c r="I142" s="31" t="str">
        <f t="shared" ref="I142" si="51">IF(AND(ISNUMBER(E142), ISNUMBER(F142),ISNUMBER(H142)), (E142+4*F142+H142)/6, "N/A")</f>
        <v>N/A</v>
      </c>
      <c r="J142" s="31" t="str">
        <f t="shared" si="2"/>
        <v>N/A</v>
      </c>
      <c r="K142" s="131"/>
      <c r="L142" s="69"/>
      <c r="M142" s="8"/>
    </row>
    <row r="143" spans="1:13" s="2" customFormat="1" ht="81" customHeight="1" outlineLevel="1" x14ac:dyDescent="0.25">
      <c r="A143" s="8"/>
      <c r="B143" s="71" t="s">
        <v>208</v>
      </c>
      <c r="C143" s="136" t="s">
        <v>14</v>
      </c>
      <c r="D143" s="136"/>
      <c r="E143" s="42"/>
      <c r="F143" s="42"/>
      <c r="G143" s="34"/>
      <c r="H143" s="42" t="str">
        <f t="shared" si="48"/>
        <v>N/A</v>
      </c>
      <c r="I143" s="35" t="str">
        <f t="shared" si="49"/>
        <v>N/A</v>
      </c>
      <c r="J143" s="31" t="str">
        <f t="shared" si="2"/>
        <v>N/A</v>
      </c>
      <c r="K143" s="134" t="s">
        <v>254</v>
      </c>
      <c r="L143" s="69"/>
      <c r="M143" s="8"/>
    </row>
    <row r="144" spans="1:13" s="2" customFormat="1" ht="102" outlineLevel="1" x14ac:dyDescent="0.25">
      <c r="A144" s="8"/>
      <c r="B144" s="71" t="s">
        <v>119</v>
      </c>
      <c r="C144" s="136" t="s">
        <v>7</v>
      </c>
      <c r="D144" s="136"/>
      <c r="E144" s="42"/>
      <c r="F144" s="42"/>
      <c r="G144" s="34"/>
      <c r="H144" s="42" t="str">
        <f t="shared" si="48"/>
        <v>N/A</v>
      </c>
      <c r="I144" s="35" t="str">
        <f t="shared" si="49"/>
        <v>N/A</v>
      </c>
      <c r="J144" s="31" t="str">
        <f t="shared" si="2"/>
        <v>N/A</v>
      </c>
      <c r="K144" s="131" t="s">
        <v>232</v>
      </c>
      <c r="L144" s="69"/>
      <c r="M144" s="8"/>
    </row>
    <row r="145" spans="1:13" outlineLevel="1" x14ac:dyDescent="0.25">
      <c r="A145" s="5"/>
      <c r="B145" s="71" t="s">
        <v>119</v>
      </c>
      <c r="C145" s="136" t="s">
        <v>240</v>
      </c>
      <c r="D145" s="136"/>
      <c r="E145" s="56"/>
      <c r="F145" s="56"/>
      <c r="G145" s="34"/>
      <c r="H145" s="56" t="str">
        <f t="shared" si="48"/>
        <v>N/A</v>
      </c>
      <c r="I145" s="35" t="str">
        <f t="shared" si="49"/>
        <v>N/A</v>
      </c>
      <c r="J145" s="31" t="str">
        <f t="shared" si="2"/>
        <v>N/A</v>
      </c>
      <c r="K145" s="47"/>
      <c r="L145" s="69"/>
      <c r="M145" s="5"/>
    </row>
    <row r="146" spans="1:13" s="2" customFormat="1" outlineLevel="1" x14ac:dyDescent="0.25">
      <c r="A146" s="8"/>
      <c r="B146" s="71" t="s">
        <v>119</v>
      </c>
      <c r="C146" s="136" t="s">
        <v>8</v>
      </c>
      <c r="D146" s="136"/>
      <c r="E146" s="42"/>
      <c r="F146" s="42"/>
      <c r="G146" s="34"/>
      <c r="H146" s="42" t="str">
        <f t="shared" si="48"/>
        <v>N/A</v>
      </c>
      <c r="I146" s="35" t="str">
        <f t="shared" si="49"/>
        <v>N/A</v>
      </c>
      <c r="J146" s="31" t="str">
        <f t="shared" si="2"/>
        <v>N/A</v>
      </c>
      <c r="K146" s="46"/>
      <c r="L146" s="69"/>
      <c r="M146" s="8"/>
    </row>
    <row r="147" spans="1:13" s="2" customFormat="1" outlineLevel="1" x14ac:dyDescent="0.25">
      <c r="A147" s="8"/>
      <c r="B147" s="71" t="s">
        <v>119</v>
      </c>
      <c r="C147" s="136" t="s">
        <v>9</v>
      </c>
      <c r="D147" s="136"/>
      <c r="E147" s="42"/>
      <c r="F147" s="42"/>
      <c r="G147" s="34"/>
      <c r="H147" s="42" t="str">
        <f t="shared" si="48"/>
        <v>N/A</v>
      </c>
      <c r="I147" s="35" t="str">
        <f t="shared" si="49"/>
        <v>N/A</v>
      </c>
      <c r="J147" s="31" t="str">
        <f t="shared" si="2"/>
        <v>N/A</v>
      </c>
      <c r="K147" s="46"/>
      <c r="L147" s="69"/>
      <c r="M147" s="8"/>
    </row>
    <row r="148" spans="1:13" outlineLevel="1" x14ac:dyDescent="0.25">
      <c r="A148" s="5"/>
      <c r="B148" s="71" t="s">
        <v>119</v>
      </c>
      <c r="C148" s="141" t="s">
        <v>10</v>
      </c>
      <c r="D148" s="141"/>
      <c r="E148" s="68"/>
      <c r="F148" s="68"/>
      <c r="G148" s="34"/>
      <c r="H148" s="44" t="str">
        <f t="shared" si="48"/>
        <v>N/A</v>
      </c>
      <c r="I148" s="39" t="str">
        <f t="shared" si="49"/>
        <v>N/A</v>
      </c>
      <c r="J148" s="31" t="str">
        <f t="shared" si="2"/>
        <v>N/A</v>
      </c>
      <c r="K148" s="49"/>
      <c r="L148" s="69"/>
      <c r="M148" s="5"/>
    </row>
    <row r="149" spans="1:13" x14ac:dyDescent="0.25">
      <c r="A149" s="5"/>
      <c r="B149" s="17">
        <v>5</v>
      </c>
      <c r="C149" s="142" t="s">
        <v>74</v>
      </c>
      <c r="D149" s="142"/>
      <c r="E149" s="17">
        <f ca="1">SUBTOTAL(9, INDIRECT("E" &amp; (ROW()+1) &amp; ":E" &amp; TEXT(ROW(PERT_Sum)-1, "0")))</f>
        <v>0</v>
      </c>
      <c r="F149" s="17">
        <f ca="1">SUBTOTAL(9, INDIRECT("F" &amp; (ROW()+1) &amp; ":F" &amp; TEXT(ROW(PERT_Sum)-1, "0")))</f>
        <v>0</v>
      </c>
      <c r="G149" s="18"/>
      <c r="H149" s="17">
        <f ca="1">SUBTOTAL(9, INDIRECT("H" &amp; (ROW()+1) &amp; ":H" &amp; TEXT(ROW(PERT_Sum)-1, "0")))</f>
        <v>0</v>
      </c>
      <c r="I149" s="19">
        <f ca="1">SUBTOTAL(9, INDIRECT("I" &amp; (ROW()+1) &amp; ":I" &amp; TEXT(ROW(PERT_Sum)-1, "0")))</f>
        <v>0</v>
      </c>
      <c r="J149" s="19"/>
      <c r="K149" s="20"/>
      <c r="L149" s="69"/>
      <c r="M149" s="5"/>
    </row>
    <row r="150" spans="1:13" ht="60" outlineLevel="1" x14ac:dyDescent="0.25">
      <c r="A150" s="5"/>
      <c r="B150" s="71" t="s">
        <v>38</v>
      </c>
      <c r="C150" s="151" t="s">
        <v>241</v>
      </c>
      <c r="D150" s="151"/>
      <c r="E150" s="40"/>
      <c r="F150" s="40"/>
      <c r="G150" s="30"/>
      <c r="H150" s="40" t="str">
        <f t="shared" ref="H150:H156" si="52">IF(ISNUMBER(F150), IF(ISNUMBER(G150), F150+(G150*F150), F150), "N/A")</f>
        <v>N/A</v>
      </c>
      <c r="I150" s="40" t="str">
        <f t="shared" ref="I150:I156" si="53">IF(AND(ISNUMBER(E150), ISNUMBER(F150),ISNUMBER(H150)), (E150+4*F150+H150)/6, "N/A")</f>
        <v>N/A</v>
      </c>
      <c r="J150" s="31" t="str">
        <f t="shared" si="2"/>
        <v>N/A</v>
      </c>
      <c r="K150" s="41" t="s">
        <v>251</v>
      </c>
      <c r="L150" s="69"/>
      <c r="M150" s="5"/>
    </row>
    <row r="151" spans="1:13" outlineLevel="1" x14ac:dyDescent="0.25">
      <c r="A151" s="5"/>
      <c r="B151" s="71" t="s">
        <v>207</v>
      </c>
      <c r="C151" s="136" t="s">
        <v>242</v>
      </c>
      <c r="D151" s="136"/>
      <c r="E151" s="42"/>
      <c r="F151" s="42"/>
      <c r="G151" s="30"/>
      <c r="H151" s="42" t="str">
        <f t="shared" si="52"/>
        <v>N/A</v>
      </c>
      <c r="I151" s="42" t="str">
        <f t="shared" si="53"/>
        <v>N/A</v>
      </c>
      <c r="J151" s="31" t="str">
        <f t="shared" si="2"/>
        <v>N/A</v>
      </c>
      <c r="K151" s="46"/>
      <c r="L151" s="69"/>
      <c r="M151" s="5"/>
    </row>
    <row r="152" spans="1:13" outlineLevel="1" x14ac:dyDescent="0.25">
      <c r="A152" s="5"/>
      <c r="B152" s="71" t="s">
        <v>39</v>
      </c>
      <c r="C152" s="136" t="s">
        <v>243</v>
      </c>
      <c r="D152" s="136"/>
      <c r="E152" s="42"/>
      <c r="F152" s="42"/>
      <c r="G152" s="30"/>
      <c r="H152" s="42" t="str">
        <f t="shared" si="52"/>
        <v>N/A</v>
      </c>
      <c r="I152" s="42" t="str">
        <f t="shared" si="53"/>
        <v>N/A</v>
      </c>
      <c r="J152" s="31" t="str">
        <f t="shared" si="2"/>
        <v>N/A</v>
      </c>
      <c r="K152" s="46"/>
      <c r="L152" s="69"/>
      <c r="M152" s="5"/>
    </row>
    <row r="153" spans="1:13" outlineLevel="1" x14ac:dyDescent="0.25">
      <c r="A153" s="5"/>
      <c r="B153" s="71" t="s">
        <v>39</v>
      </c>
      <c r="C153" s="136" t="s">
        <v>252</v>
      </c>
      <c r="D153" s="136"/>
      <c r="E153" s="42"/>
      <c r="F153" s="42"/>
      <c r="G153" s="30"/>
      <c r="H153" s="42" t="str">
        <f t="shared" si="52"/>
        <v>N/A</v>
      </c>
      <c r="I153" s="42" t="str">
        <f t="shared" si="53"/>
        <v>N/A</v>
      </c>
      <c r="J153" s="31" t="str">
        <f t="shared" si="2"/>
        <v>N/A</v>
      </c>
      <c r="K153" s="46"/>
      <c r="L153" s="69"/>
      <c r="M153" s="5"/>
    </row>
    <row r="154" spans="1:13" ht="63.75" outlineLevel="1" x14ac:dyDescent="0.25">
      <c r="A154" s="5"/>
      <c r="B154" s="71" t="s">
        <v>39</v>
      </c>
      <c r="C154" s="136" t="s">
        <v>11</v>
      </c>
      <c r="D154" s="136"/>
      <c r="E154" s="42"/>
      <c r="F154" s="42"/>
      <c r="G154" s="30"/>
      <c r="H154" s="42" t="str">
        <f t="shared" si="52"/>
        <v>N/A</v>
      </c>
      <c r="I154" s="42" t="str">
        <f t="shared" si="53"/>
        <v>N/A</v>
      </c>
      <c r="J154" s="31" t="str">
        <f t="shared" si="2"/>
        <v>N/A</v>
      </c>
      <c r="K154" s="46" t="s">
        <v>187</v>
      </c>
      <c r="L154" s="69"/>
      <c r="M154" s="5"/>
    </row>
    <row r="155" spans="1:13" ht="51" outlineLevel="1" x14ac:dyDescent="0.25">
      <c r="A155" s="5"/>
      <c r="B155" s="71" t="s">
        <v>39</v>
      </c>
      <c r="C155" s="136" t="s">
        <v>244</v>
      </c>
      <c r="D155" s="136"/>
      <c r="E155" s="44"/>
      <c r="F155" s="44"/>
      <c r="G155" s="30"/>
      <c r="H155" s="44" t="str">
        <f t="shared" ref="H155" si="54">IF(ISNUMBER(F155), IF(ISNUMBER(G155), F155+(G155*F155), F155), "N/A")</f>
        <v>N/A</v>
      </c>
      <c r="I155" s="44" t="str">
        <f t="shared" ref="I155" si="55">IF(AND(ISNUMBER(E155), ISNUMBER(F155),ISNUMBER(H155)), (E155+4*F155+H155)/6, "N/A")</f>
        <v>N/A</v>
      </c>
      <c r="J155" s="31" t="str">
        <f t="shared" si="2"/>
        <v>N/A</v>
      </c>
      <c r="K155" s="119" t="s">
        <v>245</v>
      </c>
      <c r="L155" s="69"/>
      <c r="M155" s="5"/>
    </row>
    <row r="156" spans="1:13" ht="36" outlineLevel="1" x14ac:dyDescent="0.25">
      <c r="A156" s="5"/>
      <c r="B156" s="71" t="s">
        <v>39</v>
      </c>
      <c r="C156" s="141" t="s">
        <v>12</v>
      </c>
      <c r="D156" s="141"/>
      <c r="E156" s="44"/>
      <c r="F156" s="44"/>
      <c r="G156" s="30"/>
      <c r="H156" s="44" t="str">
        <f t="shared" si="52"/>
        <v>N/A</v>
      </c>
      <c r="I156" s="44" t="str">
        <f t="shared" si="53"/>
        <v>N/A</v>
      </c>
      <c r="J156" s="31" t="str">
        <f t="shared" si="2"/>
        <v>N/A</v>
      </c>
      <c r="K156" s="45" t="s">
        <v>246</v>
      </c>
      <c r="L156" s="69"/>
      <c r="M156" s="5"/>
    </row>
    <row r="157" spans="1:13" ht="36" outlineLevel="1" x14ac:dyDescent="0.25">
      <c r="A157" s="5"/>
      <c r="B157" s="71" t="s">
        <v>39</v>
      </c>
      <c r="C157" s="141" t="s">
        <v>220</v>
      </c>
      <c r="D157" s="141"/>
      <c r="E157" s="44"/>
      <c r="F157" s="44"/>
      <c r="G157" s="30"/>
      <c r="H157" s="44" t="str">
        <f t="shared" ref="H157" si="56">IF(ISNUMBER(F157), IF(ISNUMBER(G157), F157+(G157*F157), F157), "N/A")</f>
        <v>N/A</v>
      </c>
      <c r="I157" s="44" t="str">
        <f t="shared" ref="I157" si="57">IF(AND(ISNUMBER(E157), ISNUMBER(F157),ISNUMBER(H157)), (E157+4*F157+H157)/6, "N/A")</f>
        <v>N/A</v>
      </c>
      <c r="J157" s="31" t="str">
        <f t="shared" si="2"/>
        <v>N/A</v>
      </c>
      <c r="K157" s="45" t="s">
        <v>221</v>
      </c>
      <c r="L157" s="69"/>
      <c r="M157" s="5"/>
    </row>
    <row r="158" spans="1:13" x14ac:dyDescent="0.25">
      <c r="A158" s="5"/>
      <c r="B158" s="17"/>
      <c r="C158" s="142" t="s">
        <v>63</v>
      </c>
      <c r="D158" s="142"/>
      <c r="E158" s="61">
        <f ca="1">SUBTOTAL(9, INDIRECT("E10:E" &amp; TEXT(ROW()-1, "0")))</f>
        <v>980.59999999999889</v>
      </c>
      <c r="F158" s="61">
        <f ca="1">SUBTOTAL(9, INDIRECT("F10:F" &amp; TEXT(ROW()-1, "0")))</f>
        <v>1408.7999999999988</v>
      </c>
      <c r="G158" s="18"/>
      <c r="H158" s="61">
        <f ca="1">SUBTOTAL(9, INDIRECT("H10:H" &amp; TEXT(ROW()-1, "0")))</f>
        <v>1656.2125000000028</v>
      </c>
      <c r="I158" s="61">
        <f ca="1">SUBTOTAL(9, INDIRECT("I10:I" &amp; TEXT(ROW()-1, "0")))</f>
        <v>1378.668749999998</v>
      </c>
      <c r="J158" s="61"/>
      <c r="K158" s="20"/>
      <c r="L158" s="62">
        <f t="array" aca="1" ref="L158" ca="1">SUM(IF(ISBLANK(INDIRECT(Section_Marks_Range))+ISTEXT(INDIRECT(Section_Marks_Range)), IF(ISNUMBER(INDIRECT(Min_Range))*ISNUMBER(INDIRECT(Max_Range)), (((+INDIRECT(Max_Range)-INDIRECT(Min_Range))/6)^2), FALSE), FALSE))</f>
        <v>209.0514862847223</v>
      </c>
      <c r="M158" s="5"/>
    </row>
    <row r="159" spans="1:13" ht="11.25" customHeight="1" x14ac:dyDescent="0.25">
      <c r="A159" s="5"/>
      <c r="B159" s="5"/>
      <c r="C159" s="5"/>
      <c r="D159" s="5"/>
      <c r="E159" s="5"/>
      <c r="F159" s="5"/>
      <c r="G159" s="5"/>
      <c r="H159" s="5"/>
      <c r="I159" s="5"/>
      <c r="J159" s="5"/>
      <c r="K159" s="5"/>
      <c r="L159" s="69">
        <f ca="1">SQRT($L$158)</f>
        <v>14.458612875539696</v>
      </c>
      <c r="M159" s="5"/>
    </row>
    <row r="160" spans="1:13" x14ac:dyDescent="0.25">
      <c r="A160" s="5"/>
      <c r="B160" s="140" t="s">
        <v>16</v>
      </c>
      <c r="C160" s="140"/>
      <c r="D160" s="140"/>
      <c r="E160" s="140"/>
      <c r="F160" s="5"/>
      <c r="G160" s="140" t="s">
        <v>76</v>
      </c>
      <c r="H160" s="140"/>
      <c r="I160" s="140"/>
      <c r="J160" s="140"/>
      <c r="K160" s="140"/>
      <c r="L160" s="70">
        <f ca="1">IF(PERT_Sigma&lt;&gt;0,  _xlfn.NORM.DIST($H$158, PERT_Sum, PERT_Sigma, TRUE) -  _xlfn.NORM.DIST($E$158, PERT_Sum, PERT_Sigma, TRUE), "N/A")</f>
        <v>1</v>
      </c>
      <c r="M160" s="5"/>
    </row>
    <row r="161" spans="1:13" x14ac:dyDescent="0.25">
      <c r="A161" s="5"/>
      <c r="B161" s="24" t="s">
        <v>22</v>
      </c>
      <c r="C161" s="24"/>
      <c r="D161" s="24"/>
      <c r="E161" s="25" t="str">
        <f ca="1">CONCATENATE(TEXT(E158,"0"), " - ", TEXT(H158,"0"), " man-hours")</f>
        <v>981 - 1656 man-hours</v>
      </c>
      <c r="F161" s="10"/>
      <c r="G161" s="138" t="s">
        <v>109</v>
      </c>
      <c r="H161" s="139"/>
      <c r="I161" s="139"/>
      <c r="J161" s="139"/>
      <c r="K161" s="139"/>
      <c r="L161" s="62">
        <f ca="1">IF(PERT_Sigma &lt;&gt; 0, ROUND((PERT_Sum-$E$158)/PERT_Sigma, 1), "N/A")</f>
        <v>27.5</v>
      </c>
      <c r="M161" s="5"/>
    </row>
    <row r="162" spans="1:13" x14ac:dyDescent="0.25">
      <c r="A162" s="5"/>
      <c r="B162" s="24" t="s">
        <v>110</v>
      </c>
      <c r="C162" s="24"/>
      <c r="D162" s="24"/>
      <c r="E162" s="25" t="str">
        <f ca="1">CONCATENATE(ROUND(PERT_Sum, 1), " man-hours")</f>
        <v>1378,7 man-hours</v>
      </c>
      <c r="F162" s="10"/>
      <c r="G162" s="139"/>
      <c r="H162" s="139"/>
      <c r="I162" s="139"/>
      <c r="J162" s="139"/>
      <c r="K162" s="139"/>
      <c r="L162" s="62">
        <f ca="1">IF(PERT_Sigma &gt; 0, ROUND(($H$158-PERT_Sum)/PERT_Sigma, 1), "N/A")</f>
        <v>19.2</v>
      </c>
      <c r="M162" s="5"/>
    </row>
    <row r="163" spans="1:13" x14ac:dyDescent="0.25">
      <c r="A163" s="5"/>
      <c r="B163" s="24" t="s">
        <v>113</v>
      </c>
      <c r="C163" s="24"/>
      <c r="D163" s="24"/>
      <c r="E163" s="25" t="str">
        <f ca="1">IF(ISNUMBER(L160), IF((COUNT(INDIRECT(PERT_Range)) - COUNT(INDIRECT(Section_Marks_Range))) &gt;= Min_Samples, CONCATENATE(TEXT(ROUND(L160*100, 2), "0,0"), "% (-", Min_Sigmas,"σ .. +",Max_Sigmas,"σ)"), "N/A"), "N/A")</f>
        <v>100,0% (-27,5σ .. +19,2σ)</v>
      </c>
      <c r="F163" s="10"/>
      <c r="G163" s="139"/>
      <c r="H163" s="139"/>
      <c r="I163" s="139"/>
      <c r="J163" s="139"/>
      <c r="K163" s="139"/>
      <c r="L163" s="5"/>
      <c r="M163" s="5"/>
    </row>
    <row r="164" spans="1:13" x14ac:dyDescent="0.25">
      <c r="A164" s="5"/>
      <c r="B164" s="24" t="s">
        <v>114</v>
      </c>
      <c r="C164" s="24"/>
      <c r="D164" s="24"/>
      <c r="E164" s="25" t="str">
        <f ca="1">IF((COUNT(INDIRECT(PERT_Range)) - COUNT(INDIRECT(Section_Marks_Range))) &gt;= Min_Samples, CONCATENATE(TEXT(ROUND(PERT_Sum-1.645*PERT_Sigma, 0), "0")," - ",TEXT(ROUND(PERT_Sum+1.645*PERT_Sigma, 0), "0")," man-hours"), "N/A")</f>
        <v>1355 - 1402 man-hours</v>
      </c>
      <c r="F164" s="10"/>
      <c r="G164" s="139"/>
      <c r="H164" s="139"/>
      <c r="I164" s="139"/>
      <c r="J164" s="139"/>
      <c r="K164" s="139"/>
      <c r="L164" s="5"/>
      <c r="M164" s="5"/>
    </row>
    <row r="165" spans="1:13" x14ac:dyDescent="0.25">
      <c r="A165" s="5"/>
      <c r="B165" s="24" t="s">
        <v>111</v>
      </c>
      <c r="C165" s="24"/>
      <c r="D165" s="24"/>
      <c r="E165" s="25" t="str">
        <f ca="1">IF((COUNT(INDIRECT(PERT_Range)) - COUNT(INDIRECT(Section_Marks_Range))) &gt;= Min_Samples, CONCATENATE(TEXT(ROUND(PERT_Sum-1.96*PERT_Sigma, 0), "0")," - ",TEXT(ROUND(PERT_Sum+1.96*PERT_Sigma, 0), "0")," man-hours"), "N/A")</f>
        <v>1350 - 1407 man-hours</v>
      </c>
      <c r="F165" s="10"/>
      <c r="G165" s="139"/>
      <c r="H165" s="139"/>
      <c r="I165" s="139"/>
      <c r="J165" s="139"/>
      <c r="K165" s="139"/>
      <c r="L165" s="5"/>
      <c r="M165" s="5"/>
    </row>
    <row r="166" spans="1:13" x14ac:dyDescent="0.25">
      <c r="A166" s="5"/>
      <c r="B166" s="24" t="s">
        <v>112</v>
      </c>
      <c r="C166" s="24"/>
      <c r="D166" s="24"/>
      <c r="E166" s="25" t="str">
        <f ca="1">IF((COUNT(INDIRECT(PERT_Range)) - COUNT(INDIRECT(Section_Marks_Range))) &gt;= Min_Samples, CONCATENATE(TEXT(ROUND(PERT_Sum-3.2906*PERT_Sigma, 0), "0")," - ",TEXT(ROUND(PERT_Sum+3.2906*PERT_Sigma, 0), "0")," man-hours"), "N/A")</f>
        <v>1331 - 1426 man-hours</v>
      </c>
      <c r="F166" s="10"/>
      <c r="G166" s="139"/>
      <c r="H166" s="139"/>
      <c r="I166" s="139"/>
      <c r="J166" s="139"/>
      <c r="K166" s="139"/>
      <c r="L166" s="5"/>
      <c r="M166" s="5"/>
    </row>
    <row r="167" spans="1:13" x14ac:dyDescent="0.25">
      <c r="A167" s="5"/>
      <c r="B167" s="24" t="s">
        <v>17</v>
      </c>
      <c r="C167" s="24"/>
      <c r="D167" s="24"/>
      <c r="E167" s="25" t="s">
        <v>21</v>
      </c>
      <c r="F167" s="10"/>
      <c r="G167" s="139"/>
      <c r="H167" s="139"/>
      <c r="I167" s="139"/>
      <c r="J167" s="139"/>
      <c r="K167" s="139"/>
      <c r="L167" s="5"/>
      <c r="M167" s="5"/>
    </row>
    <row r="168" spans="1:13" x14ac:dyDescent="0.25">
      <c r="A168" s="5"/>
      <c r="B168" s="24" t="s">
        <v>19</v>
      </c>
      <c r="C168" s="24"/>
      <c r="D168" s="24"/>
      <c r="E168" s="25" t="s">
        <v>18</v>
      </c>
      <c r="F168" s="10"/>
      <c r="G168" s="139"/>
      <c r="H168" s="139"/>
      <c r="I168" s="139"/>
      <c r="J168" s="139"/>
      <c r="K168" s="139"/>
      <c r="L168" s="5"/>
      <c r="M168" s="5"/>
    </row>
    <row r="169" spans="1:13" x14ac:dyDescent="0.25">
      <c r="A169" s="5"/>
      <c r="B169" s="24" t="s">
        <v>20</v>
      </c>
      <c r="C169" s="24"/>
      <c r="D169" s="24"/>
      <c r="E169" s="25" t="s">
        <v>18</v>
      </c>
      <c r="F169" s="10"/>
      <c r="G169" s="139"/>
      <c r="H169" s="139"/>
      <c r="I169" s="139"/>
      <c r="J169" s="139"/>
      <c r="K169" s="139"/>
      <c r="L169" s="5"/>
      <c r="M169" s="5"/>
    </row>
    <row r="170" spans="1:13" x14ac:dyDescent="0.25">
      <c r="A170" s="5"/>
      <c r="B170" s="24" t="s">
        <v>36</v>
      </c>
      <c r="C170" s="24"/>
      <c r="D170" s="24"/>
      <c r="E170" s="25" t="s">
        <v>18</v>
      </c>
      <c r="F170" s="10"/>
      <c r="G170" s="139"/>
      <c r="H170" s="139"/>
      <c r="I170" s="139"/>
      <c r="J170" s="139"/>
      <c r="K170" s="139"/>
      <c r="L170" s="5"/>
      <c r="M170" s="5"/>
    </row>
    <row r="171" spans="1:13" x14ac:dyDescent="0.25">
      <c r="A171" s="5"/>
      <c r="B171" s="5"/>
      <c r="C171" s="5"/>
      <c r="D171" s="5"/>
      <c r="E171" s="5"/>
      <c r="F171" s="5"/>
      <c r="G171" s="5"/>
      <c r="H171" s="5"/>
      <c r="I171" s="5"/>
      <c r="J171" s="5"/>
      <c r="K171" s="5"/>
      <c r="L171" s="5"/>
      <c r="M171" s="5"/>
    </row>
    <row r="172" spans="1:13" ht="16.5" customHeight="1" x14ac:dyDescent="0.25">
      <c r="A172" s="5"/>
      <c r="F172" s="5"/>
      <c r="G172" s="5"/>
      <c r="H172" s="5"/>
      <c r="I172" s="5"/>
      <c r="J172" s="5"/>
      <c r="K172" s="5"/>
      <c r="L172" s="5"/>
      <c r="M172" s="5"/>
    </row>
    <row r="173" spans="1:13" x14ac:dyDescent="0.25">
      <c r="A173" s="5"/>
      <c r="F173" s="5"/>
      <c r="G173" s="5"/>
      <c r="H173" s="5"/>
      <c r="I173" s="5"/>
      <c r="J173" s="5"/>
      <c r="K173" s="5"/>
      <c r="L173" s="5"/>
      <c r="M173" s="5"/>
    </row>
    <row r="174" spans="1:13" x14ac:dyDescent="0.25">
      <c r="A174" s="5"/>
      <c r="F174" s="5"/>
      <c r="G174" s="5"/>
      <c r="H174" s="5"/>
      <c r="I174" s="5"/>
      <c r="J174" s="5"/>
      <c r="K174" s="5"/>
      <c r="L174" s="5"/>
      <c r="M174" s="5"/>
    </row>
  </sheetData>
  <sheetProtection formatCells="0" formatColumns="0" formatRows="0" insertColumns="0" insertRows="0" insertHyperlinks="0" deleteColumns="0" deleteRows="0" sort="0" autoFilter="0" pivotTables="0"/>
  <mergeCells count="52">
    <mergeCell ref="B1:K1"/>
    <mergeCell ref="C21:D21"/>
    <mergeCell ref="C149:D149"/>
    <mergeCell ref="C140:D140"/>
    <mergeCell ref="C146:D146"/>
    <mergeCell ref="C147:D147"/>
    <mergeCell ref="C148:D148"/>
    <mergeCell ref="I2:K2"/>
    <mergeCell ref="B2:G2"/>
    <mergeCell ref="C19:D19"/>
    <mergeCell ref="C20:D20"/>
    <mergeCell ref="C30:D30"/>
    <mergeCell ref="B8:D8"/>
    <mergeCell ref="C22:D22"/>
    <mergeCell ref="C142:D142"/>
    <mergeCell ref="C15:D15"/>
    <mergeCell ref="C14:D14"/>
    <mergeCell ref="C16:D16"/>
    <mergeCell ref="C152:D152"/>
    <mergeCell ref="C23:D23"/>
    <mergeCell ref="C25:D25"/>
    <mergeCell ref="C26:D26"/>
    <mergeCell ref="C27:D27"/>
    <mergeCell ref="C28:D28"/>
    <mergeCell ref="C24:D24"/>
    <mergeCell ref="C141:D141"/>
    <mergeCell ref="C143:D143"/>
    <mergeCell ref="C144:D144"/>
    <mergeCell ref="C145:D145"/>
    <mergeCell ref="C29:D29"/>
    <mergeCell ref="C150:D150"/>
    <mergeCell ref="C151:D151"/>
    <mergeCell ref="F3:K3"/>
    <mergeCell ref="C10:D10"/>
    <mergeCell ref="C11:D11"/>
    <mergeCell ref="C12:D12"/>
    <mergeCell ref="C13:D13"/>
    <mergeCell ref="B5:J5"/>
    <mergeCell ref="B6:J6"/>
    <mergeCell ref="B7:J7"/>
    <mergeCell ref="F8:J8"/>
    <mergeCell ref="C17:D17"/>
    <mergeCell ref="C155:D155"/>
    <mergeCell ref="C18:D18"/>
    <mergeCell ref="G161:K170"/>
    <mergeCell ref="B160:E160"/>
    <mergeCell ref="C157:D157"/>
    <mergeCell ref="C158:D158"/>
    <mergeCell ref="G160:K160"/>
    <mergeCell ref="C156:D156"/>
    <mergeCell ref="C153:D153"/>
    <mergeCell ref="C154:D154"/>
  </mergeCells>
  <dataValidations count="3">
    <dataValidation type="list" allowBlank="1" showInputMessage="1" showErrorMessage="1" promptTitle="Pick a feature size" prompt="This will automatically populate the Optimistic, Most Likely, Buffer, and Pessimistic columns with the corresponding values from the Feature WBS worksheet." sqref="D32:D139">
      <formula1>TShirt_Sizes</formula1>
    </dataValidation>
    <dataValidation type="list" allowBlank="1" showInputMessage="1" showErrorMessage="1" sqref="B141:B148 B150:B157 B12:B20 B22:B30">
      <formula1>Activity_Types</formula1>
    </dataValidation>
    <dataValidation type="list" showInputMessage="1" showErrorMessage="1" sqref="E8">
      <formula1>COMMIT_CONFIDENCE</formula1>
    </dataValidation>
  </dataValidations>
  <pageMargins left="0.70866141732283472" right="0.70866141732283472" top="0.74803149606299213" bottom="0.74803149606299213" header="0.31496062992125984" footer="0.31496062992125984"/>
  <pageSetup paperSize="9" pageOrder="overThenDown" orientation="landscape" r:id="rId1"/>
  <headerFooter>
    <oddFooter>&amp;L© Sigma Ukraine LLC • Phone/Fax: +380 (57) 716–4585 • Phone: +380 (57) 766–0159 • Fax: +380 (57) 760-3240 
E-mail: info@sigmaukraine.com • URL: www.sigmaukraine.com</oddFooter>
  </headerFooter>
  <ignoredErrors>
    <ignoredError sqref="G21 G31 G140 G149 G158 H16:I16 H25:I28 H143:I148 H156:I156 E161 H32:I35 G11 I12:I13 H22:I23 H141:I141 H150:I154 H14:I1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9"/>
  <sheetViews>
    <sheetView topLeftCell="A34" zoomScaleNormal="100" zoomScaleSheetLayoutView="115" workbookViewId="0">
      <selection activeCell="L53" sqref="L53"/>
    </sheetView>
  </sheetViews>
  <sheetFormatPr defaultRowHeight="15" x14ac:dyDescent="0.25"/>
  <cols>
    <col min="1" max="1" width="33.28515625" bestFit="1" customWidth="1"/>
    <col min="2" max="2" width="11.140625" customWidth="1"/>
    <col min="3" max="3" width="12.28515625" customWidth="1"/>
    <col min="4" max="4" width="8.140625" customWidth="1"/>
    <col min="5" max="5" width="11.7109375" customWidth="1"/>
    <col min="6" max="6" width="5.5703125" customWidth="1"/>
    <col min="7" max="7" width="5.140625" customWidth="1"/>
    <col min="8" max="8" width="5.7109375" customWidth="1"/>
    <col min="9" max="9" width="12.28515625" customWidth="1"/>
    <col min="10" max="10" width="8.140625" customWidth="1"/>
    <col min="11" max="11" width="12.5703125" customWidth="1"/>
  </cols>
  <sheetData>
    <row r="1" spans="1:11" ht="16.5" x14ac:dyDescent="0.25">
      <c r="A1" s="158" t="s">
        <v>77</v>
      </c>
      <c r="B1" s="158"/>
      <c r="C1" s="158"/>
      <c r="D1" s="158"/>
      <c r="E1" s="158"/>
      <c r="F1" s="153"/>
      <c r="G1" s="5"/>
      <c r="H1" s="5"/>
      <c r="I1" s="5"/>
      <c r="J1" s="5"/>
      <c r="K1" s="5"/>
    </row>
    <row r="2" spans="1:11" ht="12" customHeight="1" x14ac:dyDescent="0.25">
      <c r="A2" s="5"/>
      <c r="B2" s="5"/>
      <c r="C2" s="5"/>
      <c r="D2" s="5"/>
      <c r="E2" s="5"/>
      <c r="F2" s="5"/>
      <c r="G2" s="5"/>
      <c r="H2" s="5"/>
      <c r="I2" s="5"/>
      <c r="J2" s="5"/>
      <c r="K2" s="5"/>
    </row>
    <row r="3" spans="1:11" ht="21" customHeight="1" x14ac:dyDescent="0.25">
      <c r="A3" s="157" t="s">
        <v>78</v>
      </c>
      <c r="B3" s="157"/>
      <c r="C3" s="157"/>
      <c r="D3" s="157"/>
      <c r="E3" s="157"/>
      <c r="F3" s="5"/>
      <c r="G3" s="5"/>
      <c r="H3" s="5"/>
      <c r="I3" s="5"/>
      <c r="J3" s="5"/>
      <c r="K3" s="5"/>
    </row>
    <row r="4" spans="1:11" ht="165" customHeight="1" x14ac:dyDescent="0.25">
      <c r="A4" s="159" t="s">
        <v>79</v>
      </c>
      <c r="B4" s="159"/>
      <c r="C4" s="159"/>
      <c r="D4" s="159"/>
      <c r="E4" s="159"/>
      <c r="F4" s="5"/>
      <c r="G4" s="5"/>
      <c r="H4" s="5"/>
      <c r="I4" s="5"/>
      <c r="J4" s="5"/>
      <c r="K4" s="5"/>
    </row>
    <row r="5" spans="1:11" ht="9.75" customHeight="1" x14ac:dyDescent="0.25">
      <c r="A5" s="5"/>
      <c r="B5" s="5"/>
      <c r="C5" s="5"/>
      <c r="D5" s="5"/>
      <c r="E5" s="5"/>
      <c r="F5" s="5"/>
    </row>
    <row r="6" spans="1:11" x14ac:dyDescent="0.25">
      <c r="A6" s="157" t="s">
        <v>188</v>
      </c>
      <c r="B6" s="157"/>
      <c r="C6" s="157"/>
      <c r="D6" s="157"/>
      <c r="E6" s="157"/>
      <c r="F6" s="5"/>
    </row>
    <row r="7" spans="1:11" x14ac:dyDescent="0.25">
      <c r="A7" s="15" t="s">
        <v>80</v>
      </c>
      <c r="B7" s="15" t="s">
        <v>66</v>
      </c>
      <c r="C7" s="15" t="s">
        <v>67</v>
      </c>
      <c r="D7" s="15" t="s">
        <v>68</v>
      </c>
      <c r="E7" s="15" t="s">
        <v>69</v>
      </c>
      <c r="F7" s="15"/>
    </row>
    <row r="8" spans="1:11" x14ac:dyDescent="0.25">
      <c r="A8" s="50" t="s">
        <v>25</v>
      </c>
      <c r="B8" s="57">
        <v>0.1</v>
      </c>
      <c r="C8" s="50">
        <v>0.15</v>
      </c>
      <c r="D8" s="58">
        <v>0.1</v>
      </c>
      <c r="E8" s="50">
        <f>IF(ISNUMBER(C8), IF(ISNUMBER(D8), C8+(C8*D8), C8), "N/A")</f>
        <v>0.16499999999999998</v>
      </c>
      <c r="F8" s="70" t="s">
        <v>38</v>
      </c>
    </row>
    <row r="9" spans="1:11" x14ac:dyDescent="0.25">
      <c r="A9" s="48" t="s">
        <v>176</v>
      </c>
      <c r="B9" s="73">
        <v>0.15</v>
      </c>
      <c r="C9" s="48">
        <v>0.3</v>
      </c>
      <c r="D9" s="59">
        <v>0.1</v>
      </c>
      <c r="E9" s="48">
        <f t="shared" ref="E9" si="0">IF(ISNUMBER(C9), IF(ISNUMBER(D9), C9+(C9*D9), C9), "N/A")</f>
        <v>0.32999999999999996</v>
      </c>
      <c r="F9" s="70" t="s">
        <v>116</v>
      </c>
    </row>
    <row r="10" spans="1:11" x14ac:dyDescent="0.25">
      <c r="A10" s="48" t="s">
        <v>177</v>
      </c>
      <c r="B10" s="73">
        <v>0.15</v>
      </c>
      <c r="C10" s="48">
        <v>0.2</v>
      </c>
      <c r="D10" s="59">
        <v>0.1</v>
      </c>
      <c r="E10" s="48">
        <f>IF(ISNUMBER(C10), IF(ISNUMBER(D10), C10+(C10*D10), C10), "N/A")</f>
        <v>0.22000000000000003</v>
      </c>
      <c r="F10" s="70" t="s">
        <v>116</v>
      </c>
    </row>
    <row r="11" spans="1:11" x14ac:dyDescent="0.25">
      <c r="A11" s="48" t="s">
        <v>23</v>
      </c>
      <c r="B11" s="73">
        <v>0.15</v>
      </c>
      <c r="C11" s="48">
        <v>0.2</v>
      </c>
      <c r="D11" s="59">
        <v>0.1</v>
      </c>
      <c r="E11" s="48">
        <f t="shared" ref="E11:E19" si="1">IF(ISNUMBER(C11), IF(ISNUMBER(D11), C11+(C11*D11), C11), "N/A")</f>
        <v>0.22000000000000003</v>
      </c>
      <c r="F11" s="70" t="s">
        <v>117</v>
      </c>
    </row>
    <row r="12" spans="1:11" x14ac:dyDescent="0.25">
      <c r="A12" s="48" t="s">
        <v>24</v>
      </c>
      <c r="B12" s="73">
        <v>0</v>
      </c>
      <c r="C12" s="48">
        <v>0</v>
      </c>
      <c r="D12" s="59">
        <v>0</v>
      </c>
      <c r="E12" s="48">
        <f t="shared" si="1"/>
        <v>0</v>
      </c>
      <c r="F12" s="70" t="s">
        <v>117</v>
      </c>
    </row>
    <row r="13" spans="1:11" x14ac:dyDescent="0.25">
      <c r="A13" s="48" t="s">
        <v>26</v>
      </c>
      <c r="B13" s="73">
        <v>0.5</v>
      </c>
      <c r="C13" s="48">
        <v>0.8</v>
      </c>
      <c r="D13" s="59">
        <v>0.1</v>
      </c>
      <c r="E13" s="48">
        <f t="shared" si="1"/>
        <v>0.88000000000000012</v>
      </c>
      <c r="F13" s="70" t="s">
        <v>208</v>
      </c>
    </row>
    <row r="14" spans="1:11" x14ac:dyDescent="0.25">
      <c r="A14" s="48" t="s">
        <v>27</v>
      </c>
      <c r="B14" s="73">
        <v>0</v>
      </c>
      <c r="C14" s="48">
        <v>0</v>
      </c>
      <c r="D14" s="59">
        <v>0</v>
      </c>
      <c r="E14" s="48">
        <f t="shared" si="1"/>
        <v>0</v>
      </c>
      <c r="F14" s="70" t="s">
        <v>208</v>
      </c>
    </row>
    <row r="15" spans="1:11" x14ac:dyDescent="0.25">
      <c r="A15" s="48" t="s">
        <v>28</v>
      </c>
      <c r="B15" s="73">
        <v>0</v>
      </c>
      <c r="C15" s="48">
        <v>0</v>
      </c>
      <c r="D15" s="59">
        <v>0</v>
      </c>
      <c r="E15" s="48">
        <f t="shared" si="1"/>
        <v>0</v>
      </c>
      <c r="F15" s="70" t="s">
        <v>208</v>
      </c>
    </row>
    <row r="16" spans="1:11" x14ac:dyDescent="0.25">
      <c r="A16" s="48" t="s">
        <v>211</v>
      </c>
      <c r="B16" s="73">
        <v>0.15</v>
      </c>
      <c r="C16" s="48">
        <v>0.2</v>
      </c>
      <c r="D16" s="59">
        <v>0.1</v>
      </c>
      <c r="E16" s="48">
        <f t="shared" si="1"/>
        <v>0.22000000000000003</v>
      </c>
      <c r="F16" s="70" t="s">
        <v>208</v>
      </c>
    </row>
    <row r="17" spans="1:6" x14ac:dyDescent="0.25">
      <c r="A17" s="48" t="s">
        <v>29</v>
      </c>
      <c r="B17" s="73">
        <v>0.15</v>
      </c>
      <c r="C17" s="48">
        <v>0.2</v>
      </c>
      <c r="D17" s="59">
        <v>0.1</v>
      </c>
      <c r="E17" s="48">
        <f t="shared" si="1"/>
        <v>0.22000000000000003</v>
      </c>
      <c r="F17" s="70" t="s">
        <v>117</v>
      </c>
    </row>
    <row r="18" spans="1:6" x14ac:dyDescent="0.25">
      <c r="A18" s="48" t="s">
        <v>30</v>
      </c>
      <c r="B18" s="73">
        <v>0.15</v>
      </c>
      <c r="C18" s="48">
        <v>0.2</v>
      </c>
      <c r="D18" s="59">
        <v>0.1</v>
      </c>
      <c r="E18" s="48">
        <f t="shared" si="1"/>
        <v>0.22000000000000003</v>
      </c>
      <c r="F18" s="70" t="s">
        <v>208</v>
      </c>
    </row>
    <row r="19" spans="1:6" x14ac:dyDescent="0.25">
      <c r="A19" s="51" t="s">
        <v>31</v>
      </c>
      <c r="B19" s="74">
        <v>0.1</v>
      </c>
      <c r="C19" s="51">
        <v>0.15</v>
      </c>
      <c r="D19" s="60">
        <v>0.1</v>
      </c>
      <c r="E19" s="51">
        <f t="shared" si="1"/>
        <v>0.16499999999999998</v>
      </c>
      <c r="F19" s="70" t="s">
        <v>117</v>
      </c>
    </row>
    <row r="20" spans="1:6" x14ac:dyDescent="0.25">
      <c r="A20" s="26" t="s">
        <v>32</v>
      </c>
      <c r="B20" s="26">
        <f>SUBTOTAL(9, B8:B19)</f>
        <v>1.5999999999999999</v>
      </c>
      <c r="C20" s="26">
        <f>SUBTOTAL(9, C8:C19)</f>
        <v>2.4</v>
      </c>
      <c r="D20" s="27">
        <f>IF(C20&lt;&gt;0, (E20-C20)/C20, "N/A")</f>
        <v>0.10000000000000028</v>
      </c>
      <c r="E20" s="26">
        <f>SUBTOTAL(9, E8:E19)</f>
        <v>2.6400000000000006</v>
      </c>
      <c r="F20" s="26"/>
    </row>
    <row r="21" spans="1:6" ht="9.75" customHeight="1" x14ac:dyDescent="0.25">
      <c r="A21" s="5"/>
      <c r="B21" s="5"/>
      <c r="C21" s="5"/>
      <c r="D21" s="5"/>
      <c r="E21" s="5"/>
      <c r="F21" s="5"/>
    </row>
    <row r="22" spans="1:6" ht="9.75" customHeight="1" x14ac:dyDescent="0.25">
      <c r="A22" s="5"/>
      <c r="B22" s="5"/>
      <c r="C22" s="5"/>
      <c r="D22" s="5"/>
      <c r="E22" s="5"/>
      <c r="F22" s="5"/>
    </row>
    <row r="23" spans="1:6" x14ac:dyDescent="0.25">
      <c r="A23" s="157" t="s">
        <v>193</v>
      </c>
      <c r="B23" s="157"/>
      <c r="C23" s="157"/>
      <c r="D23" s="157"/>
      <c r="E23" s="157"/>
      <c r="F23" s="5"/>
    </row>
    <row r="24" spans="1:6" x14ac:dyDescent="0.25">
      <c r="A24" s="15" t="s">
        <v>80</v>
      </c>
      <c r="B24" s="15" t="s">
        <v>66</v>
      </c>
      <c r="C24" s="15" t="s">
        <v>67</v>
      </c>
      <c r="D24" s="15" t="s">
        <v>68</v>
      </c>
      <c r="E24" s="15" t="s">
        <v>69</v>
      </c>
      <c r="F24" s="15"/>
    </row>
    <row r="25" spans="1:6" x14ac:dyDescent="0.25">
      <c r="A25" s="50" t="s">
        <v>25</v>
      </c>
      <c r="B25" s="57">
        <v>0.2</v>
      </c>
      <c r="C25" s="50">
        <v>0.3</v>
      </c>
      <c r="D25" s="58">
        <v>0.1</v>
      </c>
      <c r="E25" s="50">
        <f>IF(ISNUMBER(C25), IF(ISNUMBER(D25), C25+(C25*D25), C25), "N/A")</f>
        <v>0.32999999999999996</v>
      </c>
      <c r="F25" s="70" t="s">
        <v>38</v>
      </c>
    </row>
    <row r="26" spans="1:6" x14ac:dyDescent="0.25">
      <c r="A26" s="48" t="s">
        <v>176</v>
      </c>
      <c r="B26" s="73">
        <v>0.2</v>
      </c>
      <c r="C26" s="48">
        <v>0.3</v>
      </c>
      <c r="D26" s="59">
        <v>0.1</v>
      </c>
      <c r="E26" s="48">
        <f t="shared" ref="E26:E36" si="2">IF(ISNUMBER(C26), IF(ISNUMBER(D26), C26+(C26*D26), C26), "N/A")</f>
        <v>0.32999999999999996</v>
      </c>
      <c r="F26" s="70" t="s">
        <v>116</v>
      </c>
    </row>
    <row r="27" spans="1:6" x14ac:dyDescent="0.25">
      <c r="A27" s="48" t="s">
        <v>177</v>
      </c>
      <c r="B27" s="73">
        <v>0.2</v>
      </c>
      <c r="C27" s="48">
        <v>0.3</v>
      </c>
      <c r="D27" s="59">
        <v>0.1</v>
      </c>
      <c r="E27" s="48">
        <f>IF(ISNUMBER(C27), IF(ISNUMBER(D27), C27+(C27*D27), C27), "N/A")</f>
        <v>0.32999999999999996</v>
      </c>
      <c r="F27" s="70" t="s">
        <v>116</v>
      </c>
    </row>
    <row r="28" spans="1:6" x14ac:dyDescent="0.25">
      <c r="A28" s="48" t="s">
        <v>23</v>
      </c>
      <c r="B28" s="73">
        <v>0.2</v>
      </c>
      <c r="C28" s="48">
        <v>0.3</v>
      </c>
      <c r="D28" s="59">
        <v>0.1</v>
      </c>
      <c r="E28" s="48">
        <f t="shared" si="2"/>
        <v>0.32999999999999996</v>
      </c>
      <c r="F28" s="70" t="s">
        <v>117</v>
      </c>
    </row>
    <row r="29" spans="1:6" x14ac:dyDescent="0.25">
      <c r="A29" s="48" t="s">
        <v>24</v>
      </c>
      <c r="B29" s="73">
        <v>0</v>
      </c>
      <c r="C29" s="48">
        <v>0</v>
      </c>
      <c r="D29" s="59">
        <v>0</v>
      </c>
      <c r="E29" s="48">
        <f t="shared" si="2"/>
        <v>0</v>
      </c>
      <c r="F29" s="70" t="s">
        <v>117</v>
      </c>
    </row>
    <row r="30" spans="1:6" x14ac:dyDescent="0.25">
      <c r="A30" s="48" t="s">
        <v>26</v>
      </c>
      <c r="B30" s="73">
        <v>1.5</v>
      </c>
      <c r="C30" s="48">
        <v>2</v>
      </c>
      <c r="D30" s="59">
        <v>0.15</v>
      </c>
      <c r="E30" s="48">
        <f t="shared" si="2"/>
        <v>2.2999999999999998</v>
      </c>
      <c r="F30" s="70" t="s">
        <v>208</v>
      </c>
    </row>
    <row r="31" spans="1:6" x14ac:dyDescent="0.25">
      <c r="A31" s="48" t="s">
        <v>27</v>
      </c>
      <c r="B31" s="73">
        <v>0</v>
      </c>
      <c r="C31" s="48">
        <v>0</v>
      </c>
      <c r="D31" s="59">
        <v>0</v>
      </c>
      <c r="E31" s="48">
        <f t="shared" si="2"/>
        <v>0</v>
      </c>
      <c r="F31" s="70" t="s">
        <v>208</v>
      </c>
    </row>
    <row r="32" spans="1:6" x14ac:dyDescent="0.25">
      <c r="A32" s="48" t="s">
        <v>28</v>
      </c>
      <c r="B32" s="73">
        <v>0</v>
      </c>
      <c r="C32" s="48">
        <v>0</v>
      </c>
      <c r="D32" s="59">
        <v>0</v>
      </c>
      <c r="E32" s="48">
        <f t="shared" si="2"/>
        <v>0</v>
      </c>
      <c r="F32" s="70" t="s">
        <v>208</v>
      </c>
    </row>
    <row r="33" spans="1:12" x14ac:dyDescent="0.25">
      <c r="A33" s="48" t="s">
        <v>211</v>
      </c>
      <c r="B33" s="73">
        <v>0.2</v>
      </c>
      <c r="C33" s="48">
        <v>0.3</v>
      </c>
      <c r="D33" s="59">
        <v>0.1</v>
      </c>
      <c r="E33" s="48">
        <f t="shared" si="2"/>
        <v>0.32999999999999996</v>
      </c>
      <c r="F33" s="70" t="s">
        <v>208</v>
      </c>
    </row>
    <row r="34" spans="1:12" x14ac:dyDescent="0.25">
      <c r="A34" s="48" t="s">
        <v>29</v>
      </c>
      <c r="B34" s="73">
        <v>0.2</v>
      </c>
      <c r="C34" s="48">
        <v>0.3</v>
      </c>
      <c r="D34" s="59">
        <v>0.1</v>
      </c>
      <c r="E34" s="48">
        <f t="shared" si="2"/>
        <v>0.32999999999999996</v>
      </c>
      <c r="F34" s="70" t="s">
        <v>117</v>
      </c>
    </row>
    <row r="35" spans="1:12" x14ac:dyDescent="0.25">
      <c r="A35" s="48" t="s">
        <v>30</v>
      </c>
      <c r="B35" s="73">
        <v>0.2</v>
      </c>
      <c r="C35" s="48">
        <v>0.3</v>
      </c>
      <c r="D35" s="59">
        <v>0.1</v>
      </c>
      <c r="E35" s="48">
        <f t="shared" si="2"/>
        <v>0.32999999999999996</v>
      </c>
      <c r="F35" s="70" t="s">
        <v>208</v>
      </c>
    </row>
    <row r="36" spans="1:12" x14ac:dyDescent="0.25">
      <c r="A36" s="51" t="s">
        <v>31</v>
      </c>
      <c r="B36" s="74">
        <v>0.15</v>
      </c>
      <c r="C36" s="51">
        <v>0.2</v>
      </c>
      <c r="D36" s="60">
        <v>0.1</v>
      </c>
      <c r="E36" s="51">
        <f t="shared" si="2"/>
        <v>0.22000000000000003</v>
      </c>
      <c r="F36" s="70" t="s">
        <v>117</v>
      </c>
    </row>
    <row r="37" spans="1:12" x14ac:dyDescent="0.25">
      <c r="A37" s="26" t="s">
        <v>32</v>
      </c>
      <c r="B37" s="26">
        <f>SUBTOTAL(9, B25:B36)</f>
        <v>3.0500000000000003</v>
      </c>
      <c r="C37" s="26">
        <f>SUBTOTAL(9, C25:C36)</f>
        <v>4.3</v>
      </c>
      <c r="D37" s="27">
        <f>IF(C37&lt;&gt;0, (E37-C37)/C37, "N/A")</f>
        <v>0.12325581395348822</v>
      </c>
      <c r="E37" s="26">
        <f>SUBTOTAL(9, E25:E36)</f>
        <v>4.8299999999999992</v>
      </c>
      <c r="F37" s="26"/>
    </row>
    <row r="38" spans="1:12" ht="9.75" customHeight="1" x14ac:dyDescent="0.25">
      <c r="A38" s="5"/>
      <c r="B38" s="5"/>
      <c r="C38" s="5"/>
      <c r="D38" s="5"/>
      <c r="E38" s="5"/>
      <c r="F38" s="5"/>
    </row>
    <row r="39" spans="1:12" x14ac:dyDescent="0.25">
      <c r="A39" s="157" t="s">
        <v>189</v>
      </c>
      <c r="B39" s="157"/>
      <c r="C39" s="157"/>
      <c r="D39" s="157"/>
      <c r="E39" s="157"/>
      <c r="F39" s="5"/>
      <c r="L39" s="28"/>
    </row>
    <row r="40" spans="1:12" x14ac:dyDescent="0.25">
      <c r="A40" s="15" t="s">
        <v>80</v>
      </c>
      <c r="B40" s="15" t="s">
        <v>66</v>
      </c>
      <c r="C40" s="15" t="s">
        <v>67</v>
      </c>
      <c r="D40" s="15" t="s">
        <v>68</v>
      </c>
      <c r="E40" s="15" t="s">
        <v>69</v>
      </c>
      <c r="F40" s="15"/>
    </row>
    <row r="41" spans="1:12" x14ac:dyDescent="0.25">
      <c r="A41" s="50" t="s">
        <v>25</v>
      </c>
      <c r="B41" s="57">
        <v>0.25</v>
      </c>
      <c r="C41" s="50">
        <v>0.35</v>
      </c>
      <c r="D41" s="58">
        <v>0.15</v>
      </c>
      <c r="E41" s="50">
        <f>IF(ISNUMBER(C41), IF(ISNUMBER(D41), C41+(C41*D41), C41), "N/A")</f>
        <v>0.40249999999999997</v>
      </c>
      <c r="F41" s="70" t="s">
        <v>38</v>
      </c>
    </row>
    <row r="42" spans="1:12" x14ac:dyDescent="0.25">
      <c r="A42" s="48" t="s">
        <v>176</v>
      </c>
      <c r="B42" s="73">
        <v>0.5</v>
      </c>
      <c r="C42" s="48">
        <v>0.7</v>
      </c>
      <c r="D42" s="59">
        <v>0.15</v>
      </c>
      <c r="E42" s="48">
        <f t="shared" ref="E42:E52" si="3">IF(ISNUMBER(C42), IF(ISNUMBER(D42), C42+(C42*D42), C42), "N/A")</f>
        <v>0.80499999999999994</v>
      </c>
      <c r="F42" s="70" t="s">
        <v>116</v>
      </c>
    </row>
    <row r="43" spans="1:12" x14ac:dyDescent="0.25">
      <c r="A43" s="48" t="s">
        <v>177</v>
      </c>
      <c r="B43" s="73">
        <v>0.3</v>
      </c>
      <c r="C43" s="48">
        <v>0.35</v>
      </c>
      <c r="D43" s="59">
        <v>0.1</v>
      </c>
      <c r="E43" s="48">
        <f>IF(ISNUMBER(C43), IF(ISNUMBER(D43), C43+(C43*D43), C43), "N/A")</f>
        <v>0.38499999999999995</v>
      </c>
      <c r="F43" s="70" t="s">
        <v>116</v>
      </c>
    </row>
    <row r="44" spans="1:12" x14ac:dyDescent="0.25">
      <c r="A44" s="48" t="s">
        <v>23</v>
      </c>
      <c r="B44" s="73">
        <v>0.5</v>
      </c>
      <c r="C44" s="48">
        <v>0.7</v>
      </c>
      <c r="D44" s="59">
        <v>0.1</v>
      </c>
      <c r="E44" s="48">
        <f t="shared" si="3"/>
        <v>0.76999999999999991</v>
      </c>
      <c r="F44" s="70" t="s">
        <v>117</v>
      </c>
    </row>
    <row r="45" spans="1:12" x14ac:dyDescent="0.25">
      <c r="A45" s="48" t="s">
        <v>24</v>
      </c>
      <c r="B45" s="73">
        <v>0</v>
      </c>
      <c r="C45" s="48">
        <v>0</v>
      </c>
      <c r="D45" s="59">
        <v>0</v>
      </c>
      <c r="E45" s="48">
        <f t="shared" si="3"/>
        <v>0</v>
      </c>
      <c r="F45" s="70" t="s">
        <v>117</v>
      </c>
    </row>
    <row r="46" spans="1:12" x14ac:dyDescent="0.25">
      <c r="A46" s="48" t="s">
        <v>26</v>
      </c>
      <c r="B46" s="73">
        <v>4</v>
      </c>
      <c r="C46" s="48">
        <v>5</v>
      </c>
      <c r="D46" s="59">
        <v>0.15</v>
      </c>
      <c r="E46" s="48">
        <f t="shared" si="3"/>
        <v>5.75</v>
      </c>
      <c r="F46" s="70" t="s">
        <v>208</v>
      </c>
    </row>
    <row r="47" spans="1:12" x14ac:dyDescent="0.25">
      <c r="A47" s="48" t="s">
        <v>27</v>
      </c>
      <c r="B47" s="73">
        <v>0</v>
      </c>
      <c r="C47" s="48">
        <v>0</v>
      </c>
      <c r="D47" s="59">
        <v>0</v>
      </c>
      <c r="E47" s="48">
        <f t="shared" si="3"/>
        <v>0</v>
      </c>
      <c r="F47" s="70" t="s">
        <v>208</v>
      </c>
    </row>
    <row r="48" spans="1:12" x14ac:dyDescent="0.25">
      <c r="A48" s="48" t="s">
        <v>28</v>
      </c>
      <c r="B48" s="73">
        <v>0</v>
      </c>
      <c r="C48" s="48">
        <v>0</v>
      </c>
      <c r="D48" s="59">
        <v>0</v>
      </c>
      <c r="E48" s="48">
        <f t="shared" si="3"/>
        <v>0</v>
      </c>
      <c r="F48" s="70" t="s">
        <v>208</v>
      </c>
    </row>
    <row r="49" spans="1:11" x14ac:dyDescent="0.25">
      <c r="A49" s="48" t="s">
        <v>211</v>
      </c>
      <c r="B49" s="73">
        <v>0.5</v>
      </c>
      <c r="C49" s="48">
        <v>0.7</v>
      </c>
      <c r="D49" s="59">
        <v>0.1</v>
      </c>
      <c r="E49" s="48">
        <f t="shared" si="3"/>
        <v>0.76999999999999991</v>
      </c>
      <c r="F49" s="70" t="s">
        <v>208</v>
      </c>
    </row>
    <row r="50" spans="1:11" x14ac:dyDescent="0.25">
      <c r="A50" s="48" t="s">
        <v>29</v>
      </c>
      <c r="B50" s="73">
        <v>0.5</v>
      </c>
      <c r="C50" s="48">
        <v>1</v>
      </c>
      <c r="D50" s="59">
        <v>0.15</v>
      </c>
      <c r="E50" s="48">
        <f t="shared" si="3"/>
        <v>1.1499999999999999</v>
      </c>
      <c r="F50" s="70" t="s">
        <v>117</v>
      </c>
    </row>
    <row r="51" spans="1:11" x14ac:dyDescent="0.25">
      <c r="A51" s="48" t="s">
        <v>30</v>
      </c>
      <c r="B51" s="73">
        <v>0.5</v>
      </c>
      <c r="C51" s="48">
        <v>1</v>
      </c>
      <c r="D51" s="59">
        <v>0.15</v>
      </c>
      <c r="E51" s="48">
        <f t="shared" si="3"/>
        <v>1.1499999999999999</v>
      </c>
      <c r="F51" s="70" t="s">
        <v>208</v>
      </c>
    </row>
    <row r="52" spans="1:11" x14ac:dyDescent="0.25">
      <c r="A52" s="51" t="s">
        <v>31</v>
      </c>
      <c r="B52" s="74">
        <v>0.2</v>
      </c>
      <c r="C52" s="51">
        <v>0.3</v>
      </c>
      <c r="D52" s="60">
        <v>0.1</v>
      </c>
      <c r="E52" s="51">
        <f t="shared" si="3"/>
        <v>0.32999999999999996</v>
      </c>
      <c r="F52" s="70" t="s">
        <v>117</v>
      </c>
    </row>
    <row r="53" spans="1:11" x14ac:dyDescent="0.25">
      <c r="A53" s="26" t="s">
        <v>32</v>
      </c>
      <c r="B53" s="26">
        <f>SUBTOTAL(9, B41:B52)</f>
        <v>7.25</v>
      </c>
      <c r="C53" s="26">
        <f>SUBTOTAL(9, C41:C52)</f>
        <v>10.100000000000001</v>
      </c>
      <c r="D53" s="27">
        <f>IF(C53&lt;&gt;0, (E53-C53)/C53, "N/A")</f>
        <v>0.13985148514851481</v>
      </c>
      <c r="E53" s="26">
        <f>SUBTOTAL(9, E41:E52)</f>
        <v>11.512500000000001</v>
      </c>
      <c r="F53" s="26"/>
    </row>
    <row r="54" spans="1:11" ht="4.5" customHeight="1" x14ac:dyDescent="0.25">
      <c r="A54" s="5"/>
      <c r="B54" s="5"/>
      <c r="C54" s="5"/>
      <c r="D54" s="5"/>
      <c r="E54" s="5"/>
      <c r="F54" s="5"/>
      <c r="G54" s="5"/>
      <c r="H54" s="5"/>
      <c r="I54" s="5"/>
      <c r="J54" s="5"/>
      <c r="K54" s="5"/>
    </row>
    <row r="55" spans="1:11" x14ac:dyDescent="0.25">
      <c r="A55" s="157" t="s">
        <v>190</v>
      </c>
      <c r="B55" s="157"/>
      <c r="C55" s="157"/>
      <c r="D55" s="157"/>
      <c r="E55" s="157"/>
      <c r="F55" s="5"/>
      <c r="G55" s="5"/>
      <c r="H55" s="5"/>
      <c r="I55" s="5"/>
      <c r="J55" s="5"/>
      <c r="K55" s="5"/>
    </row>
    <row r="56" spans="1:11" x14ac:dyDescent="0.25">
      <c r="A56" s="15" t="s">
        <v>80</v>
      </c>
      <c r="B56" s="15" t="s">
        <v>66</v>
      </c>
      <c r="C56" s="15" t="s">
        <v>67</v>
      </c>
      <c r="D56" s="15" t="s">
        <v>68</v>
      </c>
      <c r="E56" s="15" t="s">
        <v>69</v>
      </c>
      <c r="F56" s="15"/>
      <c r="G56" s="5"/>
      <c r="H56" s="5"/>
      <c r="I56" s="5"/>
      <c r="J56" s="5"/>
      <c r="K56" s="5"/>
    </row>
    <row r="57" spans="1:11" x14ac:dyDescent="0.25">
      <c r="A57" s="50" t="s">
        <v>25</v>
      </c>
      <c r="B57" s="57">
        <v>0.5</v>
      </c>
      <c r="C57" s="50">
        <v>0.8</v>
      </c>
      <c r="D57" s="58">
        <v>0.15</v>
      </c>
      <c r="E57" s="50">
        <f>IF(ISNUMBER(C57), IF(ISNUMBER(D57), C57+(C57*D57), C57), "N/A")</f>
        <v>0.92</v>
      </c>
      <c r="F57" s="70" t="s">
        <v>38</v>
      </c>
      <c r="G57" s="5"/>
      <c r="H57" s="5"/>
      <c r="I57" s="5"/>
      <c r="J57" s="5"/>
      <c r="K57" s="5"/>
    </row>
    <row r="58" spans="1:11" x14ac:dyDescent="0.25">
      <c r="A58" s="48" t="s">
        <v>176</v>
      </c>
      <c r="B58" s="73">
        <v>0.5</v>
      </c>
      <c r="C58" s="48">
        <v>1</v>
      </c>
      <c r="D58" s="59">
        <v>0.15</v>
      </c>
      <c r="E58" s="48">
        <f t="shared" ref="E58:E68" si="4">IF(ISNUMBER(C58), IF(ISNUMBER(D58), C58+(C58*D58), C58), "N/A")</f>
        <v>1.1499999999999999</v>
      </c>
      <c r="F58" s="70" t="s">
        <v>116</v>
      </c>
      <c r="G58" s="5"/>
      <c r="H58" s="5"/>
      <c r="I58" s="5"/>
      <c r="J58" s="5"/>
      <c r="K58" s="5"/>
    </row>
    <row r="59" spans="1:11" x14ac:dyDescent="0.25">
      <c r="A59" s="48" t="s">
        <v>177</v>
      </c>
      <c r="B59" s="73">
        <v>0.4</v>
      </c>
      <c r="C59" s="48">
        <v>0.5</v>
      </c>
      <c r="D59" s="59">
        <v>0.15</v>
      </c>
      <c r="E59" s="48">
        <f>IF(ISNUMBER(C59), IF(ISNUMBER(D59), C59+(C59*D59), C59), "N/A")</f>
        <v>0.57499999999999996</v>
      </c>
      <c r="F59" s="70" t="s">
        <v>116</v>
      </c>
      <c r="G59" s="5"/>
      <c r="H59" s="5"/>
      <c r="I59" s="5"/>
      <c r="J59" s="5"/>
      <c r="K59" s="5"/>
    </row>
    <row r="60" spans="1:11" x14ac:dyDescent="0.25">
      <c r="A60" s="48" t="s">
        <v>23</v>
      </c>
      <c r="B60" s="73">
        <v>1</v>
      </c>
      <c r="C60" s="48">
        <v>1.5</v>
      </c>
      <c r="D60" s="59">
        <v>0.1</v>
      </c>
      <c r="E60" s="48">
        <f t="shared" si="4"/>
        <v>1.65</v>
      </c>
      <c r="F60" s="70" t="s">
        <v>117</v>
      </c>
      <c r="G60" s="5"/>
      <c r="H60" s="5"/>
      <c r="I60" s="5"/>
      <c r="J60" s="5"/>
      <c r="K60" s="5"/>
    </row>
    <row r="61" spans="1:11" x14ac:dyDescent="0.25">
      <c r="A61" s="48" t="s">
        <v>24</v>
      </c>
      <c r="B61" s="73">
        <v>0</v>
      </c>
      <c r="C61" s="48">
        <v>0</v>
      </c>
      <c r="D61" s="59">
        <v>0</v>
      </c>
      <c r="E61" s="48">
        <f t="shared" si="4"/>
        <v>0</v>
      </c>
      <c r="F61" s="70" t="s">
        <v>117</v>
      </c>
      <c r="G61" s="5"/>
      <c r="H61" s="5"/>
      <c r="I61" s="5"/>
      <c r="J61" s="5"/>
      <c r="K61" s="5"/>
    </row>
    <row r="62" spans="1:11" x14ac:dyDescent="0.25">
      <c r="A62" s="48" t="s">
        <v>26</v>
      </c>
      <c r="B62" s="73">
        <v>8</v>
      </c>
      <c r="C62" s="48">
        <v>12</v>
      </c>
      <c r="D62" s="59">
        <v>0.2</v>
      </c>
      <c r="E62" s="48">
        <f t="shared" si="4"/>
        <v>14.4</v>
      </c>
      <c r="F62" s="70" t="s">
        <v>208</v>
      </c>
      <c r="G62" s="5"/>
      <c r="H62" s="5"/>
      <c r="I62" s="5"/>
      <c r="J62" s="5"/>
      <c r="K62" s="5"/>
    </row>
    <row r="63" spans="1:11" x14ac:dyDescent="0.25">
      <c r="A63" s="48" t="s">
        <v>27</v>
      </c>
      <c r="B63" s="73">
        <v>0</v>
      </c>
      <c r="C63" s="48">
        <v>0</v>
      </c>
      <c r="D63" s="59">
        <v>0</v>
      </c>
      <c r="E63" s="48">
        <f t="shared" si="4"/>
        <v>0</v>
      </c>
      <c r="F63" s="70" t="s">
        <v>208</v>
      </c>
      <c r="G63" s="5"/>
      <c r="H63" s="5"/>
      <c r="I63" s="5"/>
      <c r="J63" s="5"/>
      <c r="K63" s="5"/>
    </row>
    <row r="64" spans="1:11" x14ac:dyDescent="0.25">
      <c r="A64" s="48" t="s">
        <v>28</v>
      </c>
      <c r="B64" s="73">
        <v>0</v>
      </c>
      <c r="C64" s="48">
        <v>0</v>
      </c>
      <c r="D64" s="59">
        <v>0</v>
      </c>
      <c r="E64" s="48">
        <f t="shared" si="4"/>
        <v>0</v>
      </c>
      <c r="F64" s="70" t="s">
        <v>208</v>
      </c>
      <c r="G64" s="5"/>
      <c r="H64" s="5"/>
      <c r="I64" s="5"/>
      <c r="J64" s="5"/>
      <c r="K64" s="5"/>
    </row>
    <row r="65" spans="1:11" x14ac:dyDescent="0.25">
      <c r="A65" s="48" t="s">
        <v>211</v>
      </c>
      <c r="B65" s="73">
        <v>1</v>
      </c>
      <c r="C65" s="48">
        <v>1.5</v>
      </c>
      <c r="D65" s="59">
        <v>0.15</v>
      </c>
      <c r="E65" s="48">
        <f t="shared" si="4"/>
        <v>1.7250000000000001</v>
      </c>
      <c r="F65" s="70" t="s">
        <v>208</v>
      </c>
      <c r="G65" s="5"/>
      <c r="H65" s="5"/>
      <c r="I65" s="5"/>
      <c r="J65" s="5"/>
      <c r="K65" s="5"/>
    </row>
    <row r="66" spans="1:11" x14ac:dyDescent="0.25">
      <c r="A66" s="48" t="s">
        <v>29</v>
      </c>
      <c r="B66" s="73">
        <v>0.7</v>
      </c>
      <c r="C66" s="48">
        <v>1</v>
      </c>
      <c r="D66" s="59">
        <v>0.15</v>
      </c>
      <c r="E66" s="48">
        <f t="shared" si="4"/>
        <v>1.1499999999999999</v>
      </c>
      <c r="F66" s="70" t="s">
        <v>117</v>
      </c>
      <c r="G66" s="5"/>
      <c r="H66" s="5"/>
      <c r="I66" s="5"/>
      <c r="J66" s="5"/>
      <c r="K66" s="5"/>
    </row>
    <row r="67" spans="1:11" x14ac:dyDescent="0.25">
      <c r="A67" s="48" t="s">
        <v>30</v>
      </c>
      <c r="B67" s="73">
        <v>0.8</v>
      </c>
      <c r="C67" s="48">
        <v>1.2</v>
      </c>
      <c r="D67" s="59">
        <v>0.15</v>
      </c>
      <c r="E67" s="48">
        <f t="shared" si="4"/>
        <v>1.38</v>
      </c>
      <c r="F67" s="70" t="s">
        <v>208</v>
      </c>
      <c r="G67" s="5"/>
      <c r="H67" s="5"/>
      <c r="I67" s="5"/>
      <c r="J67" s="5"/>
      <c r="K67" s="5"/>
    </row>
    <row r="68" spans="1:11" x14ac:dyDescent="0.25">
      <c r="A68" s="51" t="s">
        <v>31</v>
      </c>
      <c r="B68" s="74">
        <v>0.4</v>
      </c>
      <c r="C68" s="51">
        <v>0.5</v>
      </c>
      <c r="D68" s="60">
        <v>0.15</v>
      </c>
      <c r="E68" s="51">
        <f t="shared" si="4"/>
        <v>0.57499999999999996</v>
      </c>
      <c r="F68" s="70" t="s">
        <v>117</v>
      </c>
      <c r="G68" s="5"/>
      <c r="H68" s="5"/>
      <c r="I68" s="5"/>
      <c r="J68" s="5"/>
      <c r="K68" s="5"/>
    </row>
    <row r="69" spans="1:11" x14ac:dyDescent="0.25">
      <c r="A69" s="26" t="s">
        <v>32</v>
      </c>
      <c r="B69" s="26">
        <f>SUBTOTAL(9, B57:B68)</f>
        <v>13.3</v>
      </c>
      <c r="C69" s="26">
        <f>SUBTOTAL(9, C57:C68)</f>
        <v>20</v>
      </c>
      <c r="D69" s="27">
        <f>IF(C69&lt;&gt;0, (E69-C69)/C69, "N/A")</f>
        <v>0.17624999999999993</v>
      </c>
      <c r="E69" s="26">
        <f>SUBTOTAL(9, E57:E68)</f>
        <v>23.524999999999999</v>
      </c>
      <c r="F69" s="26"/>
      <c r="G69" s="5"/>
      <c r="H69" s="5"/>
      <c r="I69" s="5"/>
      <c r="J69" s="5"/>
      <c r="K69" s="5"/>
    </row>
    <row r="70" spans="1:11" ht="9.75" customHeight="1" x14ac:dyDescent="0.25"/>
    <row r="71" spans="1:11" x14ac:dyDescent="0.25">
      <c r="A71" s="157" t="s">
        <v>191</v>
      </c>
      <c r="B71" s="157"/>
      <c r="C71" s="157"/>
      <c r="D71" s="157"/>
      <c r="E71" s="157"/>
    </row>
    <row r="72" spans="1:11" x14ac:dyDescent="0.25">
      <c r="A72" s="15" t="s">
        <v>80</v>
      </c>
      <c r="B72" s="15" t="s">
        <v>66</v>
      </c>
      <c r="C72" s="15" t="s">
        <v>67</v>
      </c>
      <c r="D72" s="15" t="s">
        <v>68</v>
      </c>
      <c r="E72" s="15" t="s">
        <v>69</v>
      </c>
      <c r="F72" s="15"/>
    </row>
    <row r="73" spans="1:11" x14ac:dyDescent="0.25">
      <c r="A73" s="50" t="s">
        <v>25</v>
      </c>
      <c r="B73" s="57">
        <v>0.8</v>
      </c>
      <c r="C73" s="50">
        <v>1</v>
      </c>
      <c r="D73" s="58">
        <v>0.15</v>
      </c>
      <c r="E73" s="50">
        <f>IF(ISNUMBER(C73), IF(ISNUMBER(D73), C73+(C73*D73), C73), "N/A")</f>
        <v>1.1499999999999999</v>
      </c>
      <c r="F73" s="70" t="s">
        <v>38</v>
      </c>
    </row>
    <row r="74" spans="1:11" x14ac:dyDescent="0.25">
      <c r="A74" s="48" t="s">
        <v>176</v>
      </c>
      <c r="B74" s="48">
        <v>0.5</v>
      </c>
      <c r="C74" s="48">
        <v>1.2</v>
      </c>
      <c r="D74" s="59">
        <v>0.15</v>
      </c>
      <c r="E74" s="48">
        <f t="shared" ref="E74:E84" si="5">IF(ISNUMBER(C74), IF(ISNUMBER(D74), C74+(C74*D74), C74), "N/A")</f>
        <v>1.38</v>
      </c>
      <c r="F74" s="70" t="s">
        <v>116</v>
      </c>
    </row>
    <row r="75" spans="1:11" x14ac:dyDescent="0.25">
      <c r="A75" s="48" t="s">
        <v>177</v>
      </c>
      <c r="B75" s="48">
        <v>0.5</v>
      </c>
      <c r="C75" s="48">
        <v>0.7</v>
      </c>
      <c r="D75" s="59">
        <v>0.15</v>
      </c>
      <c r="E75" s="48">
        <f>IF(ISNUMBER(C75), IF(ISNUMBER(D75), C75+(C75*D75), C75), "N/A")</f>
        <v>0.80499999999999994</v>
      </c>
      <c r="F75" s="70" t="s">
        <v>116</v>
      </c>
    </row>
    <row r="76" spans="1:11" x14ac:dyDescent="0.25">
      <c r="A76" s="48" t="s">
        <v>23</v>
      </c>
      <c r="B76" s="48">
        <v>1.5</v>
      </c>
      <c r="C76" s="48">
        <v>2</v>
      </c>
      <c r="D76" s="59">
        <v>0.15</v>
      </c>
      <c r="E76" s="48">
        <f t="shared" si="5"/>
        <v>2.2999999999999998</v>
      </c>
      <c r="F76" s="70" t="s">
        <v>117</v>
      </c>
    </row>
    <row r="77" spans="1:11" x14ac:dyDescent="0.25">
      <c r="A77" s="48" t="s">
        <v>24</v>
      </c>
      <c r="B77" s="48">
        <v>0</v>
      </c>
      <c r="C77" s="48">
        <v>0</v>
      </c>
      <c r="D77" s="59">
        <v>0</v>
      </c>
      <c r="E77" s="48">
        <f t="shared" si="5"/>
        <v>0</v>
      </c>
      <c r="F77" s="70" t="s">
        <v>117</v>
      </c>
    </row>
    <row r="78" spans="1:11" x14ac:dyDescent="0.25">
      <c r="A78" s="48" t="s">
        <v>26</v>
      </c>
      <c r="B78" s="48">
        <v>14</v>
      </c>
      <c r="C78" s="48">
        <v>20</v>
      </c>
      <c r="D78" s="59">
        <v>0.3</v>
      </c>
      <c r="E78" s="48">
        <f t="shared" si="5"/>
        <v>26</v>
      </c>
      <c r="F78" s="70" t="s">
        <v>208</v>
      </c>
    </row>
    <row r="79" spans="1:11" x14ac:dyDescent="0.25">
      <c r="A79" s="48" t="s">
        <v>27</v>
      </c>
      <c r="B79" s="48">
        <v>0</v>
      </c>
      <c r="C79" s="48">
        <v>0</v>
      </c>
      <c r="D79" s="59">
        <v>0</v>
      </c>
      <c r="E79" s="48">
        <f t="shared" si="5"/>
        <v>0</v>
      </c>
      <c r="F79" s="70" t="s">
        <v>208</v>
      </c>
    </row>
    <row r="80" spans="1:11" x14ac:dyDescent="0.25">
      <c r="A80" s="48" t="s">
        <v>28</v>
      </c>
      <c r="B80" s="48">
        <v>0</v>
      </c>
      <c r="C80" s="48">
        <v>0</v>
      </c>
      <c r="D80" s="59">
        <v>0</v>
      </c>
      <c r="E80" s="48">
        <f t="shared" si="5"/>
        <v>0</v>
      </c>
      <c r="F80" s="70" t="s">
        <v>208</v>
      </c>
    </row>
    <row r="81" spans="1:6" x14ac:dyDescent="0.25">
      <c r="A81" s="48" t="s">
        <v>211</v>
      </c>
      <c r="B81" s="48">
        <v>2</v>
      </c>
      <c r="C81" s="48">
        <v>3</v>
      </c>
      <c r="D81" s="59">
        <v>0.15</v>
      </c>
      <c r="E81" s="48">
        <f t="shared" si="5"/>
        <v>3.45</v>
      </c>
      <c r="F81" s="70" t="s">
        <v>208</v>
      </c>
    </row>
    <row r="82" spans="1:6" x14ac:dyDescent="0.25">
      <c r="A82" s="48" t="s">
        <v>29</v>
      </c>
      <c r="B82" s="48">
        <v>1.5</v>
      </c>
      <c r="C82" s="48">
        <v>3</v>
      </c>
      <c r="D82" s="59">
        <v>0.15</v>
      </c>
      <c r="E82" s="48">
        <f t="shared" si="5"/>
        <v>3.45</v>
      </c>
      <c r="F82" s="70" t="s">
        <v>117</v>
      </c>
    </row>
    <row r="83" spans="1:6" x14ac:dyDescent="0.25">
      <c r="A83" s="48" t="s">
        <v>30</v>
      </c>
      <c r="B83" s="48">
        <v>1.2</v>
      </c>
      <c r="C83" s="48">
        <v>2</v>
      </c>
      <c r="D83" s="59">
        <v>0.25</v>
      </c>
      <c r="E83" s="48">
        <f t="shared" si="5"/>
        <v>2.5</v>
      </c>
      <c r="F83" s="70" t="s">
        <v>208</v>
      </c>
    </row>
    <row r="84" spans="1:6" x14ac:dyDescent="0.25">
      <c r="A84" s="51" t="s">
        <v>31</v>
      </c>
      <c r="B84" s="51">
        <v>0.7</v>
      </c>
      <c r="C84" s="51">
        <v>1</v>
      </c>
      <c r="D84" s="60">
        <v>0.15</v>
      </c>
      <c r="E84" s="51">
        <f t="shared" si="5"/>
        <v>1.1499999999999999</v>
      </c>
      <c r="F84" s="70" t="s">
        <v>117</v>
      </c>
    </row>
    <row r="85" spans="1:6" x14ac:dyDescent="0.25">
      <c r="A85" s="26" t="s">
        <v>32</v>
      </c>
      <c r="B85" s="26">
        <f>SUBTOTAL(9, B73:B84)</f>
        <v>22.7</v>
      </c>
      <c r="C85" s="26">
        <f>SUBTOTAL(9, C73:C84)</f>
        <v>33.9</v>
      </c>
      <c r="D85" s="27">
        <f>IF(C85&lt;&gt;0, (E85-C85)/C85, "N/A")</f>
        <v>0.24439528023598833</v>
      </c>
      <c r="E85" s="26">
        <f>SUBTOTAL(9, E73:E84)</f>
        <v>42.185000000000002</v>
      </c>
      <c r="F85" s="26"/>
    </row>
    <row r="86" spans="1:6" x14ac:dyDescent="0.25">
      <c r="A86" s="5"/>
      <c r="B86" s="5"/>
      <c r="C86" s="5"/>
      <c r="D86" s="5"/>
      <c r="E86" s="5"/>
    </row>
    <row r="87" spans="1:6" x14ac:dyDescent="0.25">
      <c r="A87" s="157" t="s">
        <v>192</v>
      </c>
      <c r="B87" s="157"/>
      <c r="C87" s="157"/>
      <c r="D87" s="157"/>
      <c r="E87" s="157"/>
    </row>
    <row r="88" spans="1:6" x14ac:dyDescent="0.25">
      <c r="A88" s="15" t="s">
        <v>80</v>
      </c>
      <c r="B88" s="15" t="s">
        <v>66</v>
      </c>
      <c r="C88" s="15" t="s">
        <v>67</v>
      </c>
      <c r="D88" s="15" t="s">
        <v>68</v>
      </c>
      <c r="E88" s="15" t="s">
        <v>69</v>
      </c>
      <c r="F88" s="15"/>
    </row>
    <row r="89" spans="1:6" x14ac:dyDescent="0.25">
      <c r="A89" s="50" t="s">
        <v>25</v>
      </c>
      <c r="B89" s="57">
        <v>1.5</v>
      </c>
      <c r="C89" s="50">
        <v>2</v>
      </c>
      <c r="D89" s="58">
        <v>0.15</v>
      </c>
      <c r="E89" s="50">
        <f>IF(ISNUMBER(C89), IF(ISNUMBER(D89), C89+(C89*D89), C89), "N/A")</f>
        <v>2.2999999999999998</v>
      </c>
      <c r="F89" s="70" t="s">
        <v>38</v>
      </c>
    </row>
    <row r="90" spans="1:6" x14ac:dyDescent="0.25">
      <c r="A90" s="48" t="s">
        <v>176</v>
      </c>
      <c r="B90" s="48">
        <v>1</v>
      </c>
      <c r="C90" s="48">
        <v>2</v>
      </c>
      <c r="D90" s="59">
        <v>0.2</v>
      </c>
      <c r="E90" s="48">
        <f t="shared" ref="E90:E100" si="6">IF(ISNUMBER(C90), IF(ISNUMBER(D90), C90+(C90*D90), C90), "N/A")</f>
        <v>2.4</v>
      </c>
      <c r="F90" s="70" t="s">
        <v>116</v>
      </c>
    </row>
    <row r="91" spans="1:6" x14ac:dyDescent="0.25">
      <c r="A91" s="48" t="s">
        <v>177</v>
      </c>
      <c r="B91" s="48">
        <v>0.8</v>
      </c>
      <c r="C91" s="48">
        <v>1.2</v>
      </c>
      <c r="D91" s="59">
        <v>0.15</v>
      </c>
      <c r="E91" s="48">
        <f>IF(ISNUMBER(C91), IF(ISNUMBER(D91), C91+(C91*D91), C91), "N/A")</f>
        <v>1.38</v>
      </c>
      <c r="F91" s="70" t="s">
        <v>116</v>
      </c>
    </row>
    <row r="92" spans="1:6" x14ac:dyDescent="0.25">
      <c r="A92" s="48" t="s">
        <v>23</v>
      </c>
      <c r="B92" s="48">
        <v>2</v>
      </c>
      <c r="C92" s="48">
        <v>3</v>
      </c>
      <c r="D92" s="59">
        <v>0.15</v>
      </c>
      <c r="E92" s="48">
        <f t="shared" si="6"/>
        <v>3.45</v>
      </c>
      <c r="F92" s="70" t="s">
        <v>117</v>
      </c>
    </row>
    <row r="93" spans="1:6" x14ac:dyDescent="0.25">
      <c r="A93" s="48" t="s">
        <v>24</v>
      </c>
      <c r="B93" s="48">
        <v>0</v>
      </c>
      <c r="C93" s="48">
        <v>0</v>
      </c>
      <c r="D93" s="59">
        <v>0</v>
      </c>
      <c r="E93" s="48">
        <f t="shared" si="6"/>
        <v>0</v>
      </c>
      <c r="F93" s="70" t="s">
        <v>117</v>
      </c>
    </row>
    <row r="94" spans="1:6" x14ac:dyDescent="0.25">
      <c r="A94" s="48" t="s">
        <v>26</v>
      </c>
      <c r="B94" s="48">
        <v>24</v>
      </c>
      <c r="C94" s="48">
        <v>30</v>
      </c>
      <c r="D94" s="59">
        <v>0.3</v>
      </c>
      <c r="E94" s="48">
        <f t="shared" si="6"/>
        <v>39</v>
      </c>
      <c r="F94" s="70" t="s">
        <v>208</v>
      </c>
    </row>
    <row r="95" spans="1:6" x14ac:dyDescent="0.25">
      <c r="A95" s="48" t="s">
        <v>27</v>
      </c>
      <c r="B95" s="48">
        <v>0</v>
      </c>
      <c r="C95" s="48">
        <v>0</v>
      </c>
      <c r="D95" s="59">
        <v>0</v>
      </c>
      <c r="E95" s="48">
        <f t="shared" si="6"/>
        <v>0</v>
      </c>
      <c r="F95" s="70" t="s">
        <v>208</v>
      </c>
    </row>
    <row r="96" spans="1:6" x14ac:dyDescent="0.25">
      <c r="A96" s="48" t="s">
        <v>28</v>
      </c>
      <c r="B96" s="48">
        <v>0</v>
      </c>
      <c r="C96" s="48">
        <v>0</v>
      </c>
      <c r="D96" s="59">
        <v>0</v>
      </c>
      <c r="E96" s="48">
        <f t="shared" si="6"/>
        <v>0</v>
      </c>
      <c r="F96" s="70" t="s">
        <v>208</v>
      </c>
    </row>
    <row r="97" spans="1:6" x14ac:dyDescent="0.25">
      <c r="A97" s="48" t="s">
        <v>211</v>
      </c>
      <c r="B97" s="48">
        <v>3</v>
      </c>
      <c r="C97" s="48">
        <v>4</v>
      </c>
      <c r="D97" s="59">
        <v>0.15</v>
      </c>
      <c r="E97" s="48">
        <f t="shared" si="6"/>
        <v>4.5999999999999996</v>
      </c>
      <c r="F97" s="70" t="s">
        <v>208</v>
      </c>
    </row>
    <row r="98" spans="1:6" x14ac:dyDescent="0.25">
      <c r="A98" s="48" t="s">
        <v>29</v>
      </c>
      <c r="B98" s="48">
        <v>2</v>
      </c>
      <c r="C98" s="48">
        <v>3.5</v>
      </c>
      <c r="D98" s="59">
        <v>0.15</v>
      </c>
      <c r="E98" s="48">
        <f t="shared" si="6"/>
        <v>4.0250000000000004</v>
      </c>
      <c r="F98" s="70" t="s">
        <v>117</v>
      </c>
    </row>
    <row r="99" spans="1:6" x14ac:dyDescent="0.25">
      <c r="A99" s="48" t="s">
        <v>30</v>
      </c>
      <c r="B99" s="48">
        <v>3</v>
      </c>
      <c r="C99" s="48">
        <v>5</v>
      </c>
      <c r="D99" s="59">
        <v>0.3</v>
      </c>
      <c r="E99" s="48">
        <f t="shared" si="6"/>
        <v>6.5</v>
      </c>
      <c r="F99" s="70" t="s">
        <v>208</v>
      </c>
    </row>
    <row r="100" spans="1:6" x14ac:dyDescent="0.25">
      <c r="A100" s="51" t="s">
        <v>31</v>
      </c>
      <c r="B100" s="51">
        <v>1</v>
      </c>
      <c r="C100" s="51">
        <v>1.5</v>
      </c>
      <c r="D100" s="60">
        <v>0.15</v>
      </c>
      <c r="E100" s="51">
        <f t="shared" si="6"/>
        <v>1.7250000000000001</v>
      </c>
      <c r="F100" s="70" t="s">
        <v>117</v>
      </c>
    </row>
    <row r="101" spans="1:6" x14ac:dyDescent="0.25">
      <c r="A101" s="26" t="s">
        <v>32</v>
      </c>
      <c r="B101" s="26">
        <f>SUBTOTAL(9, B89:B100)</f>
        <v>38.299999999999997</v>
      </c>
      <c r="C101" s="26">
        <f>SUBTOTAL(9, C89:C100)</f>
        <v>52.2</v>
      </c>
      <c r="D101" s="27">
        <f>IF(C101&lt;&gt;0, (E101-C101)/C101, "N/A")</f>
        <v>0.25249042145593853</v>
      </c>
      <c r="E101" s="26">
        <f>SUBTOTAL(9, E89:E100)</f>
        <v>65.38</v>
      </c>
      <c r="F101" s="26"/>
    </row>
    <row r="103" spans="1:6" x14ac:dyDescent="0.25">
      <c r="A103" s="157" t="s">
        <v>194</v>
      </c>
      <c r="B103" s="157"/>
      <c r="C103" s="157"/>
      <c r="D103" s="157"/>
      <c r="E103" s="157"/>
    </row>
    <row r="104" spans="1:6" x14ac:dyDescent="0.25">
      <c r="A104" s="15" t="s">
        <v>80</v>
      </c>
      <c r="B104" s="15" t="s">
        <v>66</v>
      </c>
      <c r="C104" s="15" t="s">
        <v>67</v>
      </c>
      <c r="D104" s="15" t="s">
        <v>68</v>
      </c>
      <c r="E104" s="15" t="s">
        <v>69</v>
      </c>
      <c r="F104" s="15"/>
    </row>
    <row r="105" spans="1:6" x14ac:dyDescent="0.25">
      <c r="A105" s="50" t="s">
        <v>25</v>
      </c>
      <c r="B105" s="57"/>
      <c r="C105" s="50"/>
      <c r="D105" s="58"/>
      <c r="E105" s="50" t="str">
        <f>IF(ISNUMBER(C105), IF(ISNUMBER(D105), C105+(C105*D105), C105), "N/A")</f>
        <v>N/A</v>
      </c>
      <c r="F105" s="70" t="s">
        <v>38</v>
      </c>
    </row>
    <row r="106" spans="1:6" x14ac:dyDescent="0.25">
      <c r="A106" s="48" t="s">
        <v>176</v>
      </c>
      <c r="B106" s="48"/>
      <c r="C106" s="48"/>
      <c r="D106" s="59"/>
      <c r="E106" s="48" t="str">
        <f t="shared" ref="E106" si="7">IF(ISNUMBER(C106), IF(ISNUMBER(D106), C106+(C106*D106), C106), "N/A")</f>
        <v>N/A</v>
      </c>
      <c r="F106" s="70" t="s">
        <v>116</v>
      </c>
    </row>
    <row r="107" spans="1:6" x14ac:dyDescent="0.25">
      <c r="A107" s="48" t="s">
        <v>177</v>
      </c>
      <c r="B107" s="48"/>
      <c r="C107" s="48"/>
      <c r="D107" s="59"/>
      <c r="E107" s="48" t="str">
        <f>IF(ISNUMBER(C107), IF(ISNUMBER(D107), C107+(C107*D107), C107), "N/A")</f>
        <v>N/A</v>
      </c>
      <c r="F107" s="70" t="s">
        <v>116</v>
      </c>
    </row>
    <row r="108" spans="1:6" x14ac:dyDescent="0.25">
      <c r="A108" s="48" t="s">
        <v>23</v>
      </c>
      <c r="B108" s="48"/>
      <c r="C108" s="48"/>
      <c r="D108" s="59"/>
      <c r="E108" s="48" t="str">
        <f t="shared" ref="E108:E116" si="8">IF(ISNUMBER(C108), IF(ISNUMBER(D108), C108+(C108*D108), C108), "N/A")</f>
        <v>N/A</v>
      </c>
      <c r="F108" s="70" t="s">
        <v>117</v>
      </c>
    </row>
    <row r="109" spans="1:6" x14ac:dyDescent="0.25">
      <c r="A109" s="48" t="s">
        <v>24</v>
      </c>
      <c r="B109" s="48"/>
      <c r="C109" s="48"/>
      <c r="D109" s="59"/>
      <c r="E109" s="48" t="str">
        <f t="shared" si="8"/>
        <v>N/A</v>
      </c>
      <c r="F109" s="70" t="s">
        <v>117</v>
      </c>
    </row>
    <row r="110" spans="1:6" x14ac:dyDescent="0.25">
      <c r="A110" s="48" t="s">
        <v>26</v>
      </c>
      <c r="B110" s="48"/>
      <c r="C110" s="48"/>
      <c r="D110" s="59"/>
      <c r="E110" s="48" t="str">
        <f t="shared" si="8"/>
        <v>N/A</v>
      </c>
      <c r="F110" s="70" t="s">
        <v>208</v>
      </c>
    </row>
    <row r="111" spans="1:6" x14ac:dyDescent="0.25">
      <c r="A111" s="48" t="s">
        <v>27</v>
      </c>
      <c r="B111" s="48"/>
      <c r="C111" s="48"/>
      <c r="D111" s="59"/>
      <c r="E111" s="48" t="str">
        <f t="shared" si="8"/>
        <v>N/A</v>
      </c>
      <c r="F111" s="70" t="s">
        <v>208</v>
      </c>
    </row>
    <row r="112" spans="1:6" x14ac:dyDescent="0.25">
      <c r="A112" s="48" t="s">
        <v>28</v>
      </c>
      <c r="B112" s="48"/>
      <c r="C112" s="48"/>
      <c r="D112" s="59"/>
      <c r="E112" s="48" t="str">
        <f t="shared" si="8"/>
        <v>N/A</v>
      </c>
      <c r="F112" s="70" t="s">
        <v>208</v>
      </c>
    </row>
    <row r="113" spans="1:6" x14ac:dyDescent="0.25">
      <c r="A113" s="48" t="s">
        <v>211</v>
      </c>
      <c r="B113" s="48"/>
      <c r="C113" s="48"/>
      <c r="D113" s="59"/>
      <c r="E113" s="48" t="str">
        <f t="shared" si="8"/>
        <v>N/A</v>
      </c>
      <c r="F113" s="70" t="s">
        <v>208</v>
      </c>
    </row>
    <row r="114" spans="1:6" x14ac:dyDescent="0.25">
      <c r="A114" s="48" t="s">
        <v>29</v>
      </c>
      <c r="B114" s="48"/>
      <c r="C114" s="48"/>
      <c r="D114" s="59"/>
      <c r="E114" s="48" t="str">
        <f t="shared" si="8"/>
        <v>N/A</v>
      </c>
      <c r="F114" s="70" t="s">
        <v>117</v>
      </c>
    </row>
    <row r="115" spans="1:6" x14ac:dyDescent="0.25">
      <c r="A115" s="48" t="s">
        <v>30</v>
      </c>
      <c r="B115" s="48"/>
      <c r="C115" s="48"/>
      <c r="D115" s="59"/>
      <c r="E115" s="48" t="str">
        <f t="shared" si="8"/>
        <v>N/A</v>
      </c>
      <c r="F115" s="70" t="s">
        <v>208</v>
      </c>
    </row>
    <row r="116" spans="1:6" x14ac:dyDescent="0.25">
      <c r="A116" s="51" t="s">
        <v>31</v>
      </c>
      <c r="B116" s="51"/>
      <c r="C116" s="51"/>
      <c r="D116" s="60"/>
      <c r="E116" s="51" t="str">
        <f t="shared" si="8"/>
        <v>N/A</v>
      </c>
      <c r="F116" s="70" t="s">
        <v>117</v>
      </c>
    </row>
    <row r="117" spans="1:6" x14ac:dyDescent="0.25">
      <c r="A117" s="26" t="s">
        <v>32</v>
      </c>
      <c r="B117" s="26">
        <f>SUBTOTAL(9, B105:B116)</f>
        <v>0</v>
      </c>
      <c r="C117" s="26">
        <f>SUBTOTAL(9, C105:C116)</f>
        <v>0</v>
      </c>
      <c r="D117" s="27" t="str">
        <f>IF(C117&lt;&gt;0, (E117-C117)/C117, "N/A")</f>
        <v>N/A</v>
      </c>
      <c r="E117" s="26">
        <f>SUBTOTAL(9, E105:E116)</f>
        <v>0</v>
      </c>
      <c r="F117" s="26"/>
    </row>
    <row r="119" spans="1:6" hidden="1" x14ac:dyDescent="0.25">
      <c r="A119" s="72" t="s">
        <v>195</v>
      </c>
      <c r="B119" t="str">
        <f>"$B$" &amp; (ROW(XXS_TopLeft) + 1) &amp; ":$B$" &amp; (ROW(XXS_Min) - 1)</f>
        <v>$B$8:$B$19</v>
      </c>
      <c r="C119" t="str">
        <f>"$C$" &amp; (ROW(XXS_TopLeft) + 1) &amp; ":$C$" &amp; (ROW(XXS_Min) - 1)</f>
        <v>$C$8:$C$19</v>
      </c>
      <c r="E119" t="str">
        <f>"$E$" &amp; (ROW(XXS_TopLeft) + 1) &amp; ":$E$" &amp; (ROW(XXS_Min) - 1)</f>
        <v>$E$8:$E$19</v>
      </c>
      <c r="F119" t="str">
        <f>"$F$" &amp; (ROW(XXS_TopLeft) + 1) &amp; ":$F$" &amp; (ROW(XXS_Min) - 1)</f>
        <v>$F$8:$F$19</v>
      </c>
    </row>
    <row r="120" spans="1:6" hidden="1" x14ac:dyDescent="0.25">
      <c r="A120" s="72" t="s">
        <v>196</v>
      </c>
      <c r="B120">
        <f ca="1">SUMIF(INDIRECT($F$119), "S", INDIRECT(B$119))</f>
        <v>0.1</v>
      </c>
      <c r="C120">
        <f ca="1">SUMIF(INDIRECT($F$119), "S", INDIRECT(C$119))</f>
        <v>0.15</v>
      </c>
      <c r="E120">
        <f ca="1">SUMIF(INDIRECT($F$119), "S", INDIRECT(E$119))</f>
        <v>0.16499999999999998</v>
      </c>
      <c r="F120">
        <f ca="1">(B120+4*C120+E120)/6</f>
        <v>0.14416666666666667</v>
      </c>
    </row>
    <row r="121" spans="1:6" hidden="1" x14ac:dyDescent="0.25">
      <c r="A121" s="72" t="s">
        <v>197</v>
      </c>
      <c r="B121">
        <f ca="1">SUMIF(INDIRECT($F$119), "D", INDIRECT(B$119))</f>
        <v>0.3</v>
      </c>
      <c r="C121">
        <f ca="1">SUMIF(INDIRECT($F$119), "D", INDIRECT(C$119))</f>
        <v>0.5</v>
      </c>
      <c r="E121">
        <f ca="1">SUMIF(INDIRECT($F$119), "D", INDIRECT(E$119))</f>
        <v>0.55000000000000004</v>
      </c>
      <c r="F121">
        <f ca="1">(B121+4*C121+E121)/6</f>
        <v>0.47499999999999992</v>
      </c>
    </row>
    <row r="122" spans="1:6" hidden="1" x14ac:dyDescent="0.25">
      <c r="A122" s="72" t="s">
        <v>198</v>
      </c>
      <c r="B122">
        <f ca="1">SUMIF(INDIRECT($F$119), "B", INDIRECT(B$119))</f>
        <v>0.8</v>
      </c>
      <c r="C122">
        <f ca="1">SUMIF(INDIRECT($F$119), "B", INDIRECT(C$119))</f>
        <v>1.2</v>
      </c>
      <c r="E122">
        <f ca="1">SUMIF(INDIRECT($F$119), "B", INDIRECT(E$119))</f>
        <v>1.32</v>
      </c>
      <c r="F122">
        <f ca="1">(B122+4*C122+E122)/6</f>
        <v>1.1533333333333333</v>
      </c>
    </row>
    <row r="123" spans="1:6" hidden="1" x14ac:dyDescent="0.25">
      <c r="A123" s="72" t="s">
        <v>199</v>
      </c>
      <c r="B123">
        <f ca="1">SUMIF(INDIRECT($F$119), "T", INDIRECT(B$119))</f>
        <v>0.4</v>
      </c>
      <c r="C123">
        <f ca="1">SUMIF(INDIRECT($F$119), "T", INDIRECT(C$119))</f>
        <v>0.55000000000000004</v>
      </c>
      <c r="E123">
        <f ca="1">SUMIF(INDIRECT($F$119), "T", INDIRECT(E$119))</f>
        <v>0.60499999999999998</v>
      </c>
      <c r="F123">
        <f ca="1">(B123+4*C123+E123)/6</f>
        <v>0.53416666666666668</v>
      </c>
    </row>
    <row r="124" spans="1:6" hidden="1" x14ac:dyDescent="0.25">
      <c r="A124" s="72" t="s">
        <v>128</v>
      </c>
      <c r="B124" t="str">
        <f>"$B$" &amp; (ROW(XS_TopLeft) + 1) &amp; ":$B$" &amp; (ROW(XS_Min) - 1)</f>
        <v>$B$25:$B$36</v>
      </c>
      <c r="C124" t="str">
        <f>"$C$" &amp; (ROW(XS_TopLeft) + 1) &amp; ":$C$" &amp; (ROW(XS_Min) - 1)</f>
        <v>$C$25:$C$36</v>
      </c>
      <c r="E124" t="str">
        <f>"$E$" &amp; (ROW(XS_TopLeft) + 1) &amp; ":$E$" &amp; (ROW(XS_Min) - 1)</f>
        <v>$E$25:$E$36</v>
      </c>
      <c r="F124" t="str">
        <f>"$F$" &amp; (ROW(XS_TopLeft) + 1) &amp; ":$F$" &amp; (ROW(XS_Min) - 1)</f>
        <v>$F$25:$F$36</v>
      </c>
    </row>
    <row r="125" spans="1:6" hidden="1" x14ac:dyDescent="0.25">
      <c r="A125" s="72" t="s">
        <v>120</v>
      </c>
      <c r="B125">
        <f ca="1">SUMIF(INDIRECT($F$124), "S", INDIRECT(B$124))</f>
        <v>0.2</v>
      </c>
      <c r="C125">
        <f ca="1">SUMIF(INDIRECT($F$124), "S", INDIRECT(C$124))</f>
        <v>0.3</v>
      </c>
      <c r="E125">
        <f ca="1">SUMIF(INDIRECT($F$124), "S", INDIRECT(E$124))</f>
        <v>0.32999999999999996</v>
      </c>
      <c r="F125">
        <f ca="1">(B125+4*C125+E125)/6</f>
        <v>0.28833333333333333</v>
      </c>
    </row>
    <row r="126" spans="1:6" hidden="1" x14ac:dyDescent="0.25">
      <c r="A126" s="72" t="s">
        <v>121</v>
      </c>
      <c r="B126">
        <f ca="1">SUMIF(INDIRECT($F$124), "D", INDIRECT(B$124))</f>
        <v>0.4</v>
      </c>
      <c r="C126">
        <f ca="1">SUMIF(INDIRECT($F$124), "D", INDIRECT(C$124))</f>
        <v>0.6</v>
      </c>
      <c r="E126">
        <f ca="1">SUMIF(INDIRECT($F$124), "D", INDIRECT(E$124))</f>
        <v>0.65999999999999992</v>
      </c>
      <c r="F126">
        <f ca="1">(B126+4*C126+E126)/6</f>
        <v>0.57666666666666666</v>
      </c>
    </row>
    <row r="127" spans="1:6" hidden="1" x14ac:dyDescent="0.25">
      <c r="A127" s="72" t="s">
        <v>122</v>
      </c>
      <c r="B127">
        <f ca="1">SUMIF(INDIRECT($F$124), "B", INDIRECT(B$124))</f>
        <v>1.9</v>
      </c>
      <c r="C127">
        <f ca="1">SUMIF(INDIRECT($F$124), "B", INDIRECT(C$124))</f>
        <v>2.5999999999999996</v>
      </c>
      <c r="E127">
        <f ca="1">SUMIF(INDIRECT($F$124), "B", INDIRECT(E$124))</f>
        <v>2.96</v>
      </c>
      <c r="F127">
        <f ca="1">(B127+4*C127+E127)/6</f>
        <v>2.543333333333333</v>
      </c>
    </row>
    <row r="128" spans="1:6" hidden="1" x14ac:dyDescent="0.25">
      <c r="A128" s="72" t="s">
        <v>123</v>
      </c>
      <c r="B128">
        <f ca="1">SUMIF(INDIRECT($F$124), "T", INDIRECT(B$124))</f>
        <v>0.55000000000000004</v>
      </c>
      <c r="C128">
        <f ca="1">SUMIF(INDIRECT($F$124), "T", INDIRECT(C$124))</f>
        <v>0.8</v>
      </c>
      <c r="E128">
        <f ca="1">SUMIF(INDIRECT($F$124), "T", INDIRECT(E$124))</f>
        <v>0.87999999999999989</v>
      </c>
      <c r="F128">
        <f ca="1">(B128+4*C128+E128)/6</f>
        <v>0.77166666666666661</v>
      </c>
    </row>
    <row r="129" spans="1:6" hidden="1" x14ac:dyDescent="0.25">
      <c r="A129" s="72" t="s">
        <v>129</v>
      </c>
      <c r="B129" t="str">
        <f>"$B$" &amp; (ROW(S_TopLeft) + 1) &amp; ":$B$" &amp; (ROW(S_Min) - 1)</f>
        <v>$B$41:$B$52</v>
      </c>
      <c r="C129" t="str">
        <f>"$C$" &amp; (ROW(S_TopLeft) + 1) &amp; ":$C$" &amp; (ROW(S_Min) - 1)</f>
        <v>$C$41:$C$52</v>
      </c>
      <c r="E129" t="str">
        <f>"$E$" &amp; (ROW(S_TopLeft) + 1) &amp; ":$E$" &amp; (ROW(S_Min) - 1)</f>
        <v>$E$41:$E$52</v>
      </c>
      <c r="F129" t="str">
        <f>"$F$" &amp; (ROW(S_TopLeft) + 1) &amp; ":$F$" &amp; (ROW(S_Min) - 1)</f>
        <v>$F$41:$F$52</v>
      </c>
    </row>
    <row r="130" spans="1:6" hidden="1" x14ac:dyDescent="0.25">
      <c r="A130" s="72" t="s">
        <v>124</v>
      </c>
      <c r="B130">
        <f ca="1">SUMIF(INDIRECT($F$129), "S", INDIRECT(B$129))</f>
        <v>0.25</v>
      </c>
      <c r="C130">
        <f ca="1">SUMIF(INDIRECT($F$129), "S", INDIRECT(C$129))</f>
        <v>0.35</v>
      </c>
      <c r="E130">
        <f ca="1">SUMIF(INDIRECT($F$129), "S", INDIRECT(E$129))</f>
        <v>0.40249999999999997</v>
      </c>
      <c r="F130">
        <f ca="1">(B130+4*C130+E130)/6</f>
        <v>0.34208333333333329</v>
      </c>
    </row>
    <row r="131" spans="1:6" hidden="1" x14ac:dyDescent="0.25">
      <c r="A131" s="72" t="s">
        <v>125</v>
      </c>
      <c r="B131">
        <f ca="1">SUMIF(INDIRECT($F$129), "D", INDIRECT(B$129))</f>
        <v>0.8</v>
      </c>
      <c r="C131">
        <f ca="1">SUMIF(INDIRECT($F$129), "D", INDIRECT(C$129))</f>
        <v>1.0499999999999998</v>
      </c>
      <c r="E131">
        <f ca="1">SUMIF(INDIRECT($F$129), "D", INDIRECT(E$129))</f>
        <v>1.19</v>
      </c>
      <c r="F131">
        <f ca="1">(B131+4*C131+E131)/6</f>
        <v>1.0316666666666665</v>
      </c>
    </row>
    <row r="132" spans="1:6" hidden="1" x14ac:dyDescent="0.25">
      <c r="A132" s="72" t="s">
        <v>126</v>
      </c>
      <c r="B132">
        <f ca="1">SUMIF(INDIRECT($F$129), "B", INDIRECT(B$129))</f>
        <v>5</v>
      </c>
      <c r="C132">
        <f ca="1">SUMIF(INDIRECT($F$129), "B", INDIRECT(C$129))</f>
        <v>6.7</v>
      </c>
      <c r="E132">
        <f ca="1">SUMIF(INDIRECT($F$129), "B", INDIRECT(E$129))</f>
        <v>7.67</v>
      </c>
      <c r="F132">
        <f ca="1">(B132+4*C132+E132)/6</f>
        <v>6.5783333333333331</v>
      </c>
    </row>
    <row r="133" spans="1:6" hidden="1" x14ac:dyDescent="0.25">
      <c r="A133" s="72" t="s">
        <v>127</v>
      </c>
      <c r="B133">
        <f ca="1">SUMIF(INDIRECT($F$129), "T", INDIRECT(B$129))</f>
        <v>1.2</v>
      </c>
      <c r="C133">
        <f ca="1">SUMIF(INDIRECT($F$129), "T", INDIRECT(C$129))</f>
        <v>2</v>
      </c>
      <c r="E133">
        <f ca="1">SUMIF(INDIRECT($F$129), "T", INDIRECT(E$129))</f>
        <v>2.25</v>
      </c>
      <c r="F133">
        <f ca="1">(B133+4*C133+E133)/6</f>
        <v>1.9083333333333332</v>
      </c>
    </row>
    <row r="134" spans="1:6" hidden="1" x14ac:dyDescent="0.25">
      <c r="A134" s="72" t="s">
        <v>134</v>
      </c>
      <c r="B134" t="str">
        <f>"$B$" &amp; (ROW(M_TopLeft) + 1) &amp; ":$B$" &amp; (ROW(M_Min) - 1)</f>
        <v>$B$57:$B$68</v>
      </c>
      <c r="C134" t="str">
        <f>"$C$" &amp; (ROW(M_TopLeft) + 1) &amp; ":$C$" &amp; (ROW(M_Min) - 1)</f>
        <v>$C$57:$C$68</v>
      </c>
      <c r="E134" t="str">
        <f>"$E$" &amp; (ROW(M_TopLeft) + 1) &amp; ":$E$" &amp; (ROW(M_Min) - 1)</f>
        <v>$E$57:$E$68</v>
      </c>
      <c r="F134" t="str">
        <f>"$F$" &amp; (ROW(M_TopLeft) + 1) &amp; ":$F$" &amp; (ROW(M_Min) - 1)</f>
        <v>$F$57:$F$68</v>
      </c>
    </row>
    <row r="135" spans="1:6" hidden="1" x14ac:dyDescent="0.25">
      <c r="A135" s="72" t="s">
        <v>130</v>
      </c>
      <c r="B135">
        <f ca="1">SUMIF(INDIRECT($F$134), "S", INDIRECT(B$134))</f>
        <v>0.5</v>
      </c>
      <c r="C135">
        <f ca="1">SUMIF(INDIRECT($F$134), "S", INDIRECT(C$134))</f>
        <v>0.8</v>
      </c>
      <c r="E135">
        <f ca="1">SUMIF(INDIRECT($F$134), "S", INDIRECT(E$134))</f>
        <v>0.92</v>
      </c>
      <c r="F135">
        <f ca="1">(B135+4*C135+E135)/6</f>
        <v>0.77</v>
      </c>
    </row>
    <row r="136" spans="1:6" hidden="1" x14ac:dyDescent="0.25">
      <c r="A136" s="72" t="s">
        <v>131</v>
      </c>
      <c r="B136">
        <f ca="1">SUMIF(INDIRECT($F$134), "D", INDIRECT(B$134))</f>
        <v>0.9</v>
      </c>
      <c r="C136">
        <f ca="1">SUMIF(INDIRECT($F$134), "D", INDIRECT(C$134))</f>
        <v>1.5</v>
      </c>
      <c r="E136">
        <f ca="1">SUMIF(INDIRECT($F$134), "D", INDIRECT(E$134))</f>
        <v>1.7249999999999999</v>
      </c>
      <c r="F136">
        <f ca="1">(B136+4*C136+E136)/6</f>
        <v>1.4375</v>
      </c>
    </row>
    <row r="137" spans="1:6" hidden="1" x14ac:dyDescent="0.25">
      <c r="A137" s="72" t="s">
        <v>132</v>
      </c>
      <c r="B137">
        <f ca="1">SUMIF(INDIRECT($F$134), "B", INDIRECT(B$134))</f>
        <v>9.8000000000000007</v>
      </c>
      <c r="C137">
        <f ca="1">SUMIF(INDIRECT($F$134), "B", INDIRECT(C$134))</f>
        <v>14.7</v>
      </c>
      <c r="E137">
        <f ca="1">SUMIF(INDIRECT($F$134), "B", INDIRECT(E$134))</f>
        <v>17.504999999999999</v>
      </c>
      <c r="F137">
        <f ca="1">(B137+4*C137+E137)/6</f>
        <v>14.350833333333332</v>
      </c>
    </row>
    <row r="138" spans="1:6" hidden="1" x14ac:dyDescent="0.25">
      <c r="A138" s="72" t="s">
        <v>133</v>
      </c>
      <c r="B138">
        <f ca="1">SUMIF(INDIRECT($F$134), "T", INDIRECT(B$134))</f>
        <v>2.1</v>
      </c>
      <c r="C138">
        <f ca="1">SUMIF(INDIRECT($F$134), "T", INDIRECT(C$134))</f>
        <v>3</v>
      </c>
      <c r="E138">
        <f ca="1">SUMIF(INDIRECT($F$134), "T", INDIRECT(E$134))</f>
        <v>3.375</v>
      </c>
      <c r="F138">
        <f ca="1">(B138+4*C138+E138)/6</f>
        <v>2.9125000000000001</v>
      </c>
    </row>
    <row r="139" spans="1:6" hidden="1" x14ac:dyDescent="0.25">
      <c r="A139" s="72" t="s">
        <v>135</v>
      </c>
      <c r="B139" t="str">
        <f>"$B$" &amp; (ROW(L_TopLeft) + 1) &amp; ":$B$" &amp; (ROW(L_Min) - 1)</f>
        <v>$B$73:$B$84</v>
      </c>
      <c r="C139" t="str">
        <f>"$C$" &amp; (ROW(L_TopLeft) + 1) &amp; ":$C$" &amp; (ROW(L_Min) - 1)</f>
        <v>$C$73:$C$84</v>
      </c>
      <c r="E139" t="str">
        <f>"$E$" &amp; (ROW(L_TopLeft) + 1) &amp; ":$E$" &amp; (ROW(L_Min) - 1)</f>
        <v>$E$73:$E$84</v>
      </c>
      <c r="F139" t="str">
        <f>"$F$" &amp; (ROW(L_TopLeft) + 1) &amp; ":$F$" &amp; (ROW(L_Min) - 1)</f>
        <v>$F$73:$F$84</v>
      </c>
    </row>
    <row r="140" spans="1:6" hidden="1" x14ac:dyDescent="0.25">
      <c r="A140" s="72" t="s">
        <v>136</v>
      </c>
      <c r="B140">
        <f ca="1">SUMIF(INDIRECT($F$139), "S", INDIRECT(B$139))</f>
        <v>0.8</v>
      </c>
      <c r="C140">
        <f ca="1">SUMIF(INDIRECT($F$139), "S", INDIRECT(C$139))</f>
        <v>1</v>
      </c>
      <c r="E140">
        <f ca="1">SUMIF(INDIRECT($F$139), "S", INDIRECT(E$139))</f>
        <v>1.1499999999999999</v>
      </c>
      <c r="F140">
        <f ca="1">(B140+4*C140+E140)/6</f>
        <v>0.99166666666666659</v>
      </c>
    </row>
    <row r="141" spans="1:6" hidden="1" x14ac:dyDescent="0.25">
      <c r="A141" s="72" t="s">
        <v>137</v>
      </c>
      <c r="B141">
        <f ca="1">SUMIF(INDIRECT($F$139), "D", INDIRECT(B$139))</f>
        <v>1</v>
      </c>
      <c r="C141">
        <f ca="1">SUMIF(INDIRECT($F$139), "D", INDIRECT(C$139))</f>
        <v>1.9</v>
      </c>
      <c r="E141">
        <f ca="1">SUMIF(INDIRECT($F$139), "D", INDIRECT(E$139))</f>
        <v>2.1849999999999996</v>
      </c>
      <c r="F141">
        <f ca="1">(B141+4*C141+E141)/6</f>
        <v>1.7975000000000001</v>
      </c>
    </row>
    <row r="142" spans="1:6" hidden="1" x14ac:dyDescent="0.25">
      <c r="A142" s="72" t="s">
        <v>138</v>
      </c>
      <c r="B142">
        <f ca="1">SUMIF(INDIRECT($F$139), "B", INDIRECT(B$139))</f>
        <v>17.2</v>
      </c>
      <c r="C142">
        <f ca="1">SUMIF(INDIRECT($F$139), "B", INDIRECT(C$139))</f>
        <v>25</v>
      </c>
      <c r="E142">
        <f ca="1">SUMIF(INDIRECT($F$139), "B", INDIRECT(E$139))</f>
        <v>31.95</v>
      </c>
      <c r="F142">
        <f ca="1">(B142+4*C142+E142)/6</f>
        <v>24.858333333333334</v>
      </c>
    </row>
    <row r="143" spans="1:6" hidden="1" x14ac:dyDescent="0.25">
      <c r="A143" s="72" t="s">
        <v>139</v>
      </c>
      <c r="B143">
        <f ca="1">SUMIF(INDIRECT($F$139), "T", INDIRECT(B$139))</f>
        <v>3.7</v>
      </c>
      <c r="C143">
        <f ca="1">SUMIF(INDIRECT($F$139), "T", INDIRECT(C$139))</f>
        <v>6</v>
      </c>
      <c r="E143">
        <f ca="1">SUMIF(INDIRECT($F$139), "T", INDIRECT(E$139))</f>
        <v>6.9</v>
      </c>
      <c r="F143">
        <f ca="1">(B143+4*C143+E143)/6</f>
        <v>5.7666666666666666</v>
      </c>
    </row>
    <row r="144" spans="1:6" hidden="1" x14ac:dyDescent="0.25">
      <c r="A144" s="72" t="s">
        <v>140</v>
      </c>
      <c r="B144" t="str">
        <f>"$B$" &amp; (ROW(XL_TopLeft) + 1) &amp; ":$B$" &amp; (ROW(XL_Min) - 1)</f>
        <v>$B$89:$B$100</v>
      </c>
      <c r="C144" t="str">
        <f>"$C$" &amp; (ROW(XL_TopLeft) + 1) &amp; ":$C$" &amp; (ROW(XL_Min) - 1)</f>
        <v>$C$89:$C$100</v>
      </c>
      <c r="E144" t="str">
        <f>"$E$" &amp; (ROW(XL_TopLeft) + 1) &amp; ":$E$" &amp; (ROW(XL_Min) - 1)</f>
        <v>$E$89:$E$100</v>
      </c>
      <c r="F144" t="str">
        <f>"$F$" &amp; (ROW(XL_TopLeft) + 1) &amp; ":$F$" &amp; (ROW(XL_Min) - 1)</f>
        <v>$F$89:$F$100</v>
      </c>
    </row>
    <row r="145" spans="1:8" hidden="1" x14ac:dyDescent="0.25">
      <c r="A145" s="72" t="s">
        <v>141</v>
      </c>
      <c r="B145">
        <f ca="1">SUMIF(INDIRECT($F$144), "S", INDIRECT(B$144))</f>
        <v>1.5</v>
      </c>
      <c r="C145">
        <f ca="1">SUMIF(INDIRECT($F$144), "S", INDIRECT(C$144))</f>
        <v>2</v>
      </c>
      <c r="E145">
        <f ca="1">SUMIF(INDIRECT($F$144), "S", INDIRECT(E$144))</f>
        <v>2.2999999999999998</v>
      </c>
      <c r="F145">
        <f ca="1">(B145+4*C145+E145)/6</f>
        <v>1.9666666666666668</v>
      </c>
    </row>
    <row r="146" spans="1:8" hidden="1" x14ac:dyDescent="0.25">
      <c r="A146" s="72" t="s">
        <v>142</v>
      </c>
      <c r="B146">
        <f ca="1">SUMIF(INDIRECT($F$144), "D", INDIRECT(B$144))</f>
        <v>1.8</v>
      </c>
      <c r="C146">
        <f ca="1">SUMIF(INDIRECT($F$144), "D", INDIRECT(C$144))</f>
        <v>3.2</v>
      </c>
      <c r="E146">
        <f ca="1">SUMIF(INDIRECT($F$144), "D", INDIRECT(E$144))</f>
        <v>3.78</v>
      </c>
      <c r="F146">
        <f ca="1">(B146+4*C146+E146)/6</f>
        <v>3.0633333333333339</v>
      </c>
    </row>
    <row r="147" spans="1:8" hidden="1" x14ac:dyDescent="0.25">
      <c r="A147" s="72" t="s">
        <v>143</v>
      </c>
      <c r="B147">
        <f ca="1">SUMIF(INDIRECT($F$144), "B", INDIRECT(B$144))</f>
        <v>30</v>
      </c>
      <c r="C147">
        <f ca="1">SUMIF(INDIRECT($F$144), "B", INDIRECT(C$144))</f>
        <v>39</v>
      </c>
      <c r="E147">
        <f ca="1">SUMIF(INDIRECT($F$144), "B", INDIRECT(E$144))</f>
        <v>50.1</v>
      </c>
      <c r="F147">
        <f ca="1">(B147+4*C147+E147)/6</f>
        <v>39.35</v>
      </c>
    </row>
    <row r="148" spans="1:8" hidden="1" x14ac:dyDescent="0.25">
      <c r="A148" s="72" t="s">
        <v>144</v>
      </c>
      <c r="B148">
        <f ca="1">SUMIF(INDIRECT($F$144), "T", INDIRECT(B$144))</f>
        <v>5</v>
      </c>
      <c r="C148">
        <f ca="1">SUMIF(INDIRECT($F$144), "T", INDIRECT(C$144))</f>
        <v>8</v>
      </c>
      <c r="E148">
        <f ca="1">SUMIF(INDIRECT($F$144), "T", INDIRECT(E$144))</f>
        <v>9.2000000000000011</v>
      </c>
      <c r="F148">
        <f ca="1">(B148+4*C148+E148)/6</f>
        <v>7.7</v>
      </c>
    </row>
    <row r="149" spans="1:8" hidden="1" x14ac:dyDescent="0.25">
      <c r="A149" s="72" t="s">
        <v>201</v>
      </c>
      <c r="B149" t="str">
        <f>"$B$" &amp; (ROW(XXL_TopLeft) + 1) &amp; ":$B$" &amp; (ROW(XXL_Min) - 1)</f>
        <v>$B$105:$B$116</v>
      </c>
      <c r="C149" t="str">
        <f>"$C$" &amp; (ROW(XXL_TopLeft) + 1) &amp; ":$C$" &amp; (ROW(XXL_Min) - 1)</f>
        <v>$C$105:$C$116</v>
      </c>
      <c r="E149" t="str">
        <f>"$E$" &amp; (ROW(XXL_TopLeft) + 1) &amp; ":$E$" &amp; (ROW(XXL_Min) - 1)</f>
        <v>$E$105:$E$116</v>
      </c>
      <c r="F149" t="str">
        <f>"$F$" &amp; (ROW(XXL_TopLeft) + 1) &amp; ":$F$" &amp; (ROW(XXL_Min) - 1)</f>
        <v>$F$105:$F$116</v>
      </c>
    </row>
    <row r="150" spans="1:8" hidden="1" x14ac:dyDescent="0.25">
      <c r="A150" s="72" t="s">
        <v>202</v>
      </c>
      <c r="B150">
        <f ca="1">SUMIF(INDIRECT($F$149), "S", INDIRECT(B$149))</f>
        <v>0</v>
      </c>
      <c r="C150">
        <f ca="1">SUMIF(INDIRECT($F$149), "S", INDIRECT(C$149))</f>
        <v>0</v>
      </c>
      <c r="E150">
        <f ca="1">SUMIF(INDIRECT($F$149), "S", INDIRECT(E$149))</f>
        <v>0</v>
      </c>
      <c r="F150">
        <f ca="1">(B150+4*C150+E150)/6</f>
        <v>0</v>
      </c>
    </row>
    <row r="151" spans="1:8" hidden="1" x14ac:dyDescent="0.25">
      <c r="A151" s="72" t="s">
        <v>203</v>
      </c>
      <c r="B151">
        <f ca="1">SUMIF(INDIRECT($F$149), "D", INDIRECT(B$149))</f>
        <v>0</v>
      </c>
      <c r="C151">
        <f ca="1">SUMIF(INDIRECT($F$149), "D", INDIRECT(C$149))</f>
        <v>0</v>
      </c>
      <c r="E151">
        <f ca="1">SUMIF(INDIRECT($F$149), "D", INDIRECT(E$149))</f>
        <v>0</v>
      </c>
      <c r="F151">
        <f ca="1">(B151+4*C151+E151)/6</f>
        <v>0</v>
      </c>
    </row>
    <row r="152" spans="1:8" hidden="1" x14ac:dyDescent="0.25">
      <c r="A152" s="72" t="s">
        <v>204</v>
      </c>
      <c r="B152">
        <f ca="1">SUMIF(INDIRECT($F$149), "B", INDIRECT(B$149))</f>
        <v>0</v>
      </c>
      <c r="C152">
        <f ca="1">SUMIF(INDIRECT($F$149), "B", INDIRECT(C$149))</f>
        <v>0</v>
      </c>
      <c r="E152">
        <f ca="1">SUMIF(INDIRECT($F$149), "B", INDIRECT(E$149))</f>
        <v>0</v>
      </c>
      <c r="F152">
        <f ca="1">(B152+4*C152+E152)/6</f>
        <v>0</v>
      </c>
    </row>
    <row r="153" spans="1:8" hidden="1" x14ac:dyDescent="0.25">
      <c r="A153" s="72" t="s">
        <v>205</v>
      </c>
      <c r="B153">
        <f ca="1">SUMIF(INDIRECT($F$149), "T", INDIRECT(B$149))</f>
        <v>0</v>
      </c>
      <c r="C153">
        <f ca="1">SUMIF(INDIRECT($F$149), "T", INDIRECT(C$149))</f>
        <v>0</v>
      </c>
      <c r="E153">
        <f ca="1">SUMIF(INDIRECT($F$149), "T", INDIRECT(E$149))</f>
        <v>0</v>
      </c>
      <c r="F153">
        <f ca="1">(B153+4*C153+E153)/6</f>
        <v>0</v>
      </c>
    </row>
    <row r="154" spans="1:8" hidden="1" x14ac:dyDescent="0.25">
      <c r="A154" s="72"/>
      <c r="B154">
        <f>(XS_Min + 4*XS_Likely + XS_Max)/6</f>
        <v>4.18</v>
      </c>
      <c r="C154">
        <f>(S_Min + 4*S_Likely + S_Max)/6</f>
        <v>9.8604166666666675</v>
      </c>
      <c r="D154">
        <f>(M_Min + 4*M_Likely + M_Max)/6</f>
        <v>19.470833333333331</v>
      </c>
      <c r="E154">
        <f>(L_Min + 4*L_Likely + L_Max)/6</f>
        <v>33.414166666666667</v>
      </c>
      <c r="F154">
        <f>(XL_Min + 4*XL_Likely + XL_Max)/6</f>
        <v>52.080000000000005</v>
      </c>
      <c r="G154">
        <f>(XXS_Min + 4*XXS_Likely + XXS_Max)/6</f>
        <v>2.3066666666666666</v>
      </c>
      <c r="H154">
        <f>(XXL_Min + 4*XXL_Likely + XXL_Max)/6</f>
        <v>0</v>
      </c>
    </row>
    <row r="155" spans="1:8" x14ac:dyDescent="0.25">
      <c r="A155" s="26" t="s">
        <v>145</v>
      </c>
      <c r="B155" s="26" t="s">
        <v>200</v>
      </c>
      <c r="C155" s="26" t="s">
        <v>37</v>
      </c>
      <c r="D155" s="26" t="s">
        <v>38</v>
      </c>
      <c r="E155" s="26" t="s">
        <v>39</v>
      </c>
      <c r="F155" s="26" t="s">
        <v>40</v>
      </c>
      <c r="G155" s="26" t="s">
        <v>41</v>
      </c>
      <c r="H155" s="26" t="s">
        <v>206</v>
      </c>
    </row>
    <row r="156" spans="1:8" x14ac:dyDescent="0.25">
      <c r="A156" s="72" t="s">
        <v>210</v>
      </c>
      <c r="B156" s="75">
        <f ca="1">IF(ISERROR(XXS_Requirements / XXS_PERT), "N/A", XXS_Requirements / XXS_PERT)</f>
        <v>6.25E-2</v>
      </c>
      <c r="C156" s="75">
        <f ca="1">IF(ISERROR(XS_Requirements / XS_PERT), "N/A", XS_Requirements / XS_PERT)</f>
        <v>6.8979266347687404E-2</v>
      </c>
      <c r="D156" s="75">
        <f ca="1">IF(ISERROR(S_Requirements / S_PERT), "N/A", S_Requirements / S_PERT)</f>
        <v>3.4692583984787653E-2</v>
      </c>
      <c r="E156" s="75">
        <f ca="1">IF(ISERROR(M_Requirements / M_PERT), "N/A", M_Requirements / M_PERT)</f>
        <v>3.9546329980740431E-2</v>
      </c>
      <c r="F156" s="75">
        <f ca="1">IF(ISERROR(L_Requirements / L_PERT), "N/A", L_Requirements / L_PERT)</f>
        <v>2.9678030775369724E-2</v>
      </c>
      <c r="G156" s="75">
        <f ca="1">IF(ISERROR(XL_Requirements / XL_PERT), "N/A", XL_Requirements / XL_PERT)</f>
        <v>3.7762416794674861E-2</v>
      </c>
      <c r="H156" s="75" t="str">
        <f ca="1">IF(ISERROR(XXL_Requirements / XXL_PERT), "N/A", XXL_Requirements / XXL_PERT)</f>
        <v>N/A</v>
      </c>
    </row>
    <row r="157" spans="1:8" x14ac:dyDescent="0.25">
      <c r="A157" s="72" t="s">
        <v>146</v>
      </c>
      <c r="B157" s="75">
        <f ca="1">IF(ISERROR(XXS_Design / XXS_PERT), "N/A", XXS_Design / XXS_PERT)</f>
        <v>0.20592485549132944</v>
      </c>
      <c r="C157" s="75">
        <f ca="1">IF(ISERROR(XS_Design / XS_PERT), "N/A", XS_Design / XS_PERT)</f>
        <v>0.13795853269537481</v>
      </c>
      <c r="D157" s="75">
        <f ca="1">IF(ISERROR(S_Design / S_PERT), "N/A", S_Design / S_PERT)</f>
        <v>0.10462708641453621</v>
      </c>
      <c r="E157" s="75">
        <f ca="1">IF(ISERROR(M_Design / M_PERT), "N/A", M_Design / M_PERT)</f>
        <v>7.3828375775732938E-2</v>
      </c>
      <c r="F157" s="75">
        <f ca="1">IF(ISERROR(L_Design / L_PERT), "N/A", L_Design / L_PERT)</f>
        <v>5.3794548220565133E-2</v>
      </c>
      <c r="G157" s="75">
        <f ca="1">IF(ISERROR(XL_Design / XL_PERT), "N/A", XL_Design / XL_PERT)</f>
        <v>5.8819764464925761E-2</v>
      </c>
      <c r="H157" s="75" t="str">
        <f ca="1">IF(ISERROR(XXL_Design / XXL_PERT), "N/A", XXL_Design / XXL_PERT)</f>
        <v>N/A</v>
      </c>
    </row>
    <row r="158" spans="1:8" x14ac:dyDescent="0.25">
      <c r="A158" s="72" t="s">
        <v>212</v>
      </c>
      <c r="B158" s="75">
        <f ca="1">IF(ISERROR(XS_Construction / XS_PERT), "N/A", XS_Construction / XS_PERT)</f>
        <v>0.60845295055821369</v>
      </c>
      <c r="C158" s="75">
        <f ca="1">IF(ISERROR(XS_Construction / XS_PERT), "N/A", XS_Construction / XS_PERT)</f>
        <v>0.60845295055821369</v>
      </c>
      <c r="D158" s="75">
        <f ca="1">IF(ISERROR(S_Construction / S_PERT), "N/A", S_Construction / S_PERT)</f>
        <v>0.66714557363194582</v>
      </c>
      <c r="E158" s="75">
        <f ca="1">IF(ISERROR(M_Construction / M_PERT), "N/A", M_Construction / M_PERT)</f>
        <v>0.73704258506312859</v>
      </c>
      <c r="F158" s="75">
        <f ca="1">IF(ISERROR(L_Construction / L_PERT), "N/A", L_Construction / L_PERT)</f>
        <v>0.74394593111704121</v>
      </c>
      <c r="G158" s="75">
        <f ca="1">IF(ISERROR(XL_Construction / XL_PERT), "N/A", XL_Construction / XL_PERT)</f>
        <v>0.7555683563748079</v>
      </c>
      <c r="H158" s="75" t="str">
        <f ca="1">IF(ISERROR(XXL_Construction / XXL_PERT), "N/A", XXL_Construction / XXL_PERT)</f>
        <v>N/A</v>
      </c>
    </row>
    <row r="159" spans="1:8" x14ac:dyDescent="0.25">
      <c r="A159" s="72" t="s">
        <v>213</v>
      </c>
      <c r="B159" s="75">
        <f ca="1">IF(ISERROR(XS_Test / XS_PERT), "N/A", XS_Test / XS_PERT)</f>
        <v>0.18460925039872408</v>
      </c>
      <c r="C159" s="75">
        <f ca="1">IF(ISERROR(XS_Test / XS_PERT), "N/A", XS_Test / XS_PERT)</f>
        <v>0.18460925039872408</v>
      </c>
      <c r="D159" s="75">
        <f ca="1">IF(ISERROR(S_Test / S_PERT), "N/A", S_Test / S_PERT)</f>
        <v>0.19353475596873015</v>
      </c>
      <c r="E159" s="75">
        <f ca="1">IF(ISERROR(M_Test / M_PERT), "N/A", M_Test / M_PERT)</f>
        <v>0.14958270918039804</v>
      </c>
      <c r="F159" s="75">
        <f ca="1">IF(ISERROR(L_Test / L_PERT), "N/A", L_Test / L_PERT)</f>
        <v>0.17258148988702396</v>
      </c>
      <c r="G159" s="75">
        <f ca="1">IF(ISERROR(XL_Test / XL_PERT), "N/A", XL_Test / XL_PERT)</f>
        <v>0.14784946236559138</v>
      </c>
      <c r="H159" s="75" t="str">
        <f ca="1">IF(ISERROR(XXL_Test / XXL_PERT), "N/A", XXL_Test / XXL_PERT)</f>
        <v>N/A</v>
      </c>
    </row>
  </sheetData>
  <sheetProtection formatCells="0" formatColumns="0" formatRows="0" insertColumns="0" insertRows="0" insertHyperlinks="0" deleteColumns="0" deleteRows="0" sort="0" autoFilter="0" pivotTables="0"/>
  <mergeCells count="10">
    <mergeCell ref="A103:E103"/>
    <mergeCell ref="A87:E87"/>
    <mergeCell ref="A23:E23"/>
    <mergeCell ref="A39:E39"/>
    <mergeCell ref="A1:F1"/>
    <mergeCell ref="A3:E3"/>
    <mergeCell ref="A4:E4"/>
    <mergeCell ref="A55:E55"/>
    <mergeCell ref="A71:E71"/>
    <mergeCell ref="A6:E6"/>
  </mergeCells>
  <conditionalFormatting sqref="A8:A32767">
    <cfRule type="expression" dxfId="6" priority="2">
      <formula>AND(ISERROR(VLOOKUP($A8, Optional_Feature_WBS_Tasks, 1, FALSE)), OR(NOT(ISNUMBER($B8)),NOT(ISNUMBER($C8))),NOT(ISERROR(VLOOKUP($F8, Activity_Types, 1, FALSE))))</formula>
    </cfRule>
  </conditionalFormatting>
  <dataValidations count="1">
    <dataValidation type="list" allowBlank="1" showInputMessage="1" showErrorMessage="1" sqref="F89:F100 F25:F36 F41:F52 F57:F68 F73:F84 F8:F19 F105:F116">
      <formula1>Feature_Activity_Types</formula1>
    </dataValidation>
  </dataValidations>
  <pageMargins left="0.7" right="0.7" top="0.75" bottom="0.75" header="0.3" footer="0.3"/>
  <pageSetup paperSize="9" scale="97" orientation="portrait" r:id="rId1"/>
  <rowBreaks count="4" manualBreakCount="4">
    <brk id="37" max="16383" man="1"/>
    <brk id="54" max="16383" man="1"/>
    <brk id="86" max="16383" man="1"/>
    <brk id="117" max="16383" man="1"/>
  </rowBreaks>
  <colBreaks count="2" manualBreakCount="2">
    <brk id="6" max="1048575" man="1"/>
    <brk id="8" max="1048575" man="1"/>
  </colBreaks>
  <ignoredErrors>
    <ignoredError sqref="B37:C37 B53:C53 B69:C69 B85:C85 B101:C101 E25:E26 E28:E34 E41:E42 E44:E50 E57:E58 E60:E66 E73:E74 E76:E82 E89:E90 E92:E98 E35:E37 E51:E53 E67:E69 E83:E85 E99:E101" unlockedFormula="1"/>
    <ignoredError sqref="D37 D53 D69 D85 D101" formula="1" unlockedFormula="1"/>
    <ignoredError sqref="F129 F134 F139 F144 D20 D117 F124 F1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9"/>
  <sheetViews>
    <sheetView tabSelected="1" topLeftCell="A4" zoomScaleNormal="100" workbookViewId="0">
      <selection activeCell="B18" sqref="B18:J18"/>
    </sheetView>
  </sheetViews>
  <sheetFormatPr defaultRowHeight="15" x14ac:dyDescent="0.25"/>
  <cols>
    <col min="1" max="1" width="4.5703125" customWidth="1"/>
    <col min="4" max="4" width="7.42578125" customWidth="1"/>
    <col min="5" max="5" width="5" customWidth="1"/>
    <col min="6" max="6" width="8.28515625" customWidth="1"/>
    <col min="7" max="7" width="9.85546875" customWidth="1"/>
    <col min="8" max="8" width="11.42578125" customWidth="1"/>
    <col min="9" max="9" width="6.140625" customWidth="1"/>
    <col min="10" max="10" width="3.5703125" customWidth="1"/>
    <col min="11" max="11" width="7" bestFit="1" customWidth="1"/>
    <col min="12" max="12" width="4.42578125" customWidth="1"/>
    <col min="13" max="13" width="13.28515625" customWidth="1"/>
    <col min="14" max="14" width="33.42578125" customWidth="1"/>
  </cols>
  <sheetData>
    <row r="1" spans="1:14" ht="21" customHeight="1" x14ac:dyDescent="0.25">
      <c r="A1" s="180" t="s">
        <v>108</v>
      </c>
      <c r="B1" s="180"/>
      <c r="C1" s="180"/>
      <c r="D1" s="180"/>
      <c r="E1" s="180"/>
      <c r="F1" s="180"/>
      <c r="G1" s="180"/>
      <c r="H1" s="180"/>
      <c r="I1" s="180"/>
      <c r="J1" s="180"/>
      <c r="K1" s="180"/>
      <c r="L1" s="180"/>
      <c r="M1" s="180"/>
      <c r="N1" s="180"/>
    </row>
    <row r="2" spans="1:14" x14ac:dyDescent="0.25">
      <c r="A2" s="174" t="s">
        <v>107</v>
      </c>
      <c r="B2" s="175"/>
      <c r="C2" s="175"/>
      <c r="D2" s="175"/>
      <c r="E2" s="175"/>
      <c r="F2" s="175"/>
      <c r="G2" s="175"/>
      <c r="H2" s="175"/>
      <c r="I2" s="175"/>
      <c r="J2" s="175"/>
      <c r="K2" s="100" t="s">
        <v>181</v>
      </c>
      <c r="L2" s="178" t="s">
        <v>223</v>
      </c>
      <c r="M2" s="179"/>
      <c r="N2" s="179"/>
    </row>
    <row r="3" spans="1:14" ht="18.75" customHeight="1" x14ac:dyDescent="0.25">
      <c r="A3" s="52">
        <v>1</v>
      </c>
      <c r="B3" s="181" t="s">
        <v>82</v>
      </c>
      <c r="C3" s="182"/>
      <c r="D3" s="182"/>
      <c r="E3" s="182"/>
      <c r="F3" s="182"/>
      <c r="G3" s="182"/>
      <c r="H3" s="182"/>
      <c r="I3" s="182"/>
      <c r="J3" s="182"/>
      <c r="K3" s="92" t="s">
        <v>179</v>
      </c>
      <c r="L3" s="169"/>
      <c r="M3" s="169"/>
      <c r="N3" s="169"/>
    </row>
    <row r="4" spans="1:14" ht="42.75" customHeight="1" x14ac:dyDescent="0.25">
      <c r="A4" s="53">
        <f>A3+1</f>
        <v>2</v>
      </c>
      <c r="B4" s="160" t="s">
        <v>62</v>
      </c>
      <c r="C4" s="161"/>
      <c r="D4" s="161"/>
      <c r="E4" s="161"/>
      <c r="F4" s="161"/>
      <c r="G4" s="161"/>
      <c r="H4" s="161"/>
      <c r="I4" s="161"/>
      <c r="J4" s="161"/>
      <c r="K4" s="108" t="s">
        <v>222</v>
      </c>
      <c r="L4" s="162" t="s">
        <v>413</v>
      </c>
      <c r="M4" s="162"/>
      <c r="N4" s="162"/>
    </row>
    <row r="5" spans="1:14" ht="24.75" customHeight="1" x14ac:dyDescent="0.25">
      <c r="A5" s="53">
        <f t="shared" ref="A5:A35" si="0">A4+1</f>
        <v>3</v>
      </c>
      <c r="B5" s="160" t="s">
        <v>83</v>
      </c>
      <c r="C5" s="161"/>
      <c r="D5" s="161"/>
      <c r="E5" s="161"/>
      <c r="F5" s="161"/>
      <c r="G5" s="161"/>
      <c r="H5" s="161"/>
      <c r="I5" s="161"/>
      <c r="J5" s="161"/>
      <c r="K5" s="108" t="s">
        <v>179</v>
      </c>
      <c r="L5" s="162"/>
      <c r="M5" s="162"/>
      <c r="N5" s="162"/>
    </row>
    <row r="6" spans="1:14" ht="27.75" customHeight="1" x14ac:dyDescent="0.25">
      <c r="A6" s="53">
        <f t="shared" si="0"/>
        <v>4</v>
      </c>
      <c r="B6" s="160" t="s">
        <v>84</v>
      </c>
      <c r="C6" s="161"/>
      <c r="D6" s="161"/>
      <c r="E6" s="161"/>
      <c r="F6" s="161"/>
      <c r="G6" s="161"/>
      <c r="H6" s="161"/>
      <c r="I6" s="161"/>
      <c r="J6" s="161"/>
      <c r="K6" s="108" t="s">
        <v>179</v>
      </c>
      <c r="L6" s="162"/>
      <c r="M6" s="162"/>
      <c r="N6" s="162"/>
    </row>
    <row r="7" spans="1:14" x14ac:dyDescent="0.25">
      <c r="A7" s="53">
        <f t="shared" si="0"/>
        <v>5</v>
      </c>
      <c r="B7" s="160" t="s">
        <v>85</v>
      </c>
      <c r="C7" s="161"/>
      <c r="D7" s="161"/>
      <c r="E7" s="161"/>
      <c r="F7" s="161"/>
      <c r="G7" s="161"/>
      <c r="H7" s="161"/>
      <c r="I7" s="161"/>
      <c r="J7" s="161"/>
      <c r="K7" s="108" t="s">
        <v>179</v>
      </c>
      <c r="L7" s="162"/>
      <c r="M7" s="162"/>
      <c r="N7" s="162"/>
    </row>
    <row r="8" spans="1:14" x14ac:dyDescent="0.25">
      <c r="A8" s="53">
        <f t="shared" si="0"/>
        <v>6</v>
      </c>
      <c r="B8" s="160" t="s">
        <v>86</v>
      </c>
      <c r="C8" s="161"/>
      <c r="D8" s="161"/>
      <c r="E8" s="161"/>
      <c r="F8" s="161"/>
      <c r="G8" s="161"/>
      <c r="H8" s="161"/>
      <c r="I8" s="161"/>
      <c r="J8" s="161"/>
      <c r="K8" s="108" t="s">
        <v>222</v>
      </c>
      <c r="L8" s="162" t="s">
        <v>414</v>
      </c>
      <c r="M8" s="162"/>
      <c r="N8" s="162"/>
    </row>
    <row r="9" spans="1:14" x14ac:dyDescent="0.25">
      <c r="A9" s="53">
        <f t="shared" si="0"/>
        <v>7</v>
      </c>
      <c r="B9" s="160" t="s">
        <v>87</v>
      </c>
      <c r="C9" s="161"/>
      <c r="D9" s="161"/>
      <c r="E9" s="161"/>
      <c r="F9" s="161"/>
      <c r="G9" s="161"/>
      <c r="H9" s="161"/>
      <c r="I9" s="161"/>
      <c r="J9" s="161"/>
      <c r="K9" s="108" t="s">
        <v>222</v>
      </c>
      <c r="L9" s="162" t="s">
        <v>415</v>
      </c>
      <c r="M9" s="162"/>
      <c r="N9" s="162"/>
    </row>
    <row r="10" spans="1:14" ht="27.75" customHeight="1" x14ac:dyDescent="0.25">
      <c r="A10" s="53">
        <f t="shared" si="0"/>
        <v>8</v>
      </c>
      <c r="B10" s="160" t="s">
        <v>88</v>
      </c>
      <c r="C10" s="161"/>
      <c r="D10" s="161"/>
      <c r="E10" s="161"/>
      <c r="F10" s="161"/>
      <c r="G10" s="161"/>
      <c r="H10" s="161"/>
      <c r="I10" s="161"/>
      <c r="J10" s="161"/>
      <c r="K10" s="108" t="s">
        <v>179</v>
      </c>
      <c r="L10" s="162"/>
      <c r="M10" s="162"/>
      <c r="N10" s="162"/>
    </row>
    <row r="11" spans="1:14" ht="39.75" customHeight="1" x14ac:dyDescent="0.25">
      <c r="A11" s="53">
        <f t="shared" si="0"/>
        <v>9</v>
      </c>
      <c r="B11" s="160" t="s">
        <v>35</v>
      </c>
      <c r="C11" s="161"/>
      <c r="D11" s="161"/>
      <c r="E11" s="161"/>
      <c r="F11" s="161"/>
      <c r="G11" s="161"/>
      <c r="H11" s="161"/>
      <c r="I11" s="161"/>
      <c r="J11" s="161"/>
      <c r="K11" s="108" t="s">
        <v>179</v>
      </c>
      <c r="L11" s="162"/>
      <c r="M11" s="162"/>
      <c r="N11" s="162"/>
    </row>
    <row r="12" spans="1:14" ht="27" customHeight="1" x14ac:dyDescent="0.25">
      <c r="A12" s="53">
        <f t="shared" si="0"/>
        <v>10</v>
      </c>
      <c r="B12" s="160" t="s">
        <v>89</v>
      </c>
      <c r="C12" s="161"/>
      <c r="D12" s="161"/>
      <c r="E12" s="161"/>
      <c r="F12" s="161"/>
      <c r="G12" s="161"/>
      <c r="H12" s="161"/>
      <c r="I12" s="161"/>
      <c r="J12" s="161"/>
      <c r="K12" s="108" t="s">
        <v>180</v>
      </c>
      <c r="L12" s="162" t="s">
        <v>416</v>
      </c>
      <c r="M12" s="162"/>
      <c r="N12" s="162"/>
    </row>
    <row r="13" spans="1:14" ht="27" customHeight="1" x14ac:dyDescent="0.25">
      <c r="A13" s="53">
        <f t="shared" si="0"/>
        <v>11</v>
      </c>
      <c r="B13" s="160" t="s">
        <v>90</v>
      </c>
      <c r="C13" s="161"/>
      <c r="D13" s="161"/>
      <c r="E13" s="161"/>
      <c r="F13" s="161"/>
      <c r="G13" s="161"/>
      <c r="H13" s="161"/>
      <c r="I13" s="161"/>
      <c r="J13" s="161"/>
      <c r="K13" s="108" t="s">
        <v>179</v>
      </c>
      <c r="L13" s="162"/>
      <c r="M13" s="162"/>
      <c r="N13" s="162"/>
    </row>
    <row r="14" spans="1:14" ht="30" customHeight="1" x14ac:dyDescent="0.25">
      <c r="A14" s="53">
        <f t="shared" si="0"/>
        <v>12</v>
      </c>
      <c r="B14" s="160" t="s">
        <v>91</v>
      </c>
      <c r="C14" s="161"/>
      <c r="D14" s="161"/>
      <c r="E14" s="161"/>
      <c r="F14" s="161"/>
      <c r="G14" s="161"/>
      <c r="H14" s="161"/>
      <c r="I14" s="161"/>
      <c r="J14" s="161"/>
      <c r="K14" s="108" t="s">
        <v>179</v>
      </c>
      <c r="L14" s="162"/>
      <c r="M14" s="162"/>
      <c r="N14" s="162"/>
    </row>
    <row r="15" spans="1:14" ht="26.25" customHeight="1" x14ac:dyDescent="0.25">
      <c r="A15" s="53">
        <f t="shared" si="0"/>
        <v>13</v>
      </c>
      <c r="B15" s="160" t="s">
        <v>92</v>
      </c>
      <c r="C15" s="161"/>
      <c r="D15" s="161"/>
      <c r="E15" s="161"/>
      <c r="F15" s="161"/>
      <c r="G15" s="161"/>
      <c r="H15" s="161"/>
      <c r="I15" s="161"/>
      <c r="J15" s="161"/>
      <c r="K15" s="108" t="s">
        <v>180</v>
      </c>
      <c r="L15" s="162" t="s">
        <v>417</v>
      </c>
      <c r="M15" s="162"/>
      <c r="N15" s="162"/>
    </row>
    <row r="16" spans="1:14" ht="41.25" customHeight="1" x14ac:dyDescent="0.25">
      <c r="A16" s="53">
        <f t="shared" ref="A16:A21" si="1">A15+1</f>
        <v>14</v>
      </c>
      <c r="B16" s="160" t="s">
        <v>81</v>
      </c>
      <c r="C16" s="161"/>
      <c r="D16" s="161"/>
      <c r="E16" s="161"/>
      <c r="F16" s="161"/>
      <c r="G16" s="161"/>
      <c r="H16" s="161"/>
      <c r="I16" s="161"/>
      <c r="J16" s="161"/>
      <c r="K16" s="108" t="s">
        <v>179</v>
      </c>
      <c r="L16" s="162"/>
      <c r="M16" s="162"/>
      <c r="N16" s="162"/>
    </row>
    <row r="17" spans="1:14" ht="27.75" customHeight="1" x14ac:dyDescent="0.25">
      <c r="A17" s="53">
        <f t="shared" si="1"/>
        <v>15</v>
      </c>
      <c r="B17" s="160" t="s">
        <v>93</v>
      </c>
      <c r="C17" s="161"/>
      <c r="D17" s="161"/>
      <c r="E17" s="161"/>
      <c r="F17" s="161"/>
      <c r="G17" s="161"/>
      <c r="H17" s="161"/>
      <c r="I17" s="161"/>
      <c r="J17" s="161"/>
      <c r="K17" s="108" t="s">
        <v>179</v>
      </c>
      <c r="L17" s="162"/>
      <c r="M17" s="162"/>
      <c r="N17" s="162"/>
    </row>
    <row r="18" spans="1:14" ht="25.5" customHeight="1" x14ac:dyDescent="0.25">
      <c r="A18" s="53">
        <f t="shared" si="1"/>
        <v>16</v>
      </c>
      <c r="B18" s="160" t="s">
        <v>247</v>
      </c>
      <c r="C18" s="161"/>
      <c r="D18" s="161"/>
      <c r="E18" s="161"/>
      <c r="F18" s="161"/>
      <c r="G18" s="161"/>
      <c r="H18" s="161"/>
      <c r="I18" s="161"/>
      <c r="J18" s="161"/>
      <c r="K18" s="120" t="s">
        <v>179</v>
      </c>
      <c r="L18" s="162"/>
      <c r="M18" s="162"/>
      <c r="N18" s="162"/>
    </row>
    <row r="19" spans="1:14" ht="25.5" customHeight="1" x14ac:dyDescent="0.25">
      <c r="A19" s="53">
        <f t="shared" si="1"/>
        <v>17</v>
      </c>
      <c r="B19" s="160" t="s">
        <v>94</v>
      </c>
      <c r="C19" s="161"/>
      <c r="D19" s="161"/>
      <c r="E19" s="161"/>
      <c r="F19" s="161"/>
      <c r="G19" s="161"/>
      <c r="H19" s="161"/>
      <c r="I19" s="161"/>
      <c r="J19" s="161"/>
      <c r="K19" s="108" t="s">
        <v>180</v>
      </c>
      <c r="L19" s="162" t="s">
        <v>418</v>
      </c>
      <c r="M19" s="162"/>
      <c r="N19" s="162"/>
    </row>
    <row r="20" spans="1:14" ht="38.25" customHeight="1" x14ac:dyDescent="0.25">
      <c r="A20" s="53">
        <f t="shared" si="1"/>
        <v>18</v>
      </c>
      <c r="B20" s="183" t="s">
        <v>253</v>
      </c>
      <c r="C20" s="161"/>
      <c r="D20" s="161"/>
      <c r="E20" s="161"/>
      <c r="F20" s="161"/>
      <c r="G20" s="161"/>
      <c r="H20" s="161"/>
      <c r="I20" s="161"/>
      <c r="J20" s="161"/>
      <c r="K20" s="121" t="s">
        <v>179</v>
      </c>
      <c r="L20" s="162"/>
      <c r="M20" s="162"/>
      <c r="N20" s="162"/>
    </row>
    <row r="21" spans="1:14" ht="15" customHeight="1" x14ac:dyDescent="0.25">
      <c r="A21" s="53">
        <f t="shared" si="1"/>
        <v>19</v>
      </c>
      <c r="B21" s="160" t="s">
        <v>96</v>
      </c>
      <c r="C21" s="161"/>
      <c r="D21" s="161"/>
      <c r="E21" s="161"/>
      <c r="F21" s="161"/>
      <c r="G21" s="161"/>
      <c r="H21" s="161"/>
      <c r="I21" s="161"/>
      <c r="J21" s="161"/>
      <c r="K21" s="108" t="s">
        <v>180</v>
      </c>
      <c r="L21" s="162"/>
      <c r="M21" s="162"/>
      <c r="N21" s="162"/>
    </row>
    <row r="22" spans="1:14" ht="27.75" customHeight="1" x14ac:dyDescent="0.25">
      <c r="A22" s="53">
        <f t="shared" si="0"/>
        <v>20</v>
      </c>
      <c r="B22" s="160" t="s">
        <v>95</v>
      </c>
      <c r="C22" s="161"/>
      <c r="D22" s="161"/>
      <c r="E22" s="161"/>
      <c r="F22" s="161"/>
      <c r="G22" s="161"/>
      <c r="H22" s="161"/>
      <c r="I22" s="161"/>
      <c r="J22" s="161"/>
      <c r="K22" s="108"/>
      <c r="L22" s="162"/>
      <c r="M22" s="162"/>
      <c r="N22" s="162"/>
    </row>
    <row r="23" spans="1:14" x14ac:dyDescent="0.25">
      <c r="A23" s="53">
        <f t="shared" si="0"/>
        <v>21</v>
      </c>
      <c r="B23" s="160" t="s">
        <v>97</v>
      </c>
      <c r="C23" s="161"/>
      <c r="D23" s="161"/>
      <c r="E23" s="161"/>
      <c r="F23" s="161"/>
      <c r="G23" s="161"/>
      <c r="H23" s="161"/>
      <c r="I23" s="161"/>
      <c r="J23" s="161"/>
      <c r="K23" s="108"/>
      <c r="L23" s="162"/>
      <c r="M23" s="162"/>
      <c r="N23" s="162"/>
    </row>
    <row r="24" spans="1:14" x14ac:dyDescent="0.25">
      <c r="A24" s="53">
        <f t="shared" si="0"/>
        <v>22</v>
      </c>
      <c r="B24" s="160" t="s">
        <v>98</v>
      </c>
      <c r="C24" s="161"/>
      <c r="D24" s="161"/>
      <c r="E24" s="161"/>
      <c r="F24" s="161"/>
      <c r="G24" s="161"/>
      <c r="H24" s="161"/>
      <c r="I24" s="161"/>
      <c r="J24" s="161"/>
      <c r="K24" s="108"/>
      <c r="L24" s="162"/>
      <c r="M24" s="162"/>
      <c r="N24" s="162"/>
    </row>
    <row r="25" spans="1:14" x14ac:dyDescent="0.25">
      <c r="A25" s="53">
        <f t="shared" si="0"/>
        <v>23</v>
      </c>
      <c r="B25" s="160" t="s">
        <v>99</v>
      </c>
      <c r="C25" s="161"/>
      <c r="D25" s="161"/>
      <c r="E25" s="161"/>
      <c r="F25" s="161"/>
      <c r="G25" s="161"/>
      <c r="H25" s="161"/>
      <c r="I25" s="161"/>
      <c r="J25" s="161"/>
      <c r="K25" s="108"/>
      <c r="L25" s="162"/>
      <c r="M25" s="162"/>
      <c r="N25" s="162"/>
    </row>
    <row r="26" spans="1:14" ht="25.5" customHeight="1" x14ac:dyDescent="0.25">
      <c r="A26" s="53">
        <f t="shared" si="0"/>
        <v>24</v>
      </c>
      <c r="B26" s="160" t="s">
        <v>100</v>
      </c>
      <c r="C26" s="161"/>
      <c r="D26" s="161"/>
      <c r="E26" s="161"/>
      <c r="F26" s="161"/>
      <c r="G26" s="161"/>
      <c r="H26" s="161"/>
      <c r="I26" s="161"/>
      <c r="J26" s="161"/>
      <c r="K26" s="108"/>
      <c r="L26" s="162"/>
      <c r="M26" s="162"/>
      <c r="N26" s="162"/>
    </row>
    <row r="27" spans="1:14" ht="13.5" customHeight="1" x14ac:dyDescent="0.25">
      <c r="A27" s="53">
        <f t="shared" si="0"/>
        <v>25</v>
      </c>
      <c r="B27" s="160" t="s">
        <v>101</v>
      </c>
      <c r="C27" s="161"/>
      <c r="D27" s="161"/>
      <c r="E27" s="161"/>
      <c r="F27" s="161"/>
      <c r="G27" s="161"/>
      <c r="H27" s="161"/>
      <c r="I27" s="161"/>
      <c r="J27" s="161"/>
      <c r="K27" s="108"/>
      <c r="L27" s="162"/>
      <c r="M27" s="162"/>
      <c r="N27" s="162"/>
    </row>
    <row r="28" spans="1:14" ht="40.5" customHeight="1" x14ac:dyDescent="0.25">
      <c r="A28" s="53">
        <f t="shared" si="0"/>
        <v>26</v>
      </c>
      <c r="B28" s="160" t="s">
        <v>102</v>
      </c>
      <c r="C28" s="161"/>
      <c r="D28" s="161"/>
      <c r="E28" s="161"/>
      <c r="F28" s="161"/>
      <c r="G28" s="161"/>
      <c r="H28" s="161"/>
      <c r="I28" s="161"/>
      <c r="J28" s="161"/>
      <c r="K28" s="108"/>
      <c r="L28" s="162"/>
      <c r="M28" s="162"/>
      <c r="N28" s="162"/>
    </row>
    <row r="29" spans="1:14" ht="27.75" customHeight="1" x14ac:dyDescent="0.25">
      <c r="A29" s="53">
        <f t="shared" si="0"/>
        <v>27</v>
      </c>
      <c r="B29" s="160" t="s">
        <v>103</v>
      </c>
      <c r="C29" s="161"/>
      <c r="D29" s="161"/>
      <c r="E29" s="161"/>
      <c r="F29" s="161"/>
      <c r="G29" s="161"/>
      <c r="H29" s="161"/>
      <c r="I29" s="161"/>
      <c r="J29" s="161"/>
      <c r="K29" s="108"/>
      <c r="L29" s="162"/>
      <c r="M29" s="162"/>
      <c r="N29" s="162"/>
    </row>
    <row r="30" spans="1:14" ht="27" customHeight="1" x14ac:dyDescent="0.25">
      <c r="A30" s="54">
        <f t="shared" si="0"/>
        <v>28</v>
      </c>
      <c r="B30" s="176" t="s">
        <v>34</v>
      </c>
      <c r="C30" s="177"/>
      <c r="D30" s="177"/>
      <c r="E30" s="177"/>
      <c r="F30" s="177"/>
      <c r="G30" s="177"/>
      <c r="H30" s="177"/>
      <c r="I30" s="177"/>
      <c r="J30" s="177"/>
      <c r="K30" s="108"/>
      <c r="L30" s="191"/>
      <c r="M30" s="191"/>
      <c r="N30" s="191"/>
    </row>
    <row r="31" spans="1:14" ht="27" customHeight="1" x14ac:dyDescent="0.25">
      <c r="A31" s="53">
        <f t="shared" si="0"/>
        <v>29</v>
      </c>
      <c r="B31" s="160" t="s">
        <v>104</v>
      </c>
      <c r="C31" s="161"/>
      <c r="D31" s="161"/>
      <c r="E31" s="161"/>
      <c r="F31" s="161"/>
      <c r="G31" s="161"/>
      <c r="H31" s="161"/>
      <c r="I31" s="161"/>
      <c r="J31" s="161"/>
      <c r="K31" s="108"/>
      <c r="L31" s="162"/>
      <c r="M31" s="162"/>
      <c r="N31" s="162"/>
    </row>
    <row r="32" spans="1:14" ht="30.75" customHeight="1" x14ac:dyDescent="0.25">
      <c r="A32" s="53">
        <f t="shared" si="0"/>
        <v>30</v>
      </c>
      <c r="B32" s="160" t="s">
        <v>105</v>
      </c>
      <c r="C32" s="161"/>
      <c r="D32" s="161"/>
      <c r="E32" s="161"/>
      <c r="F32" s="161"/>
      <c r="G32" s="161"/>
      <c r="H32" s="161"/>
      <c r="I32" s="161"/>
      <c r="J32" s="161"/>
      <c r="K32" s="108"/>
      <c r="L32" s="162"/>
      <c r="M32" s="162"/>
      <c r="N32" s="162"/>
    </row>
    <row r="33" spans="1:14" x14ac:dyDescent="0.25">
      <c r="A33" s="55">
        <f t="shared" si="0"/>
        <v>31</v>
      </c>
      <c r="B33" s="172" t="s">
        <v>106</v>
      </c>
      <c r="C33" s="173"/>
      <c r="D33" s="173"/>
      <c r="E33" s="173"/>
      <c r="F33" s="173"/>
      <c r="G33" s="173"/>
      <c r="H33" s="173"/>
      <c r="I33" s="173"/>
      <c r="J33" s="173"/>
      <c r="K33" s="108"/>
      <c r="L33" s="168"/>
      <c r="M33" s="168"/>
      <c r="N33" s="168"/>
    </row>
    <row r="34" spans="1:14" ht="26.25" customHeight="1" x14ac:dyDescent="0.25">
      <c r="A34" s="55">
        <f t="shared" si="0"/>
        <v>32</v>
      </c>
      <c r="B34" s="172" t="s">
        <v>182</v>
      </c>
      <c r="C34" s="173"/>
      <c r="D34" s="173"/>
      <c r="E34" s="173"/>
      <c r="F34" s="173"/>
      <c r="G34" s="173"/>
      <c r="H34" s="173"/>
      <c r="I34" s="173"/>
      <c r="J34" s="173"/>
      <c r="K34" s="108"/>
    </row>
    <row r="35" spans="1:14" ht="27.75" customHeight="1" x14ac:dyDescent="0.25">
      <c r="A35" s="187">
        <f t="shared" si="0"/>
        <v>33</v>
      </c>
      <c r="B35" s="172" t="s">
        <v>148</v>
      </c>
      <c r="C35" s="173"/>
      <c r="D35" s="173"/>
      <c r="E35" s="173"/>
      <c r="F35" s="173"/>
      <c r="G35" s="173"/>
      <c r="H35" s="173"/>
      <c r="I35" s="173"/>
      <c r="J35" s="173"/>
      <c r="K35" s="184"/>
    </row>
    <row r="36" spans="1:14" ht="36" hidden="1" customHeight="1" x14ac:dyDescent="0.25">
      <c r="A36" s="188"/>
      <c r="B36" s="93">
        <f ca="1">ROW(Header_Row)+MATCH(3,INDIRECT($B$37), 0)+1</f>
        <v>32</v>
      </c>
      <c r="C36" s="93">
        <f ca="1">ROW(Header_Row)+MATCH(4,INDIRECT($B$37), 0)-1</f>
        <v>139</v>
      </c>
      <c r="D36" s="93" t="str">
        <f ca="1">"Estimate!D" &amp; $B$36 &amp; ":D" &amp; $C$36</f>
        <v>Estimate!D32:D139</v>
      </c>
      <c r="E36" s="93" t="str">
        <f ca="1">"Estimate!I" &amp; $B$36 &amp; ":I" &amp; $C$36</f>
        <v>Estimate!I32:I139</v>
      </c>
      <c r="F36" s="93"/>
      <c r="G36" s="93"/>
      <c r="H36" s="93"/>
      <c r="I36" s="93"/>
      <c r="J36" s="93"/>
      <c r="K36" s="185"/>
    </row>
    <row r="37" spans="1:14" ht="15" hidden="1" customHeight="1" x14ac:dyDescent="0.25">
      <c r="A37" s="188"/>
      <c r="B37" t="str">
        <f>"Estimate!$B" &amp; (ROW(Header_Row)+1) &amp; ":$B" &amp; (ROW(Grand_Total_Row)-1)</f>
        <v>Estimate!$B11:$B157</v>
      </c>
      <c r="D37" t="str">
        <f>"Estimate!$I" &amp; (ROW(Header_Row)+1) &amp; ":$I" &amp; (ROW(Grand_Total_Row)-1)</f>
        <v>Estimate!$I11:$I157</v>
      </c>
      <c r="G37" t="str">
        <f>"Estimate!$D" &amp; (ROW(Header_Row)+1) &amp; ":$D" &amp; (ROW(Grand_Total_Row)-1)</f>
        <v>Estimate!$D11:$D157</v>
      </c>
      <c r="K37" s="185"/>
    </row>
    <row r="38" spans="1:14" ht="15" hidden="1" customHeight="1" x14ac:dyDescent="0.25">
      <c r="A38" s="188"/>
      <c r="B38">
        <v>0</v>
      </c>
      <c r="C38">
        <f ca="1">SUMIF(INDIRECT($B$37), "P", INDIRECT($D$37))</f>
        <v>7.9333333333333336</v>
      </c>
      <c r="D38">
        <f ca="1">B38+C38</f>
        <v>7.9333333333333336</v>
      </c>
      <c r="F38" t="s">
        <v>214</v>
      </c>
      <c r="K38" s="185"/>
    </row>
    <row r="39" spans="1:14" ht="15" hidden="1" customHeight="1" x14ac:dyDescent="0.25">
      <c r="A39" s="188"/>
      <c r="B39">
        <f ca="1">(COUNTIF(INDIRECT($G$37), "XXS")*XXS_Requirements)+(COUNTIF(INDIRECT($G$37), "XS")*XS_Requirements)+(COUNTIF(INDIRECT($G$37), "S")*S_Requirements)+(COUNTIF(INDIRECT($G$37), "M")*M_Requirements)+(COUNTIF(INDIRECT($G$37), "L")*L_Requirements)+(COUNTIF(INDIRECT($G$37), "XL")*XL_Requirements)+(COUNTIF(INDIRECT($G$37), "XXL")*XXL_Requirements)</f>
        <v>53.941250000000004</v>
      </c>
      <c r="C39">
        <f ca="1">SUMIF(INDIRECT($B$37), "S", INDIRECT($D$37))</f>
        <v>10</v>
      </c>
      <c r="D39">
        <f ca="1">B39+C39</f>
        <v>63.941250000000004</v>
      </c>
      <c r="F39" t="s">
        <v>210</v>
      </c>
      <c r="K39" s="185"/>
    </row>
    <row r="40" spans="1:14" ht="15" hidden="1" customHeight="1" x14ac:dyDescent="0.25">
      <c r="A40" s="188"/>
      <c r="B40">
        <f ca="1">(COUNTIF(INDIRECT($G$37), "XXS")*XXS_Design)+(COUNTIF(INDIRECT($G$37), "XS")*XS_Design)+(COUNTIF(INDIRECT($G$37), "S")*S_Design)+(COUNTIF(INDIRECT($G$37), "M")*M_Design)+(COUNTIF(INDIRECT($G$37), "L")*L_Design)+(COUNTIF(INDIRECT($G$37), "XL")*XL_Design)+(COUNTIF(INDIRECT($G$37), "XXL")*XXL_Design)</f>
        <v>116.34166666666665</v>
      </c>
      <c r="C40">
        <f ca="1">SUMIF(INDIRECT($B$37), "D", INDIRECT($D$37))</f>
        <v>0</v>
      </c>
      <c r="D40">
        <f t="shared" ref="D40:D44" ca="1" si="2">B40+C40</f>
        <v>116.34166666666665</v>
      </c>
      <c r="F40" t="s">
        <v>146</v>
      </c>
      <c r="K40" s="185"/>
    </row>
    <row r="41" spans="1:14" ht="15" hidden="1" customHeight="1" x14ac:dyDescent="0.25">
      <c r="A41" s="188"/>
      <c r="B41">
        <f ca="1">(COUNTIF(INDIRECT($G$37), "XXS")*XXS_Construction)+(COUNTIF(INDIRECT($G$37), "XS")*XS_Construction)+(COUNTIF(INDIRECT($G$37), "S")*S_Construction)+(COUNTIF(INDIRECT($G$37), "M")*M_Construction)+(COUNTIF(INDIRECT($G$37), "L")*L_Construction)+(COUNTIF(INDIRECT($G$37), "XL")*XL_Construction)+(COUNTIF(INDIRECT($G$37), "XXL")*XXL_Construction)</f>
        <v>953.08833333333325</v>
      </c>
      <c r="C41">
        <f ca="1">SUMIF(INDIRECT($B$37), "B", INDIRECT($D$37))+SUMIF(INDIRECT($D$36), "", INDIRECT($E$36))</f>
        <v>11.733333333333334</v>
      </c>
      <c r="D41">
        <f t="shared" ca="1" si="2"/>
        <v>964.8216666666666</v>
      </c>
      <c r="F41" t="s">
        <v>212</v>
      </c>
      <c r="K41" s="185"/>
    </row>
    <row r="42" spans="1:14" ht="15" hidden="1" customHeight="1" x14ac:dyDescent="0.25">
      <c r="A42" s="188"/>
      <c r="B42">
        <f ca="1">(COUNTIF(INDIRECT($G$37), "XXS")*XXS_Test)+(COUNTIF(INDIRECT($G$37), "XS")*XS_Test)+(COUNTIF(INDIRECT($G$37), "S")*S_Test)+(COUNTIF(INDIRECT($G$37), "M")*M_Test)+(COUNTIF(INDIRECT($G$37), "L")*L_Test)+(COUNTIF(INDIRECT($G$37), "XL")*XL_Test)+(COUNTIF(INDIRECT($G$37), "XXL")*XXL_Test)</f>
        <v>225.63083333333333</v>
      </c>
      <c r="C42">
        <f ca="1">SUMIF(INDIRECT($B$37), "T", INDIRECT($D$37))</f>
        <v>0</v>
      </c>
      <c r="D42">
        <f t="shared" ca="1" si="2"/>
        <v>225.63083333333333</v>
      </c>
      <c r="F42" t="s">
        <v>213</v>
      </c>
      <c r="K42" s="185"/>
    </row>
    <row r="43" spans="1:14" ht="15" hidden="1" customHeight="1" x14ac:dyDescent="0.25">
      <c r="A43" s="188"/>
      <c r="B43">
        <v>0</v>
      </c>
      <c r="C43">
        <f ca="1">SUMIF(INDIRECT($B$37), "I", INDIRECT($D$37))</f>
        <v>0</v>
      </c>
      <c r="D43">
        <f t="shared" ca="1" si="2"/>
        <v>0</v>
      </c>
      <c r="F43" t="s">
        <v>215</v>
      </c>
      <c r="K43" s="185"/>
    </row>
    <row r="44" spans="1:14" ht="15" hidden="1" customHeight="1" x14ac:dyDescent="0.25">
      <c r="A44" s="188"/>
      <c r="B44">
        <v>0</v>
      </c>
      <c r="C44">
        <f ca="1">SUMIF(INDIRECT($B$37), "M", INDIRECT($D$37))</f>
        <v>0</v>
      </c>
      <c r="D44">
        <f t="shared" ca="1" si="2"/>
        <v>0</v>
      </c>
      <c r="F44" t="s">
        <v>147</v>
      </c>
      <c r="K44" s="185"/>
    </row>
    <row r="45" spans="1:14" x14ac:dyDescent="0.25">
      <c r="A45" s="188"/>
      <c r="B45" s="96" t="s">
        <v>216</v>
      </c>
      <c r="C45" s="97"/>
      <c r="D45" s="97"/>
      <c r="E45" s="186" t="s">
        <v>217</v>
      </c>
      <c r="F45" s="186"/>
      <c r="G45" s="111" t="s">
        <v>218</v>
      </c>
      <c r="H45" s="110" t="s">
        <v>219</v>
      </c>
      <c r="I45" s="76" t="s">
        <v>167</v>
      </c>
      <c r="K45" s="185"/>
    </row>
    <row r="46" spans="1:14" x14ac:dyDescent="0.25">
      <c r="A46" s="188"/>
      <c r="B46" s="165" t="s">
        <v>214</v>
      </c>
      <c r="C46" s="166"/>
      <c r="D46" s="166"/>
      <c r="E46" s="166"/>
      <c r="F46" s="117">
        <f ca="1">Total_Plan_Effort</f>
        <v>7.9333333333333336</v>
      </c>
      <c r="G46" s="98">
        <f ca="1">IFERROR((Total_Plan_Effort/PERT_Sum), "N/A")</f>
        <v>5.7543433354337982E-3</v>
      </c>
      <c r="H46" s="112">
        <v>1.4999999999999999E-2</v>
      </c>
      <c r="I46" s="99">
        <f ca="1">IFERROR(G46-H46, "N/A")</f>
        <v>-9.2456566645662021E-3</v>
      </c>
      <c r="K46" s="185"/>
    </row>
    <row r="47" spans="1:14" x14ac:dyDescent="0.25">
      <c r="A47" s="188"/>
      <c r="B47" s="189" t="s">
        <v>210</v>
      </c>
      <c r="C47" s="190"/>
      <c r="D47" s="190"/>
      <c r="E47" s="190"/>
      <c r="F47" s="117">
        <f ca="1">Total_Specify_Effort</f>
        <v>63.941250000000004</v>
      </c>
      <c r="G47" s="98">
        <f ca="1">IFERROR((Total_Specify_Effort/PERT_Sum), "N/A")</f>
        <v>4.6378979722286516E-2</v>
      </c>
      <c r="H47" s="112">
        <v>0.12499999999999999</v>
      </c>
      <c r="I47" s="99">
        <f t="shared" ref="I47:I52" ca="1" si="3">IFERROR(G47-H47, "N/A")</f>
        <v>-7.8621020277713477E-2</v>
      </c>
      <c r="K47" s="185"/>
    </row>
    <row r="48" spans="1:14" x14ac:dyDescent="0.25">
      <c r="A48" s="188"/>
      <c r="B48" s="165" t="s">
        <v>146</v>
      </c>
      <c r="C48" s="166"/>
      <c r="D48" s="166"/>
      <c r="E48" s="166"/>
      <c r="F48" s="117">
        <f ca="1">Total_Design_Effort</f>
        <v>116.34166666666665</v>
      </c>
      <c r="G48" s="98">
        <f ca="1">IFERROR((Total_Design_Effort/PERT_Sum), "N/A")</f>
        <v>8.4386961455873155E-2</v>
      </c>
      <c r="H48" s="112">
        <v>0.15500000000000003</v>
      </c>
      <c r="I48" s="99">
        <f t="shared" ca="1" si="3"/>
        <v>-7.0613038544126872E-2</v>
      </c>
      <c r="K48" s="185"/>
    </row>
    <row r="49" spans="1:11" x14ac:dyDescent="0.25">
      <c r="A49" s="188"/>
      <c r="B49" s="165" t="s">
        <v>212</v>
      </c>
      <c r="C49" s="166"/>
      <c r="D49" s="166"/>
      <c r="E49" s="166"/>
      <c r="F49" s="117">
        <f ca="1">Total_Build_Effort</f>
        <v>964.8216666666666</v>
      </c>
      <c r="G49" s="98">
        <f ca="1">IFERROR((Total_Build_Effort/PERT_Sum), "N/A")</f>
        <v>0.69982123455446998</v>
      </c>
      <c r="H49" s="112">
        <v>0.245</v>
      </c>
      <c r="I49" s="99">
        <f t="shared" ca="1" si="3"/>
        <v>0.45482123455446999</v>
      </c>
      <c r="K49" s="185"/>
    </row>
    <row r="50" spans="1:11" x14ac:dyDescent="0.25">
      <c r="A50" s="188"/>
      <c r="B50" s="165" t="s">
        <v>213</v>
      </c>
      <c r="C50" s="166"/>
      <c r="D50" s="166"/>
      <c r="E50" s="166"/>
      <c r="F50" s="117">
        <f ca="1">Total_Test_Effort</f>
        <v>225.63083333333333</v>
      </c>
      <c r="G50" s="98">
        <f ca="1">IFERROR((Total_Test_Effort/PERT_Sum), "N/A")</f>
        <v>0.16365848093193791</v>
      </c>
      <c r="H50" s="112">
        <v>0.15000000000000002</v>
      </c>
      <c r="I50" s="99">
        <f t="shared" ca="1" si="3"/>
        <v>1.3658480931937889E-2</v>
      </c>
      <c r="K50" s="185"/>
    </row>
    <row r="51" spans="1:11" x14ac:dyDescent="0.25">
      <c r="A51" s="188"/>
      <c r="B51" s="165" t="s">
        <v>215</v>
      </c>
      <c r="C51" s="166"/>
      <c r="D51" s="166"/>
      <c r="E51" s="166"/>
      <c r="F51" s="117">
        <f ca="1">Total_Impl_Effort</f>
        <v>0</v>
      </c>
      <c r="G51" s="98">
        <f ca="1">IFERROR((Total_Impl_Effort/PERT_Sum), "N/A")</f>
        <v>0</v>
      </c>
      <c r="H51" s="112">
        <v>0.12</v>
      </c>
      <c r="I51" s="99">
        <f t="shared" ca="1" si="3"/>
        <v>-0.12</v>
      </c>
      <c r="K51" s="185"/>
    </row>
    <row r="52" spans="1:11" x14ac:dyDescent="0.25">
      <c r="A52" s="188"/>
      <c r="B52" s="165" t="s">
        <v>147</v>
      </c>
      <c r="C52" s="166"/>
      <c r="D52" s="166"/>
      <c r="E52" s="166"/>
      <c r="F52" s="117">
        <f ca="1">Total_Management_Effort</f>
        <v>0</v>
      </c>
      <c r="G52" s="98">
        <f ca="1">IFERROR(($D44/PERT_Sum), "N/A")</f>
        <v>0</v>
      </c>
      <c r="H52" s="112">
        <v>0.15</v>
      </c>
      <c r="I52" s="99">
        <f t="shared" ca="1" si="3"/>
        <v>-0.15</v>
      </c>
      <c r="K52" s="185"/>
    </row>
    <row r="53" spans="1:11" ht="9" customHeight="1" x14ac:dyDescent="0.25">
      <c r="B53" s="170"/>
      <c r="C53" s="171"/>
      <c r="D53" s="171"/>
      <c r="E53" s="171"/>
      <c r="F53" s="171"/>
      <c r="G53" s="171"/>
    </row>
    <row r="54" spans="1:11" ht="15" hidden="1" customHeight="1" x14ac:dyDescent="0.25">
      <c r="B54" s="96" t="s">
        <v>160</v>
      </c>
      <c r="C54" s="97"/>
      <c r="D54" s="97"/>
      <c r="E54" s="97"/>
      <c r="F54" s="97"/>
      <c r="G54" s="97"/>
    </row>
    <row r="55" spans="1:11" ht="15" hidden="1" customHeight="1" x14ac:dyDescent="0.25">
      <c r="B55" s="163" t="s">
        <v>161</v>
      </c>
      <c r="C55" s="164"/>
      <c r="D55" s="164"/>
      <c r="E55" s="164"/>
      <c r="F55" s="164"/>
      <c r="G55" s="164"/>
    </row>
    <row r="56" spans="1:11" ht="15" hidden="1" customHeight="1" x14ac:dyDescent="0.25">
      <c r="B56" s="165"/>
      <c r="C56" s="166"/>
      <c r="D56" s="166"/>
      <c r="E56" s="166"/>
      <c r="F56" s="166"/>
      <c r="G56" s="166"/>
    </row>
    <row r="57" spans="1:11" ht="15" hidden="1" customHeight="1" x14ac:dyDescent="0.25">
      <c r="B57" s="163" t="s">
        <v>159</v>
      </c>
      <c r="C57" s="164"/>
      <c r="D57" s="164"/>
      <c r="E57" s="167"/>
      <c r="F57" s="167"/>
      <c r="G57" s="167"/>
    </row>
    <row r="58" spans="1:11" ht="15" hidden="1" customHeight="1" x14ac:dyDescent="0.25">
      <c r="B58" s="163" t="s">
        <v>162</v>
      </c>
      <c r="C58" s="164"/>
      <c r="D58" s="164"/>
      <c r="E58" s="167"/>
      <c r="F58" s="167"/>
      <c r="G58" s="167"/>
    </row>
    <row r="59" spans="1:11" ht="9" customHeight="1" x14ac:dyDescent="0.25">
      <c r="B59" s="170"/>
      <c r="C59" s="171"/>
      <c r="D59" s="171"/>
      <c r="E59" s="171"/>
      <c r="F59" s="171"/>
      <c r="G59" s="171"/>
    </row>
  </sheetData>
  <sheetProtection formatCells="0" formatColumns="0" formatRows="0" insertColumns="0" insertRows="0" insertHyperlinks="0" deleteColumns="0" deleteRows="0" sort="0" autoFilter="0" pivotTables="0"/>
  <mergeCells count="85">
    <mergeCell ref="B20:J20"/>
    <mergeCell ref="L20:N20"/>
    <mergeCell ref="K35:K52"/>
    <mergeCell ref="E45:F45"/>
    <mergeCell ref="A35:A52"/>
    <mergeCell ref="B46:E46"/>
    <mergeCell ref="B47:E47"/>
    <mergeCell ref="B48:E48"/>
    <mergeCell ref="B49:E49"/>
    <mergeCell ref="B50:E50"/>
    <mergeCell ref="B51:E51"/>
    <mergeCell ref="B52:E52"/>
    <mergeCell ref="B35:J35"/>
    <mergeCell ref="B21:J21"/>
    <mergeCell ref="L30:N30"/>
    <mergeCell ref="L31:N31"/>
    <mergeCell ref="L2:N2"/>
    <mergeCell ref="A1:N1"/>
    <mergeCell ref="B33:J33"/>
    <mergeCell ref="B3:J3"/>
    <mergeCell ref="B8:J8"/>
    <mergeCell ref="B14:J14"/>
    <mergeCell ref="B28:J28"/>
    <mergeCell ref="B7:J7"/>
    <mergeCell ref="B27:J27"/>
    <mergeCell ref="B13:J13"/>
    <mergeCell ref="B4:J4"/>
    <mergeCell ref="B11:J11"/>
    <mergeCell ref="B12:J12"/>
    <mergeCell ref="B5:J5"/>
    <mergeCell ref="B9:J9"/>
    <mergeCell ref="B16:J16"/>
    <mergeCell ref="B53:G53"/>
    <mergeCell ref="B59:G59"/>
    <mergeCell ref="B34:J34"/>
    <mergeCell ref="A2:J2"/>
    <mergeCell ref="B10:J10"/>
    <mergeCell ref="B31:J31"/>
    <mergeCell ref="B32:J32"/>
    <mergeCell ref="B29:J29"/>
    <mergeCell ref="B17:J17"/>
    <mergeCell ref="B22:J22"/>
    <mergeCell ref="B26:J26"/>
    <mergeCell ref="B30:J30"/>
    <mergeCell ref="B19:J19"/>
    <mergeCell ref="B23:J23"/>
    <mergeCell ref="B25:J25"/>
    <mergeCell ref="B24:J24"/>
    <mergeCell ref="B15:J15"/>
    <mergeCell ref="B6:J6"/>
    <mergeCell ref="L3:N3"/>
    <mergeCell ref="L4:N4"/>
    <mergeCell ref="L5:N5"/>
    <mergeCell ref="L6:N6"/>
    <mergeCell ref="L7:N7"/>
    <mergeCell ref="L8:N8"/>
    <mergeCell ref="L9:N9"/>
    <mergeCell ref="L10:N10"/>
    <mergeCell ref="L11:N11"/>
    <mergeCell ref="L12:N12"/>
    <mergeCell ref="L13:N13"/>
    <mergeCell ref="L14:N14"/>
    <mergeCell ref="L15:N15"/>
    <mergeCell ref="L32:N32"/>
    <mergeCell ref="L16:N16"/>
    <mergeCell ref="L17:N17"/>
    <mergeCell ref="L19:N19"/>
    <mergeCell ref="L21:N21"/>
    <mergeCell ref="L22:N22"/>
    <mergeCell ref="B18:J18"/>
    <mergeCell ref="L18:N18"/>
    <mergeCell ref="B55:G55"/>
    <mergeCell ref="B56:G56"/>
    <mergeCell ref="B58:D58"/>
    <mergeCell ref="B57:D57"/>
    <mergeCell ref="E57:G57"/>
    <mergeCell ref="E58:G58"/>
    <mergeCell ref="L33:N33"/>
    <mergeCell ref="L25:N25"/>
    <mergeCell ref="L26:N26"/>
    <mergeCell ref="L27:N27"/>
    <mergeCell ref="L28:N28"/>
    <mergeCell ref="L29:N29"/>
    <mergeCell ref="L23:N23"/>
    <mergeCell ref="L24:N24"/>
  </mergeCells>
  <conditionalFormatting sqref="A3:A17 A19:A35">
    <cfRule type="expression" dxfId="5" priority="4">
      <formula>AND(K3="No", L3 &lt;&gt; "")</formula>
    </cfRule>
    <cfRule type="expression" dxfId="4" priority="5" stopIfTrue="1">
      <formula>AND(OR(K3="N/A", K3="No"), L3="")</formula>
    </cfRule>
    <cfRule type="expression" dxfId="3" priority="6" stopIfTrue="1">
      <formula>K3=""</formula>
    </cfRule>
  </conditionalFormatting>
  <conditionalFormatting sqref="A18">
    <cfRule type="expression" dxfId="2" priority="1">
      <formula>AND(K18="No", L18 &lt;&gt; "")</formula>
    </cfRule>
    <cfRule type="expression" dxfId="1" priority="2" stopIfTrue="1">
      <formula>AND(OR(K18="N/A", K18="No"), L18="")</formula>
    </cfRule>
    <cfRule type="expression" dxfId="0" priority="3" stopIfTrue="1">
      <formula>K18=""</formula>
    </cfRule>
  </conditionalFormatting>
  <dataValidations count="5">
    <dataValidation type="list" allowBlank="1" showInputMessage="1" showErrorMessage="1" sqref="B56:F56">
      <formula1>Project_Types</formula1>
    </dataValidation>
    <dataValidation type="list" allowBlank="1" showInputMessage="1" showErrorMessage="1" sqref="E57:G57">
      <formula1>Project_Sizes</formula1>
    </dataValidation>
    <dataValidation type="list" allowBlank="1" showInputMessage="1" showErrorMessage="1" sqref="K35">
      <formula1>Yes_No</formula1>
    </dataValidation>
    <dataValidation type="list" allowBlank="1" showInputMessage="1" showErrorMessage="1" sqref="E58:G58">
      <formula1>Project_Kinds</formula1>
    </dataValidation>
    <dataValidation type="list" allowBlank="1" showInputMessage="1" showErrorMessage="1" sqref="K3:K34">
      <formula1>Yes_No_NA</formula1>
    </dataValidation>
  </dataValidations>
  <pageMargins left="0.70866141732283472" right="0.70866141732283472"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79" t="s">
        <v>40</v>
      </c>
      <c r="B1" s="79" t="s">
        <v>51</v>
      </c>
      <c r="C1" s="79" t="s">
        <v>52</v>
      </c>
      <c r="D1" s="79" t="s">
        <v>58</v>
      </c>
      <c r="E1" s="83" t="s">
        <v>53</v>
      </c>
    </row>
    <row r="2" spans="1:13" x14ac:dyDescent="0.25">
      <c r="A2" s="79" t="s">
        <v>39</v>
      </c>
      <c r="B2" s="79" t="s">
        <v>48</v>
      </c>
      <c r="C2" s="79" t="s">
        <v>49</v>
      </c>
      <c r="D2" s="79" t="s">
        <v>57</v>
      </c>
      <c r="E2" s="83" t="s">
        <v>50</v>
      </c>
    </row>
    <row r="3" spans="1:13" x14ac:dyDescent="0.25">
      <c r="A3" s="79" t="s">
        <v>38</v>
      </c>
      <c r="B3" s="79" t="s">
        <v>45</v>
      </c>
      <c r="C3" s="79" t="s">
        <v>46</v>
      </c>
      <c r="D3" s="79" t="s">
        <v>59</v>
      </c>
      <c r="E3" s="83" t="s">
        <v>47</v>
      </c>
      <c r="F3" s="89" t="s">
        <v>38</v>
      </c>
      <c r="G3" s="113" t="s">
        <v>207</v>
      </c>
      <c r="H3" s="102" t="s">
        <v>179</v>
      </c>
      <c r="I3" s="105">
        <v>0.9</v>
      </c>
      <c r="J3" s="82"/>
      <c r="M3" s="106"/>
    </row>
    <row r="4" spans="1:13" x14ac:dyDescent="0.25">
      <c r="A4" s="79" t="s">
        <v>41</v>
      </c>
      <c r="B4" s="79" t="s">
        <v>54</v>
      </c>
      <c r="C4" s="79" t="s">
        <v>55</v>
      </c>
      <c r="D4" s="79" t="s">
        <v>60</v>
      </c>
      <c r="E4" s="83" t="s">
        <v>56</v>
      </c>
      <c r="F4" s="87" t="s">
        <v>116</v>
      </c>
      <c r="G4" s="85" t="s">
        <v>38</v>
      </c>
      <c r="H4" s="109" t="s">
        <v>180</v>
      </c>
      <c r="I4" s="104">
        <v>0.99</v>
      </c>
      <c r="J4" s="84"/>
    </row>
    <row r="5" spans="1:13" x14ac:dyDescent="0.25">
      <c r="A5" s="79" t="s">
        <v>37</v>
      </c>
      <c r="B5" s="79" t="s">
        <v>42</v>
      </c>
      <c r="C5" s="79" t="s">
        <v>43</v>
      </c>
      <c r="D5" s="79" t="s">
        <v>61</v>
      </c>
      <c r="E5" s="83" t="s">
        <v>44</v>
      </c>
      <c r="F5" s="87" t="s">
        <v>208</v>
      </c>
      <c r="G5" s="85" t="s">
        <v>116</v>
      </c>
      <c r="H5" s="103" t="s">
        <v>222</v>
      </c>
    </row>
    <row r="6" spans="1:13" x14ac:dyDescent="0.25">
      <c r="A6" s="91" t="s">
        <v>206</v>
      </c>
      <c r="B6" s="91" t="s">
        <v>224</v>
      </c>
      <c r="C6" s="91" t="s">
        <v>225</v>
      </c>
      <c r="D6" s="91" t="s">
        <v>226</v>
      </c>
      <c r="E6" s="114" t="s">
        <v>227</v>
      </c>
      <c r="F6" s="86" t="s">
        <v>117</v>
      </c>
      <c r="G6" s="85" t="s">
        <v>208</v>
      </c>
    </row>
    <row r="7" spans="1:13" x14ac:dyDescent="0.25">
      <c r="A7" s="115" t="s">
        <v>200</v>
      </c>
      <c r="B7" s="115" t="s">
        <v>228</v>
      </c>
      <c r="C7" s="115" t="s">
        <v>229</v>
      </c>
      <c r="D7" s="115" t="s">
        <v>230</v>
      </c>
      <c r="E7" s="116" t="s">
        <v>231</v>
      </c>
      <c r="F7" s="113"/>
      <c r="G7" s="85" t="s">
        <v>117</v>
      </c>
    </row>
    <row r="8" spans="1:13" x14ac:dyDescent="0.25">
      <c r="G8" s="85" t="s">
        <v>119</v>
      </c>
    </row>
    <row r="9" spans="1:13" x14ac:dyDescent="0.25">
      <c r="B9" t="s">
        <v>115</v>
      </c>
      <c r="C9" t="s">
        <v>116</v>
      </c>
      <c r="D9" t="s">
        <v>118</v>
      </c>
      <c r="E9" t="s">
        <v>117</v>
      </c>
      <c r="F9" t="s">
        <v>39</v>
      </c>
      <c r="G9" s="103" t="s">
        <v>39</v>
      </c>
    </row>
    <row r="10" spans="1:13" x14ac:dyDescent="0.25">
      <c r="A10" s="89">
        <v>1</v>
      </c>
      <c r="B10" s="77">
        <v>0.04</v>
      </c>
      <c r="C10" s="77">
        <v>0.1</v>
      </c>
      <c r="D10" s="77">
        <v>0.61</v>
      </c>
      <c r="E10" s="77">
        <v>0.16</v>
      </c>
      <c r="F10" s="82">
        <v>0.09</v>
      </c>
      <c r="H10" t="s">
        <v>24</v>
      </c>
    </row>
    <row r="11" spans="1:13" x14ac:dyDescent="0.25">
      <c r="A11" s="87">
        <v>5</v>
      </c>
      <c r="B11" s="79">
        <v>0.04</v>
      </c>
      <c r="C11" s="79">
        <f>C10+0.2*AVERAGE(C12,C10)</f>
        <v>0.12400000000000001</v>
      </c>
      <c r="D11" s="79">
        <f>1-SUM(B11,C11,E11,F11)</f>
        <v>0.52800000000000002</v>
      </c>
      <c r="E11" s="79">
        <f>E10+0.2*AVERAGE(E12,E10)</f>
        <v>0.19900000000000001</v>
      </c>
      <c r="F11" s="83">
        <f>F10+0.2*AVERAGE(F12,F10)</f>
        <v>0.109</v>
      </c>
    </row>
    <row r="12" spans="1:13" x14ac:dyDescent="0.25">
      <c r="A12" s="87">
        <v>25</v>
      </c>
      <c r="B12" s="79">
        <v>0.04</v>
      </c>
      <c r="C12" s="79">
        <v>0.14000000000000001</v>
      </c>
      <c r="D12" s="79">
        <v>0.49</v>
      </c>
      <c r="E12" s="79">
        <v>0.23</v>
      </c>
      <c r="F12" s="83">
        <v>0.1</v>
      </c>
    </row>
    <row r="13" spans="1:13" x14ac:dyDescent="0.25">
      <c r="A13" s="87">
        <v>75</v>
      </c>
      <c r="B13" s="79">
        <v>5.5E-2</v>
      </c>
      <c r="C13" s="79">
        <v>0.14499999999999999</v>
      </c>
      <c r="D13" s="79">
        <v>0.46500000000000002</v>
      </c>
      <c r="E13" s="79">
        <v>0.23</v>
      </c>
      <c r="F13" s="83">
        <v>0.105</v>
      </c>
    </row>
    <row r="14" spans="1:13" x14ac:dyDescent="0.25">
      <c r="A14" s="87">
        <v>125</v>
      </c>
      <c r="B14" s="79">
        <v>7.0000000000000007E-2</v>
      </c>
      <c r="C14" s="79">
        <v>0.15</v>
      </c>
      <c r="D14" s="79">
        <v>0.44</v>
      </c>
      <c r="E14" s="79">
        <v>0.23</v>
      </c>
      <c r="F14" s="83">
        <v>0.11</v>
      </c>
    </row>
    <row r="15" spans="1:13" x14ac:dyDescent="0.25">
      <c r="A15" s="87">
        <v>300</v>
      </c>
      <c r="B15" s="79">
        <v>7.4999999999999997E-2</v>
      </c>
      <c r="C15" s="79">
        <v>0.15</v>
      </c>
      <c r="D15" s="79">
        <v>0.39500000000000002</v>
      </c>
      <c r="E15" s="79">
        <v>0.26</v>
      </c>
      <c r="F15" s="83">
        <v>0.12</v>
      </c>
    </row>
    <row r="16" spans="1:13" x14ac:dyDescent="0.25">
      <c r="A16" s="88">
        <v>500</v>
      </c>
      <c r="B16" s="81">
        <v>0.08</v>
      </c>
      <c r="C16" s="81">
        <v>0.15</v>
      </c>
      <c r="D16" s="81">
        <v>0.35</v>
      </c>
      <c r="E16" s="81">
        <v>0.28999999999999998</v>
      </c>
      <c r="F16" s="84">
        <v>0.13</v>
      </c>
    </row>
    <row r="17" spans="1:6" x14ac:dyDescent="0.25">
      <c r="B17" t="s">
        <v>115</v>
      </c>
      <c r="C17" t="s">
        <v>116</v>
      </c>
      <c r="D17" t="s">
        <v>118</v>
      </c>
      <c r="E17" t="s">
        <v>117</v>
      </c>
      <c r="F17" t="s">
        <v>39</v>
      </c>
    </row>
    <row r="18" spans="1:6" x14ac:dyDescent="0.25">
      <c r="A18" s="89" t="s">
        <v>149</v>
      </c>
      <c r="B18" s="80">
        <v>-0.03</v>
      </c>
      <c r="C18" s="77">
        <v>-7.0000000000000007E-2</v>
      </c>
      <c r="D18" s="77">
        <v>0.05</v>
      </c>
      <c r="E18" s="77">
        <v>-7.0000000000000007E-2</v>
      </c>
      <c r="F18" s="82">
        <v>0.03</v>
      </c>
    </row>
    <row r="19" spans="1:6" x14ac:dyDescent="0.25">
      <c r="A19" s="87" t="s">
        <v>153</v>
      </c>
      <c r="B19" s="79">
        <v>0.2</v>
      </c>
      <c r="C19" s="79">
        <v>0.1</v>
      </c>
      <c r="D19" s="79">
        <v>-0.1</v>
      </c>
      <c r="E19" s="79">
        <v>0.06</v>
      </c>
      <c r="F19" s="83">
        <v>0.03</v>
      </c>
    </row>
    <row r="20" spans="1:6" x14ac:dyDescent="0.25">
      <c r="A20" s="87" t="s">
        <v>151</v>
      </c>
      <c r="B20" s="79">
        <v>0.2</v>
      </c>
      <c r="C20" s="79">
        <v>0.1</v>
      </c>
      <c r="D20" s="79">
        <v>-0.1</v>
      </c>
      <c r="E20" s="79">
        <v>0.06</v>
      </c>
      <c r="F20" s="83">
        <v>0.03</v>
      </c>
    </row>
    <row r="21" spans="1:6" x14ac:dyDescent="0.25">
      <c r="A21" s="87" t="s">
        <v>157</v>
      </c>
      <c r="B21" s="79">
        <v>-0.2</v>
      </c>
      <c r="C21" s="79">
        <v>-0.05</v>
      </c>
      <c r="D21" s="79">
        <v>0.02</v>
      </c>
      <c r="E21" s="79">
        <v>0.09</v>
      </c>
      <c r="F21" s="83">
        <v>-0.15</v>
      </c>
    </row>
    <row r="22" spans="1:6" x14ac:dyDescent="0.25">
      <c r="A22" s="87" t="s">
        <v>150</v>
      </c>
      <c r="B22" s="90">
        <v>-0.03</v>
      </c>
      <c r="C22" s="79">
        <v>-7.0000000000000007E-2</v>
      </c>
      <c r="D22" s="79">
        <v>0.05</v>
      </c>
      <c r="E22" s="79">
        <v>-7.0000000000000007E-2</v>
      </c>
      <c r="F22" s="83">
        <v>0.03</v>
      </c>
    </row>
    <row r="23" spans="1:6" x14ac:dyDescent="0.25">
      <c r="A23" s="87" t="s">
        <v>158</v>
      </c>
      <c r="B23" s="79">
        <v>-0.2</v>
      </c>
      <c r="C23" s="79">
        <v>-0.05</v>
      </c>
      <c r="D23" s="79">
        <v>0.02</v>
      </c>
      <c r="E23" s="79">
        <v>0.09</v>
      </c>
      <c r="F23" s="83">
        <v>-0.15</v>
      </c>
    </row>
    <row r="24" spans="1:6" x14ac:dyDescent="0.25">
      <c r="A24" s="87" t="s">
        <v>156</v>
      </c>
      <c r="B24" s="79">
        <v>-0.2</v>
      </c>
      <c r="C24" s="79">
        <v>-0.05</v>
      </c>
      <c r="D24" s="79">
        <v>0.02</v>
      </c>
      <c r="E24" s="79">
        <v>0.09</v>
      </c>
      <c r="F24" s="83">
        <v>-0.15</v>
      </c>
    </row>
    <row r="25" spans="1:6" x14ac:dyDescent="0.25">
      <c r="A25" s="87" t="s">
        <v>155</v>
      </c>
      <c r="B25" s="79">
        <v>-0.2</v>
      </c>
      <c r="C25" s="79">
        <v>-0.05</v>
      </c>
      <c r="D25" s="79">
        <v>0.02</v>
      </c>
      <c r="E25" s="79">
        <v>0.09</v>
      </c>
      <c r="F25" s="83">
        <v>-0.15</v>
      </c>
    </row>
    <row r="26" spans="1:6" x14ac:dyDescent="0.25">
      <c r="A26" s="87" t="s">
        <v>154</v>
      </c>
      <c r="B26" s="79">
        <v>0.2</v>
      </c>
      <c r="C26" s="79">
        <v>0.1</v>
      </c>
      <c r="D26" s="79">
        <v>-0.1</v>
      </c>
      <c r="E26" s="79">
        <v>0.06</v>
      </c>
      <c r="F26" s="83">
        <v>0.03</v>
      </c>
    </row>
    <row r="27" spans="1:6" x14ac:dyDescent="0.25">
      <c r="A27" s="88" t="s">
        <v>152</v>
      </c>
      <c r="B27" s="81">
        <v>0.2</v>
      </c>
      <c r="C27" s="81">
        <v>0.1</v>
      </c>
      <c r="D27" s="81">
        <v>-0.1</v>
      </c>
      <c r="E27" s="81">
        <v>0.06</v>
      </c>
      <c r="F27" s="84">
        <v>0.03</v>
      </c>
    </row>
    <row r="30" spans="1:6" x14ac:dyDescent="0.25">
      <c r="A30" s="89" t="s">
        <v>163</v>
      </c>
      <c r="B30" s="77">
        <v>300</v>
      </c>
      <c r="C30" s="77" t="s">
        <v>150</v>
      </c>
      <c r="D30" s="77"/>
      <c r="E30" s="77"/>
      <c r="F30" s="82"/>
    </row>
    <row r="31" spans="1:6" x14ac:dyDescent="0.25">
      <c r="A31" s="87" t="s">
        <v>164</v>
      </c>
      <c r="B31" s="79">
        <v>125</v>
      </c>
      <c r="C31" s="79" t="s">
        <v>149</v>
      </c>
      <c r="D31" s="79"/>
      <c r="E31" s="79"/>
      <c r="F31" s="83"/>
    </row>
    <row r="32" spans="1:6" x14ac:dyDescent="0.25">
      <c r="A32" s="87" t="s">
        <v>172</v>
      </c>
      <c r="B32" s="79">
        <v>125</v>
      </c>
      <c r="C32" s="79" t="s">
        <v>158</v>
      </c>
      <c r="D32" s="79"/>
      <c r="E32" s="79"/>
      <c r="F32" s="83"/>
    </row>
    <row r="33" spans="1:6" x14ac:dyDescent="0.25">
      <c r="A33" s="87" t="s">
        <v>178</v>
      </c>
      <c r="B33" s="79">
        <v>500</v>
      </c>
      <c r="C33" s="91" t="s">
        <v>149</v>
      </c>
      <c r="D33" s="79"/>
      <c r="E33" s="79"/>
      <c r="F33" s="83"/>
    </row>
    <row r="34" spans="1:6" x14ac:dyDescent="0.25">
      <c r="A34" s="87" t="s">
        <v>175</v>
      </c>
      <c r="B34" s="91">
        <v>25</v>
      </c>
      <c r="C34" s="91" t="s">
        <v>155</v>
      </c>
      <c r="D34" s="79"/>
      <c r="E34" s="79"/>
      <c r="F34" s="83"/>
    </row>
    <row r="35" spans="1:6" x14ac:dyDescent="0.25">
      <c r="A35" s="87" t="s">
        <v>168</v>
      </c>
      <c r="B35" s="79">
        <v>25</v>
      </c>
      <c r="C35" s="79" t="s">
        <v>158</v>
      </c>
      <c r="D35" s="79"/>
      <c r="E35" s="79"/>
      <c r="F35" s="83"/>
    </row>
    <row r="36" spans="1:6" x14ac:dyDescent="0.25">
      <c r="A36" s="87" t="s">
        <v>165</v>
      </c>
      <c r="B36" s="79">
        <v>25</v>
      </c>
      <c r="C36" s="79" t="s">
        <v>149</v>
      </c>
      <c r="D36" s="79"/>
      <c r="E36" s="79"/>
      <c r="F36" s="83"/>
    </row>
    <row r="37" spans="1:6" x14ac:dyDescent="0.25">
      <c r="A37" s="87" t="s">
        <v>173</v>
      </c>
      <c r="B37" s="79">
        <v>75</v>
      </c>
      <c r="C37" s="79" t="s">
        <v>149</v>
      </c>
      <c r="D37" s="79"/>
      <c r="E37" s="79"/>
      <c r="F37" s="83"/>
    </row>
    <row r="38" spans="1:6" x14ac:dyDescent="0.25">
      <c r="A38" s="87" t="s">
        <v>174</v>
      </c>
      <c r="B38" s="91">
        <v>500</v>
      </c>
      <c r="C38" s="91" t="s">
        <v>149</v>
      </c>
      <c r="D38" s="79"/>
      <c r="E38" s="79"/>
      <c r="F38" s="83"/>
    </row>
    <row r="39" spans="1:6" x14ac:dyDescent="0.25">
      <c r="A39" s="87" t="s">
        <v>169</v>
      </c>
      <c r="B39" s="79">
        <v>5</v>
      </c>
      <c r="C39" s="79" t="s">
        <v>158</v>
      </c>
      <c r="D39" s="79"/>
      <c r="E39" s="79"/>
      <c r="F39" s="83"/>
    </row>
    <row r="40" spans="1:6" x14ac:dyDescent="0.25">
      <c r="A40" s="87" t="s">
        <v>170</v>
      </c>
      <c r="B40" s="79">
        <v>5</v>
      </c>
      <c r="C40" s="79" t="s">
        <v>158</v>
      </c>
      <c r="D40" s="79"/>
      <c r="E40" s="79"/>
      <c r="F40" s="83"/>
    </row>
    <row r="41" spans="1:6" x14ac:dyDescent="0.25">
      <c r="A41" s="87" t="s">
        <v>166</v>
      </c>
      <c r="B41" s="79">
        <v>25</v>
      </c>
      <c r="C41" s="79" t="s">
        <v>158</v>
      </c>
      <c r="D41" s="79"/>
      <c r="E41" s="79"/>
      <c r="F41" s="83"/>
    </row>
    <row r="42" spans="1:6" x14ac:dyDescent="0.25">
      <c r="A42" s="87"/>
      <c r="B42" s="79"/>
      <c r="C42" s="79"/>
      <c r="D42" s="79"/>
      <c r="E42" s="79"/>
      <c r="F42" s="83"/>
    </row>
    <row r="43" spans="1:6" x14ac:dyDescent="0.25">
      <c r="A43" s="87"/>
      <c r="B43" s="79"/>
      <c r="C43" s="79"/>
      <c r="D43" s="79"/>
      <c r="E43" s="79"/>
      <c r="F43" s="83"/>
    </row>
    <row r="44" spans="1:6" x14ac:dyDescent="0.25">
      <c r="A44" s="87"/>
      <c r="B44" s="79"/>
      <c r="C44" s="79"/>
      <c r="D44" s="79"/>
      <c r="E44" s="79"/>
      <c r="F44" s="83"/>
    </row>
    <row r="45" spans="1:6" x14ac:dyDescent="0.25">
      <c r="A45" s="87"/>
      <c r="B45" s="79"/>
      <c r="C45" s="79"/>
      <c r="D45" s="79"/>
      <c r="E45" s="79"/>
      <c r="F45" s="83"/>
    </row>
    <row r="46" spans="1:6" x14ac:dyDescent="0.25">
      <c r="A46" s="87"/>
      <c r="B46" s="79"/>
      <c r="C46" s="79"/>
      <c r="D46" s="79"/>
      <c r="E46" s="79"/>
      <c r="F46" s="83"/>
    </row>
    <row r="47" spans="1:6" x14ac:dyDescent="0.25">
      <c r="A47" s="87"/>
      <c r="B47" s="79"/>
      <c r="C47" s="79"/>
      <c r="D47" s="79"/>
      <c r="E47" s="79"/>
      <c r="F47" s="83"/>
    </row>
    <row r="48" spans="1:6" x14ac:dyDescent="0.25">
      <c r="A48" s="87"/>
      <c r="B48" s="79"/>
      <c r="C48" s="79"/>
      <c r="D48" s="79"/>
      <c r="E48" s="79"/>
      <c r="F48" s="83"/>
    </row>
    <row r="49" spans="1:6" x14ac:dyDescent="0.25">
      <c r="A49" s="87"/>
      <c r="B49" s="79"/>
      <c r="C49" s="79"/>
      <c r="D49" s="79"/>
      <c r="E49" s="79"/>
      <c r="F49" s="83"/>
    </row>
    <row r="50" spans="1:6" x14ac:dyDescent="0.25">
      <c r="A50" s="87"/>
      <c r="B50" s="79"/>
      <c r="C50" s="79"/>
      <c r="D50" s="79"/>
      <c r="E50" s="79"/>
      <c r="F50" s="83"/>
    </row>
    <row r="51" spans="1:6" x14ac:dyDescent="0.25">
      <c r="A51" s="87"/>
      <c r="B51" s="79"/>
      <c r="C51" s="79"/>
      <c r="D51" s="79"/>
      <c r="E51" s="79"/>
      <c r="F51" s="83"/>
    </row>
    <row r="52" spans="1:6" x14ac:dyDescent="0.25">
      <c r="A52" s="87"/>
      <c r="B52" s="79"/>
      <c r="C52" s="79"/>
      <c r="D52" s="79"/>
      <c r="E52" s="79"/>
      <c r="F52" s="83"/>
    </row>
    <row r="53" spans="1:6" x14ac:dyDescent="0.25">
      <c r="A53" s="87"/>
      <c r="B53" s="79"/>
      <c r="C53" s="79"/>
      <c r="D53" s="79"/>
      <c r="E53" s="79"/>
      <c r="F53" s="83"/>
    </row>
    <row r="54" spans="1:6" x14ac:dyDescent="0.25">
      <c r="A54" s="87"/>
      <c r="B54" s="79"/>
      <c r="C54" s="79"/>
      <c r="D54" s="79"/>
      <c r="E54" s="79"/>
      <c r="F54" s="83"/>
    </row>
    <row r="55" spans="1:6" x14ac:dyDescent="0.25">
      <c r="A55" s="87"/>
      <c r="B55" s="79"/>
      <c r="C55" s="79"/>
      <c r="D55" s="79"/>
      <c r="E55" s="79"/>
      <c r="F55" s="83"/>
    </row>
    <row r="56" spans="1:6" x14ac:dyDescent="0.25">
      <c r="A56" s="87"/>
      <c r="B56" s="79"/>
      <c r="C56" s="79"/>
      <c r="D56" s="79"/>
      <c r="E56" s="79"/>
      <c r="F56" s="83"/>
    </row>
    <row r="57" spans="1:6" x14ac:dyDescent="0.25">
      <c r="A57" s="87"/>
      <c r="B57" s="79"/>
      <c r="C57" s="79"/>
      <c r="D57" s="79"/>
      <c r="E57" s="79"/>
      <c r="F57" s="83"/>
    </row>
    <row r="58" spans="1:6" x14ac:dyDescent="0.25">
      <c r="A58" s="87"/>
      <c r="B58" s="79"/>
      <c r="C58" s="79"/>
      <c r="D58" s="79"/>
      <c r="E58" s="79"/>
      <c r="F58" s="83"/>
    </row>
    <row r="59" spans="1:6" x14ac:dyDescent="0.25">
      <c r="A59" s="87"/>
      <c r="B59" s="79"/>
      <c r="C59" s="79"/>
      <c r="D59" s="79"/>
      <c r="E59" s="79"/>
      <c r="F59" s="83"/>
    </row>
    <row r="60" spans="1:6" x14ac:dyDescent="0.25">
      <c r="A60" s="87"/>
      <c r="B60" s="79"/>
      <c r="C60" s="79"/>
      <c r="D60" s="79"/>
      <c r="E60" s="79"/>
      <c r="F60" s="83"/>
    </row>
    <row r="61" spans="1:6" x14ac:dyDescent="0.25">
      <c r="A61" s="87"/>
      <c r="B61" s="79"/>
      <c r="C61" s="79"/>
      <c r="D61" s="79"/>
      <c r="E61" s="79"/>
      <c r="F61" s="83"/>
    </row>
    <row r="62" spans="1:6" x14ac:dyDescent="0.25">
      <c r="A62" s="87"/>
      <c r="B62" s="79"/>
      <c r="C62" s="79"/>
      <c r="D62" s="79"/>
      <c r="E62" s="79"/>
      <c r="F62" s="83"/>
    </row>
    <row r="63" spans="1:6" x14ac:dyDescent="0.25">
      <c r="A63" s="87"/>
      <c r="B63" s="79"/>
      <c r="C63" s="79"/>
      <c r="D63" s="79"/>
      <c r="E63" s="79"/>
      <c r="F63" s="83"/>
    </row>
    <row r="64" spans="1:6" x14ac:dyDescent="0.25">
      <c r="A64" s="87"/>
      <c r="B64" s="79"/>
      <c r="C64" s="79"/>
      <c r="D64" s="79"/>
      <c r="E64" s="79"/>
      <c r="F64" s="83"/>
    </row>
    <row r="65" spans="1:6" x14ac:dyDescent="0.25">
      <c r="A65" s="87"/>
      <c r="B65" s="79"/>
      <c r="C65" s="79"/>
      <c r="D65" s="79"/>
      <c r="E65" s="79"/>
      <c r="F65" s="83"/>
    </row>
    <row r="66" spans="1:6" x14ac:dyDescent="0.25">
      <c r="A66" s="87"/>
      <c r="B66" s="79"/>
      <c r="C66" s="79"/>
      <c r="D66" s="79"/>
      <c r="E66" s="79"/>
      <c r="F66" s="83"/>
    </row>
    <row r="67" spans="1:6" x14ac:dyDescent="0.25">
      <c r="A67" s="87"/>
      <c r="B67" s="79"/>
      <c r="C67" s="79"/>
      <c r="D67" s="79"/>
      <c r="E67" s="79"/>
      <c r="F67" s="83"/>
    </row>
    <row r="68" spans="1:6" x14ac:dyDescent="0.25">
      <c r="A68" s="87"/>
      <c r="B68" s="79"/>
      <c r="C68" s="79"/>
      <c r="D68" s="79"/>
      <c r="E68" s="79"/>
      <c r="F68" s="83"/>
    </row>
    <row r="69" spans="1:6" x14ac:dyDescent="0.25">
      <c r="A69" s="87"/>
      <c r="B69" s="79"/>
      <c r="C69" s="79"/>
      <c r="D69" s="79"/>
      <c r="E69" s="79"/>
      <c r="F69" s="83"/>
    </row>
    <row r="70" spans="1:6" x14ac:dyDescent="0.25">
      <c r="A70" s="87"/>
      <c r="B70" s="79"/>
      <c r="C70" s="79"/>
      <c r="D70" s="79"/>
      <c r="E70" s="79"/>
      <c r="F70" s="83"/>
    </row>
    <row r="71" spans="1:6" x14ac:dyDescent="0.25">
      <c r="A71" s="87"/>
      <c r="B71" s="79"/>
      <c r="C71" s="79"/>
      <c r="D71" s="79"/>
      <c r="E71" s="79"/>
      <c r="F71" s="83"/>
    </row>
    <row r="72" spans="1:6" x14ac:dyDescent="0.25">
      <c r="A72" s="87"/>
      <c r="B72" s="79"/>
      <c r="C72" s="79"/>
      <c r="D72" s="79"/>
      <c r="E72" s="79"/>
      <c r="F72" s="83"/>
    </row>
    <row r="73" spans="1:6" x14ac:dyDescent="0.25">
      <c r="A73" s="87"/>
      <c r="B73" s="79"/>
      <c r="C73" s="79"/>
      <c r="D73" s="79"/>
      <c r="E73" s="79"/>
      <c r="F73" s="83"/>
    </row>
    <row r="74" spans="1:6" x14ac:dyDescent="0.25">
      <c r="A74" s="87"/>
      <c r="B74" s="79"/>
      <c r="C74" s="79"/>
      <c r="D74" s="79"/>
      <c r="E74" s="79"/>
      <c r="F74" s="83"/>
    </row>
    <row r="75" spans="1:6" x14ac:dyDescent="0.25">
      <c r="A75" s="87"/>
      <c r="B75" s="79"/>
      <c r="C75" s="79"/>
      <c r="D75" s="79"/>
      <c r="E75" s="79"/>
      <c r="F75" s="83"/>
    </row>
    <row r="76" spans="1:6" x14ac:dyDescent="0.25">
      <c r="A76" s="87"/>
      <c r="B76" s="79"/>
      <c r="C76" s="79"/>
      <c r="D76" s="79"/>
      <c r="E76" s="79"/>
      <c r="F76" s="83"/>
    </row>
    <row r="77" spans="1:6" x14ac:dyDescent="0.25">
      <c r="A77" s="87"/>
      <c r="B77" s="79"/>
      <c r="C77" s="79"/>
      <c r="D77" s="79"/>
      <c r="E77" s="79"/>
      <c r="F77" s="83"/>
    </row>
    <row r="78" spans="1:6" x14ac:dyDescent="0.25">
      <c r="A78" s="87"/>
      <c r="B78" s="79"/>
      <c r="C78" s="79"/>
      <c r="D78" s="79"/>
      <c r="E78" s="79"/>
      <c r="F78" s="83"/>
    </row>
    <row r="79" spans="1:6" x14ac:dyDescent="0.25">
      <c r="A79" s="87"/>
      <c r="B79" s="79"/>
      <c r="C79" s="79"/>
      <c r="D79" s="79"/>
      <c r="E79" s="79"/>
      <c r="F79" s="83"/>
    </row>
    <row r="80" spans="1:6" x14ac:dyDescent="0.25">
      <c r="A80" s="87"/>
      <c r="B80" s="79"/>
      <c r="C80" s="79"/>
      <c r="D80" s="79"/>
      <c r="E80" s="79"/>
      <c r="F80" s="83"/>
    </row>
    <row r="81" spans="1:6" x14ac:dyDescent="0.25">
      <c r="A81" s="87"/>
      <c r="B81" s="79"/>
      <c r="C81" s="79"/>
      <c r="D81" s="79"/>
      <c r="E81" s="79"/>
      <c r="F81" s="83"/>
    </row>
    <row r="82" spans="1:6" x14ac:dyDescent="0.25">
      <c r="A82" s="87"/>
      <c r="B82" s="79"/>
      <c r="C82" s="79"/>
      <c r="D82" s="79"/>
      <c r="E82" s="79"/>
      <c r="F82" s="83"/>
    </row>
    <row r="83" spans="1:6" x14ac:dyDescent="0.25">
      <c r="A83" s="87"/>
      <c r="B83" s="79"/>
      <c r="C83" s="79"/>
      <c r="D83" s="79"/>
      <c r="E83" s="79"/>
      <c r="F83" s="83"/>
    </row>
    <row r="84" spans="1:6" x14ac:dyDescent="0.25">
      <c r="A84" s="87"/>
      <c r="B84" s="79"/>
      <c r="C84" s="79"/>
      <c r="D84" s="79"/>
      <c r="E84" s="79"/>
      <c r="F84" s="83"/>
    </row>
    <row r="85" spans="1:6" x14ac:dyDescent="0.25">
      <c r="A85" s="87"/>
      <c r="B85" s="79"/>
      <c r="C85" s="79"/>
      <c r="D85" s="79"/>
      <c r="E85" s="79"/>
      <c r="F85" s="83"/>
    </row>
    <row r="86" spans="1:6" x14ac:dyDescent="0.25">
      <c r="A86" s="87"/>
      <c r="B86" s="79"/>
      <c r="C86" s="79"/>
      <c r="D86" s="79"/>
      <c r="E86" s="79"/>
      <c r="F86" s="83"/>
    </row>
    <row r="87" spans="1:6" x14ac:dyDescent="0.25">
      <c r="A87" s="87"/>
      <c r="B87" s="79"/>
      <c r="C87" s="79"/>
      <c r="D87" s="79"/>
      <c r="E87" s="79"/>
      <c r="F87" s="83"/>
    </row>
    <row r="88" spans="1:6" x14ac:dyDescent="0.25">
      <c r="A88" s="87"/>
      <c r="B88" s="79"/>
      <c r="C88" s="79"/>
      <c r="D88" s="79"/>
      <c r="E88" s="79"/>
      <c r="F88" s="83"/>
    </row>
    <row r="89" spans="1:6" x14ac:dyDescent="0.25">
      <c r="A89" s="87"/>
      <c r="B89" s="79"/>
      <c r="C89" s="79"/>
      <c r="D89" s="79"/>
      <c r="E89" s="79"/>
      <c r="F89" s="83"/>
    </row>
    <row r="90" spans="1:6" x14ac:dyDescent="0.25">
      <c r="A90" s="87"/>
      <c r="B90" s="79"/>
      <c r="C90" s="79"/>
      <c r="D90" s="79"/>
      <c r="E90" s="79"/>
      <c r="F90" s="83"/>
    </row>
    <row r="91" spans="1:6" x14ac:dyDescent="0.25">
      <c r="A91" s="87"/>
      <c r="B91" s="79"/>
      <c r="C91" s="79"/>
      <c r="D91" s="79"/>
      <c r="E91" s="79"/>
      <c r="F91" s="83"/>
    </row>
    <row r="92" spans="1:6" x14ac:dyDescent="0.25">
      <c r="A92" s="87"/>
      <c r="B92" s="79"/>
      <c r="C92" s="79"/>
      <c r="D92" s="79"/>
      <c r="E92" s="79"/>
      <c r="F92" s="83"/>
    </row>
    <row r="93" spans="1:6" x14ac:dyDescent="0.25">
      <c r="A93" s="87"/>
      <c r="B93" s="79"/>
      <c r="C93" s="79"/>
      <c r="D93" s="79"/>
      <c r="E93" s="79"/>
      <c r="F93" s="83"/>
    </row>
    <row r="94" spans="1:6" x14ac:dyDescent="0.25">
      <c r="A94" s="87"/>
      <c r="B94" s="79"/>
      <c r="C94" s="79"/>
      <c r="D94" s="79"/>
      <c r="E94" s="79"/>
      <c r="F94" s="83"/>
    </row>
    <row r="95" spans="1:6" x14ac:dyDescent="0.25">
      <c r="A95" s="87"/>
      <c r="B95" s="79"/>
      <c r="C95" s="79"/>
      <c r="D95" s="79"/>
      <c r="E95" s="79"/>
      <c r="F95" s="83"/>
    </row>
    <row r="96" spans="1:6" x14ac:dyDescent="0.25">
      <c r="A96" s="87"/>
      <c r="B96" s="79"/>
      <c r="C96" s="79"/>
      <c r="D96" s="79"/>
      <c r="E96" s="79"/>
      <c r="F96" s="83"/>
    </row>
    <row r="97" spans="1:7" x14ac:dyDescent="0.25">
      <c r="A97" s="87"/>
      <c r="B97" s="79"/>
      <c r="C97" s="79"/>
      <c r="D97" s="79"/>
      <c r="E97" s="79"/>
      <c r="F97" s="83"/>
    </row>
    <row r="98" spans="1:7" x14ac:dyDescent="0.25">
      <c r="A98" s="87"/>
      <c r="B98" s="79"/>
      <c r="C98" s="79"/>
      <c r="D98" s="79"/>
      <c r="E98" s="79"/>
      <c r="F98" s="83"/>
    </row>
    <row r="99" spans="1:7" x14ac:dyDescent="0.25">
      <c r="A99" s="87"/>
      <c r="B99" s="79"/>
      <c r="C99" s="79"/>
      <c r="D99" s="79"/>
      <c r="E99" s="79"/>
      <c r="F99" s="83"/>
    </row>
    <row r="100" spans="1:7" x14ac:dyDescent="0.25">
      <c r="A100" s="87"/>
      <c r="B100" s="79"/>
      <c r="C100" s="79"/>
      <c r="D100" s="79"/>
      <c r="E100" s="79"/>
      <c r="F100" s="83"/>
    </row>
    <row r="101" spans="1:7" x14ac:dyDescent="0.25">
      <c r="A101" s="87"/>
      <c r="B101" s="79"/>
      <c r="C101" s="79"/>
      <c r="D101" s="79"/>
      <c r="E101" s="79"/>
      <c r="F101" s="83"/>
    </row>
    <row r="102" spans="1:7" x14ac:dyDescent="0.25">
      <c r="A102" s="87"/>
      <c r="B102" s="79"/>
      <c r="C102" s="79"/>
      <c r="D102" s="79"/>
      <c r="E102" s="79"/>
      <c r="F102" s="83"/>
    </row>
    <row r="103" spans="1:7" x14ac:dyDescent="0.25">
      <c r="A103" s="88"/>
      <c r="B103" s="81"/>
      <c r="C103" s="81"/>
      <c r="D103" s="81"/>
      <c r="E103" s="81"/>
      <c r="F103" s="84"/>
    </row>
    <row r="104" spans="1:7" x14ac:dyDescent="0.25">
      <c r="A104" s="78" t="s">
        <v>171</v>
      </c>
      <c r="B104" s="77"/>
      <c r="C104" s="77"/>
      <c r="D104" s="77"/>
      <c r="E104" s="77"/>
      <c r="F104" s="77"/>
      <c r="G104" s="79"/>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Props1.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2.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B87A51-D663-41D2-A52A-4781BC2B0B5C}">
  <ds:schemaRefs>
    <ds:schemaRef ds:uri="office.server.policy"/>
  </ds:schemaRefs>
</ds:datastoreItem>
</file>

<file path=customXml/itemProps4.xml><?xml version="1.0" encoding="utf-8"?>
<ds:datastoreItem xmlns:ds="http://schemas.openxmlformats.org/officeDocument/2006/customXml" ds:itemID="{6967A707-B563-47B7-8AE4-A9A3FAF9EF23}">
  <ds:schemaRefs>
    <ds:schemaRef ds:uri="http://schemas.microsoft.com/sharepoint/v3"/>
    <ds:schemaRef ds:uri="6de24da2-2c89-4c63-a7dd-0ead4636faa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Estimate</vt:lpstr>
      <vt:lpstr>Efforts per Feature Size</vt:lpstr>
      <vt:lpstr>Checklist</vt:lpstr>
      <vt:lpstr>Lookups</vt:lpstr>
      <vt:lpstr>Activity_Types</vt:lpstr>
      <vt:lpstr>C_Adjustments</vt:lpstr>
      <vt:lpstr>C_Baseline</vt:lpstr>
      <vt:lpstr>COMMIT_CONFIDENCE</vt:lpstr>
      <vt:lpstr>D_Adjustments</vt:lpstr>
      <vt:lpstr>D_Baseline</vt:lpstr>
      <vt:lpstr>Feature_Activity_Types</vt:lpstr>
      <vt:lpstr>Grand_Total_Row</vt:lpstr>
      <vt:lpstr>Header_Row</vt:lpstr>
      <vt:lpstr>L_Buffer</vt:lpstr>
      <vt:lpstr>L_Construction</vt:lpstr>
      <vt:lpstr>L_Design</vt:lpstr>
      <vt:lpstr>L_Likely</vt:lpstr>
      <vt:lpstr>L_Max</vt:lpstr>
      <vt:lpstr>L_Min</vt:lpstr>
      <vt:lpstr>L_PERT</vt:lpstr>
      <vt:lpstr>L_Requirements</vt:lpstr>
      <vt:lpstr>L_Test</vt:lpstr>
      <vt:lpstr>L_TopLeft</vt:lpstr>
      <vt:lpstr>M_Adjustments</vt:lpstr>
      <vt:lpstr>M_Baseline</vt:lpstr>
      <vt:lpstr>M_Buffer</vt:lpstr>
      <vt:lpstr>M_Construction</vt:lpstr>
      <vt:lpstr>M_Design</vt:lpstr>
      <vt:lpstr>M_Likely</vt:lpstr>
      <vt:lpstr>M_Max</vt:lpstr>
      <vt:lpstr>M_Min</vt:lpstr>
      <vt:lpstr>M_PERT</vt:lpstr>
      <vt:lpstr>M_Requirements</vt:lpstr>
      <vt:lpstr>M_Test</vt:lpstr>
      <vt:lpstr>M_TopLeft</vt:lpstr>
      <vt:lpstr>Max_Range</vt:lpstr>
      <vt:lpstr>Max_Sigmas</vt:lpstr>
      <vt:lpstr>Min_Range</vt:lpstr>
      <vt:lpstr>Min_Samples</vt:lpstr>
      <vt:lpstr>Min_Sigmas</vt:lpstr>
      <vt:lpstr>Optional_Feature_WBS_Tasks</vt:lpstr>
      <vt:lpstr>PERT_Range</vt:lpstr>
      <vt:lpstr>PERT_Sigma</vt:lpstr>
      <vt:lpstr>PERT_Sigma2</vt:lpstr>
      <vt:lpstr>PERT_Sum</vt:lpstr>
      <vt:lpstr>Checklist!Print_Titles</vt:lpstr>
      <vt:lpstr>Estimate!Print_Titles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S_Buffer</vt:lpstr>
      <vt:lpstr>S_Construction</vt:lpstr>
      <vt:lpstr>S_Design</vt:lpstr>
      <vt:lpstr>S_Likely</vt:lpstr>
      <vt:lpstr>S_Max</vt:lpstr>
      <vt:lpstr>S_Min</vt:lpstr>
      <vt:lpstr>S_PERT</vt:lpstr>
      <vt:lpstr>S_Requirements</vt:lpstr>
      <vt:lpstr>S_Test</vt:lpstr>
      <vt:lpstr>S_TopLeft</vt:lpstr>
      <vt:lpstr>Section_Marks_Range</vt:lpstr>
      <vt:lpstr>T_Adjustments</vt:lpstr>
      <vt:lpstr>T_Baseline</vt:lpstr>
      <vt:lpstr>Total_Build_Effort</vt:lpstr>
      <vt:lpstr>Total_Design_Effort</vt:lpstr>
      <vt:lpstr>Total_Impl_Effort</vt:lpstr>
      <vt:lpstr>Total_Management_Effort</vt:lpstr>
      <vt:lpstr>Total_Plan_Effort</vt:lpstr>
      <vt:lpstr>Total_Specify_Effort</vt:lpstr>
      <vt:lpstr>Total_Test_Effort</vt:lpstr>
      <vt:lpstr>TShirt_Sizes</vt:lpstr>
      <vt:lpstr>XL_Buffer</vt:lpstr>
      <vt:lpstr>XL_Construction</vt:lpstr>
      <vt:lpstr>XL_Design</vt:lpstr>
      <vt:lpstr>XL_Likely</vt:lpstr>
      <vt:lpstr>XL_Max</vt:lpstr>
      <vt:lpstr>XL_Min</vt:lpstr>
      <vt:lpstr>XL_PERT</vt:lpstr>
      <vt:lpstr>XL_Requirements</vt:lpstr>
      <vt:lpstr>XL_Test</vt:lpstr>
      <vt:lpstr>XL_TopLeft</vt:lpstr>
      <vt:lpstr>XS_Buffer</vt:lpstr>
      <vt:lpstr>XS_Construction</vt:lpstr>
      <vt:lpstr>XS_Design</vt:lpstr>
      <vt:lpstr>XS_Likely</vt:lpstr>
      <vt:lpstr>XS_Max</vt:lpstr>
      <vt:lpstr>XS_Min</vt:lpstr>
      <vt:lpstr>XS_PERT</vt:lpstr>
      <vt:lpstr>XS_Requirements</vt:lpstr>
      <vt:lpstr>XS_Test</vt:lpstr>
      <vt:lpstr>XS_TopLeft</vt:lpstr>
      <vt:lpstr>XXL_Buffer</vt:lpstr>
      <vt:lpstr>XXL_Construction</vt:lpstr>
      <vt:lpstr>XXL_Design</vt:lpstr>
      <vt:lpstr>XXL_Likely</vt:lpstr>
      <vt:lpstr>XXL_Max</vt:lpstr>
      <vt:lpstr>XXL_Min</vt:lpstr>
      <vt:lpstr>XXL_PERT</vt:lpstr>
      <vt:lpstr>XXL_Requirements</vt:lpstr>
      <vt:lpstr>XXL_Test</vt:lpstr>
      <vt:lpstr>XXL_TopLeft</vt:lpstr>
      <vt:lpstr>XXS_Buffer</vt:lpstr>
      <vt:lpstr>XXS_Construction</vt:lpstr>
      <vt:lpstr>XXS_Design</vt:lpstr>
      <vt:lpstr>XXS_Likely</vt:lpstr>
      <vt:lpstr>XXS_Max</vt:lpstr>
      <vt:lpstr>XXS_Min</vt:lpstr>
      <vt:lpstr>XXS_PERT</vt:lpstr>
      <vt:lpstr>XXS_Requirements</vt:lpstr>
      <vt:lpstr>XXS_Test</vt:lpstr>
      <vt:lpstr>XXS_TopLeft</vt:lpstr>
      <vt:lpstr>Yes_No</vt:lpstr>
      <vt:lpstr>Yes_No_NA</vt:lpstr>
    </vt:vector>
  </TitlesOfParts>
  <Company>Sigma Ukraine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kovitch</cp:lastModifiedBy>
  <cp:lastPrinted>2011-12-01T08:45:00Z</cp:lastPrinted>
  <dcterms:created xsi:type="dcterms:W3CDTF">2010-12-28T08:30:40Z</dcterms:created>
  <dcterms:modified xsi:type="dcterms:W3CDTF">2014-04-02T14:44:37Z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