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<sst xmlns="http://schemas.openxmlformats.org/spreadsheetml/2006/main" count="63" uniqueCount="53">
  <si>
    <t>Vrefp</t>
  </si>
  <si>
    <t>Input</t>
  </si>
  <si>
    <t>Capacitors</t>
  </si>
  <si>
    <t>Output</t>
  </si>
  <si>
    <t>D&lt;9&gt;</t>
  </si>
  <si>
    <t>D&lt;8&gt;</t>
  </si>
  <si>
    <t>D&lt;7&gt;</t>
  </si>
  <si>
    <t>D&lt;6&gt;</t>
  </si>
  <si>
    <t>D&lt;5&gt;</t>
  </si>
  <si>
    <t>R&lt;5&gt;</t>
  </si>
  <si>
    <t>D&lt;4&gt;</t>
  </si>
  <si>
    <t>D&lt;3&gt;</t>
  </si>
  <si>
    <t>D&lt;2&gt;</t>
  </si>
  <si>
    <t>R&lt;2&gt;</t>
  </si>
  <si>
    <t>D&lt;1&gt;</t>
  </si>
  <si>
    <t>D&lt;0&gt;</t>
  </si>
  <si>
    <t>Vrefn</t>
  </si>
  <si>
    <t>Flash Caps(6)</t>
  </si>
  <si>
    <t>No. of bits</t>
  </si>
  <si>
    <t>C1</t>
  </si>
  <si>
    <t>Flash bits</t>
  </si>
  <si>
    <t>C2</t>
  </si>
  <si>
    <t>Final Output</t>
  </si>
  <si>
    <t>Resolution of Flash</t>
  </si>
  <si>
    <t>C3_red</t>
  </si>
  <si>
    <t xml:space="preserve">Resolution of Full ADC </t>
  </si>
  <si>
    <t>C4</t>
  </si>
  <si>
    <t>C5</t>
  </si>
  <si>
    <t>C6</t>
  </si>
  <si>
    <t>Flash Comparators</t>
  </si>
  <si>
    <t>Reference Voltage</t>
  </si>
  <si>
    <t>Flash offset</t>
  </si>
  <si>
    <t>Comparator Output</t>
  </si>
  <si>
    <t>C7_red</t>
  </si>
  <si>
    <t>Redundancy</t>
  </si>
  <si>
    <t>Comparator 7</t>
  </si>
  <si>
    <t>C8</t>
  </si>
  <si>
    <t>Upto 36 LSBS</t>
  </si>
  <si>
    <t>Comparator 6</t>
  </si>
  <si>
    <t>C9</t>
  </si>
  <si>
    <t>Comparator 5</t>
  </si>
  <si>
    <t>C10</t>
  </si>
  <si>
    <t>Comparator 4</t>
  </si>
  <si>
    <t>Comparator 3</t>
  </si>
  <si>
    <t>Total Cap</t>
  </si>
  <si>
    <t>Comparator 2</t>
  </si>
  <si>
    <t>Comparator 1</t>
  </si>
  <si>
    <t>SAR Comp. Offset</t>
  </si>
  <si>
    <t>Flash Output</t>
  </si>
  <si>
    <t>Residue for SAR ADC</t>
  </si>
  <si>
    <t>Total Flash Cap Connected to Refp</t>
  </si>
  <si>
    <t>Decimal Equivalent of the 10 bit</t>
  </si>
  <si>
    <t>Final Residue after SAR 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</si>
</sst>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3" fontId="0" numFmtId="0" xfId="0" applyAlignment="1" applyBorder="1" applyFill="1" applyFont="1">
      <alignment horizontal="center"/>
    </xf>
    <xf borderId="1" fillId="4" fontId="0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4" fontId="1" numFmtId="0" xfId="0" applyAlignment="1" applyBorder="1" applyFont="1">
      <alignment readingOrder="0"/>
    </xf>
    <xf borderId="1" fillId="8" fontId="2" numFmtId="0" xfId="0" applyAlignment="1" applyBorder="1" applyFill="1" applyFont="1">
      <alignment horizontal="center"/>
    </xf>
    <xf borderId="1" fillId="9" fontId="2" numFmtId="0" xfId="0" applyAlignment="1" applyBorder="1" applyFill="1" applyFont="1">
      <alignment horizontal="center"/>
    </xf>
    <xf borderId="0" fillId="3" fontId="4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5.38"/>
    <col customWidth="1" min="4" max="4" width="16.38"/>
    <col customWidth="1" min="6" max="6" width="16.0"/>
    <col customWidth="1" min="7" max="7" width="13.0"/>
    <col customWidth="1" min="8" max="8" width="9.63"/>
    <col customWidth="1" min="9" max="9" width="12.0"/>
    <col customWidth="1" min="10" max="21" width="5.13"/>
  </cols>
  <sheetData>
    <row r="2">
      <c r="A2" s="1" t="s">
        <v>0</v>
      </c>
      <c r="B2" s="2">
        <v>1.0</v>
      </c>
      <c r="D2" s="3" t="s">
        <v>1</v>
      </c>
      <c r="E2" s="4"/>
      <c r="F2" s="3" t="s">
        <v>2</v>
      </c>
      <c r="G2" s="5"/>
      <c r="I2" s="3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</row>
    <row r="3">
      <c r="A3" s="1" t="s">
        <v>16</v>
      </c>
      <c r="B3" s="2">
        <v>0.0</v>
      </c>
      <c r="D3" s="7">
        <v>0.46995</v>
      </c>
      <c r="F3" s="3" t="s">
        <v>17</v>
      </c>
      <c r="G3" s="2">
        <v>128.0</v>
      </c>
      <c r="I3" s="5"/>
      <c r="J3" s="8">
        <f>INT(B21/4)</f>
        <v>0</v>
      </c>
      <c r="K3" s="8">
        <f>INT((B21-J3*4)/2)</f>
        <v>1</v>
      </c>
      <c r="L3" s="2">
        <f>INT((B21-J3*4-K3*2))</f>
        <v>1</v>
      </c>
      <c r="M3" s="9">
        <f>INT(B20-G17&gt;G4/G15)</f>
        <v>1</v>
      </c>
      <c r="N3" s="10">
        <f>INT(B20-G17&gt;(M3*G4+G5)/G15)</f>
        <v>1</v>
      </c>
      <c r="O3" s="11">
        <f>INT(B20-G17&gt;(M3*G4+N3*G5+N3*32)/G15)</f>
        <v>0</v>
      </c>
      <c r="P3" s="12">
        <f>INT(B20-G17&gt;(M3*G4+N3*G5+N3*O3*32-(1-N3)*(1-O3)*32+G7)/G15)</f>
        <v>0</v>
      </c>
      <c r="Q3" s="12">
        <f>INT(B20-G17&gt;(M3*G4+N3*G5+N3*O3*32-(1-N3)*(1-O3)*32+P3*G7+G8)/G15)</f>
        <v>0</v>
      </c>
      <c r="R3" s="13">
        <f>INT(B20-G17&gt;(M3*G4+N3*G5+N3*O3*32-(1-N3)*(1-O3)*32+P3*G7+Q3*G8+G9)/G15)</f>
        <v>0</v>
      </c>
      <c r="S3" s="13">
        <f>INT(B20-G17&gt;(M3*G4+N3*G5+N3*O3*32-(1-N3)*(1-O3)*32+P3*G7+Q3*G8+R3*G9+R3*4)/G15)</f>
        <v>1</v>
      </c>
      <c r="T3" s="12">
        <f>INT(B20-G17&gt;(M3*G4+N3*G5+N3*O3*32-(1-N3)*(1-O3)*32+P3*G7+Q3*G8+R3*G9+R3*S3*4-(1-R3)*(1-S3)*4+G11)/G15)</f>
        <v>0</v>
      </c>
      <c r="U3" s="12">
        <f>INT(B20-G17&gt;(M3*G4+N3*G5+N3*O3*32-(1-N3)*(1-O3)*32+P3*G7+Q3*G8+R3*G9+R3*S3*4-(1-R3)*(1-S3)*4+T3*G11+G12)/G15)</f>
        <v>1</v>
      </c>
    </row>
    <row r="4">
      <c r="A4" s="1" t="s">
        <v>18</v>
      </c>
      <c r="B4" s="2">
        <v>10.0</v>
      </c>
      <c r="F4" s="3" t="s">
        <v>19</v>
      </c>
      <c r="G4" s="2">
        <v>64.0</v>
      </c>
    </row>
    <row r="5">
      <c r="A5" s="1" t="s">
        <v>20</v>
      </c>
      <c r="B5" s="2">
        <v>3.0</v>
      </c>
      <c r="E5" s="4"/>
      <c r="F5" s="3" t="s">
        <v>21</v>
      </c>
      <c r="G5" s="2">
        <v>32.0</v>
      </c>
      <c r="I5" s="3" t="s">
        <v>22</v>
      </c>
      <c r="J5" s="6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6" t="s">
        <v>10</v>
      </c>
      <c r="P5" s="6" t="s">
        <v>11</v>
      </c>
      <c r="Q5" s="6" t="s">
        <v>12</v>
      </c>
      <c r="R5" s="6" t="s">
        <v>14</v>
      </c>
      <c r="S5" s="6" t="s">
        <v>15</v>
      </c>
      <c r="U5" s="4"/>
    </row>
    <row r="6">
      <c r="A6" s="1" t="s">
        <v>23</v>
      </c>
      <c r="B6" s="14">
        <f>(B2-B3)/2^B5</f>
        <v>0.125</v>
      </c>
      <c r="F6" s="15" t="s">
        <v>24</v>
      </c>
      <c r="G6" s="16">
        <v>32.0</v>
      </c>
      <c r="I6" s="5"/>
      <c r="J6" s="17">
        <f>INT(B23/512)</f>
        <v>0</v>
      </c>
      <c r="K6" s="17">
        <f>INT((B23-J6*512)/256)</f>
        <v>1</v>
      </c>
      <c r="L6" s="18">
        <f>INT((B23-J6*512-K6*256)/128)</f>
        <v>1</v>
      </c>
      <c r="M6" s="18">
        <f>INT((B23-J6*512-K6*256-L6*128)/64)</f>
        <v>1</v>
      </c>
      <c r="N6" s="17">
        <f>INT((B23-J6*512-K6*256-L6*128-M6*64)/32)</f>
        <v>1</v>
      </c>
      <c r="O6" s="17">
        <f>INT((B23-J6*512-K6*256-L6*128-M6*64-N6*32)/16)</f>
        <v>0</v>
      </c>
      <c r="P6" s="17">
        <f>INT((B23-J6*512-K6*256-L6*128-M6*64-N6*32-O6*16)/8)</f>
        <v>0</v>
      </c>
      <c r="Q6" s="17">
        <f>INT((B23-J6*512-K6*256-L6*128-M6*64-N6*32-O6*16-P6*8)/4)</f>
        <v>0</v>
      </c>
      <c r="R6" s="17">
        <f>INT((B23-J6*512-K6*256-L6*128-M6*64-N6*32-O6*16-P6*8-Q6*4)/2)</f>
        <v>0</v>
      </c>
      <c r="S6" s="17">
        <f>INT((B23-J6*512-K6*256-L6*128-M6*64-N6*32-O6*16-P6*8-Q6*4-R6*2)/1)</f>
        <v>1</v>
      </c>
    </row>
    <row r="7">
      <c r="A7" s="6" t="s">
        <v>25</v>
      </c>
      <c r="B7" s="19">
        <f>(B2-B3)/2^B4</f>
        <v>0.0009765625</v>
      </c>
      <c r="F7" s="3" t="s">
        <v>26</v>
      </c>
      <c r="G7" s="2">
        <v>16.0</v>
      </c>
      <c r="L7" s="20"/>
      <c r="M7" s="21"/>
    </row>
    <row r="8">
      <c r="F8" s="3" t="s">
        <v>27</v>
      </c>
      <c r="G8" s="2">
        <v>8.0</v>
      </c>
    </row>
    <row r="9">
      <c r="F9" s="3" t="s">
        <v>28</v>
      </c>
      <c r="G9" s="2">
        <v>4.0</v>
      </c>
      <c r="L9" s="20"/>
      <c r="M9" s="21"/>
    </row>
    <row r="10">
      <c r="A10" s="6" t="s">
        <v>29</v>
      </c>
      <c r="B10" s="6" t="s">
        <v>30</v>
      </c>
      <c r="C10" s="6" t="s">
        <v>31</v>
      </c>
      <c r="D10" s="6" t="s">
        <v>32</v>
      </c>
      <c r="F10" s="15" t="s">
        <v>33</v>
      </c>
      <c r="G10" s="16">
        <v>4.0</v>
      </c>
      <c r="I10" s="22" t="s">
        <v>34</v>
      </c>
    </row>
    <row r="11">
      <c r="A11" s="6" t="s">
        <v>35</v>
      </c>
      <c r="B11" s="8">
        <f>7*B6</f>
        <v>0.875</v>
      </c>
      <c r="C11" s="2">
        <v>0.01</v>
      </c>
      <c r="D11" s="8">
        <f>INT((D3+C11)&gt;B11)</f>
        <v>0</v>
      </c>
      <c r="F11" s="3" t="s">
        <v>36</v>
      </c>
      <c r="G11" s="2">
        <v>2.0</v>
      </c>
      <c r="I11" s="22" t="s">
        <v>37</v>
      </c>
      <c r="L11" s="20"/>
      <c r="M11" s="21"/>
    </row>
    <row r="12">
      <c r="A12" s="6" t="s">
        <v>38</v>
      </c>
      <c r="B12" s="8">
        <f>6*B6</f>
        <v>0.75</v>
      </c>
      <c r="C12" s="2">
        <v>-0.01</v>
      </c>
      <c r="D12" s="8">
        <f>INT((D3+C12)&gt;B12)</f>
        <v>0</v>
      </c>
      <c r="F12" s="3" t="s">
        <v>39</v>
      </c>
      <c r="G12" s="2">
        <v>1.0</v>
      </c>
    </row>
    <row r="13">
      <c r="A13" s="6" t="s">
        <v>40</v>
      </c>
      <c r="B13" s="8">
        <f>5*B6</f>
        <v>0.625</v>
      </c>
      <c r="C13" s="2">
        <v>-0.01</v>
      </c>
      <c r="D13" s="8">
        <f>INT((D3+C13)&gt;B13)</f>
        <v>0</v>
      </c>
      <c r="F13" s="3" t="s">
        <v>41</v>
      </c>
      <c r="G13" s="2">
        <v>1.0</v>
      </c>
      <c r="L13" s="20"/>
      <c r="M13" s="21"/>
    </row>
    <row r="14">
      <c r="A14" s="6" t="s">
        <v>42</v>
      </c>
      <c r="B14" s="8">
        <f>4*B6</f>
        <v>0.5</v>
      </c>
      <c r="C14" s="2">
        <v>0.01</v>
      </c>
      <c r="D14" s="8">
        <f>INT((D3+C14)&gt;B14)</f>
        <v>0</v>
      </c>
      <c r="F14" s="20"/>
      <c r="G14" s="21"/>
    </row>
    <row r="15">
      <c r="A15" s="6" t="s">
        <v>43</v>
      </c>
      <c r="B15" s="8">
        <f>3*B6</f>
        <v>0.375</v>
      </c>
      <c r="C15" s="2">
        <v>-0.01</v>
      </c>
      <c r="D15" s="8">
        <f>INT((D3+C15)&gt;B15)</f>
        <v>1</v>
      </c>
      <c r="F15" s="3" t="s">
        <v>44</v>
      </c>
      <c r="G15" s="8">
        <f>7*G3+G4+G5+G7+G8+G9+G11+G12+G13</f>
        <v>1024</v>
      </c>
    </row>
    <row r="16">
      <c r="A16" s="6" t="s">
        <v>45</v>
      </c>
      <c r="B16" s="8">
        <f>2*B6</f>
        <v>0.25</v>
      </c>
      <c r="C16" s="2">
        <v>-0.01</v>
      </c>
      <c r="D16" s="8">
        <f>INT((D3+C16)&gt;B16)</f>
        <v>1</v>
      </c>
    </row>
    <row r="17">
      <c r="A17" s="6" t="s">
        <v>46</v>
      </c>
      <c r="B17" s="8">
        <f>B6</f>
        <v>0.125</v>
      </c>
      <c r="C17" s="2">
        <v>0.01</v>
      </c>
      <c r="D17" s="8">
        <f>INT((D3+C17)&gt;B17)</f>
        <v>1</v>
      </c>
      <c r="F17" s="3" t="s">
        <v>47</v>
      </c>
      <c r="G17" s="2">
        <v>0.0</v>
      </c>
    </row>
    <row r="19">
      <c r="A19" s="6" t="s">
        <v>48</v>
      </c>
      <c r="B19" s="8" t="str">
        <f>DEC2BIN((D11+D12+D13+D14+D15+D16+D17), 3)</f>
        <v>011</v>
      </c>
    </row>
    <row r="20">
      <c r="A20" s="6" t="s">
        <v>49</v>
      </c>
      <c r="B20" s="23">
        <f>D3-BIN2DEC(B19)*B6</f>
        <v>0.09495</v>
      </c>
    </row>
    <row r="21">
      <c r="A21" s="6" t="s">
        <v>50</v>
      </c>
      <c r="B21" s="8">
        <f>SUM(D11:D17)</f>
        <v>3</v>
      </c>
    </row>
    <row r="23">
      <c r="A23" s="6" t="s">
        <v>51</v>
      </c>
      <c r="B23" s="24">
        <f>J3*512+K3*256+L3*128+M3*64+N3*32+P3*16+Q3*8+R3*4+T3*2+U3*1+N3*O3*32-(1-N3)*(1-O3)*32+R3*S3*4-(1-R3)*(1-S3)*4</f>
        <v>481</v>
      </c>
      <c r="D23" s="25"/>
    </row>
    <row r="24">
      <c r="A24" s="6" t="s">
        <v>52</v>
      </c>
      <c r="B24" s="19">
        <f>D3-(B2-B3)*B23/G15</f>
        <v>0.0002234375</v>
      </c>
    </row>
    <row r="25">
      <c r="A25" s="4"/>
      <c r="B25" s="26"/>
    </row>
  </sheetData>
  <conditionalFormatting sqref="M1:U1">
    <cfRule type="notContainsBlanks" dxfId="0" priority="1">
      <formula>LEN(TRIM(M1))&gt;0</formula>
    </cfRule>
  </conditionalFormatting>
  <drawing r:id="rId1"/>
</worksheet>
</file>